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nnections.xml" ContentType="application/vnd.openxmlformats-officedocument.spreadsheetml.connection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M:\Statistikk og analyse\Livstatistikk\Faste statistikker\MA\2022\Q4-22\Publisert\"/>
    </mc:Choice>
  </mc:AlternateContent>
  <xr:revisionPtr revIDLastSave="0" documentId="13_ncr:1_{DFF0C086-C7FB-4897-9C05-76D82EC0D704}" xr6:coauthVersionLast="47" xr6:coauthVersionMax="47" xr10:uidLastSave="{00000000-0000-0000-0000-000000000000}"/>
  <bookViews>
    <workbookView xWindow="-120" yWindow="-120" windowWidth="29040" windowHeight="1572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Codan Forsikring" sheetId="76" r:id="rId8"/>
    <sheet name="Storebrand Danica Pensjon" sheetId="18" r:id="rId9"/>
    <sheet name="DNB Livsforsikring" sheetId="13" r:id="rId10"/>
    <sheet name="Eika Forsikring AS" sheetId="19" r:id="rId11"/>
    <sheet name="Euro Accident" sheetId="77" r:id="rId12"/>
    <sheet name="Fremtind Livsforsikring" sheetId="16" r:id="rId13"/>
    <sheet name="Frende Livsforsikring" sheetId="20" r:id="rId14"/>
    <sheet name="Frende Skadeforsikring" sheetId="21" r:id="rId15"/>
    <sheet name="Gjensidige Forsikring" sheetId="22" r:id="rId16"/>
    <sheet name="Gjensidige Pensjon" sheetId="23" r:id="rId17"/>
    <sheet name="Handelsbanken Liv" sheetId="24" r:id="rId18"/>
    <sheet name="If Skadeforsikring NUF" sheetId="25" r:id="rId19"/>
    <sheet name="KLP" sheetId="26" r:id="rId20"/>
    <sheet name="KLP Skadeforsikring AS" sheetId="51" r:id="rId21"/>
    <sheet name="Landkreditt Forsikring" sheetId="40" r:id="rId22"/>
    <sheet name="Ly Forsikring" sheetId="78" r:id="rId23"/>
    <sheet name="Nordea Liv " sheetId="29" r:id="rId24"/>
    <sheet name="Oslo Pensjonsforsikring" sheetId="34" r:id="rId25"/>
    <sheet name="Protector Forsikring" sheetId="72" r:id="rId26"/>
    <sheet name="SHB Liv" sheetId="35" r:id="rId27"/>
    <sheet name="Sparebank 1 Forsikring" sheetId="33" r:id="rId28"/>
    <sheet name="Storebrand Livsforsikring" sheetId="37" r:id="rId29"/>
    <sheet name="Telenor Forsikring" sheetId="38" r:id="rId30"/>
    <sheet name="Tryg Forsikring" sheetId="39" r:id="rId31"/>
    <sheet name="WaterCircles F" sheetId="74" r:id="rId32"/>
    <sheet name="Youplus Livsforsikring" sheetId="79" r:id="rId33"/>
    <sheet name="Tabell 4" sheetId="65" r:id="rId34"/>
    <sheet name="Tabell 5.1" sheetId="66" r:id="rId35"/>
    <sheet name="Tabell 5.2" sheetId="67" r:id="rId36"/>
    <sheet name="Tabell 5.3" sheetId="68" r:id="rId37"/>
    <sheet name="Tabell 6" sheetId="62" r:id="rId38"/>
    <sheet name="Tabell 7a" sheetId="69" r:id="rId39"/>
    <sheet name="Tabell 7b" sheetId="70" r:id="rId40"/>
    <sheet name="Tabell 8" sheetId="71" r:id="rId41"/>
    <sheet name="Noter og kommentarer" sheetId="3" r:id="rId42"/>
  </sheets>
  <externalReferences>
    <externalReference r:id="rId43"/>
    <externalReference r:id="rId44"/>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2">'Fremtind Livsforsikring'!$A$1:$M$137</definedName>
    <definedName name="_xlnm.Print_Area" localSheetId="41">'Noter og kommentarer'!$A$1:$L$43</definedName>
    <definedName name="_xlnm.Print_Area" localSheetId="6">'Skjema total MA'!$A$1:$J$138</definedName>
    <definedName name="_xlnm.Print_Area" localSheetId="34">'Tabell 5.1'!$A$2:$AT$109</definedName>
    <definedName name="_xlnm.Print_Area" localSheetId="35">'Tabell 5.2'!$A$2:$AT$145</definedName>
    <definedName name="_xlnm.Print_Area" localSheetId="38">'Tabell 7a'!$A$2:$AN$58</definedName>
    <definedName name="_xlnm.Print_Area" localSheetId="39">'Tabell 7b'!$A$2:$AH$44</definedName>
    <definedName name="_xlnm.Print_Area" localSheetId="40">'Tabell 8'!$A$2:$AH$53</definedName>
    <definedName name="_xlnm.Print_Titles" localSheetId="34">'Tabell 5.1'!$A:$A,'Tabell 5.1'!$2:$9</definedName>
    <definedName name="_xlnm.Print_Titles" localSheetId="35">'Tabell 5.2'!$A:$A,'Tabell 5.2'!$2:$9</definedName>
    <definedName name="_xlnm.Print_Titles" localSheetId="38">'Tabell 7a'!$A:$A</definedName>
    <definedName name="_xlnm.Print_Titles" localSheetId="39">'Tabell 7b'!$A:$A</definedName>
    <definedName name="_xlnm.Print_Titles" localSheetId="40">'Tabell 8'!$A:$A</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58" l="1"/>
  <c r="G29" i="58"/>
  <c r="G28" i="58"/>
  <c r="G27" i="58"/>
  <c r="G26" i="58"/>
  <c r="G25" i="58"/>
  <c r="F29" i="58"/>
  <c r="F28" i="58"/>
  <c r="F27" i="58"/>
  <c r="F26" i="58"/>
  <c r="F25" i="58"/>
  <c r="G22" i="58"/>
  <c r="G21" i="58"/>
  <c r="G20" i="58"/>
  <c r="G19" i="58"/>
  <c r="G18" i="58"/>
  <c r="G17" i="58"/>
  <c r="F22" i="58"/>
  <c r="F21" i="58"/>
  <c r="F20" i="58"/>
  <c r="F19" i="58"/>
  <c r="F18" i="58"/>
  <c r="F17" i="58"/>
  <c r="G14" i="58"/>
  <c r="G13" i="58"/>
  <c r="G12" i="58"/>
  <c r="G11" i="58"/>
  <c r="G10" i="58"/>
  <c r="G9" i="58"/>
  <c r="F14" i="58"/>
  <c r="F13" i="58"/>
  <c r="F12" i="58"/>
  <c r="F11" i="58"/>
  <c r="F10" i="58"/>
  <c r="F9" i="58"/>
  <c r="C30" i="58"/>
  <c r="C29" i="58"/>
  <c r="C28" i="58"/>
  <c r="C27" i="58"/>
  <c r="C26" i="58"/>
  <c r="C25" i="58"/>
  <c r="B30" i="58"/>
  <c r="B29" i="58"/>
  <c r="B28" i="58"/>
  <c r="B27" i="58"/>
  <c r="B26" i="58"/>
  <c r="B25" i="58"/>
  <c r="C22" i="58"/>
  <c r="C21" i="58"/>
  <c r="C20" i="58"/>
  <c r="C19" i="58"/>
  <c r="C18" i="58"/>
  <c r="C17" i="58"/>
  <c r="B22" i="58"/>
  <c r="B21" i="58"/>
  <c r="B20" i="58"/>
  <c r="B19" i="58"/>
  <c r="B18" i="58"/>
  <c r="B17" i="58"/>
  <c r="C14" i="58"/>
  <c r="C13" i="58"/>
  <c r="C12" i="58"/>
  <c r="C11" i="58"/>
  <c r="C10" i="58"/>
  <c r="C9" i="58"/>
  <c r="B14" i="58" l="1"/>
  <c r="B13" i="58"/>
  <c r="B12" i="58"/>
  <c r="B11" i="58"/>
  <c r="B10" i="58"/>
  <c r="B9" i="58"/>
  <c r="D12" i="68" l="1"/>
  <c r="E136" i="26" l="1"/>
  <c r="D136" i="26"/>
  <c r="D47" i="78" l="1"/>
  <c r="R12" i="71" l="1"/>
  <c r="AG55" i="69" l="1"/>
  <c r="AF55" i="69"/>
  <c r="AD55" i="69"/>
  <c r="AC55" i="69"/>
  <c r="X55" i="69"/>
  <c r="W55" i="69"/>
  <c r="O55" i="69"/>
  <c r="N55" i="69"/>
  <c r="L55" i="69"/>
  <c r="K55" i="69"/>
  <c r="I55" i="69"/>
  <c r="H55" i="69"/>
  <c r="F55" i="69"/>
  <c r="E55" i="69"/>
  <c r="C55" i="69"/>
  <c r="B55" i="69"/>
  <c r="T55" i="69"/>
  <c r="U55" i="69"/>
  <c r="M33" i="37" l="1"/>
  <c r="I33" i="37"/>
  <c r="K95" i="33"/>
  <c r="J95" i="33"/>
  <c r="L95" i="33" s="1"/>
  <c r="L93" i="33"/>
  <c r="K93" i="33"/>
  <c r="J93" i="33"/>
  <c r="M33" i="33"/>
  <c r="I33" i="33"/>
  <c r="I33" i="29"/>
  <c r="M33" i="29"/>
  <c r="M34" i="23"/>
  <c r="M33" i="23"/>
  <c r="I34" i="23"/>
  <c r="I33" i="23"/>
  <c r="E52" i="22"/>
  <c r="E51" i="22"/>
  <c r="E52" i="16"/>
  <c r="E51" i="16"/>
  <c r="T53" i="69"/>
  <c r="U51" i="69"/>
  <c r="T51" i="69"/>
  <c r="U48" i="69"/>
  <c r="T42" i="69"/>
  <c r="T48" i="69" s="1"/>
  <c r="U35" i="69"/>
  <c r="R36" i="71" l="1"/>
  <c r="R17" i="71"/>
  <c r="E52" i="39" l="1"/>
  <c r="E51" i="39"/>
  <c r="K106" i="37" l="1"/>
  <c r="J106" i="37"/>
  <c r="L106" i="37" s="1"/>
  <c r="K104" i="37"/>
  <c r="J104" i="37"/>
  <c r="L104" i="37" s="1"/>
  <c r="K95" i="37"/>
  <c r="J95" i="37"/>
  <c r="L95" i="37" s="1"/>
  <c r="K93" i="37"/>
  <c r="L93" i="37" s="1"/>
  <c r="J93" i="37"/>
  <c r="K85" i="37"/>
  <c r="J85" i="37"/>
  <c r="L85" i="37" s="1"/>
  <c r="K83" i="37"/>
  <c r="J83" i="37"/>
  <c r="L83" i="37" s="1"/>
  <c r="I106" i="37"/>
  <c r="H106" i="37"/>
  <c r="I104" i="37"/>
  <c r="H104" i="37"/>
  <c r="I95" i="37"/>
  <c r="H95" i="37"/>
  <c r="I93" i="37"/>
  <c r="H93" i="37"/>
  <c r="I85" i="37"/>
  <c r="H85" i="37"/>
  <c r="I83" i="37"/>
  <c r="H83" i="37"/>
  <c r="E104" i="37"/>
  <c r="D104" i="37"/>
  <c r="E93" i="37"/>
  <c r="D93" i="37"/>
  <c r="L106" i="33"/>
  <c r="K106" i="33"/>
  <c r="J106" i="33"/>
  <c r="L104" i="33"/>
  <c r="K104" i="33"/>
  <c r="J104" i="33"/>
  <c r="H106" i="33"/>
  <c r="H104" i="33"/>
  <c r="H95" i="33"/>
  <c r="H93" i="33"/>
  <c r="E104" i="33"/>
  <c r="D104" i="33"/>
  <c r="E93" i="33"/>
  <c r="D93" i="33"/>
  <c r="E83" i="33"/>
  <c r="D83" i="33"/>
  <c r="E72" i="33"/>
  <c r="D72" i="33"/>
  <c r="H85" i="33"/>
  <c r="H83" i="33"/>
  <c r="H74" i="33"/>
  <c r="H72" i="33"/>
  <c r="M85" i="33"/>
  <c r="K85" i="33"/>
  <c r="J85" i="33"/>
  <c r="L85" i="33" s="1"/>
  <c r="M83" i="33"/>
  <c r="L83" i="33"/>
  <c r="K83" i="33"/>
  <c r="J83" i="33"/>
  <c r="K74" i="33"/>
  <c r="M74" i="33" s="1"/>
  <c r="J74" i="33"/>
  <c r="L74" i="33" s="1"/>
  <c r="K72" i="33"/>
  <c r="M72" i="33" s="1"/>
  <c r="J72" i="33"/>
  <c r="L72" i="33" s="1"/>
  <c r="K94" i="35"/>
  <c r="M94" i="35" s="1"/>
  <c r="J94" i="35"/>
  <c r="L94" i="35" s="1"/>
  <c r="K93" i="35"/>
  <c r="M93" i="35" s="1"/>
  <c r="J93" i="35"/>
  <c r="L93" i="35" s="1"/>
  <c r="I94" i="35"/>
  <c r="H94" i="35"/>
  <c r="I93" i="35"/>
  <c r="H93" i="35"/>
  <c r="H89" i="35"/>
  <c r="I89" i="35"/>
  <c r="M106" i="29"/>
  <c r="L106" i="29"/>
  <c r="M105" i="29"/>
  <c r="L105" i="29"/>
  <c r="M104" i="29"/>
  <c r="L104" i="29"/>
  <c r="M95" i="29"/>
  <c r="L95" i="29"/>
  <c r="M94" i="29"/>
  <c r="L94" i="29"/>
  <c r="M93" i="29"/>
  <c r="L93" i="29"/>
  <c r="M92" i="29"/>
  <c r="L92" i="29"/>
  <c r="M90" i="29"/>
  <c r="L90" i="29"/>
  <c r="M85" i="29"/>
  <c r="L85" i="29"/>
  <c r="M84" i="29"/>
  <c r="L84" i="29"/>
  <c r="M83" i="29"/>
  <c r="L83" i="29"/>
  <c r="M74" i="29"/>
  <c r="L74" i="29"/>
  <c r="M73" i="29"/>
  <c r="L73" i="29"/>
  <c r="M72" i="29"/>
  <c r="L72" i="29"/>
  <c r="M71" i="29"/>
  <c r="L71" i="29"/>
  <c r="M70" i="29"/>
  <c r="L70" i="29"/>
  <c r="M69" i="29"/>
  <c r="L69" i="29"/>
  <c r="I106" i="29"/>
  <c r="H106" i="29"/>
  <c r="I105" i="29"/>
  <c r="H105" i="29"/>
  <c r="I104" i="29"/>
  <c r="H104" i="29"/>
  <c r="I95" i="29"/>
  <c r="H95" i="29"/>
  <c r="I94" i="29"/>
  <c r="H94" i="29"/>
  <c r="I93" i="29"/>
  <c r="H93" i="29"/>
  <c r="I92" i="29"/>
  <c r="H92" i="29"/>
  <c r="I90" i="29"/>
  <c r="H90" i="29"/>
  <c r="I85" i="29"/>
  <c r="H85" i="29"/>
  <c r="I84" i="29"/>
  <c r="H84" i="29"/>
  <c r="I83" i="29"/>
  <c r="H83" i="29"/>
  <c r="E104" i="29"/>
  <c r="D104" i="29"/>
  <c r="E93" i="29"/>
  <c r="D93" i="29"/>
  <c r="E83" i="29"/>
  <c r="D83" i="29"/>
  <c r="H74" i="29"/>
  <c r="H73" i="29"/>
  <c r="H72" i="29"/>
  <c r="H71" i="29"/>
  <c r="H70" i="29"/>
  <c r="H69" i="29"/>
  <c r="E72" i="29"/>
  <c r="D72" i="29"/>
  <c r="E69" i="29"/>
  <c r="D69" i="29"/>
  <c r="E93" i="13"/>
  <c r="D93" i="13"/>
  <c r="E104" i="13"/>
  <c r="D104" i="13"/>
  <c r="K106" i="13"/>
  <c r="M106" i="13" s="1"/>
  <c r="J106" i="13"/>
  <c r="L106" i="13" s="1"/>
  <c r="I106" i="13"/>
  <c r="H106" i="13"/>
  <c r="K104" i="13"/>
  <c r="M104" i="13" s="1"/>
  <c r="J104" i="13"/>
  <c r="L104" i="13" s="1"/>
  <c r="I104" i="13"/>
  <c r="H104" i="13"/>
  <c r="K95" i="13"/>
  <c r="M95" i="13" s="1"/>
  <c r="J95" i="13"/>
  <c r="L95" i="13" s="1"/>
  <c r="I95" i="13"/>
  <c r="H95" i="13"/>
  <c r="K93" i="13"/>
  <c r="M93" i="13" s="1"/>
  <c r="J93" i="13"/>
  <c r="L93" i="13" s="1"/>
  <c r="I93" i="13"/>
  <c r="H93" i="13"/>
  <c r="K91" i="13"/>
  <c r="M91" i="13" s="1"/>
  <c r="J91" i="13"/>
  <c r="L91" i="13" s="1"/>
  <c r="I91" i="13"/>
  <c r="H91" i="13"/>
  <c r="K90" i="13"/>
  <c r="M90" i="13" s="1"/>
  <c r="J90" i="13"/>
  <c r="L90" i="13" s="1"/>
  <c r="I90" i="13"/>
  <c r="H90" i="13"/>
  <c r="K85" i="13"/>
  <c r="M85" i="13" s="1"/>
  <c r="J85" i="13"/>
  <c r="L85" i="13" s="1"/>
  <c r="I85" i="13"/>
  <c r="H85" i="13"/>
  <c r="K83" i="13"/>
  <c r="M83" i="13" s="1"/>
  <c r="J83" i="13"/>
  <c r="L83" i="13" s="1"/>
  <c r="I83" i="13"/>
  <c r="H83" i="13"/>
  <c r="M74" i="13"/>
  <c r="K74" i="13"/>
  <c r="J74" i="13"/>
  <c r="L74" i="13" s="1"/>
  <c r="I74" i="13"/>
  <c r="H74" i="13"/>
  <c r="K72" i="13"/>
  <c r="M72" i="13" s="1"/>
  <c r="J72" i="13"/>
  <c r="L72" i="13" s="1"/>
  <c r="I72" i="13"/>
  <c r="H72" i="13"/>
  <c r="K106" i="18"/>
  <c r="M106" i="18" s="1"/>
  <c r="J106" i="18"/>
  <c r="L106" i="18" s="1"/>
  <c r="I106" i="18"/>
  <c r="H106" i="18"/>
  <c r="K104" i="18"/>
  <c r="M104" i="18" s="1"/>
  <c r="J104" i="18"/>
  <c r="L104" i="18" s="1"/>
  <c r="I104" i="18"/>
  <c r="H104" i="18"/>
  <c r="K95" i="18"/>
  <c r="M95" i="18" s="1"/>
  <c r="J95" i="18"/>
  <c r="L95" i="18" s="1"/>
  <c r="I95" i="18"/>
  <c r="H95" i="18"/>
  <c r="K93" i="18"/>
  <c r="M93" i="18" s="1"/>
  <c r="J93" i="18"/>
  <c r="L93" i="18" s="1"/>
  <c r="I93" i="18"/>
  <c r="H93" i="18"/>
  <c r="K85" i="18"/>
  <c r="M85" i="18" s="1"/>
  <c r="J85" i="18"/>
  <c r="L85" i="18" s="1"/>
  <c r="I85" i="18"/>
  <c r="H85" i="18"/>
  <c r="K83" i="18"/>
  <c r="M83" i="18" s="1"/>
  <c r="J83" i="18"/>
  <c r="L83" i="18" s="1"/>
  <c r="I83" i="18"/>
  <c r="H83" i="18"/>
  <c r="K74" i="18"/>
  <c r="M74" i="18" s="1"/>
  <c r="J74" i="18"/>
  <c r="L74" i="18" s="1"/>
  <c r="I74" i="18"/>
  <c r="H74" i="18"/>
  <c r="K72" i="18"/>
  <c r="M72" i="18" s="1"/>
  <c r="J72" i="18"/>
  <c r="L72" i="18" s="1"/>
  <c r="I72" i="18"/>
  <c r="H72" i="18"/>
  <c r="K106" i="23"/>
  <c r="M106" i="23" s="1"/>
  <c r="J106" i="23"/>
  <c r="L106" i="23" s="1"/>
  <c r="I106" i="23"/>
  <c r="H106" i="23"/>
  <c r="M104" i="23"/>
  <c r="K104" i="23"/>
  <c r="J104" i="23"/>
  <c r="L104" i="23" s="1"/>
  <c r="I104" i="23"/>
  <c r="H104" i="23"/>
  <c r="K95" i="23"/>
  <c r="M95" i="23" s="1"/>
  <c r="J95" i="23"/>
  <c r="L95" i="23" s="1"/>
  <c r="I95" i="23"/>
  <c r="H95" i="23"/>
  <c r="K93" i="23"/>
  <c r="M93" i="23" s="1"/>
  <c r="J93" i="23"/>
  <c r="L93" i="23" s="1"/>
  <c r="I93" i="23"/>
  <c r="H93" i="23"/>
  <c r="K85" i="23"/>
  <c r="M85" i="23" s="1"/>
  <c r="J85" i="23"/>
  <c r="L85" i="23" s="1"/>
  <c r="I85" i="23"/>
  <c r="H85" i="23"/>
  <c r="K83" i="23"/>
  <c r="M83" i="23" s="1"/>
  <c r="J83" i="23"/>
  <c r="L83" i="23" s="1"/>
  <c r="I83" i="23"/>
  <c r="H83" i="23"/>
  <c r="K74" i="23"/>
  <c r="M74" i="23" s="1"/>
  <c r="J74" i="23"/>
  <c r="L74" i="23" s="1"/>
  <c r="I74" i="23"/>
  <c r="H74" i="23"/>
  <c r="K72" i="23"/>
  <c r="M72" i="23" s="1"/>
  <c r="J72" i="23"/>
  <c r="I72" i="23"/>
  <c r="H72" i="23"/>
  <c r="L74" i="37"/>
  <c r="L72" i="37"/>
  <c r="K74" i="37"/>
  <c r="J74" i="37"/>
  <c r="K72" i="37"/>
  <c r="J72" i="37"/>
  <c r="H74" i="37"/>
  <c r="H72" i="37"/>
  <c r="E52" i="37"/>
  <c r="E51" i="37"/>
  <c r="R80" i="62"/>
  <c r="AS76" i="62"/>
  <c r="AR76" i="62"/>
  <c r="AT76" i="62" s="1"/>
  <c r="L72" i="23" l="1"/>
  <c r="D57" i="39"/>
  <c r="D56" i="39"/>
  <c r="D54" i="39"/>
  <c r="D53" i="39"/>
  <c r="D52" i="39"/>
  <c r="D51" i="39"/>
  <c r="D57" i="37"/>
  <c r="D56" i="37"/>
  <c r="D55" i="37"/>
  <c r="D54" i="37"/>
  <c r="D53" i="37"/>
  <c r="D52" i="37"/>
  <c r="D51" i="37"/>
  <c r="K125" i="29" l="1"/>
  <c r="J125" i="29"/>
  <c r="K121" i="29"/>
  <c r="J121" i="29"/>
  <c r="K120" i="29"/>
  <c r="J120" i="29"/>
  <c r="K119" i="29"/>
  <c r="J119" i="29"/>
  <c r="K117" i="29"/>
  <c r="J117" i="29"/>
  <c r="K116" i="29"/>
  <c r="J116" i="29"/>
  <c r="K113" i="29"/>
  <c r="J113" i="29"/>
  <c r="K112" i="29"/>
  <c r="J112" i="29"/>
  <c r="K111" i="29"/>
  <c r="J111" i="29"/>
  <c r="K109" i="29"/>
  <c r="J109" i="29"/>
  <c r="K108" i="29"/>
  <c r="J108" i="29"/>
  <c r="K107" i="29"/>
  <c r="J107" i="29"/>
  <c r="K106" i="29"/>
  <c r="J106" i="29"/>
  <c r="K105" i="29"/>
  <c r="J105" i="29"/>
  <c r="K104" i="29"/>
  <c r="J104" i="29"/>
  <c r="K100" i="29"/>
  <c r="J100" i="29"/>
  <c r="K99" i="29"/>
  <c r="J99" i="29"/>
  <c r="K98" i="29"/>
  <c r="J98" i="29"/>
  <c r="K97" i="29"/>
  <c r="J97" i="29"/>
  <c r="K95" i="29"/>
  <c r="J95" i="29"/>
  <c r="K94" i="29"/>
  <c r="J94" i="29"/>
  <c r="K93" i="29"/>
  <c r="J93" i="29"/>
  <c r="K92" i="29"/>
  <c r="J92" i="29"/>
  <c r="K90" i="29"/>
  <c r="J90" i="29"/>
  <c r="K89" i="29"/>
  <c r="J89" i="29"/>
  <c r="K88" i="29"/>
  <c r="J88" i="29"/>
  <c r="K87" i="29"/>
  <c r="J87" i="29"/>
  <c r="K86" i="29"/>
  <c r="J86" i="29"/>
  <c r="K85" i="29"/>
  <c r="J85" i="29"/>
  <c r="K84" i="29"/>
  <c r="J84" i="29"/>
  <c r="K83" i="29"/>
  <c r="J83" i="29"/>
  <c r="K79" i="29"/>
  <c r="J79" i="29"/>
  <c r="K78" i="29"/>
  <c r="J78" i="29"/>
  <c r="K77" i="29"/>
  <c r="J77" i="29"/>
  <c r="K76" i="29"/>
  <c r="J76" i="29"/>
  <c r="K74" i="29"/>
  <c r="J74" i="29"/>
  <c r="K73" i="29"/>
  <c r="J73" i="29"/>
  <c r="K72" i="29"/>
  <c r="J72" i="29"/>
  <c r="K71" i="29"/>
  <c r="J71" i="29"/>
  <c r="K70" i="29"/>
  <c r="J70" i="29"/>
  <c r="K69" i="29"/>
  <c r="J69" i="29"/>
  <c r="D57" i="22" l="1"/>
  <c r="D56" i="22"/>
  <c r="D54" i="22"/>
  <c r="D53" i="22"/>
  <c r="D52" i="22"/>
  <c r="D51" i="22"/>
  <c r="D51" i="77"/>
  <c r="M40" i="69" l="1"/>
  <c r="M34" i="69"/>
  <c r="M30" i="69"/>
  <c r="M24" i="69"/>
  <c r="M22" i="69"/>
  <c r="M18" i="69"/>
  <c r="M12" i="69"/>
  <c r="L54" i="69"/>
  <c r="K54" i="69"/>
  <c r="L51" i="69"/>
  <c r="K51" i="69"/>
  <c r="L50" i="69"/>
  <c r="K50" i="69"/>
  <c r="L49" i="69"/>
  <c r="K49" i="69"/>
  <c r="L35" i="69"/>
  <c r="K35" i="69"/>
  <c r="L23" i="69"/>
  <c r="K23" i="69"/>
  <c r="L11" i="69"/>
  <c r="K11" i="69"/>
  <c r="K48" i="69" s="1"/>
  <c r="M90" i="62"/>
  <c r="M37" i="62"/>
  <c r="M36" i="62"/>
  <c r="M18" i="62"/>
  <c r="M17" i="62"/>
  <c r="L80" i="62"/>
  <c r="L93" i="62" s="1"/>
  <c r="K80" i="62"/>
  <c r="K93" i="62" s="1"/>
  <c r="L39" i="62"/>
  <c r="K39" i="62"/>
  <c r="L35" i="62"/>
  <c r="K35" i="62"/>
  <c r="L20" i="62"/>
  <c r="K20" i="62"/>
  <c r="L16" i="62"/>
  <c r="K16" i="62"/>
  <c r="L32" i="68"/>
  <c r="K32" i="68"/>
  <c r="L20" i="68"/>
  <c r="K20" i="68"/>
  <c r="M27" i="65"/>
  <c r="M25" i="65"/>
  <c r="L94" i="66"/>
  <c r="K94" i="66"/>
  <c r="L44" i="66"/>
  <c r="K44" i="66"/>
  <c r="L57" i="65"/>
  <c r="K57" i="65"/>
  <c r="K58" i="65" s="1"/>
  <c r="L52" i="65"/>
  <c r="L41" i="65"/>
  <c r="K41" i="65"/>
  <c r="L30" i="65"/>
  <c r="K30" i="65"/>
  <c r="L21" i="65"/>
  <c r="K21" i="65"/>
  <c r="L14" i="65"/>
  <c r="K14" i="65"/>
  <c r="L48" i="69" l="1"/>
  <c r="K45" i="62"/>
  <c r="K62" i="62" s="1"/>
  <c r="L45" i="62"/>
  <c r="M16" i="62"/>
  <c r="K27" i="62"/>
  <c r="K29" i="62" s="1"/>
  <c r="K64" i="62" s="1"/>
  <c r="K35" i="65"/>
  <c r="K42" i="65" s="1"/>
  <c r="K44" i="65" s="1"/>
  <c r="K46" i="65" s="1"/>
  <c r="L58" i="65"/>
  <c r="L27" i="62"/>
  <c r="L29" i="62" s="1"/>
  <c r="L35" i="65"/>
  <c r="L42" i="65" s="1"/>
  <c r="L44" i="65" s="1"/>
  <c r="L46" i="65" s="1"/>
  <c r="M35" i="62"/>
  <c r="L62" i="62"/>
  <c r="L64" i="62" l="1"/>
  <c r="O40" i="70"/>
  <c r="O31" i="70"/>
  <c r="N31" i="70"/>
  <c r="O26" i="70"/>
  <c r="N26" i="70"/>
  <c r="O16" i="70"/>
  <c r="N16" i="70"/>
  <c r="O11" i="70"/>
  <c r="N11" i="70"/>
  <c r="V89" i="62"/>
  <c r="V86" i="62"/>
  <c r="V84" i="62"/>
  <c r="V83" i="62"/>
  <c r="V79" i="62"/>
  <c r="V78" i="62"/>
  <c r="V76" i="62"/>
  <c r="V72" i="62"/>
  <c r="V52" i="62"/>
  <c r="U87" i="62"/>
  <c r="U80" i="62"/>
  <c r="U93" i="62" s="1"/>
  <c r="U62" i="62"/>
  <c r="U64" i="62" s="1"/>
  <c r="T62" i="62"/>
  <c r="T64" i="62" s="1"/>
  <c r="U20" i="68"/>
  <c r="V140" i="67"/>
  <c r="V135" i="67"/>
  <c r="U142" i="67"/>
  <c r="U130" i="67"/>
  <c r="V43" i="65"/>
  <c r="V30" i="65"/>
  <c r="V28" i="65"/>
  <c r="S12" i="71" l="1"/>
  <c r="AG12" i="71"/>
  <c r="AF12" i="71"/>
  <c r="AH12" i="71" s="1"/>
  <c r="Y12" i="71"/>
  <c r="AB23" i="70"/>
  <c r="AB22" i="70"/>
  <c r="AB21" i="70"/>
  <c r="Y29" i="70"/>
  <c r="AK50" i="69"/>
  <c r="AK49" i="69"/>
  <c r="AK27" i="69"/>
  <c r="AK24" i="69"/>
  <c r="AK23" i="69"/>
  <c r="AJ23" i="69"/>
  <c r="AK15" i="69"/>
  <c r="AK12" i="69"/>
  <c r="AM41" i="69"/>
  <c r="AL41" i="69"/>
  <c r="AN41" i="69" s="1"/>
  <c r="AH41" i="69"/>
  <c r="AB46" i="69" l="1"/>
  <c r="AB41" i="69"/>
  <c r="S18" i="69" l="1"/>
  <c r="S15" i="69"/>
  <c r="S12" i="69"/>
  <c r="P44" i="69"/>
  <c r="P37" i="69" l="1"/>
  <c r="J40" i="69" l="1"/>
  <c r="J34" i="69"/>
  <c r="J30" i="69"/>
  <c r="J22" i="69"/>
  <c r="J18" i="69"/>
  <c r="J12" i="69"/>
  <c r="D37" i="69"/>
  <c r="D22" i="69"/>
  <c r="D20" i="69"/>
  <c r="D18" i="69"/>
  <c r="D14" i="69"/>
  <c r="AK76" i="62"/>
  <c r="AK46" i="62"/>
  <c r="AH58" i="62"/>
  <c r="AH57" i="62"/>
  <c r="AH49" i="62"/>
  <c r="AH42" i="62"/>
  <c r="AH24" i="62"/>
  <c r="AE91" i="62"/>
  <c r="AB78" i="62"/>
  <c r="AB77" i="62"/>
  <c r="AB76" i="62"/>
  <c r="AB21" i="62"/>
  <c r="Y58" i="62"/>
  <c r="Y57" i="62"/>
  <c r="Y56" i="62"/>
  <c r="Y49" i="62"/>
  <c r="Y48" i="62"/>
  <c r="Y42" i="62"/>
  <c r="Y25" i="62"/>
  <c r="Y24" i="62"/>
  <c r="Y15" i="62"/>
  <c r="S73" i="62"/>
  <c r="P77" i="62"/>
  <c r="P71" i="62"/>
  <c r="P61" i="62"/>
  <c r="P49" i="62"/>
  <c r="P46" i="62"/>
  <c r="P40" i="62"/>
  <c r="P34" i="62"/>
  <c r="P19" i="62"/>
  <c r="P14" i="62"/>
  <c r="J90" i="62"/>
  <c r="J89" i="62"/>
  <c r="J75" i="62"/>
  <c r="J71" i="62"/>
  <c r="J43" i="62"/>
  <c r="J42" i="62"/>
  <c r="J38" i="62"/>
  <c r="J34" i="62"/>
  <c r="J23" i="62"/>
  <c r="J19" i="62"/>
  <c r="J15" i="62"/>
  <c r="G49" i="62"/>
  <c r="G46" i="62"/>
  <c r="G38" i="62"/>
  <c r="G19" i="62"/>
  <c r="G18" i="62"/>
  <c r="G17" i="62"/>
  <c r="D70" i="62"/>
  <c r="D58" i="62"/>
  <c r="D57" i="62"/>
  <c r="S12" i="68"/>
  <c r="AK105" i="67"/>
  <c r="AK82" i="67"/>
  <c r="AK74" i="67"/>
  <c r="AK72" i="67"/>
  <c r="AK70" i="67"/>
  <c r="AK66" i="67"/>
  <c r="AK65" i="67"/>
  <c r="AK64" i="67"/>
  <c r="AK62" i="67"/>
  <c r="AK61" i="67"/>
  <c r="AK60" i="67"/>
  <c r="AK46" i="67"/>
  <c r="AK38" i="67"/>
  <c r="AK37" i="67"/>
  <c r="AK36" i="67"/>
  <c r="AH73" i="67"/>
  <c r="AH57" i="67"/>
  <c r="AH52" i="67"/>
  <c r="AH49" i="67"/>
  <c r="AH37" i="67"/>
  <c r="AH34" i="67"/>
  <c r="AH33" i="67"/>
  <c r="AH32" i="67"/>
  <c r="AH28" i="67"/>
  <c r="AH26" i="67"/>
  <c r="AH24" i="67"/>
  <c r="AE58" i="67"/>
  <c r="AE50" i="67"/>
  <c r="AE48" i="67"/>
  <c r="AB126" i="67"/>
  <c r="Y105" i="67"/>
  <c r="Y103" i="67"/>
  <c r="Y87" i="67"/>
  <c r="Y57" i="67"/>
  <c r="P90" i="67"/>
  <c r="P52" i="67"/>
  <c r="P51" i="67"/>
  <c r="G85" i="67"/>
  <c r="D96" i="67"/>
  <c r="D13" i="67"/>
  <c r="AK105" i="66"/>
  <c r="AK98" i="66"/>
  <c r="AK55" i="66"/>
  <c r="AH75" i="66"/>
  <c r="AH63" i="66"/>
  <c r="AE98" i="66" l="1"/>
  <c r="AE46" i="66"/>
  <c r="AE41" i="66"/>
  <c r="AE38" i="66"/>
  <c r="AE36" i="66"/>
  <c r="Y107" i="66"/>
  <c r="Y105" i="66"/>
  <c r="Y95" i="66"/>
  <c r="Y81" i="66"/>
  <c r="Y77" i="66"/>
  <c r="Y57" i="66"/>
  <c r="Y45" i="66"/>
  <c r="Y31" i="66"/>
  <c r="Y30" i="66"/>
  <c r="Y27" i="66"/>
  <c r="S36" i="66"/>
  <c r="D86" i="66"/>
  <c r="D80" i="66"/>
  <c r="D36" i="66"/>
  <c r="AH27" i="65"/>
  <c r="AE43" i="65"/>
  <c r="AE38" i="65"/>
  <c r="AE17" i="65"/>
  <c r="AB28" i="65"/>
  <c r="AB13" i="65"/>
  <c r="AB12" i="65"/>
  <c r="S23" i="65"/>
  <c r="P17" i="65"/>
  <c r="J25" i="65"/>
  <c r="J34" i="65"/>
  <c r="D39" i="65"/>
  <c r="D24" i="65"/>
  <c r="C36" i="71" l="1"/>
  <c r="C17" i="71"/>
  <c r="C31" i="70"/>
  <c r="B31" i="70"/>
  <c r="C14" i="70"/>
  <c r="C11" i="70" s="1"/>
  <c r="B14" i="70"/>
  <c r="B11" i="70"/>
  <c r="C42" i="69"/>
  <c r="B42" i="69"/>
  <c r="C35" i="69"/>
  <c r="B35" i="69"/>
  <c r="C34" i="69"/>
  <c r="B34" i="69"/>
  <c r="C32" i="69"/>
  <c r="B32" i="69"/>
  <c r="D32" i="69" s="1"/>
  <c r="C30" i="69"/>
  <c r="B30" i="69"/>
  <c r="C26" i="69"/>
  <c r="B26" i="69"/>
  <c r="D26" i="69" s="1"/>
  <c r="C24" i="69"/>
  <c r="B24" i="69"/>
  <c r="C19" i="69"/>
  <c r="C31" i="69" s="1"/>
  <c r="B19" i="69"/>
  <c r="D19" i="69" s="1"/>
  <c r="C17" i="69"/>
  <c r="C29" i="69" s="1"/>
  <c r="B17" i="69"/>
  <c r="C15" i="69"/>
  <c r="C27" i="69" s="1"/>
  <c r="B15" i="69"/>
  <c r="C87" i="62"/>
  <c r="B87" i="62"/>
  <c r="C80" i="62"/>
  <c r="B80" i="62"/>
  <c r="B93" i="62" s="1"/>
  <c r="C54" i="62"/>
  <c r="C60" i="62" s="1"/>
  <c r="B54" i="62"/>
  <c r="B60" i="62" s="1"/>
  <c r="C39" i="62"/>
  <c r="C45" i="62" s="1"/>
  <c r="B39" i="62"/>
  <c r="B45" i="62" s="1"/>
  <c r="C28" i="62"/>
  <c r="B28" i="62"/>
  <c r="C20" i="62"/>
  <c r="C27" i="62" s="1"/>
  <c r="C29" i="62" s="1"/>
  <c r="B20" i="62"/>
  <c r="B27" i="62" s="1"/>
  <c r="B29" i="62" s="1"/>
  <c r="C32" i="68"/>
  <c r="B32" i="68"/>
  <c r="C20" i="68"/>
  <c r="B20" i="68"/>
  <c r="C104" i="67"/>
  <c r="B104" i="67"/>
  <c r="B58" i="67"/>
  <c r="C50" i="67"/>
  <c r="C56" i="67" s="1"/>
  <c r="B50" i="67"/>
  <c r="B56" i="67" s="1"/>
  <c r="C22" i="67"/>
  <c r="B22" i="67"/>
  <c r="B21" i="67"/>
  <c r="C20" i="67"/>
  <c r="B17" i="67"/>
  <c r="B14" i="67"/>
  <c r="B12" i="67"/>
  <c r="C106" i="66"/>
  <c r="B106" i="66"/>
  <c r="C94" i="66"/>
  <c r="B94" i="66"/>
  <c r="C84" i="66"/>
  <c r="B83" i="66"/>
  <c r="C82" i="66"/>
  <c r="B82" i="66"/>
  <c r="C56" i="66"/>
  <c r="B56" i="66"/>
  <c r="C44" i="66"/>
  <c r="B44" i="66"/>
  <c r="D34" i="69" l="1"/>
  <c r="B27" i="69"/>
  <c r="D27" i="69" s="1"/>
  <c r="D15" i="69"/>
  <c r="C23" i="69"/>
  <c r="B29" i="69"/>
  <c r="D29" i="69" s="1"/>
  <c r="D17" i="69"/>
  <c r="D30" i="69"/>
  <c r="B11" i="69"/>
  <c r="B20" i="67"/>
  <c r="C93" i="62"/>
  <c r="C11" i="69"/>
  <c r="B31" i="69"/>
  <c r="C62" i="62"/>
  <c r="C64" i="62" s="1"/>
  <c r="B62" i="62"/>
  <c r="B64" i="62" s="1"/>
  <c r="R51" i="69"/>
  <c r="Q51" i="69"/>
  <c r="R50" i="69"/>
  <c r="Q50" i="69"/>
  <c r="R49" i="69"/>
  <c r="Q49" i="69"/>
  <c r="R11" i="69"/>
  <c r="R48" i="69" s="1"/>
  <c r="Q11" i="69"/>
  <c r="AD52" i="69"/>
  <c r="AC52" i="69"/>
  <c r="AD51" i="69"/>
  <c r="AC51" i="69"/>
  <c r="AD50" i="69"/>
  <c r="AC50" i="69"/>
  <c r="AD49" i="69"/>
  <c r="AC49" i="69"/>
  <c r="AD42" i="69"/>
  <c r="AC42" i="69"/>
  <c r="AD35" i="69"/>
  <c r="AC35" i="69"/>
  <c r="AD23" i="69"/>
  <c r="AC23" i="69"/>
  <c r="AD14" i="69"/>
  <c r="AD11" i="69"/>
  <c r="AC11" i="69"/>
  <c r="Q48" i="69" l="1"/>
  <c r="S11" i="69"/>
  <c r="B23" i="69"/>
  <c r="D31" i="69"/>
  <c r="AC48" i="69"/>
  <c r="AD48" i="69"/>
  <c r="F36" i="71"/>
  <c r="F17" i="71"/>
  <c r="F31" i="70"/>
  <c r="E31" i="70"/>
  <c r="F14" i="70"/>
  <c r="F11" i="70" s="1"/>
  <c r="E14" i="70"/>
  <c r="E11" i="70" s="1"/>
  <c r="F54" i="69"/>
  <c r="F52" i="69"/>
  <c r="F51" i="69"/>
  <c r="E51" i="69"/>
  <c r="F46" i="69"/>
  <c r="E44" i="69"/>
  <c r="E42" i="69" s="1"/>
  <c r="F42" i="69"/>
  <c r="F35" i="69"/>
  <c r="E35" i="69"/>
  <c r="E34" i="69"/>
  <c r="G34" i="69" s="1"/>
  <c r="E31" i="69"/>
  <c r="F27" i="69"/>
  <c r="E27" i="69"/>
  <c r="F24" i="69"/>
  <c r="E24" i="69"/>
  <c r="E22" i="69"/>
  <c r="E19" i="69"/>
  <c r="F15" i="69"/>
  <c r="F50" i="69" s="1"/>
  <c r="E15" i="69"/>
  <c r="E50" i="69" s="1"/>
  <c r="F12" i="69"/>
  <c r="F49" i="69" s="1"/>
  <c r="E12" i="69"/>
  <c r="E49" i="69" s="1"/>
  <c r="F87" i="62"/>
  <c r="E87" i="62"/>
  <c r="F80" i="62"/>
  <c r="E80" i="62"/>
  <c r="F54" i="62"/>
  <c r="F60" i="62" s="1"/>
  <c r="E54" i="62"/>
  <c r="E60" i="62" s="1"/>
  <c r="F39" i="62"/>
  <c r="E39" i="62"/>
  <c r="F35" i="62"/>
  <c r="E35" i="62"/>
  <c r="E45" i="62" s="1"/>
  <c r="F20" i="62"/>
  <c r="E20" i="62"/>
  <c r="F16" i="62"/>
  <c r="E16" i="62"/>
  <c r="F32" i="68"/>
  <c r="E32" i="68"/>
  <c r="F20" i="68"/>
  <c r="E20" i="68"/>
  <c r="F104" i="67"/>
  <c r="E104" i="67"/>
  <c r="F92" i="67"/>
  <c r="E92" i="67"/>
  <c r="F56" i="67"/>
  <c r="E56" i="67"/>
  <c r="F20" i="67"/>
  <c r="E20" i="67"/>
  <c r="F106" i="66"/>
  <c r="E106" i="66"/>
  <c r="F82" i="66"/>
  <c r="F84" i="66" s="1"/>
  <c r="E82" i="66"/>
  <c r="F72" i="66"/>
  <c r="F70" i="66"/>
  <c r="E70" i="66"/>
  <c r="F56" i="66"/>
  <c r="E56" i="66"/>
  <c r="F32" i="66"/>
  <c r="F34" i="66" s="1"/>
  <c r="E32" i="66"/>
  <c r="F20" i="66"/>
  <c r="E20" i="66"/>
  <c r="F41" i="65"/>
  <c r="E41" i="65"/>
  <c r="F30" i="65"/>
  <c r="E30" i="65"/>
  <c r="F21" i="65"/>
  <c r="E21" i="65"/>
  <c r="F14" i="65"/>
  <c r="E14" i="65"/>
  <c r="E52" i="69" l="1"/>
  <c r="F93" i="62"/>
  <c r="G16" i="62"/>
  <c r="E54" i="69"/>
  <c r="G22" i="69"/>
  <c r="F45" i="62"/>
  <c r="F62" i="62" s="1"/>
  <c r="F27" i="62"/>
  <c r="F29" i="62" s="1"/>
  <c r="E27" i="62"/>
  <c r="E29" i="62" s="1"/>
  <c r="E62" i="62"/>
  <c r="E35" i="65"/>
  <c r="E42" i="65" s="1"/>
  <c r="E44" i="65" s="1"/>
  <c r="E46" i="65" s="1"/>
  <c r="F23" i="69"/>
  <c r="E23" i="69"/>
  <c r="F35" i="65"/>
  <c r="F42" i="65" s="1"/>
  <c r="F44" i="65" s="1"/>
  <c r="F46" i="65" s="1"/>
  <c r="E93" i="62"/>
  <c r="E11" i="69"/>
  <c r="E48" i="69" s="1"/>
  <c r="F11" i="69"/>
  <c r="F48" i="69" s="1"/>
  <c r="E64" i="62" l="1"/>
  <c r="F64" i="62"/>
  <c r="AA36" i="71"/>
  <c r="AA17" i="71"/>
  <c r="AA10" i="71"/>
  <c r="X31" i="70"/>
  <c r="W31" i="70"/>
  <c r="W26" i="70"/>
  <c r="Y26" i="70" s="1"/>
  <c r="X11" i="70"/>
  <c r="W11" i="70"/>
  <c r="AG87" i="62"/>
  <c r="AF87" i="62"/>
  <c r="AG80" i="62"/>
  <c r="AG93" i="62" s="1"/>
  <c r="AF80" i="62"/>
  <c r="AF93" i="62" s="1"/>
  <c r="AG54" i="62"/>
  <c r="AG60" i="62" s="1"/>
  <c r="AF54" i="62"/>
  <c r="AF60" i="62" s="1"/>
  <c r="AG39" i="62"/>
  <c r="AF39" i="62"/>
  <c r="AG35" i="62"/>
  <c r="AF35" i="62"/>
  <c r="AF45" i="62" s="1"/>
  <c r="AG20" i="62"/>
  <c r="AF20" i="62"/>
  <c r="AG16" i="62"/>
  <c r="AF16" i="62"/>
  <c r="AG20" i="68"/>
  <c r="AF20" i="68"/>
  <c r="AG92" i="67"/>
  <c r="AF92" i="67"/>
  <c r="AG80" i="67"/>
  <c r="AF80" i="67"/>
  <c r="AG68" i="67"/>
  <c r="AF68" i="67"/>
  <c r="AF56" i="67"/>
  <c r="AG44" i="67"/>
  <c r="AF44" i="67"/>
  <c r="AG32" i="67"/>
  <c r="AG20" i="67"/>
  <c r="AF20" i="67"/>
  <c r="AG106" i="66"/>
  <c r="AF106" i="66"/>
  <c r="AG82" i="66"/>
  <c r="AF82" i="66"/>
  <c r="AG70" i="66"/>
  <c r="AF70" i="66"/>
  <c r="AG56" i="66"/>
  <c r="AF56" i="66"/>
  <c r="AG32" i="66"/>
  <c r="AF32" i="66"/>
  <c r="AG20" i="66"/>
  <c r="AF20" i="66"/>
  <c r="AG57" i="65"/>
  <c r="AF57" i="65"/>
  <c r="AF58" i="65" s="1"/>
  <c r="AG41" i="65"/>
  <c r="AF41" i="65"/>
  <c r="AG30" i="65"/>
  <c r="AF30" i="65"/>
  <c r="AG21" i="65"/>
  <c r="AF21" i="65"/>
  <c r="AG14" i="65"/>
  <c r="AF14" i="65"/>
  <c r="AF27" i="62" l="1"/>
  <c r="AF29" i="62" s="1"/>
  <c r="AG45" i="62"/>
  <c r="AG35" i="65"/>
  <c r="AG42" i="65" s="1"/>
  <c r="AG44" i="65" s="1"/>
  <c r="AG46" i="65" s="1"/>
  <c r="AG27" i="62"/>
  <c r="AG29" i="62" s="1"/>
  <c r="AF35" i="65"/>
  <c r="AF42" i="65" s="1"/>
  <c r="AF44" i="65" s="1"/>
  <c r="AF46" i="65" s="1"/>
  <c r="AG58" i="65"/>
  <c r="AF62" i="62"/>
  <c r="AF64" i="62" s="1"/>
  <c r="AG62" i="62"/>
  <c r="AG64" i="62" l="1"/>
  <c r="AJ11" i="69"/>
  <c r="AM80" i="62"/>
  <c r="AM93" i="62" s="1"/>
  <c r="AM20" i="62"/>
  <c r="AM30" i="65"/>
  <c r="AM21" i="65"/>
  <c r="AM14" i="65"/>
  <c r="AM27" i="62" l="1"/>
  <c r="AM29" i="62" s="1"/>
  <c r="AM35" i="65"/>
  <c r="AM42" i="65" s="1"/>
  <c r="AM44" i="65" s="1"/>
  <c r="AM46" i="65" s="1"/>
  <c r="AM64" i="62" l="1"/>
  <c r="I36" i="71"/>
  <c r="I17" i="71"/>
  <c r="I35" i="69"/>
  <c r="I23" i="69"/>
  <c r="I11" i="69"/>
  <c r="H11" i="69"/>
  <c r="I80" i="62"/>
  <c r="I93" i="62" s="1"/>
  <c r="H80" i="62"/>
  <c r="H93" i="62" s="1"/>
  <c r="I39" i="62"/>
  <c r="H39" i="62"/>
  <c r="I35" i="62"/>
  <c r="H35" i="62"/>
  <c r="I20" i="62"/>
  <c r="H20" i="62"/>
  <c r="I16" i="62"/>
  <c r="J16" i="62" s="1"/>
  <c r="H16" i="62"/>
  <c r="I32" i="68"/>
  <c r="I34" i="68" s="1"/>
  <c r="H32" i="68"/>
  <c r="H34" i="68" s="1"/>
  <c r="I20" i="68"/>
  <c r="I22" i="68" s="1"/>
  <c r="H20" i="68"/>
  <c r="I44" i="66"/>
  <c r="I46" i="66" s="1"/>
  <c r="H44" i="66"/>
  <c r="H46" i="66" s="1"/>
  <c r="I41" i="65"/>
  <c r="H41" i="65"/>
  <c r="I30" i="65"/>
  <c r="H30" i="65"/>
  <c r="I21" i="65"/>
  <c r="H21" i="65"/>
  <c r="I14" i="65"/>
  <c r="H14" i="65"/>
  <c r="J35" i="62" l="1"/>
  <c r="I27" i="62"/>
  <c r="I29" i="62" s="1"/>
  <c r="H27" i="62"/>
  <c r="H29" i="62" s="1"/>
  <c r="H35" i="65"/>
  <c r="H42" i="65" s="1"/>
  <c r="H44" i="65" s="1"/>
  <c r="H46" i="65" s="1"/>
  <c r="H45" i="62"/>
  <c r="H62" i="62" s="1"/>
  <c r="H64" i="62" s="1"/>
  <c r="I35" i="65"/>
  <c r="I42" i="65" s="1"/>
  <c r="I44" i="65" s="1"/>
  <c r="I46" i="65" s="1"/>
  <c r="I45" i="62"/>
  <c r="I62" i="62" l="1"/>
  <c r="I64" i="62" s="1"/>
  <c r="U39" i="70"/>
  <c r="T39" i="70"/>
  <c r="U37" i="70"/>
  <c r="T37" i="70"/>
  <c r="U36" i="70"/>
  <c r="T36" i="70"/>
  <c r="U35" i="70"/>
  <c r="U11" i="70"/>
  <c r="T11" i="70"/>
  <c r="T35" i="70" s="1"/>
  <c r="AD87" i="62"/>
  <c r="AC87" i="62"/>
  <c r="AC93" i="62" s="1"/>
  <c r="AD54" i="62"/>
  <c r="AC54" i="62"/>
  <c r="AC60" i="62" s="1"/>
  <c r="AC62" i="62" s="1"/>
  <c r="AC29" i="62"/>
  <c r="AD29" i="62"/>
  <c r="AD56" i="67"/>
  <c r="AC56" i="67"/>
  <c r="AE56" i="67" s="1"/>
  <c r="AD106" i="66"/>
  <c r="AC106" i="66"/>
  <c r="AD44" i="66"/>
  <c r="AC44" i="66"/>
  <c r="AD41" i="65"/>
  <c r="AC41" i="65"/>
  <c r="AD21" i="65"/>
  <c r="AC21" i="65"/>
  <c r="AD14" i="65"/>
  <c r="AC14" i="65"/>
  <c r="R93" i="62"/>
  <c r="Q80" i="62"/>
  <c r="Q93" i="62" s="1"/>
  <c r="Q29" i="62"/>
  <c r="Q64" i="62" s="1"/>
  <c r="R20" i="68"/>
  <c r="Q20" i="68"/>
  <c r="R44" i="66"/>
  <c r="Q44" i="66"/>
  <c r="R41" i="65"/>
  <c r="Q41" i="65"/>
  <c r="R30" i="65"/>
  <c r="Q30" i="65"/>
  <c r="R21" i="65"/>
  <c r="Q21" i="65"/>
  <c r="R14" i="65"/>
  <c r="Q14" i="65"/>
  <c r="AD36" i="71"/>
  <c r="AD17" i="71"/>
  <c r="Z19" i="70"/>
  <c r="Z18" i="70"/>
  <c r="Z17" i="70"/>
  <c r="AA14" i="70"/>
  <c r="AA19" i="70" s="1"/>
  <c r="AA13" i="70"/>
  <c r="AA18" i="70" s="1"/>
  <c r="AA12" i="70"/>
  <c r="Z11" i="70"/>
  <c r="AG44" i="69"/>
  <c r="AG42" i="69" s="1"/>
  <c r="AF44" i="69"/>
  <c r="AF42" i="69" s="1"/>
  <c r="AG38" i="69"/>
  <c r="AG35" i="69" s="1"/>
  <c r="AF35" i="69"/>
  <c r="AF33" i="69"/>
  <c r="AF32" i="69"/>
  <c r="AF31" i="69"/>
  <c r="AF30" i="69"/>
  <c r="AF28" i="69"/>
  <c r="AF25" i="69"/>
  <c r="AG24" i="69"/>
  <c r="AG23" i="69" s="1"/>
  <c r="AG15" i="69"/>
  <c r="AG12" i="69"/>
  <c r="AF11" i="69"/>
  <c r="AJ87" i="62"/>
  <c r="AI87" i="62"/>
  <c r="AJ80" i="62"/>
  <c r="AI80" i="62"/>
  <c r="AJ54" i="62"/>
  <c r="AI54" i="62"/>
  <c r="AJ53" i="62"/>
  <c r="AJ50" i="62" s="1"/>
  <c r="AI53" i="62"/>
  <c r="AJ39" i="62"/>
  <c r="AI39" i="62"/>
  <c r="AJ38" i="62"/>
  <c r="AJ35" i="62" s="1"/>
  <c r="AI38" i="62"/>
  <c r="AI35" i="62" s="1"/>
  <c r="AJ28" i="62"/>
  <c r="AI28" i="62"/>
  <c r="AK28" i="62" s="1"/>
  <c r="AJ20" i="62"/>
  <c r="AI20" i="62"/>
  <c r="AJ19" i="62"/>
  <c r="AP19" i="62" s="1"/>
  <c r="AI19" i="62"/>
  <c r="AI16" i="62" s="1"/>
  <c r="AJ16" i="62"/>
  <c r="AJ32" i="68"/>
  <c r="AI32" i="68"/>
  <c r="AJ20" i="68"/>
  <c r="AI12" i="68"/>
  <c r="AI20" i="68" s="1"/>
  <c r="AJ130" i="67"/>
  <c r="AI130" i="67"/>
  <c r="AJ116" i="67"/>
  <c r="AI116" i="67"/>
  <c r="AJ104" i="67"/>
  <c r="AI104" i="67"/>
  <c r="AJ92" i="67"/>
  <c r="AI92" i="67"/>
  <c r="AJ80" i="67"/>
  <c r="AI80" i="67"/>
  <c r="AK80" i="67" s="1"/>
  <c r="AJ69" i="67"/>
  <c r="AK69" i="67" s="1"/>
  <c r="AJ68" i="67"/>
  <c r="AI68" i="67"/>
  <c r="AI56" i="67"/>
  <c r="AJ50" i="67"/>
  <c r="AJ56" i="67" s="1"/>
  <c r="AJ44" i="67"/>
  <c r="AI44" i="67"/>
  <c r="AJ20" i="67"/>
  <c r="AI20" i="67"/>
  <c r="AJ106" i="66"/>
  <c r="AI106" i="66"/>
  <c r="AJ70" i="66"/>
  <c r="AI70" i="66"/>
  <c r="AJ56" i="66"/>
  <c r="AI56" i="66"/>
  <c r="AJ44" i="66"/>
  <c r="AI44" i="66"/>
  <c r="AJ20" i="66"/>
  <c r="AI20" i="66"/>
  <c r="AJ57" i="65"/>
  <c r="AI57" i="65"/>
  <c r="AI58" i="65" s="1"/>
  <c r="AI45" i="65"/>
  <c r="AO45" i="65" s="1"/>
  <c r="AJ41" i="65"/>
  <c r="AI41" i="65"/>
  <c r="AJ30" i="65"/>
  <c r="AI30" i="65"/>
  <c r="AJ19" i="65"/>
  <c r="AJ21" i="65" s="1"/>
  <c r="AI19" i="65"/>
  <c r="AI21" i="65" s="1"/>
  <c r="AJ14" i="65"/>
  <c r="AI14" i="65"/>
  <c r="X36" i="71"/>
  <c r="X17" i="71"/>
  <c r="W10" i="71"/>
  <c r="AA55" i="69"/>
  <c r="Z55" i="69"/>
  <c r="AA54" i="69"/>
  <c r="AA53" i="69"/>
  <c r="Z53" i="69"/>
  <c r="AA42" i="69"/>
  <c r="Z42" i="69"/>
  <c r="Z35" i="69"/>
  <c r="AA11" i="69"/>
  <c r="Z11" i="69"/>
  <c r="AA88" i="62"/>
  <c r="AB88" i="62" s="1"/>
  <c r="AA80" i="62"/>
  <c r="Z80" i="62"/>
  <c r="AA39" i="62"/>
  <c r="Z39" i="62"/>
  <c r="AA38" i="62"/>
  <c r="Z35" i="62"/>
  <c r="Z34" i="62"/>
  <c r="AO34" i="62" s="1"/>
  <c r="AA28" i="62"/>
  <c r="Z28" i="62"/>
  <c r="AA20" i="62"/>
  <c r="Z20" i="62"/>
  <c r="AA16" i="62"/>
  <c r="Z16" i="62"/>
  <c r="Z15" i="62"/>
  <c r="AO15" i="62" s="1"/>
  <c r="Z130" i="67"/>
  <c r="AA122" i="67"/>
  <c r="AA41" i="65"/>
  <c r="Z41" i="65"/>
  <c r="AA30" i="65"/>
  <c r="Z30" i="65"/>
  <c r="AA21" i="65"/>
  <c r="Z21" i="65"/>
  <c r="AA14" i="65"/>
  <c r="Z14" i="65"/>
  <c r="B49" i="69"/>
  <c r="U36" i="71"/>
  <c r="U17" i="71"/>
  <c r="Q16" i="70"/>
  <c r="R11" i="70"/>
  <c r="Q11" i="70"/>
  <c r="X42" i="69"/>
  <c r="W42" i="69"/>
  <c r="X35" i="69"/>
  <c r="W35" i="69"/>
  <c r="X23" i="69"/>
  <c r="W23" i="69"/>
  <c r="X11" i="69"/>
  <c r="W11" i="69"/>
  <c r="X87" i="62"/>
  <c r="W87" i="62"/>
  <c r="X80" i="62"/>
  <c r="W80" i="62"/>
  <c r="X54" i="62"/>
  <c r="W54" i="62"/>
  <c r="W60" i="62" s="1"/>
  <c r="X39" i="62"/>
  <c r="W39" i="62"/>
  <c r="X35" i="62"/>
  <c r="W35" i="62"/>
  <c r="X20" i="62"/>
  <c r="W20" i="62"/>
  <c r="W27" i="62" s="1"/>
  <c r="W29" i="62" s="1"/>
  <c r="X32" i="68"/>
  <c r="W32" i="68"/>
  <c r="X104" i="67"/>
  <c r="W104" i="67"/>
  <c r="X92" i="67"/>
  <c r="W92" i="67"/>
  <c r="X56" i="67"/>
  <c r="W56" i="67"/>
  <c r="X20" i="67"/>
  <c r="W20" i="67"/>
  <c r="X106" i="66"/>
  <c r="W106" i="66"/>
  <c r="X94" i="66"/>
  <c r="W94" i="66"/>
  <c r="X82" i="66"/>
  <c r="W82" i="66"/>
  <c r="X70" i="66"/>
  <c r="W70" i="66"/>
  <c r="X56" i="66"/>
  <c r="W56" i="66"/>
  <c r="X44" i="66"/>
  <c r="W44" i="66"/>
  <c r="X32" i="66"/>
  <c r="W32" i="66"/>
  <c r="X20" i="66"/>
  <c r="W20" i="66"/>
  <c r="X57" i="65"/>
  <c r="W57" i="65"/>
  <c r="W58" i="65" s="1"/>
  <c r="X41" i="65"/>
  <c r="W41" i="65"/>
  <c r="X30" i="65"/>
  <c r="W30" i="65"/>
  <c r="X21" i="65"/>
  <c r="W21" i="65"/>
  <c r="X14" i="65"/>
  <c r="W14" i="65"/>
  <c r="O36" i="71"/>
  <c r="O17" i="71"/>
  <c r="L31" i="70"/>
  <c r="K31" i="70"/>
  <c r="L16" i="70"/>
  <c r="K16" i="70"/>
  <c r="L11" i="70"/>
  <c r="K11" i="70"/>
  <c r="O42" i="69"/>
  <c r="N42" i="69"/>
  <c r="O35" i="69"/>
  <c r="N35" i="69"/>
  <c r="O23" i="69"/>
  <c r="N23" i="69"/>
  <c r="O11" i="69"/>
  <c r="N11" i="69"/>
  <c r="O87" i="62"/>
  <c r="N87" i="62"/>
  <c r="O80" i="62"/>
  <c r="N80" i="62"/>
  <c r="O54" i="62"/>
  <c r="N54" i="62"/>
  <c r="N60" i="62" s="1"/>
  <c r="O39" i="62"/>
  <c r="N39" i="62"/>
  <c r="O35" i="62"/>
  <c r="N35" i="62"/>
  <c r="O20" i="62"/>
  <c r="N20" i="62"/>
  <c r="O16" i="62"/>
  <c r="N16" i="62"/>
  <c r="O92" i="67"/>
  <c r="N92" i="67"/>
  <c r="O56" i="67"/>
  <c r="N56" i="67"/>
  <c r="O106" i="66"/>
  <c r="N106" i="66"/>
  <c r="O94" i="66"/>
  <c r="N94" i="66"/>
  <c r="O57" i="65"/>
  <c r="O41" i="65"/>
  <c r="N41" i="65"/>
  <c r="O30" i="65"/>
  <c r="N30" i="65"/>
  <c r="O21" i="65"/>
  <c r="N21" i="65"/>
  <c r="O14" i="65"/>
  <c r="N14" i="65"/>
  <c r="AS8" i="62"/>
  <c r="AR8" i="62"/>
  <c r="AP84" i="62"/>
  <c r="AO84" i="62"/>
  <c r="AQ84" i="62" s="1"/>
  <c r="AP76" i="62"/>
  <c r="AO76" i="62"/>
  <c r="AQ76" i="62" s="1"/>
  <c r="AN93" i="62"/>
  <c r="AS91" i="62"/>
  <c r="AR91" i="62"/>
  <c r="AP91" i="62"/>
  <c r="AO91" i="62"/>
  <c r="AN91" i="62"/>
  <c r="AK91" i="62"/>
  <c r="AH91" i="62"/>
  <c r="AB91" i="62"/>
  <c r="Y91" i="62"/>
  <c r="V91" i="62"/>
  <c r="S91" i="62"/>
  <c r="P91" i="62"/>
  <c r="M91" i="62"/>
  <c r="G91" i="62"/>
  <c r="D91" i="62"/>
  <c r="AS90" i="62"/>
  <c r="AP90" i="62"/>
  <c r="AN90" i="62"/>
  <c r="AK90" i="62"/>
  <c r="AH90" i="62"/>
  <c r="AE90" i="62"/>
  <c r="AO90" i="62"/>
  <c r="Y90" i="62"/>
  <c r="V90" i="62"/>
  <c r="S90" i="62"/>
  <c r="P90" i="62"/>
  <c r="G90" i="62"/>
  <c r="D90" i="62"/>
  <c r="AS89" i="62"/>
  <c r="AR89" i="62"/>
  <c r="AP89" i="62"/>
  <c r="AO89" i="62"/>
  <c r="AH89" i="62"/>
  <c r="AR88" i="62"/>
  <c r="AO88" i="62"/>
  <c r="AK88" i="62"/>
  <c r="AH88" i="62"/>
  <c r="Y88" i="62"/>
  <c r="V88" i="62"/>
  <c r="P88" i="62"/>
  <c r="M88" i="62"/>
  <c r="J88" i="62"/>
  <c r="G88" i="62"/>
  <c r="D88" i="62"/>
  <c r="G87" i="62"/>
  <c r="AS86" i="62"/>
  <c r="AR86" i="62"/>
  <c r="AP86" i="62"/>
  <c r="AO86" i="62"/>
  <c r="AS85" i="62"/>
  <c r="AR85" i="62"/>
  <c r="AP85" i="62"/>
  <c r="AO85" i="62"/>
  <c r="AH85" i="62"/>
  <c r="V85" i="62"/>
  <c r="P85" i="62"/>
  <c r="G85" i="62"/>
  <c r="D85" i="62"/>
  <c r="AS83" i="62"/>
  <c r="AR83" i="62"/>
  <c r="AP83" i="62"/>
  <c r="AO83" i="62"/>
  <c r="AH83" i="62"/>
  <c r="AS82" i="62"/>
  <c r="AR82" i="62"/>
  <c r="AP82" i="62"/>
  <c r="AO82" i="62"/>
  <c r="AK82" i="62"/>
  <c r="AH82" i="62"/>
  <c r="AE82" i="62"/>
  <c r="Y82" i="62"/>
  <c r="V82" i="62"/>
  <c r="P82" i="62"/>
  <c r="G82" i="62"/>
  <c r="D82" i="62"/>
  <c r="AN80" i="62"/>
  <c r="V80" i="62"/>
  <c r="D80" i="62"/>
  <c r="AS79" i="62"/>
  <c r="AR79" i="62"/>
  <c r="AP79" i="62"/>
  <c r="AO79" i="62"/>
  <c r="AS78" i="62"/>
  <c r="AR78" i="62"/>
  <c r="AP78" i="62"/>
  <c r="AO78" i="62"/>
  <c r="AK78" i="62"/>
  <c r="Y78" i="62"/>
  <c r="M78" i="62"/>
  <c r="G78" i="62"/>
  <c r="D78" i="62"/>
  <c r="AS77" i="62"/>
  <c r="AR77" i="62"/>
  <c r="AP77" i="62"/>
  <c r="AO77" i="62"/>
  <c r="AK77" i="62"/>
  <c r="AH77" i="62"/>
  <c r="Y77" i="62"/>
  <c r="V77" i="62"/>
  <c r="G77" i="62"/>
  <c r="D77" i="62"/>
  <c r="AS75" i="62"/>
  <c r="AR75" i="62"/>
  <c r="AP75" i="62"/>
  <c r="AO75" i="62"/>
  <c r="AK75" i="62"/>
  <c r="AH75" i="62"/>
  <c r="AB75" i="62"/>
  <c r="Y75" i="62"/>
  <c r="V75" i="62"/>
  <c r="P75" i="62"/>
  <c r="G75" i="62"/>
  <c r="D75" i="62"/>
  <c r="AS74" i="62"/>
  <c r="AR74" i="62"/>
  <c r="AP74" i="62"/>
  <c r="AO74" i="62"/>
  <c r="AK74" i="62"/>
  <c r="AH74" i="62"/>
  <c r="AB74" i="62"/>
  <c r="Y74" i="62"/>
  <c r="V74" i="62"/>
  <c r="P74" i="62"/>
  <c r="M74" i="62"/>
  <c r="G74" i="62"/>
  <c r="D74" i="62"/>
  <c r="AS73" i="62"/>
  <c r="AR73" i="62"/>
  <c r="AP73" i="62"/>
  <c r="AO73" i="62"/>
  <c r="AN73" i="62"/>
  <c r="AK73" i="62"/>
  <c r="AH73" i="62"/>
  <c r="AB73" i="62"/>
  <c r="Y73" i="62"/>
  <c r="V73" i="62"/>
  <c r="P73" i="62"/>
  <c r="M73" i="62"/>
  <c r="J73" i="62"/>
  <c r="G73" i="62"/>
  <c r="D73" i="62"/>
  <c r="AS71" i="62"/>
  <c r="AR71" i="62"/>
  <c r="AP71" i="62"/>
  <c r="AO71" i="62"/>
  <c r="AK71" i="62"/>
  <c r="AB71" i="62"/>
  <c r="Y71" i="62"/>
  <c r="V71" i="62"/>
  <c r="G71" i="62"/>
  <c r="AS70" i="62"/>
  <c r="AR70" i="62"/>
  <c r="AP70" i="62"/>
  <c r="AO70" i="62"/>
  <c r="AK70" i="62"/>
  <c r="AH70" i="62"/>
  <c r="AB70" i="62"/>
  <c r="Y70" i="62"/>
  <c r="V70" i="62"/>
  <c r="P70" i="62"/>
  <c r="G70" i="62"/>
  <c r="AS69" i="62"/>
  <c r="AR69" i="62"/>
  <c r="AP69" i="62"/>
  <c r="AO69" i="62"/>
  <c r="AN69" i="62"/>
  <c r="AK69" i="62"/>
  <c r="AH69" i="62"/>
  <c r="AE69" i="62"/>
  <c r="AB69" i="62"/>
  <c r="Y69" i="62"/>
  <c r="V69" i="62"/>
  <c r="S69" i="62"/>
  <c r="P69" i="62"/>
  <c r="M69" i="62"/>
  <c r="J69" i="62"/>
  <c r="G69" i="62"/>
  <c r="D69" i="62"/>
  <c r="AS68" i="62"/>
  <c r="AR68" i="62"/>
  <c r="AP68" i="62"/>
  <c r="AO68" i="62"/>
  <c r="AN68" i="62"/>
  <c r="AK68" i="62"/>
  <c r="AH68" i="62"/>
  <c r="AE68" i="62"/>
  <c r="AB68" i="62"/>
  <c r="Y68" i="62"/>
  <c r="V68" i="62"/>
  <c r="S68" i="62"/>
  <c r="P68" i="62"/>
  <c r="M68" i="62"/>
  <c r="J68" i="62"/>
  <c r="G68" i="62"/>
  <c r="D68" i="62"/>
  <c r="AN64" i="62"/>
  <c r="AS61" i="62"/>
  <c r="AR61" i="62"/>
  <c r="AP61" i="62"/>
  <c r="AO61" i="62"/>
  <c r="AS59" i="62"/>
  <c r="AR59" i="62"/>
  <c r="AP59" i="62"/>
  <c r="AO59" i="62"/>
  <c r="AH59" i="62"/>
  <c r="Y59" i="62"/>
  <c r="V59" i="62"/>
  <c r="P59" i="62"/>
  <c r="D59" i="62"/>
  <c r="AS58" i="62"/>
  <c r="AR58" i="62"/>
  <c r="AP58" i="62"/>
  <c r="AO58" i="62"/>
  <c r="AK58" i="62"/>
  <c r="V58" i="62"/>
  <c r="AS57" i="62"/>
  <c r="AR57" i="62"/>
  <c r="AP57" i="62"/>
  <c r="AO57" i="62"/>
  <c r="AK57" i="62"/>
  <c r="V57" i="62"/>
  <c r="P57" i="62"/>
  <c r="G57" i="62"/>
  <c r="AS56" i="62"/>
  <c r="AR56" i="62"/>
  <c r="AP56" i="62"/>
  <c r="AO56" i="62"/>
  <c r="AK56" i="62"/>
  <c r="AH56" i="62"/>
  <c r="V56" i="62"/>
  <c r="P56" i="62"/>
  <c r="G56" i="62"/>
  <c r="D56" i="62"/>
  <c r="AS55" i="62"/>
  <c r="AR55" i="62"/>
  <c r="AP55" i="62"/>
  <c r="AO55" i="62"/>
  <c r="AK55" i="62"/>
  <c r="AH55" i="62"/>
  <c r="AE55" i="62"/>
  <c r="Y55" i="62"/>
  <c r="V55" i="62"/>
  <c r="P55" i="62"/>
  <c r="G55" i="62"/>
  <c r="D55" i="62"/>
  <c r="V53" i="62"/>
  <c r="AS52" i="62"/>
  <c r="AR52" i="62"/>
  <c r="AP52" i="62"/>
  <c r="AO52" i="62"/>
  <c r="AS51" i="62"/>
  <c r="AR51" i="62"/>
  <c r="AP51" i="62"/>
  <c r="AO51" i="62"/>
  <c r="V51" i="62"/>
  <c r="AS49" i="62"/>
  <c r="AR49" i="62"/>
  <c r="AP49" i="62"/>
  <c r="AO49" i="62"/>
  <c r="AK49" i="62"/>
  <c r="V49" i="62"/>
  <c r="AS48" i="62"/>
  <c r="AR48" i="62"/>
  <c r="AT48" i="62" s="1"/>
  <c r="AP48" i="62"/>
  <c r="AO48" i="62"/>
  <c r="AQ48" i="62" s="1"/>
  <c r="AS46" i="62"/>
  <c r="AR46" i="62"/>
  <c r="AP46" i="62"/>
  <c r="AO46" i="62"/>
  <c r="AH46" i="62"/>
  <c r="Y46" i="62"/>
  <c r="M46" i="62"/>
  <c r="J46" i="62"/>
  <c r="D46" i="62"/>
  <c r="AS44" i="62"/>
  <c r="AP44" i="62"/>
  <c r="AH44" i="62"/>
  <c r="AR44" i="62"/>
  <c r="Y44" i="62"/>
  <c r="V44" i="62"/>
  <c r="P44" i="62"/>
  <c r="M44" i="62"/>
  <c r="J44" i="62"/>
  <c r="G44" i="62"/>
  <c r="D44" i="62"/>
  <c r="AS43" i="62"/>
  <c r="AR43" i="62"/>
  <c r="AP43" i="62"/>
  <c r="AO43" i="62"/>
  <c r="AK43" i="62"/>
  <c r="AH43" i="62"/>
  <c r="AB43" i="62"/>
  <c r="Y43" i="62"/>
  <c r="V43" i="62"/>
  <c r="G43" i="62"/>
  <c r="AS42" i="62"/>
  <c r="AR42" i="62"/>
  <c r="AP42" i="62"/>
  <c r="AO42" i="62"/>
  <c r="AB42" i="62"/>
  <c r="V42" i="62"/>
  <c r="G42" i="62"/>
  <c r="AS41" i="62"/>
  <c r="AR41" i="62"/>
  <c r="AP41" i="62"/>
  <c r="AO41" i="62"/>
  <c r="AK41" i="62"/>
  <c r="AH41" i="62"/>
  <c r="AB41" i="62"/>
  <c r="Y41" i="62"/>
  <c r="V41" i="62"/>
  <c r="P41" i="62"/>
  <c r="M41" i="62"/>
  <c r="J41" i="62"/>
  <c r="G41" i="62"/>
  <c r="D41" i="62"/>
  <c r="AS40" i="62"/>
  <c r="AR40" i="62"/>
  <c r="AP40" i="62"/>
  <c r="AO40" i="62"/>
  <c r="AK40" i="62"/>
  <c r="AH40" i="62"/>
  <c r="AB40" i="62"/>
  <c r="Y40" i="62"/>
  <c r="V40" i="62"/>
  <c r="M40" i="62"/>
  <c r="J40" i="62"/>
  <c r="G40" i="62"/>
  <c r="D40" i="62"/>
  <c r="AH38" i="62"/>
  <c r="Y38" i="62"/>
  <c r="V38" i="62"/>
  <c r="P38" i="62"/>
  <c r="AS37" i="62"/>
  <c r="AR37" i="62"/>
  <c r="AP37" i="62"/>
  <c r="AO37" i="62"/>
  <c r="AK37" i="62"/>
  <c r="AH37" i="62"/>
  <c r="Y37" i="62"/>
  <c r="V37" i="62"/>
  <c r="G37" i="62"/>
  <c r="AS36" i="62"/>
  <c r="AR36" i="62"/>
  <c r="AP36" i="62"/>
  <c r="AO36" i="62"/>
  <c r="AK36" i="62"/>
  <c r="AH36" i="62"/>
  <c r="Y36" i="62"/>
  <c r="V36" i="62"/>
  <c r="G36" i="62"/>
  <c r="AS34" i="62"/>
  <c r="AP34" i="62"/>
  <c r="AK34" i="62"/>
  <c r="AH34" i="62"/>
  <c r="Y34" i="62"/>
  <c r="V34" i="62"/>
  <c r="G34" i="62"/>
  <c r="AS33" i="62"/>
  <c r="AR33" i="62"/>
  <c r="AP33" i="62"/>
  <c r="AO33" i="62"/>
  <c r="G33" i="62"/>
  <c r="AN29" i="62"/>
  <c r="AN28" i="62"/>
  <c r="AH28" i="62"/>
  <c r="AE28" i="62"/>
  <c r="Y28" i="62"/>
  <c r="V28" i="62"/>
  <c r="S28" i="62"/>
  <c r="P28" i="62"/>
  <c r="M28" i="62"/>
  <c r="J28" i="62"/>
  <c r="G28" i="62"/>
  <c r="D28" i="62"/>
  <c r="AN27" i="62"/>
  <c r="AS26" i="62"/>
  <c r="AR26" i="62"/>
  <c r="AT26" i="62" s="1"/>
  <c r="AP26" i="62"/>
  <c r="AO26" i="62"/>
  <c r="AQ26" i="62" s="1"/>
  <c r="AS25" i="62"/>
  <c r="AR25" i="62"/>
  <c r="AP25" i="62"/>
  <c r="AO25" i="62"/>
  <c r="AN25" i="62"/>
  <c r="AH25" i="62"/>
  <c r="V25" i="62"/>
  <c r="M25" i="62"/>
  <c r="J25" i="62"/>
  <c r="G25" i="62"/>
  <c r="AS24" i="62"/>
  <c r="AR24" i="62"/>
  <c r="AP24" i="62"/>
  <c r="AO24" i="62"/>
  <c r="AK24" i="62"/>
  <c r="AB24" i="62"/>
  <c r="V24" i="62"/>
  <c r="G24" i="62"/>
  <c r="AS23" i="62"/>
  <c r="AR23" i="62"/>
  <c r="AP23" i="62"/>
  <c r="AO23" i="62"/>
  <c r="AH23" i="62"/>
  <c r="Y23" i="62"/>
  <c r="V23" i="62"/>
  <c r="G23" i="62"/>
  <c r="AS22" i="62"/>
  <c r="AR22" i="62"/>
  <c r="AP22" i="62"/>
  <c r="AO22" i="62"/>
  <c r="AK22" i="62"/>
  <c r="AH22" i="62"/>
  <c r="AB22" i="62"/>
  <c r="Y22" i="62"/>
  <c r="V22" i="62"/>
  <c r="P22" i="62"/>
  <c r="M22" i="62"/>
  <c r="J22" i="62"/>
  <c r="G22" i="62"/>
  <c r="D22" i="62"/>
  <c r="AS21" i="62"/>
  <c r="AR21" i="62"/>
  <c r="AP21" i="62"/>
  <c r="AO21" i="62"/>
  <c r="AK21" i="62"/>
  <c r="AH21" i="62"/>
  <c r="Y21" i="62"/>
  <c r="V21" i="62"/>
  <c r="P21" i="62"/>
  <c r="M21" i="62"/>
  <c r="G21" i="62"/>
  <c r="D21" i="62"/>
  <c r="AN20" i="62"/>
  <c r="V20" i="62"/>
  <c r="J20" i="62"/>
  <c r="G20" i="62"/>
  <c r="AH19" i="62"/>
  <c r="AB19" i="62"/>
  <c r="V19" i="62"/>
  <c r="AS18" i="62"/>
  <c r="AR18" i="62"/>
  <c r="AP18" i="62"/>
  <c r="AO18" i="62"/>
  <c r="AH18" i="62"/>
  <c r="V18" i="62"/>
  <c r="AS17" i="62"/>
  <c r="AR17" i="62"/>
  <c r="AP17" i="62"/>
  <c r="AO17" i="62"/>
  <c r="AH17" i="62"/>
  <c r="AB17" i="62"/>
  <c r="V17" i="62"/>
  <c r="AS15" i="62"/>
  <c r="AP15" i="62"/>
  <c r="AK15" i="62"/>
  <c r="AH15" i="62"/>
  <c r="V15" i="62"/>
  <c r="G15" i="62"/>
  <c r="AS14" i="62"/>
  <c r="AR14" i="62"/>
  <c r="AP14" i="62"/>
  <c r="AO14" i="62"/>
  <c r="V14" i="62"/>
  <c r="AN46" i="65"/>
  <c r="AP45" i="65"/>
  <c r="AH45" i="65"/>
  <c r="Y45" i="65"/>
  <c r="V45" i="65"/>
  <c r="P45" i="65"/>
  <c r="G45" i="65"/>
  <c r="AN44" i="65"/>
  <c r="AP43" i="65"/>
  <c r="AO43" i="65"/>
  <c r="AK43" i="65"/>
  <c r="AH43" i="65"/>
  <c r="AB43" i="65"/>
  <c r="Y43" i="65"/>
  <c r="S43" i="65"/>
  <c r="P43" i="65"/>
  <c r="M43" i="65"/>
  <c r="J43" i="65"/>
  <c r="G43" i="65"/>
  <c r="D43" i="65"/>
  <c r="AN42" i="65"/>
  <c r="V41" i="65"/>
  <c r="AP40" i="65"/>
  <c r="AO40" i="65"/>
  <c r="AK40" i="65"/>
  <c r="AH40" i="65"/>
  <c r="AB40" i="65"/>
  <c r="Y40" i="65"/>
  <c r="V40" i="65"/>
  <c r="P40" i="65"/>
  <c r="M40" i="65"/>
  <c r="J40" i="65"/>
  <c r="G40" i="65"/>
  <c r="AP39" i="65"/>
  <c r="AO39" i="65"/>
  <c r="AK39" i="65"/>
  <c r="AH39" i="65"/>
  <c r="AB39" i="65"/>
  <c r="Y39" i="65"/>
  <c r="V39" i="65"/>
  <c r="P39" i="65"/>
  <c r="M39" i="65"/>
  <c r="G39" i="65"/>
  <c r="AP38" i="65"/>
  <c r="AO38" i="65"/>
  <c r="AK38" i="65"/>
  <c r="AH38" i="65"/>
  <c r="AB38" i="65"/>
  <c r="Y38" i="65"/>
  <c r="V38" i="65"/>
  <c r="S38" i="65"/>
  <c r="P38" i="65"/>
  <c r="M38" i="65"/>
  <c r="J38" i="65"/>
  <c r="G38" i="65"/>
  <c r="D38" i="65"/>
  <c r="AN35" i="65"/>
  <c r="AP34" i="65"/>
  <c r="AO34" i="65"/>
  <c r="AK34" i="65"/>
  <c r="AH34" i="65"/>
  <c r="Y34" i="65"/>
  <c r="V34" i="65"/>
  <c r="G34" i="65"/>
  <c r="AP33" i="65"/>
  <c r="AO33" i="65"/>
  <c r="AN33" i="65"/>
  <c r="AK33" i="65"/>
  <c r="AH33" i="65"/>
  <c r="AE33" i="65"/>
  <c r="AB33" i="65"/>
  <c r="Y33" i="65"/>
  <c r="V33" i="65"/>
  <c r="S33" i="65"/>
  <c r="P33" i="65"/>
  <c r="M33" i="65"/>
  <c r="J33" i="65"/>
  <c r="G33" i="65"/>
  <c r="D33" i="65"/>
  <c r="AP32" i="65"/>
  <c r="AO32" i="65"/>
  <c r="AK32" i="65"/>
  <c r="AH32" i="65"/>
  <c r="AB32" i="65"/>
  <c r="Y32" i="65"/>
  <c r="V32" i="65"/>
  <c r="P32" i="65"/>
  <c r="G32" i="65"/>
  <c r="D32" i="65"/>
  <c r="AP31" i="65"/>
  <c r="AO31" i="65"/>
  <c r="AK31" i="65"/>
  <c r="AH31" i="65"/>
  <c r="AE31" i="65"/>
  <c r="Y31" i="65"/>
  <c r="V31" i="65"/>
  <c r="P31" i="65"/>
  <c r="G31" i="65"/>
  <c r="D31" i="65"/>
  <c r="AN30" i="65"/>
  <c r="AP29" i="65"/>
  <c r="AO29" i="65"/>
  <c r="AK29" i="65"/>
  <c r="Y29" i="65"/>
  <c r="AP28" i="65"/>
  <c r="AO28" i="65"/>
  <c r="AK28" i="65"/>
  <c r="AH28" i="65"/>
  <c r="Y28" i="65"/>
  <c r="G28" i="65"/>
  <c r="AP27" i="65"/>
  <c r="AO27" i="65"/>
  <c r="AK27" i="65"/>
  <c r="AB27" i="65"/>
  <c r="Y27" i="65"/>
  <c r="G27" i="65"/>
  <c r="D27" i="65"/>
  <c r="AP26" i="65"/>
  <c r="AO26" i="65"/>
  <c r="AK26" i="65"/>
  <c r="AH26" i="65"/>
  <c r="AB26" i="65"/>
  <c r="Y26" i="65"/>
  <c r="V26" i="65"/>
  <c r="P26" i="65"/>
  <c r="G26" i="65"/>
  <c r="AP25" i="65"/>
  <c r="AO25" i="65"/>
  <c r="AK25" i="65"/>
  <c r="AH25" i="65"/>
  <c r="AB25" i="65"/>
  <c r="Y25" i="65"/>
  <c r="V25" i="65"/>
  <c r="P25" i="65"/>
  <c r="G25" i="65"/>
  <c r="D25" i="65"/>
  <c r="AP24" i="65"/>
  <c r="AO24" i="65"/>
  <c r="AK24" i="65"/>
  <c r="AH24" i="65"/>
  <c r="AB24" i="65"/>
  <c r="Y24" i="65"/>
  <c r="V24" i="65"/>
  <c r="P24" i="65"/>
  <c r="M24" i="65"/>
  <c r="G24" i="65"/>
  <c r="AP23" i="65"/>
  <c r="AN23" i="65"/>
  <c r="AK23" i="65"/>
  <c r="AH23" i="65"/>
  <c r="AB23" i="65"/>
  <c r="Y23" i="65"/>
  <c r="V23" i="65"/>
  <c r="P23" i="65"/>
  <c r="M23" i="65"/>
  <c r="J23" i="65"/>
  <c r="G23" i="65"/>
  <c r="AN21" i="65"/>
  <c r="AS20" i="65"/>
  <c r="AR20" i="65"/>
  <c r="AP20" i="65"/>
  <c r="AO20" i="65"/>
  <c r="AK20" i="65"/>
  <c r="AH20" i="65"/>
  <c r="AE20" i="65"/>
  <c r="Y20" i="65"/>
  <c r="V20" i="65"/>
  <c r="P20" i="65"/>
  <c r="M20" i="65"/>
  <c r="J20" i="65"/>
  <c r="G20" i="65"/>
  <c r="D20" i="65"/>
  <c r="AN19" i="65"/>
  <c r="AH19" i="65"/>
  <c r="AE19" i="65"/>
  <c r="AB19" i="65"/>
  <c r="Y19" i="65"/>
  <c r="V19" i="65"/>
  <c r="S19" i="65"/>
  <c r="P19" i="65"/>
  <c r="M19" i="65"/>
  <c r="J19" i="65"/>
  <c r="G19" i="65"/>
  <c r="AS17" i="65"/>
  <c r="AR17" i="65"/>
  <c r="AP17" i="65"/>
  <c r="AO17" i="65"/>
  <c r="AK17" i="65"/>
  <c r="AH17" i="65"/>
  <c r="AB17" i="65"/>
  <c r="Y17" i="65"/>
  <c r="V17" i="65"/>
  <c r="M17" i="65"/>
  <c r="J17" i="65"/>
  <c r="G17" i="65"/>
  <c r="AS16" i="65"/>
  <c r="AR16" i="65"/>
  <c r="AP16" i="65"/>
  <c r="AO16" i="65"/>
  <c r="AK16" i="65"/>
  <c r="AH16" i="65"/>
  <c r="AE16" i="65"/>
  <c r="Y16" i="65"/>
  <c r="V16" i="65"/>
  <c r="P16" i="65"/>
  <c r="M16" i="65"/>
  <c r="G16" i="65"/>
  <c r="D16" i="65"/>
  <c r="AS15" i="65"/>
  <c r="AR15" i="65"/>
  <c r="AP15" i="65"/>
  <c r="AO15" i="65"/>
  <c r="AK15" i="65"/>
  <c r="AH15" i="65"/>
  <c r="AB15" i="65"/>
  <c r="Y15" i="65"/>
  <c r="V15" i="65"/>
  <c r="P15" i="65"/>
  <c r="M15" i="65"/>
  <c r="J15" i="65"/>
  <c r="G15" i="65"/>
  <c r="D15" i="65"/>
  <c r="AN14" i="65"/>
  <c r="AS13" i="65"/>
  <c r="AR13" i="65"/>
  <c r="AP13" i="65"/>
  <c r="AO13" i="65"/>
  <c r="AK13" i="65"/>
  <c r="AH13" i="65"/>
  <c r="AE13" i="65"/>
  <c r="Y13" i="65"/>
  <c r="V13" i="65"/>
  <c r="P13" i="65"/>
  <c r="G13" i="65"/>
  <c r="D13" i="65"/>
  <c r="AS12" i="65"/>
  <c r="AR12" i="65"/>
  <c r="AP12" i="65"/>
  <c r="AO12" i="65"/>
  <c r="AN12" i="65"/>
  <c r="AK12" i="65"/>
  <c r="AH12" i="65"/>
  <c r="Y12" i="65"/>
  <c r="V12" i="65"/>
  <c r="P12" i="65"/>
  <c r="M12" i="65"/>
  <c r="J12" i="65"/>
  <c r="G12" i="65"/>
  <c r="D12" i="65"/>
  <c r="AS11" i="65"/>
  <c r="AP11" i="65"/>
  <c r="AN11" i="65"/>
  <c r="AK11" i="65"/>
  <c r="AH11" i="65"/>
  <c r="AE11" i="65"/>
  <c r="AB11" i="65"/>
  <c r="Y11" i="65"/>
  <c r="V11" i="65"/>
  <c r="S11" i="65"/>
  <c r="P11" i="65"/>
  <c r="M11" i="65"/>
  <c r="J11" i="65"/>
  <c r="G11" i="65"/>
  <c r="AR11" i="65"/>
  <c r="AS88" i="62" l="1"/>
  <c r="P16" i="62"/>
  <c r="AB28" i="62"/>
  <c r="AK44" i="67"/>
  <c r="P42" i="69"/>
  <c r="AE41" i="65"/>
  <c r="N27" i="62"/>
  <c r="N29" i="62" s="1"/>
  <c r="AI50" i="62"/>
  <c r="AK50" i="62" s="1"/>
  <c r="AK53" i="62"/>
  <c r="AS28" i="62"/>
  <c r="AP88" i="62"/>
  <c r="AK68" i="67"/>
  <c r="S30" i="65"/>
  <c r="AE44" i="66"/>
  <c r="AA130" i="67"/>
  <c r="AB122" i="67"/>
  <c r="AP28" i="62"/>
  <c r="AG11" i="69"/>
  <c r="AS38" i="62"/>
  <c r="R29" i="62"/>
  <c r="AB38" i="62"/>
  <c r="AA93" i="62"/>
  <c r="AA35" i="62"/>
  <c r="AS35" i="62" s="1"/>
  <c r="AP38" i="62"/>
  <c r="Z16" i="70"/>
  <c r="AD93" i="62"/>
  <c r="AS19" i="62"/>
  <c r="AC64" i="62"/>
  <c r="AA48" i="69"/>
  <c r="AJ35" i="65"/>
  <c r="AJ42" i="65" s="1"/>
  <c r="AJ44" i="65" s="1"/>
  <c r="AJ46" i="65" s="1"/>
  <c r="AJ45" i="62"/>
  <c r="AC35" i="65"/>
  <c r="AC42" i="65" s="1"/>
  <c r="AC44" i="65" s="1"/>
  <c r="AC46" i="65" s="1"/>
  <c r="AD60" i="62"/>
  <c r="AD62" i="62" s="1"/>
  <c r="AD64" i="62" s="1"/>
  <c r="AI27" i="62"/>
  <c r="AI29" i="62" s="1"/>
  <c r="AD35" i="65"/>
  <c r="AD42" i="65" s="1"/>
  <c r="AD44" i="65" s="1"/>
  <c r="AD46" i="65" s="1"/>
  <c r="AA11" i="70"/>
  <c r="AP53" i="62"/>
  <c r="AA17" i="70"/>
  <c r="R35" i="65"/>
  <c r="R42" i="65" s="1"/>
  <c r="R44" i="65" s="1"/>
  <c r="R46" i="65" s="1"/>
  <c r="AS53" i="62"/>
  <c r="AR19" i="62"/>
  <c r="Q35" i="65"/>
  <c r="Q42" i="65" s="1"/>
  <c r="Q44" i="65" s="1"/>
  <c r="Q46" i="65" s="1"/>
  <c r="AJ60" i="62"/>
  <c r="AJ58" i="65"/>
  <c r="AJ27" i="62"/>
  <c r="AJ29" i="62" s="1"/>
  <c r="AJ93" i="62"/>
  <c r="AF23" i="69"/>
  <c r="O48" i="69"/>
  <c r="AK45" i="65"/>
  <c r="X58" i="65"/>
  <c r="Z35" i="65"/>
  <c r="Z42" i="65" s="1"/>
  <c r="Z44" i="65" s="1"/>
  <c r="Z46" i="65" s="1"/>
  <c r="Z48" i="69"/>
  <c r="AI35" i="65"/>
  <c r="AI42" i="65" s="1"/>
  <c r="AI44" i="65" s="1"/>
  <c r="AI46" i="65" s="1"/>
  <c r="W48" i="69"/>
  <c r="AA35" i="65"/>
  <c r="AA42" i="65" s="1"/>
  <c r="AA44" i="65" s="1"/>
  <c r="AA46" i="65" s="1"/>
  <c r="AI45" i="62"/>
  <c r="N93" i="62"/>
  <c r="X48" i="69"/>
  <c r="Z45" i="62"/>
  <c r="Z62" i="62" s="1"/>
  <c r="AI93" i="62"/>
  <c r="AO38" i="62"/>
  <c r="AR53" i="62"/>
  <c r="AP19" i="65"/>
  <c r="AS19" i="65"/>
  <c r="X27" i="62"/>
  <c r="X29" i="62" s="1"/>
  <c r="N48" i="69"/>
  <c r="W35" i="65"/>
  <c r="W42" i="65" s="1"/>
  <c r="W44" i="65" s="1"/>
  <c r="W46" i="65" s="1"/>
  <c r="Z27" i="62"/>
  <c r="Z29" i="62" s="1"/>
  <c r="X35" i="65"/>
  <c r="X42" i="65" s="1"/>
  <c r="X44" i="65" s="1"/>
  <c r="X46" i="65" s="1"/>
  <c r="Z93" i="62"/>
  <c r="G80" i="62"/>
  <c r="AA27" i="62"/>
  <c r="AA29" i="62" s="1"/>
  <c r="X60" i="62"/>
  <c r="O27" i="62"/>
  <c r="O29" i="62" s="1"/>
  <c r="X45" i="62"/>
  <c r="O93" i="62"/>
  <c r="O35" i="65"/>
  <c r="O42" i="65" s="1"/>
  <c r="O44" i="65" s="1"/>
  <c r="O46" i="65" s="1"/>
  <c r="N45" i="62"/>
  <c r="N62" i="62" s="1"/>
  <c r="W45" i="62"/>
  <c r="W62" i="62" s="1"/>
  <c r="W64" i="62" s="1"/>
  <c r="W93" i="62"/>
  <c r="O45" i="62"/>
  <c r="X93" i="62"/>
  <c r="AQ26" i="65"/>
  <c r="N35" i="65"/>
  <c r="N42" i="65" s="1"/>
  <c r="N44" i="65" s="1"/>
  <c r="N46" i="65" s="1"/>
  <c r="O58" i="65"/>
  <c r="O60" i="62"/>
  <c r="AQ52" i="62"/>
  <c r="AQ82" i="62"/>
  <c r="J27" i="62"/>
  <c r="AQ17" i="65"/>
  <c r="AQ83" i="62"/>
  <c r="Y20" i="62"/>
  <c r="AQ90" i="62"/>
  <c r="AH20" i="62"/>
  <c r="AQ29" i="65"/>
  <c r="AH41" i="65"/>
  <c r="AQ21" i="62"/>
  <c r="AB20" i="62"/>
  <c r="AB41" i="65"/>
  <c r="AQ45" i="65"/>
  <c r="Y54" i="62"/>
  <c r="AQ59" i="62"/>
  <c r="AT82" i="62"/>
  <c r="AQ38" i="65"/>
  <c r="AT23" i="62"/>
  <c r="AQ33" i="62"/>
  <c r="AT41" i="62"/>
  <c r="AT61" i="62"/>
  <c r="AQ78" i="62"/>
  <c r="AQ43" i="62"/>
  <c r="AH54" i="62"/>
  <c r="AQ23" i="62"/>
  <c r="AT43" i="62"/>
  <c r="AQ49" i="62"/>
  <c r="AT11" i="65"/>
  <c r="AQ57" i="62"/>
  <c r="AQ75" i="62"/>
  <c r="AT18" i="62"/>
  <c r="AQ36" i="62"/>
  <c r="AR38" i="62"/>
  <c r="AQ40" i="62"/>
  <c r="G54" i="62"/>
  <c r="AQ55" i="62"/>
  <c r="AQ70" i="62"/>
  <c r="AT49" i="62"/>
  <c r="AT70" i="62"/>
  <c r="AQ77" i="62"/>
  <c r="AQ85" i="62"/>
  <c r="AT17" i="65"/>
  <c r="AQ31" i="65"/>
  <c r="Y41" i="65"/>
  <c r="AK41" i="65"/>
  <c r="AT59" i="62"/>
  <c r="AT74" i="62"/>
  <c r="AT77" i="62"/>
  <c r="AH14" i="65"/>
  <c r="G30" i="65"/>
  <c r="AT51" i="62"/>
  <c r="AT73" i="62"/>
  <c r="P21" i="65"/>
  <c r="AQ39" i="65"/>
  <c r="P20" i="62"/>
  <c r="AQ24" i="62"/>
  <c r="AQ46" i="62"/>
  <c r="AT55" i="62"/>
  <c r="AQ74" i="62"/>
  <c r="AT78" i="62"/>
  <c r="AO80" i="62"/>
  <c r="AK80" i="62"/>
  <c r="AT86" i="62"/>
  <c r="AQ89" i="62"/>
  <c r="AT91" i="62"/>
  <c r="AB16" i="62"/>
  <c r="AS20" i="62"/>
  <c r="D39" i="62"/>
  <c r="AT44" i="62"/>
  <c r="G14" i="65"/>
  <c r="AQ12" i="65"/>
  <c r="AQ15" i="65"/>
  <c r="AQ25" i="65"/>
  <c r="AQ33" i="65"/>
  <c r="J41" i="65"/>
  <c r="AE29" i="62"/>
  <c r="V35" i="62"/>
  <c r="AR54" i="62"/>
  <c r="AQ58" i="62"/>
  <c r="AQ68" i="62"/>
  <c r="AQ69" i="62"/>
  <c r="AT79" i="62"/>
  <c r="AQ88" i="62"/>
  <c r="AT13" i="65"/>
  <c r="Y14" i="65"/>
  <c r="AT16" i="65"/>
  <c r="AQ27" i="65"/>
  <c r="J30" i="65"/>
  <c r="AQ32" i="65"/>
  <c r="AQ40" i="65"/>
  <c r="M41" i="65"/>
  <c r="AQ25" i="62"/>
  <c r="AT40" i="62"/>
  <c r="AT58" i="62"/>
  <c r="AT71" i="62"/>
  <c r="AT85" i="62"/>
  <c r="AT12" i="65"/>
  <c r="AQ20" i="65"/>
  <c r="Y21" i="65"/>
  <c r="AT25" i="62"/>
  <c r="AT37" i="62"/>
  <c r="AT42" i="62"/>
  <c r="AT56" i="62"/>
  <c r="AO11" i="65"/>
  <c r="AQ11" i="65" s="1"/>
  <c r="D14" i="65"/>
  <c r="M21" i="65"/>
  <c r="AQ28" i="65"/>
  <c r="D41" i="65"/>
  <c r="P41" i="65"/>
  <c r="AQ17" i="62"/>
  <c r="AT21" i="62"/>
  <c r="AR28" i="62"/>
  <c r="AT28" i="62" s="1"/>
  <c r="AT33" i="62"/>
  <c r="AR87" i="62"/>
  <c r="AQ91" i="62"/>
  <c r="AE21" i="65"/>
  <c r="AT14" i="62"/>
  <c r="AR20" i="62"/>
  <c r="AQ37" i="62"/>
  <c r="M39" i="62"/>
  <c r="AQ42" i="62"/>
  <c r="AT46" i="62"/>
  <c r="AP50" i="62"/>
  <c r="AQ51" i="62"/>
  <c r="AE54" i="62"/>
  <c r="AP54" i="62"/>
  <c r="AT57" i="62"/>
  <c r="G60" i="62"/>
  <c r="AQ61" i="62"/>
  <c r="Y87" i="62"/>
  <c r="AH87" i="62"/>
  <c r="AS16" i="62"/>
  <c r="V16" i="62"/>
  <c r="AH16" i="62"/>
  <c r="M80" i="62"/>
  <c r="AT89" i="62"/>
  <c r="V87" i="62"/>
  <c r="AT20" i="65"/>
  <c r="AQ24" i="65"/>
  <c r="AK38" i="62"/>
  <c r="AS39" i="62"/>
  <c r="AT83" i="62"/>
  <c r="AK87" i="62"/>
  <c r="D23" i="65"/>
  <c r="AH21" i="65"/>
  <c r="AO41" i="65"/>
  <c r="AK14" i="65"/>
  <c r="AR19" i="65"/>
  <c r="AS21" i="65"/>
  <c r="AQ18" i="62"/>
  <c r="P35" i="62"/>
  <c r="G39" i="62"/>
  <c r="AO53" i="62"/>
  <c r="AT75" i="62"/>
  <c r="P80" i="62"/>
  <c r="V21" i="65"/>
  <c r="D20" i="62"/>
  <c r="AQ16" i="65"/>
  <c r="AQ43" i="65"/>
  <c r="AQ15" i="62"/>
  <c r="D11" i="65"/>
  <c r="P14" i="65"/>
  <c r="AT15" i="65"/>
  <c r="D19" i="65"/>
  <c r="G21" i="65"/>
  <c r="AB21" i="65"/>
  <c r="AO23" i="65"/>
  <c r="AQ23" i="65" s="1"/>
  <c r="P30" i="65"/>
  <c r="AB30" i="65"/>
  <c r="AK30" i="65"/>
  <c r="AQ34" i="65"/>
  <c r="G41" i="65"/>
  <c r="AP41" i="65"/>
  <c r="AQ14" i="62"/>
  <c r="AT17" i="62"/>
  <c r="M20" i="62"/>
  <c r="AQ22" i="62"/>
  <c r="AT24" i="62"/>
  <c r="P87" i="62"/>
  <c r="AT22" i="62"/>
  <c r="AQ86" i="62"/>
  <c r="V35" i="65"/>
  <c r="J14" i="65"/>
  <c r="AH30" i="65"/>
  <c r="AP14" i="65"/>
  <c r="AQ13" i="65"/>
  <c r="S21" i="65"/>
  <c r="S41" i="65"/>
  <c r="AO20" i="62"/>
  <c r="AK20" i="62"/>
  <c r="AO28" i="62"/>
  <c r="AQ28" i="62" s="1"/>
  <c r="AQ34" i="62"/>
  <c r="AT36" i="62"/>
  <c r="AH39" i="62"/>
  <c r="AQ41" i="62"/>
  <c r="AK54" i="62"/>
  <c r="AT68" i="62"/>
  <c r="AQ71" i="62"/>
  <c r="AQ73" i="62"/>
  <c r="AQ79" i="62"/>
  <c r="J80" i="62"/>
  <c r="G35" i="62"/>
  <c r="AO35" i="62"/>
  <c r="AP39" i="62"/>
  <c r="AB44" i="62"/>
  <c r="AS80" i="62"/>
  <c r="AP80" i="62"/>
  <c r="AB15" i="62"/>
  <c r="AK19" i="62"/>
  <c r="AB34" i="62"/>
  <c r="AH35" i="62"/>
  <c r="Y39" i="62"/>
  <c r="AT52" i="62"/>
  <c r="AO54" i="62"/>
  <c r="AQ56" i="62"/>
  <c r="AR15" i="62"/>
  <c r="AT15" i="62" s="1"/>
  <c r="AR34" i="62"/>
  <c r="AT34" i="62" s="1"/>
  <c r="Y35" i="62"/>
  <c r="AR35" i="62"/>
  <c r="AS54" i="62"/>
  <c r="D54" i="62"/>
  <c r="AR90" i="62"/>
  <c r="AT90" i="62" s="1"/>
  <c r="AP16" i="62"/>
  <c r="AO19" i="62"/>
  <c r="AQ19" i="62" s="1"/>
  <c r="AP20" i="62"/>
  <c r="P39" i="62"/>
  <c r="AK39" i="62"/>
  <c r="AO44" i="62"/>
  <c r="AQ44" i="62" s="1"/>
  <c r="P54" i="62"/>
  <c r="AT69" i="62"/>
  <c r="AH80" i="62"/>
  <c r="AE87" i="62"/>
  <c r="AB90" i="62"/>
  <c r="AT88" i="62"/>
  <c r="J39" i="62"/>
  <c r="V50" i="62"/>
  <c r="V54" i="62"/>
  <c r="AR16" i="62"/>
  <c r="AS50" i="62"/>
  <c r="V39" i="62"/>
  <c r="S80" i="62"/>
  <c r="AB80" i="62"/>
  <c r="AS87" i="62"/>
  <c r="AO87" i="62"/>
  <c r="Y80" i="62"/>
  <c r="AR80" i="62"/>
  <c r="AP87" i="62"/>
  <c r="D87" i="62"/>
  <c r="AO21" i="65"/>
  <c r="AK21" i="65"/>
  <c r="AO30" i="65"/>
  <c r="D30" i="65"/>
  <c r="S14" i="65"/>
  <c r="AB14" i="65"/>
  <c r="AS14" i="65"/>
  <c r="AK19" i="65"/>
  <c r="J21" i="65"/>
  <c r="AR21" i="65"/>
  <c r="M30" i="65"/>
  <c r="AP30" i="65"/>
  <c r="M14" i="65"/>
  <c r="V14" i="65"/>
  <c r="AO19" i="65"/>
  <c r="Y30" i="65"/>
  <c r="AE14" i="65"/>
  <c r="D21" i="65"/>
  <c r="AP21" i="65"/>
  <c r="N64" i="62" l="1"/>
  <c r="AQ38" i="62"/>
  <c r="AJ62" i="62"/>
  <c r="AJ64" i="62" s="1"/>
  <c r="AI60" i="62"/>
  <c r="AI62" i="62" s="1"/>
  <c r="AI64" i="62" s="1"/>
  <c r="AO50" i="62"/>
  <c r="AT38" i="62"/>
  <c r="AA45" i="62"/>
  <c r="AA62" i="62" s="1"/>
  <c r="AA64" i="62" s="1"/>
  <c r="AP35" i="62"/>
  <c r="AB35" i="62"/>
  <c r="X62" i="62"/>
  <c r="X64" i="62" s="1"/>
  <c r="R64" i="62"/>
  <c r="AQ53" i="62"/>
  <c r="AT19" i="62"/>
  <c r="AQ20" i="62"/>
  <c r="AT53" i="62"/>
  <c r="AQ19" i="65"/>
  <c r="V42" i="65"/>
  <c r="Z64" i="62"/>
  <c r="AT19" i="65"/>
  <c r="J29" i="62"/>
  <c r="AK35" i="62"/>
  <c r="O62" i="62"/>
  <c r="O64" i="62" s="1"/>
  <c r="AO39" i="62"/>
  <c r="AQ39" i="62" s="1"/>
  <c r="AH29" i="62"/>
  <c r="M29" i="62"/>
  <c r="AH27" i="62"/>
  <c r="J35" i="65"/>
  <c r="D27" i="62"/>
  <c r="AR50" i="62"/>
  <c r="AT50" i="62" s="1"/>
  <c r="AK35" i="65"/>
  <c r="Y27" i="62"/>
  <c r="P27" i="62"/>
  <c r="AH45" i="62"/>
  <c r="AT20" i="62"/>
  <c r="AT16" i="62"/>
  <c r="AQ80" i="62"/>
  <c r="P60" i="62"/>
  <c r="AR39" i="62"/>
  <c r="G93" i="62"/>
  <c r="AB39" i="62"/>
  <c r="M27" i="62"/>
  <c r="AR14" i="65"/>
  <c r="AT14" i="65" s="1"/>
  <c r="M35" i="65"/>
  <c r="V27" i="62"/>
  <c r="Y93" i="62"/>
  <c r="AP27" i="62"/>
  <c r="P93" i="62"/>
  <c r="AO14" i="65"/>
  <c r="AB93" i="62"/>
  <c r="S93" i="62"/>
  <c r="AT54" i="62"/>
  <c r="AO60" i="62"/>
  <c r="AQ41" i="65"/>
  <c r="AE93" i="62"/>
  <c r="AK93" i="62"/>
  <c r="AO27" i="62"/>
  <c r="AK16" i="62"/>
  <c r="AR60" i="62"/>
  <c r="AQ50" i="62"/>
  <c r="AO16" i="62"/>
  <c r="AQ16" i="62" s="1"/>
  <c r="AQ54" i="62"/>
  <c r="Y29" i="62"/>
  <c r="AK60" i="62"/>
  <c r="AT80" i="62"/>
  <c r="V93" i="62"/>
  <c r="AK45" i="62"/>
  <c r="AB27" i="62"/>
  <c r="M45" i="62"/>
  <c r="AR45" i="62"/>
  <c r="D60" i="62"/>
  <c r="AP60" i="62"/>
  <c r="AS60" i="62"/>
  <c r="D29" i="62"/>
  <c r="P45" i="62"/>
  <c r="G27" i="62"/>
  <c r="AO45" i="62"/>
  <c r="AR93" i="62"/>
  <c r="J93" i="62"/>
  <c r="AO93" i="62"/>
  <c r="G45" i="62"/>
  <c r="AE62" i="62"/>
  <c r="AT35" i="62"/>
  <c r="Y45" i="62"/>
  <c r="V45" i="62"/>
  <c r="AQ87" i="62"/>
  <c r="V60" i="62"/>
  <c r="AE60" i="62"/>
  <c r="AS93" i="62"/>
  <c r="AP93" i="62"/>
  <c r="D93" i="62"/>
  <c r="J45" i="62"/>
  <c r="V29" i="62"/>
  <c r="M93" i="62"/>
  <c r="AT87" i="62"/>
  <c r="Y60" i="62"/>
  <c r="AH93" i="62"/>
  <c r="D45" i="62"/>
  <c r="AS27" i="62"/>
  <c r="AH60" i="62"/>
  <c r="P29" i="62"/>
  <c r="AE35" i="65"/>
  <c r="AB35" i="65"/>
  <c r="S35" i="65"/>
  <c r="J42" i="65"/>
  <c r="AK42" i="65"/>
  <c r="AP35" i="65"/>
  <c r="AT21" i="65"/>
  <c r="M42" i="65"/>
  <c r="AQ21" i="65"/>
  <c r="G35" i="65"/>
  <c r="P35" i="65"/>
  <c r="AH35" i="65"/>
  <c r="Y35" i="65"/>
  <c r="AQ30" i="65"/>
  <c r="AS45" i="62" l="1"/>
  <c r="AT45" i="62" s="1"/>
  <c r="AB45" i="62"/>
  <c r="AP45" i="62"/>
  <c r="AQ45" i="62" s="1"/>
  <c r="AQ35" i="62"/>
  <c r="AP29" i="62"/>
  <c r="AO35" i="65"/>
  <c r="AQ35" i="65" s="1"/>
  <c r="G42" i="65"/>
  <c r="AH62" i="62"/>
  <c r="D35" i="65"/>
  <c r="AT39" i="62"/>
  <c r="AQ27" i="62"/>
  <c r="AQ14" i="65"/>
  <c r="AR62" i="62"/>
  <c r="AE64" i="62"/>
  <c r="P62" i="62"/>
  <c r="J62" i="62"/>
  <c r="V62" i="62"/>
  <c r="D62" i="62"/>
  <c r="AS62" i="62"/>
  <c r="AP62" i="62"/>
  <c r="Y62" i="62"/>
  <c r="G62" i="62"/>
  <c r="AQ93" i="62"/>
  <c r="AR27" i="62"/>
  <c r="AT27" i="62" s="1"/>
  <c r="AB62" i="62"/>
  <c r="G29" i="62"/>
  <c r="AS29" i="62"/>
  <c r="AB29" i="62"/>
  <c r="S29" i="62"/>
  <c r="AK62" i="62"/>
  <c r="AQ60" i="62"/>
  <c r="AR29" i="62"/>
  <c r="AK27" i="62"/>
  <c r="M62" i="62"/>
  <c r="Y64" i="62"/>
  <c r="AT93" i="62"/>
  <c r="AO62" i="62"/>
  <c r="J64" i="62"/>
  <c r="AT60" i="62"/>
  <c r="Y42" i="65"/>
  <c r="P42" i="65"/>
  <c r="AP42" i="65"/>
  <c r="S42" i="65"/>
  <c r="G44" i="65"/>
  <c r="M44" i="65"/>
  <c r="AH42" i="65"/>
  <c r="AK44" i="65"/>
  <c r="D42" i="65"/>
  <c r="AO42" i="65"/>
  <c r="AB42" i="65"/>
  <c r="J44" i="65"/>
  <c r="AE42" i="65"/>
  <c r="V44" i="65" l="1"/>
  <c r="AT29" i="62"/>
  <c r="AQ42" i="65"/>
  <c r="AH64" i="62"/>
  <c r="S64" i="62"/>
  <c r="G64" i="62"/>
  <c r="V64" i="62"/>
  <c r="P64" i="62"/>
  <c r="AT62" i="62"/>
  <c r="AS64" i="62"/>
  <c r="D64" i="62"/>
  <c r="AP64" i="62"/>
  <c r="M64" i="62"/>
  <c r="AQ62" i="62"/>
  <c r="AR64" i="62"/>
  <c r="AK29" i="62"/>
  <c r="AO29" i="62"/>
  <c r="AQ29" i="62" s="1"/>
  <c r="AB64" i="62"/>
  <c r="S44" i="65"/>
  <c r="AB44" i="65"/>
  <c r="AH44" i="65"/>
  <c r="AP44" i="65"/>
  <c r="AE44" i="65"/>
  <c r="AO44" i="65"/>
  <c r="D44" i="65"/>
  <c r="J46" i="65"/>
  <c r="M46" i="65"/>
  <c r="P44" i="65"/>
  <c r="V46" i="65"/>
  <c r="Y44" i="65"/>
  <c r="AK46" i="65"/>
  <c r="G46" i="65"/>
  <c r="AT64" i="62" l="1"/>
  <c r="AK64" i="62"/>
  <c r="AO64" i="62"/>
  <c r="AP46" i="65"/>
  <c r="Y46" i="65"/>
  <c r="AH46" i="65"/>
  <c r="D46" i="65"/>
  <c r="AO46" i="65"/>
  <c r="AQ44" i="65"/>
  <c r="AB46" i="65"/>
  <c r="P46" i="65"/>
  <c r="AE46" i="65"/>
  <c r="S46" i="65"/>
  <c r="AQ64" i="62" l="1"/>
  <c r="AQ46" i="65"/>
  <c r="AG13" i="71" l="1"/>
  <c r="AG11" i="71"/>
  <c r="AF13" i="71"/>
  <c r="AF11" i="71"/>
  <c r="AD42" i="70"/>
  <c r="AD41" i="70"/>
  <c r="AD40" i="70"/>
  <c r="AD38" i="70"/>
  <c r="AD34" i="70"/>
  <c r="AD33" i="70"/>
  <c r="AD32" i="70"/>
  <c r="AD30" i="70"/>
  <c r="AD29" i="70"/>
  <c r="AD28" i="70"/>
  <c r="AD27" i="70"/>
  <c r="AD25" i="70"/>
  <c r="AD24" i="70"/>
  <c r="AD23" i="70"/>
  <c r="AD22" i="70"/>
  <c r="AD20" i="70"/>
  <c r="AD19" i="70"/>
  <c r="AD18" i="70"/>
  <c r="AD17" i="70"/>
  <c r="AD15" i="70"/>
  <c r="AD14" i="70"/>
  <c r="AD13" i="70"/>
  <c r="AD12" i="70"/>
  <c r="AC42" i="70"/>
  <c r="AC41" i="70"/>
  <c r="AC38" i="70"/>
  <c r="AC34" i="70"/>
  <c r="AC33" i="70"/>
  <c r="AC32" i="70"/>
  <c r="AC30" i="70"/>
  <c r="AC29" i="70"/>
  <c r="AC28" i="70"/>
  <c r="AC27" i="70"/>
  <c r="AC25" i="70"/>
  <c r="AC24" i="70"/>
  <c r="AC23" i="70"/>
  <c r="AC22" i="70"/>
  <c r="AC21" i="70"/>
  <c r="AC20" i="70"/>
  <c r="AC15" i="70"/>
  <c r="AP34" i="68"/>
  <c r="AP29" i="68"/>
  <c r="AP26" i="68"/>
  <c r="AP24" i="68"/>
  <c r="AP22" i="68"/>
  <c r="AP17" i="68"/>
  <c r="AP14" i="68"/>
  <c r="AP12" i="68"/>
  <c r="AO29" i="68"/>
  <c r="AO26" i="68"/>
  <c r="AO24" i="68"/>
  <c r="AO17" i="68"/>
  <c r="AO14" i="68"/>
  <c r="AO12" i="68"/>
  <c r="AS108" i="66"/>
  <c r="AS107" i="66"/>
  <c r="AS105" i="66"/>
  <c r="AS104" i="66"/>
  <c r="AS103" i="66"/>
  <c r="AS102" i="66"/>
  <c r="AS101" i="66"/>
  <c r="AS100" i="66"/>
  <c r="AS99" i="66"/>
  <c r="AS98" i="66"/>
  <c r="AS96" i="66"/>
  <c r="AS95" i="66"/>
  <c r="AS93" i="66"/>
  <c r="AS92" i="66"/>
  <c r="AS91" i="66"/>
  <c r="AS90" i="66"/>
  <c r="AS89" i="66"/>
  <c r="AS88" i="66"/>
  <c r="AS87" i="66"/>
  <c r="AS86" i="66"/>
  <c r="AS84" i="66"/>
  <c r="AS83" i="66"/>
  <c r="AS81" i="66"/>
  <c r="AS80" i="66"/>
  <c r="AS79" i="66"/>
  <c r="AS78" i="66"/>
  <c r="AS77" i="66"/>
  <c r="AS76" i="66"/>
  <c r="AS75" i="66"/>
  <c r="AS74" i="66"/>
  <c r="AS72" i="66"/>
  <c r="AS71" i="66"/>
  <c r="AS69" i="66"/>
  <c r="AS68" i="66"/>
  <c r="AS67" i="66"/>
  <c r="AS66" i="66"/>
  <c r="AS65" i="66"/>
  <c r="AS64" i="66"/>
  <c r="AS63" i="66"/>
  <c r="AS62" i="66"/>
  <c r="AS58" i="66"/>
  <c r="AS57" i="66"/>
  <c r="AS55" i="66"/>
  <c r="AS54" i="66"/>
  <c r="AS53" i="66"/>
  <c r="AS52" i="66"/>
  <c r="AS51" i="66"/>
  <c r="AS50" i="66"/>
  <c r="AS49" i="66"/>
  <c r="AS48" i="66"/>
  <c r="AS46" i="66"/>
  <c r="AS45" i="66"/>
  <c r="AS43" i="66"/>
  <c r="AS42" i="66"/>
  <c r="AS41" i="66"/>
  <c r="AS40" i="66"/>
  <c r="AS39" i="66"/>
  <c r="AS38" i="66"/>
  <c r="AS37" i="66"/>
  <c r="AS36" i="66"/>
  <c r="AS34" i="66"/>
  <c r="AS33" i="66"/>
  <c r="AS31" i="66"/>
  <c r="AS30" i="66"/>
  <c r="AS29" i="66"/>
  <c r="AS28" i="66"/>
  <c r="AS27" i="66"/>
  <c r="AS26" i="66"/>
  <c r="AS25" i="66"/>
  <c r="AS24" i="66"/>
  <c r="AS23" i="66"/>
  <c r="AS22" i="66"/>
  <c r="AS21" i="66"/>
  <c r="AS19" i="66"/>
  <c r="AS18" i="66"/>
  <c r="AS17" i="66"/>
  <c r="AS16" i="66"/>
  <c r="AS15" i="66"/>
  <c r="AS14" i="66"/>
  <c r="AS13" i="66"/>
  <c r="AS12" i="66"/>
  <c r="AR108" i="66"/>
  <c r="AR107" i="66"/>
  <c r="AR105" i="66"/>
  <c r="AR104" i="66"/>
  <c r="AR103" i="66"/>
  <c r="AR102" i="66"/>
  <c r="AR101" i="66"/>
  <c r="AR100" i="66"/>
  <c r="AR99" i="66"/>
  <c r="AR98" i="66"/>
  <c r="AR96" i="66"/>
  <c r="AR95" i="66"/>
  <c r="AR93" i="66"/>
  <c r="AR92" i="66"/>
  <c r="AR91" i="66"/>
  <c r="AR90" i="66"/>
  <c r="AR89" i="66"/>
  <c r="AR88" i="66"/>
  <c r="AR87" i="66"/>
  <c r="AR86" i="66"/>
  <c r="AR84" i="66"/>
  <c r="AR83" i="66"/>
  <c r="AR81" i="66"/>
  <c r="AR80" i="66"/>
  <c r="AR79" i="66"/>
  <c r="AR78" i="66"/>
  <c r="AR77" i="66"/>
  <c r="AR76" i="66"/>
  <c r="AR75" i="66"/>
  <c r="AR74" i="66"/>
  <c r="AR72" i="66"/>
  <c r="AR71" i="66"/>
  <c r="AR69" i="66"/>
  <c r="AR68" i="66"/>
  <c r="AR67" i="66"/>
  <c r="AR66" i="66"/>
  <c r="AR65" i="66"/>
  <c r="AR64" i="66"/>
  <c r="AR63" i="66"/>
  <c r="AR62" i="66"/>
  <c r="AR58" i="66"/>
  <c r="AR57" i="66"/>
  <c r="AR55" i="66"/>
  <c r="AR54" i="66"/>
  <c r="AR53" i="66"/>
  <c r="AR52" i="66"/>
  <c r="AR51" i="66"/>
  <c r="AR50" i="66"/>
  <c r="AR49" i="66"/>
  <c r="AR48" i="66"/>
  <c r="AR46" i="66"/>
  <c r="AR45" i="66"/>
  <c r="AR43" i="66"/>
  <c r="AR42" i="66"/>
  <c r="AR41" i="66"/>
  <c r="AR40" i="66"/>
  <c r="AR39" i="66"/>
  <c r="AR38" i="66"/>
  <c r="AR37" i="66"/>
  <c r="AR36" i="66"/>
  <c r="AR34" i="66"/>
  <c r="AR33" i="66"/>
  <c r="AR31" i="66"/>
  <c r="AR30" i="66"/>
  <c r="AR29" i="66"/>
  <c r="AR28" i="66"/>
  <c r="AR27" i="66"/>
  <c r="AR26" i="66"/>
  <c r="AR25" i="66"/>
  <c r="AR24" i="66"/>
  <c r="AR23" i="66"/>
  <c r="AR22" i="66"/>
  <c r="AR21" i="66"/>
  <c r="AR19" i="66"/>
  <c r="AR18" i="66"/>
  <c r="AR17" i="66"/>
  <c r="AR16" i="66"/>
  <c r="AR15" i="66"/>
  <c r="AR14" i="66"/>
  <c r="AR13" i="66"/>
  <c r="AR12" i="66"/>
  <c r="AO144" i="67"/>
  <c r="AO143" i="67"/>
  <c r="AO141" i="67"/>
  <c r="AO140" i="67"/>
  <c r="AO139" i="67"/>
  <c r="AO138" i="67"/>
  <c r="AO137" i="67"/>
  <c r="AO136" i="67"/>
  <c r="AO135" i="67"/>
  <c r="AO134" i="67"/>
  <c r="AO132" i="67"/>
  <c r="AO131" i="67"/>
  <c r="AO129" i="67"/>
  <c r="AO128" i="67"/>
  <c r="AO127" i="67"/>
  <c r="AO126" i="67"/>
  <c r="AO125" i="67"/>
  <c r="AO124" i="67"/>
  <c r="AO123" i="67"/>
  <c r="AO122" i="67"/>
  <c r="AO118" i="67"/>
  <c r="AO117" i="67"/>
  <c r="AO116" i="67"/>
  <c r="AO115" i="67"/>
  <c r="AO114" i="67"/>
  <c r="AO113" i="67"/>
  <c r="AO112" i="67"/>
  <c r="AO111" i="67"/>
  <c r="AO110" i="67"/>
  <c r="AO109" i="67"/>
  <c r="AO108" i="67"/>
  <c r="AO106" i="67"/>
  <c r="AO105" i="67"/>
  <c r="AO103" i="67"/>
  <c r="AO102" i="67"/>
  <c r="AO101" i="67"/>
  <c r="AO100" i="67"/>
  <c r="AO99" i="67"/>
  <c r="AO98" i="67"/>
  <c r="AO97" i="67"/>
  <c r="AO96" i="67"/>
  <c r="AO94" i="67"/>
  <c r="AO93" i="67"/>
  <c r="AO91" i="67"/>
  <c r="AO90" i="67"/>
  <c r="AO89" i="67"/>
  <c r="AO88" i="67"/>
  <c r="AO87" i="67"/>
  <c r="AO86" i="67"/>
  <c r="AO85" i="67"/>
  <c r="AO84" i="67"/>
  <c r="AO83" i="67"/>
  <c r="AO82" i="67"/>
  <c r="AO81" i="67"/>
  <c r="AO79" i="67"/>
  <c r="AO78" i="67"/>
  <c r="AO77" i="67"/>
  <c r="AO76" i="67"/>
  <c r="AO75" i="67"/>
  <c r="AO74" i="67"/>
  <c r="AO73" i="67"/>
  <c r="AO72" i="67"/>
  <c r="AO71" i="67"/>
  <c r="AO70" i="67"/>
  <c r="AO69" i="67"/>
  <c r="AO67" i="67"/>
  <c r="AO66" i="67"/>
  <c r="AO65" i="67"/>
  <c r="AO64" i="67"/>
  <c r="AO63" i="67"/>
  <c r="AO62" i="67"/>
  <c r="AO61" i="67"/>
  <c r="AO60" i="67"/>
  <c r="AO59" i="67"/>
  <c r="AO57" i="67"/>
  <c r="AO55" i="67"/>
  <c r="AO54" i="67"/>
  <c r="AO53" i="67"/>
  <c r="AO52" i="67"/>
  <c r="AO51" i="67"/>
  <c r="AO49" i="67"/>
  <c r="AO48" i="67"/>
  <c r="AO46" i="67"/>
  <c r="AO45" i="67"/>
  <c r="AO43" i="67"/>
  <c r="AO42" i="67"/>
  <c r="AO41" i="67"/>
  <c r="AO40" i="67"/>
  <c r="AO39" i="67"/>
  <c r="AO38" i="67"/>
  <c r="AO37" i="67"/>
  <c r="AO36" i="67"/>
  <c r="AO34" i="67"/>
  <c r="AO33" i="67"/>
  <c r="AO32" i="67"/>
  <c r="AO31" i="67"/>
  <c r="AO30" i="67"/>
  <c r="AO29" i="67"/>
  <c r="AO28" i="67"/>
  <c r="AO27" i="67"/>
  <c r="AO26" i="67"/>
  <c r="AO25" i="67"/>
  <c r="AO24" i="67"/>
  <c r="AO19" i="67"/>
  <c r="AO18" i="67"/>
  <c r="J9" i="79"/>
  <c r="L9" i="79" s="1"/>
  <c r="K8" i="79"/>
  <c r="D7" i="79" l="1"/>
  <c r="D10" i="79"/>
  <c r="J29" i="79"/>
  <c r="L29" i="79" s="1"/>
  <c r="J28" i="79"/>
  <c r="L28" i="79" s="1"/>
  <c r="D9" i="79"/>
  <c r="K7" i="79"/>
  <c r="J22" i="79"/>
  <c r="L22" i="79" s="1"/>
  <c r="J30" i="79"/>
  <c r="L30" i="79" s="1"/>
  <c r="K10" i="79"/>
  <c r="D8" i="79"/>
  <c r="J8" i="79"/>
  <c r="L8" i="79" s="1"/>
  <c r="K22" i="79"/>
  <c r="K28" i="79"/>
  <c r="K29" i="79"/>
  <c r="K30" i="79"/>
  <c r="J10" i="79"/>
  <c r="L10" i="79" s="1"/>
  <c r="K9" i="79"/>
  <c r="J7" i="79"/>
  <c r="L7" i="79" s="1"/>
  <c r="D22" i="79"/>
  <c r="D28" i="79"/>
  <c r="D29" i="79"/>
  <c r="D30" i="79"/>
  <c r="AC18" i="70"/>
  <c r="AC17" i="70"/>
  <c r="Z39" i="70"/>
  <c r="Z37" i="70"/>
  <c r="W39" i="70"/>
  <c r="W37" i="70"/>
  <c r="W36" i="70"/>
  <c r="Q39" i="70"/>
  <c r="Q37" i="70"/>
  <c r="Q36" i="70"/>
  <c r="Q35" i="70"/>
  <c r="N40" i="70"/>
  <c r="AC40" i="70" s="1"/>
  <c r="AC26" i="70"/>
  <c r="K39" i="70"/>
  <c r="K37" i="70"/>
  <c r="K36" i="70"/>
  <c r="E37" i="70"/>
  <c r="E36" i="70"/>
  <c r="B37" i="70"/>
  <c r="B36" i="70"/>
  <c r="AA39" i="70"/>
  <c r="AA37" i="70"/>
  <c r="AA36" i="70"/>
  <c r="X39" i="70"/>
  <c r="X37" i="70"/>
  <c r="X36" i="70"/>
  <c r="R39" i="70"/>
  <c r="R37" i="70"/>
  <c r="R36" i="70"/>
  <c r="L39" i="70"/>
  <c r="L37" i="70"/>
  <c r="L36" i="70"/>
  <c r="F39" i="70"/>
  <c r="F37" i="70"/>
  <c r="F36" i="70"/>
  <c r="AC19" i="70" l="1"/>
  <c r="AC31" i="70"/>
  <c r="H33" i="9"/>
  <c r="H75" i="9" s="1"/>
  <c r="AC13" i="70"/>
  <c r="W35" i="70"/>
  <c r="B39" i="70"/>
  <c r="AC14" i="70"/>
  <c r="G33" i="9"/>
  <c r="G75" i="9" s="1"/>
  <c r="Z36" i="70"/>
  <c r="AC36" i="70" s="1"/>
  <c r="AC12" i="70"/>
  <c r="O35" i="70"/>
  <c r="R35" i="70"/>
  <c r="X35" i="70"/>
  <c r="AA35" i="70"/>
  <c r="F35" i="70"/>
  <c r="L35" i="70"/>
  <c r="C33" i="9"/>
  <c r="C75" i="9" s="1"/>
  <c r="N35" i="70"/>
  <c r="E35" i="70"/>
  <c r="K35" i="70"/>
  <c r="E39" i="70"/>
  <c r="Z35" i="70"/>
  <c r="AF53" i="69"/>
  <c r="AF51" i="69"/>
  <c r="AF50" i="69"/>
  <c r="AF49" i="69"/>
  <c r="W54" i="69"/>
  <c r="W52" i="69"/>
  <c r="W50" i="69"/>
  <c r="W49" i="69"/>
  <c r="N52" i="69"/>
  <c r="N51" i="69"/>
  <c r="P51" i="69" s="1"/>
  <c r="N50" i="69"/>
  <c r="N49" i="69"/>
  <c r="P49" i="69" s="1"/>
  <c r="H54" i="69"/>
  <c r="H51" i="69"/>
  <c r="H50" i="69"/>
  <c r="H49" i="69"/>
  <c r="B54" i="69"/>
  <c r="B51" i="69"/>
  <c r="AG53" i="69"/>
  <c r="AG52" i="69"/>
  <c r="AG51" i="69"/>
  <c r="AG50" i="69"/>
  <c r="AG49" i="69"/>
  <c r="X54" i="69"/>
  <c r="X52" i="69"/>
  <c r="X50" i="69"/>
  <c r="X49" i="69"/>
  <c r="AJ50" i="69"/>
  <c r="AJ49" i="69"/>
  <c r="O52" i="69"/>
  <c r="O51" i="69"/>
  <c r="O50" i="69"/>
  <c r="O49" i="69"/>
  <c r="I54" i="69"/>
  <c r="I51" i="69"/>
  <c r="I50" i="69"/>
  <c r="I49" i="69"/>
  <c r="AJ48" i="68"/>
  <c r="AI48" i="68"/>
  <c r="AJ47" i="68"/>
  <c r="AI47" i="68"/>
  <c r="AJ45" i="68"/>
  <c r="AI45" i="68"/>
  <c r="AJ44" i="68"/>
  <c r="AI44" i="68"/>
  <c r="AJ43" i="68"/>
  <c r="AI43" i="68"/>
  <c r="AJ42" i="68"/>
  <c r="AI42" i="68"/>
  <c r="AJ41" i="68"/>
  <c r="AI41" i="68"/>
  <c r="AJ40" i="68"/>
  <c r="AI40" i="68"/>
  <c r="AJ39" i="68"/>
  <c r="AI39" i="68"/>
  <c r="AJ38" i="68"/>
  <c r="AI38" i="68"/>
  <c r="AC48" i="68"/>
  <c r="AC47" i="68"/>
  <c r="AC45" i="68"/>
  <c r="AC44" i="68"/>
  <c r="AC43" i="68"/>
  <c r="AC42" i="68"/>
  <c r="AC41" i="68"/>
  <c r="AC40" i="68"/>
  <c r="AC39" i="68"/>
  <c r="AC38" i="68"/>
  <c r="AO34" i="68"/>
  <c r="AO22" i="68"/>
  <c r="B39" i="68"/>
  <c r="B41" i="68"/>
  <c r="B42" i="68"/>
  <c r="B44" i="68"/>
  <c r="B45" i="68"/>
  <c r="AG48" i="68"/>
  <c r="AG47" i="68"/>
  <c r="AG45" i="68"/>
  <c r="AG44" i="68"/>
  <c r="AG43" i="68"/>
  <c r="AG42" i="68"/>
  <c r="AG41" i="68"/>
  <c r="AG40" i="68"/>
  <c r="AG39" i="68"/>
  <c r="AG38" i="68"/>
  <c r="AD48" i="68"/>
  <c r="AD47" i="68"/>
  <c r="AD45" i="68"/>
  <c r="AD44" i="68"/>
  <c r="AD43" i="68"/>
  <c r="AD42" i="68"/>
  <c r="AD41" i="68"/>
  <c r="AD40" i="68"/>
  <c r="AD39" i="68"/>
  <c r="AD38" i="68"/>
  <c r="AA48" i="68"/>
  <c r="AA47" i="68"/>
  <c r="AA45" i="68"/>
  <c r="AA44" i="68"/>
  <c r="AA43" i="68"/>
  <c r="AA42" i="68"/>
  <c r="AA41" i="68"/>
  <c r="AA40" i="68"/>
  <c r="AA39" i="68"/>
  <c r="AA38" i="68"/>
  <c r="X48" i="68"/>
  <c r="X47" i="68"/>
  <c r="X45" i="68"/>
  <c r="X44" i="68"/>
  <c r="X43" i="68"/>
  <c r="X42" i="68"/>
  <c r="X41" i="68"/>
  <c r="X40" i="68"/>
  <c r="X39" i="68"/>
  <c r="X38" i="68"/>
  <c r="AM48" i="68"/>
  <c r="AM47" i="68"/>
  <c r="AM45" i="68"/>
  <c r="AM44" i="68"/>
  <c r="AM43" i="68"/>
  <c r="AM42" i="68"/>
  <c r="AM41" i="68"/>
  <c r="AM40" i="68"/>
  <c r="AM39" i="68"/>
  <c r="AM38" i="68"/>
  <c r="U48" i="68"/>
  <c r="U47" i="68"/>
  <c r="U45" i="68"/>
  <c r="U44" i="68"/>
  <c r="U43" i="68"/>
  <c r="U42" i="68"/>
  <c r="U41" i="68"/>
  <c r="U40" i="68"/>
  <c r="U39" i="68"/>
  <c r="U38" i="68"/>
  <c r="R48" i="68"/>
  <c r="R47" i="68"/>
  <c r="R45" i="68"/>
  <c r="R44" i="68"/>
  <c r="R43" i="68"/>
  <c r="R42" i="68"/>
  <c r="R41" i="68"/>
  <c r="R40" i="68"/>
  <c r="R39" i="68"/>
  <c r="R38" i="68"/>
  <c r="O48" i="68"/>
  <c r="O47" i="68"/>
  <c r="O45" i="68"/>
  <c r="O44" i="68"/>
  <c r="O43" i="68"/>
  <c r="O42" i="68"/>
  <c r="O41" i="68"/>
  <c r="O40" i="68"/>
  <c r="O39" i="68"/>
  <c r="O38" i="68"/>
  <c r="L48" i="68"/>
  <c r="L47" i="68"/>
  <c r="L45" i="68"/>
  <c r="L44" i="68"/>
  <c r="L43" i="68"/>
  <c r="L42" i="68"/>
  <c r="L41" i="68"/>
  <c r="L40" i="68"/>
  <c r="L39" i="68"/>
  <c r="L38" i="68"/>
  <c r="I48" i="68"/>
  <c r="I47" i="68"/>
  <c r="I45" i="68"/>
  <c r="I44" i="68"/>
  <c r="I43" i="68"/>
  <c r="I42" i="68"/>
  <c r="I41" i="68"/>
  <c r="I40" i="68"/>
  <c r="I39" i="68"/>
  <c r="I38" i="68"/>
  <c r="F48" i="68"/>
  <c r="F47" i="68"/>
  <c r="F45" i="68"/>
  <c r="F44" i="68"/>
  <c r="F43" i="68"/>
  <c r="F42" i="68"/>
  <c r="F41" i="68"/>
  <c r="F40" i="68"/>
  <c r="F39" i="68"/>
  <c r="F38" i="68"/>
  <c r="AO80" i="67"/>
  <c r="AO68" i="67"/>
  <c r="AO44" i="67"/>
  <c r="AO142" i="67"/>
  <c r="AO16" i="67"/>
  <c r="AO15" i="67"/>
  <c r="AO13" i="67"/>
  <c r="AO58" i="67"/>
  <c r="AM142" i="67"/>
  <c r="AM130" i="67"/>
  <c r="AM116" i="67"/>
  <c r="AM104" i="67"/>
  <c r="AM92" i="67"/>
  <c r="AM80" i="67"/>
  <c r="AM68" i="67"/>
  <c r="AM56" i="67"/>
  <c r="AM44" i="67"/>
  <c r="AM32" i="67"/>
  <c r="AM20" i="67"/>
  <c r="H48" i="69" l="1"/>
  <c r="I48" i="69"/>
  <c r="AJ48" i="69"/>
  <c r="AG48" i="69"/>
  <c r="AR20" i="66"/>
  <c r="AR32" i="66"/>
  <c r="AC16" i="70"/>
  <c r="AC37" i="70"/>
  <c r="AO22" i="67"/>
  <c r="AO130" i="67"/>
  <c r="AR94" i="66"/>
  <c r="AO92" i="67"/>
  <c r="AR106" i="66"/>
  <c r="B43" i="68"/>
  <c r="AO17" i="67"/>
  <c r="B47" i="68"/>
  <c r="AO21" i="67"/>
  <c r="B33" i="9"/>
  <c r="B75" i="9" s="1"/>
  <c r="AO56" i="67"/>
  <c r="AO50" i="67"/>
  <c r="AR44" i="66"/>
  <c r="AR70" i="66"/>
  <c r="AC39" i="70"/>
  <c r="AR56" i="66"/>
  <c r="AO104" i="67"/>
  <c r="AO20" i="68"/>
  <c r="B40" i="68"/>
  <c r="AO14" i="67"/>
  <c r="AR82" i="66"/>
  <c r="B38" i="68"/>
  <c r="AO12" i="67"/>
  <c r="AO32" i="68"/>
  <c r="AF52" i="69"/>
  <c r="AC46" i="68"/>
  <c r="B48" i="68"/>
  <c r="R46" i="68"/>
  <c r="X46" i="68"/>
  <c r="AA46" i="68"/>
  <c r="AJ46" i="68"/>
  <c r="AI46" i="68"/>
  <c r="B48" i="69"/>
  <c r="F46" i="68"/>
  <c r="L46" i="68"/>
  <c r="U46" i="68"/>
  <c r="AD46" i="68"/>
  <c r="AM46" i="68"/>
  <c r="AG46" i="68"/>
  <c r="I46" i="68"/>
  <c r="O46" i="68"/>
  <c r="B52" i="69"/>
  <c r="B50" i="69"/>
  <c r="B35" i="70"/>
  <c r="AF48" i="69"/>
  <c r="AC35" i="70" l="1"/>
  <c r="AC11" i="70"/>
  <c r="B46" i="68"/>
  <c r="AO20" i="67"/>
  <c r="H24" i="9" l="1"/>
  <c r="D53" i="78"/>
  <c r="D56" i="78"/>
  <c r="D54" i="78"/>
  <c r="D48" i="78"/>
  <c r="D57" i="78"/>
  <c r="AP8" i="62"/>
  <c r="AO8" i="62"/>
  <c r="AJ8" i="62"/>
  <c r="AI8" i="62"/>
  <c r="AG8" i="62"/>
  <c r="AF8" i="62"/>
  <c r="AD8" i="62"/>
  <c r="AC8" i="62"/>
  <c r="AA8" i="62"/>
  <c r="Z8" i="62"/>
  <c r="X8" i="62"/>
  <c r="W8" i="62"/>
  <c r="U8" i="62"/>
  <c r="T8" i="62"/>
  <c r="R8" i="62"/>
  <c r="Q8" i="62"/>
  <c r="O8" i="62"/>
  <c r="N8" i="62"/>
  <c r="L8" i="62"/>
  <c r="K8" i="62"/>
  <c r="I8" i="62"/>
  <c r="H8" i="62"/>
  <c r="F8" i="62"/>
  <c r="E8" i="62"/>
  <c r="AM8" i="62"/>
  <c r="AL8" i="62"/>
  <c r="G24" i="9" l="1"/>
  <c r="M71" i="8" s="1"/>
  <c r="C24" i="9"/>
  <c r="N22" i="8" s="1"/>
  <c r="H65" i="9"/>
  <c r="N71" i="8"/>
  <c r="G65" i="9" l="1"/>
  <c r="C65" i="9"/>
  <c r="B24" i="9"/>
  <c r="M22" i="8" l="1"/>
  <c r="D24" i="9"/>
  <c r="B65" i="9"/>
  <c r="D65" i="9" s="1"/>
  <c r="D54" i="76" l="1"/>
  <c r="D54" i="77"/>
  <c r="D55" i="77"/>
  <c r="D57" i="76"/>
  <c r="D48" i="76"/>
  <c r="H13" i="9"/>
  <c r="D48" i="77"/>
  <c r="G13" i="9"/>
  <c r="D53" i="77" l="1"/>
  <c r="D56" i="76"/>
  <c r="D53" i="76"/>
  <c r="M61" i="8"/>
  <c r="G54" i="9"/>
  <c r="H54" i="9"/>
  <c r="N61" i="8"/>
  <c r="D49" i="77"/>
  <c r="C13" i="9"/>
  <c r="H9" i="9"/>
  <c r="G9" i="9"/>
  <c r="C54" i="9" l="1"/>
  <c r="N11" i="8"/>
  <c r="B13" i="9"/>
  <c r="M11" i="8" s="1"/>
  <c r="H50" i="9"/>
  <c r="N57" i="8"/>
  <c r="C9" i="9"/>
  <c r="D47" i="76"/>
  <c r="B9" i="9"/>
  <c r="M7" i="8" s="1"/>
  <c r="G50" i="9"/>
  <c r="M57" i="8"/>
  <c r="D47" i="77"/>
  <c r="N7" i="8" l="1"/>
  <c r="C50" i="9"/>
  <c r="D9" i="9"/>
  <c r="B50" i="9"/>
  <c r="D13" i="9"/>
  <c r="B54" i="9"/>
  <c r="D54" i="9" s="1"/>
  <c r="D50" i="9" l="1"/>
  <c r="T38" i="68" l="1"/>
  <c r="T39" i="68"/>
  <c r="T40" i="68"/>
  <c r="T41" i="68"/>
  <c r="T42" i="68"/>
  <c r="T43" i="68"/>
  <c r="T44" i="68"/>
  <c r="T45" i="68"/>
  <c r="T47" i="68"/>
  <c r="T48" i="68"/>
  <c r="T46" i="68" l="1"/>
  <c r="AF48" i="68" l="1"/>
  <c r="AF47" i="68"/>
  <c r="AF45" i="68"/>
  <c r="AF44" i="68"/>
  <c r="AF43" i="68"/>
  <c r="AF42" i="68"/>
  <c r="AF41" i="68"/>
  <c r="AF40" i="68"/>
  <c r="AF39" i="68"/>
  <c r="AF38" i="68"/>
  <c r="Z48" i="68"/>
  <c r="Z47" i="68"/>
  <c r="Z45" i="68"/>
  <c r="Z44" i="68"/>
  <c r="Z43" i="68"/>
  <c r="Z42" i="68"/>
  <c r="Z41" i="68"/>
  <c r="Z40" i="68"/>
  <c r="Z39" i="68"/>
  <c r="Z38" i="68"/>
  <c r="W48" i="68"/>
  <c r="W47" i="68"/>
  <c r="W45" i="68"/>
  <c r="W44" i="68"/>
  <c r="W43" i="68"/>
  <c r="W42" i="68"/>
  <c r="W41" i="68"/>
  <c r="W40" i="68"/>
  <c r="W39" i="68"/>
  <c r="W38" i="68"/>
  <c r="AL48" i="68"/>
  <c r="AL47" i="68"/>
  <c r="AL45" i="68"/>
  <c r="AL44" i="68"/>
  <c r="AL43" i="68"/>
  <c r="AL42" i="68"/>
  <c r="AL41" i="68"/>
  <c r="AL40" i="68"/>
  <c r="AL39" i="68"/>
  <c r="AL38" i="68"/>
  <c r="Q48" i="68"/>
  <c r="Q47" i="68"/>
  <c r="Q45" i="68"/>
  <c r="Q44" i="68"/>
  <c r="Q43" i="68"/>
  <c r="Q42" i="68"/>
  <c r="Q41" i="68"/>
  <c r="Q40" i="68"/>
  <c r="Q39" i="68"/>
  <c r="Q38" i="68"/>
  <c r="N48" i="68"/>
  <c r="N47" i="68"/>
  <c r="N45" i="68"/>
  <c r="N44" i="68"/>
  <c r="N43" i="68"/>
  <c r="N42" i="68"/>
  <c r="N41" i="68"/>
  <c r="N40" i="68"/>
  <c r="N39" i="68"/>
  <c r="N38" i="68"/>
  <c r="K48" i="68"/>
  <c r="K47" i="68"/>
  <c r="K45" i="68"/>
  <c r="K44" i="68"/>
  <c r="K43" i="68"/>
  <c r="K42" i="68"/>
  <c r="K41" i="68"/>
  <c r="K40" i="68"/>
  <c r="K39" i="68"/>
  <c r="K38" i="68"/>
  <c r="H48" i="68"/>
  <c r="H47" i="68"/>
  <c r="H46" i="68"/>
  <c r="H45" i="68"/>
  <c r="H44" i="68"/>
  <c r="H43" i="68"/>
  <c r="H42" i="68"/>
  <c r="H41" i="68"/>
  <c r="H40" i="68"/>
  <c r="H39" i="68"/>
  <c r="H38" i="68"/>
  <c r="E48" i="68"/>
  <c r="E47" i="68"/>
  <c r="E45" i="68"/>
  <c r="E44" i="68"/>
  <c r="E43" i="68"/>
  <c r="E42" i="68"/>
  <c r="E41" i="68"/>
  <c r="E40" i="68"/>
  <c r="E39" i="68"/>
  <c r="E38" i="68"/>
  <c r="C45" i="68"/>
  <c r="AP45" i="68" s="1"/>
  <c r="C44" i="68"/>
  <c r="AP44" i="68" s="1"/>
  <c r="C42" i="68"/>
  <c r="AP42" i="68" s="1"/>
  <c r="C41" i="68"/>
  <c r="AP41" i="68" s="1"/>
  <c r="C39" i="68"/>
  <c r="AP39" i="68" s="1"/>
  <c r="AO45" i="68" l="1"/>
  <c r="AO40" i="68"/>
  <c r="AO43" i="68"/>
  <c r="AO39" i="68"/>
  <c r="AO48" i="68"/>
  <c r="AO42" i="68"/>
  <c r="AO44" i="68"/>
  <c r="AO38" i="68"/>
  <c r="AO47" i="68"/>
  <c r="AO41" i="68"/>
  <c r="N46" i="68"/>
  <c r="C37" i="70" l="1"/>
  <c r="AD37" i="70" s="1"/>
  <c r="C36" i="70"/>
  <c r="AD36" i="70" s="1"/>
  <c r="AD31" i="70"/>
  <c r="AD26" i="70"/>
  <c r="AD21" i="70"/>
  <c r="AD16" i="70"/>
  <c r="C39" i="70"/>
  <c r="AD39" i="70" s="1"/>
  <c r="C54" i="69"/>
  <c r="D54" i="69" s="1"/>
  <c r="C51" i="69"/>
  <c r="C49" i="69"/>
  <c r="C50" i="69"/>
  <c r="AP32" i="68"/>
  <c r="AP20" i="68"/>
  <c r="C47" i="68"/>
  <c r="AP47" i="68" s="1"/>
  <c r="C38" i="68"/>
  <c r="AP38" i="68" s="1"/>
  <c r="AS106" i="66"/>
  <c r="AS94" i="66"/>
  <c r="AS82" i="66"/>
  <c r="AS70" i="66"/>
  <c r="AS56" i="66"/>
  <c r="AS44" i="66"/>
  <c r="AS32" i="66"/>
  <c r="AS20" i="66"/>
  <c r="AD11" i="70" l="1"/>
  <c r="C48" i="68"/>
  <c r="AP48" i="68" s="1"/>
  <c r="C46" i="68"/>
  <c r="AP46" i="68" s="1"/>
  <c r="C43" i="68"/>
  <c r="AP43" i="68" s="1"/>
  <c r="C52" i="69"/>
  <c r="C40" i="68"/>
  <c r="AP40" i="68" s="1"/>
  <c r="C48" i="69"/>
  <c r="AG8" i="71"/>
  <c r="AF8" i="71"/>
  <c r="AD8" i="71"/>
  <c r="AC8" i="71"/>
  <c r="AA8" i="71"/>
  <c r="Z8" i="71"/>
  <c r="X8" i="71"/>
  <c r="W8" i="71"/>
  <c r="U8" i="71"/>
  <c r="T8" i="71"/>
  <c r="R8" i="71"/>
  <c r="Q8" i="71"/>
  <c r="O8" i="71"/>
  <c r="N8" i="71"/>
  <c r="L8" i="71"/>
  <c r="K8" i="71"/>
  <c r="I8" i="71"/>
  <c r="H8" i="71"/>
  <c r="F8" i="71"/>
  <c r="E8" i="71"/>
  <c r="AG8" i="70"/>
  <c r="AF8" i="70"/>
  <c r="AD8" i="70"/>
  <c r="AC8" i="70"/>
  <c r="AA8" i="70"/>
  <c r="Z8" i="70"/>
  <c r="X8" i="70"/>
  <c r="W8" i="70"/>
  <c r="U8" i="70"/>
  <c r="T8" i="70"/>
  <c r="R8" i="70"/>
  <c r="Q8" i="70"/>
  <c r="O8" i="70"/>
  <c r="N8" i="70"/>
  <c r="L8" i="70"/>
  <c r="K8" i="70"/>
  <c r="I8" i="70"/>
  <c r="H8" i="70"/>
  <c r="F8" i="70"/>
  <c r="E8" i="70"/>
  <c r="AM8" i="69"/>
  <c r="AL8" i="69"/>
  <c r="AG8" i="69"/>
  <c r="AF8" i="69"/>
  <c r="AD8" i="69"/>
  <c r="AC8" i="69"/>
  <c r="AA8" i="69"/>
  <c r="Z8" i="69"/>
  <c r="X8" i="69"/>
  <c r="W8" i="69"/>
  <c r="AJ8" i="69"/>
  <c r="AI8" i="69"/>
  <c r="U8" i="69"/>
  <c r="T8" i="69"/>
  <c r="R8" i="69"/>
  <c r="Q8" i="69"/>
  <c r="O8" i="69"/>
  <c r="N8" i="69"/>
  <c r="L8" i="69"/>
  <c r="K8" i="69"/>
  <c r="I8" i="69"/>
  <c r="H8" i="69"/>
  <c r="F8" i="69"/>
  <c r="E8" i="69"/>
  <c r="AS9" i="68"/>
  <c r="AR9" i="68"/>
  <c r="AP9" i="68"/>
  <c r="AO9" i="68"/>
  <c r="AJ9" i="68"/>
  <c r="AI9" i="68"/>
  <c r="AG9" i="68"/>
  <c r="AF9" i="68"/>
  <c r="AD9" i="68"/>
  <c r="AC9" i="68"/>
  <c r="AA9" i="68"/>
  <c r="Z9" i="68"/>
  <c r="X9" i="68"/>
  <c r="W9" i="68"/>
  <c r="AM9" i="68"/>
  <c r="AL9" i="68"/>
  <c r="U9" i="68"/>
  <c r="T9" i="68"/>
  <c r="R9" i="68"/>
  <c r="Q9" i="68"/>
  <c r="O9" i="68"/>
  <c r="N9" i="68"/>
  <c r="L9" i="68"/>
  <c r="K9" i="68"/>
  <c r="I9" i="68"/>
  <c r="H9" i="68"/>
  <c r="F9" i="68"/>
  <c r="E9" i="68"/>
  <c r="AS9" i="67"/>
  <c r="AR9" i="67"/>
  <c r="AP9" i="67"/>
  <c r="AO9" i="67"/>
  <c r="AJ9" i="67"/>
  <c r="AI9" i="67"/>
  <c r="AG9" i="67"/>
  <c r="AF9" i="67"/>
  <c r="AD9" i="67"/>
  <c r="AC9" i="67"/>
  <c r="AA9" i="67"/>
  <c r="Z9" i="67"/>
  <c r="X9" i="67"/>
  <c r="W9" i="67"/>
  <c r="AM9" i="67"/>
  <c r="AL9" i="67"/>
  <c r="U9" i="67"/>
  <c r="T9" i="67"/>
  <c r="R9" i="67"/>
  <c r="Q9" i="67"/>
  <c r="O9" i="67"/>
  <c r="N9" i="67"/>
  <c r="L9" i="67"/>
  <c r="K9" i="67"/>
  <c r="I9" i="67"/>
  <c r="H9" i="67"/>
  <c r="F9" i="67"/>
  <c r="E9" i="67"/>
  <c r="AS9" i="66"/>
  <c r="AR9" i="66"/>
  <c r="AP9" i="66"/>
  <c r="AO9" i="66"/>
  <c r="AJ9" i="66"/>
  <c r="AI9" i="66"/>
  <c r="AG9" i="66"/>
  <c r="AF9" i="66"/>
  <c r="AD9" i="66"/>
  <c r="AC9" i="66"/>
  <c r="AA9" i="66"/>
  <c r="Z9" i="66"/>
  <c r="X9" i="66"/>
  <c r="W9" i="66"/>
  <c r="AM9" i="66"/>
  <c r="AL9" i="66"/>
  <c r="U9" i="66"/>
  <c r="T9" i="66"/>
  <c r="R9" i="66"/>
  <c r="Q9" i="66"/>
  <c r="O9" i="66"/>
  <c r="N9" i="66"/>
  <c r="L9" i="66"/>
  <c r="K9" i="66"/>
  <c r="I9" i="66"/>
  <c r="H9" i="66"/>
  <c r="F9" i="66"/>
  <c r="E9" i="66"/>
  <c r="C35" i="70" l="1"/>
  <c r="AD35" i="70" s="1"/>
  <c r="W46" i="68"/>
  <c r="N131" i="8"/>
  <c r="M131" i="8"/>
  <c r="N108" i="8"/>
  <c r="M108" i="8"/>
  <c r="N83" i="8"/>
  <c r="M83" i="8"/>
  <c r="N77" i="8"/>
  <c r="M77" i="8"/>
  <c r="N56" i="8"/>
  <c r="M56" i="8"/>
  <c r="N36" i="8"/>
  <c r="M36" i="8"/>
  <c r="G73" i="9" l="1"/>
  <c r="H73" i="9"/>
  <c r="O74" i="9"/>
  <c r="M74" i="9"/>
  <c r="L74" i="9"/>
  <c r="N74" i="9"/>
  <c r="AM46" i="69" l="1"/>
  <c r="AM45" i="69"/>
  <c r="AM43" i="69"/>
  <c r="AM40" i="69"/>
  <c r="AM39" i="69"/>
  <c r="AM37" i="69"/>
  <c r="AM36" i="69"/>
  <c r="AM33" i="69"/>
  <c r="AM32" i="69"/>
  <c r="AM30" i="69"/>
  <c r="AM28" i="69"/>
  <c r="AM26" i="69"/>
  <c r="AM25" i="69"/>
  <c r="AM24" i="69"/>
  <c r="AM21" i="69"/>
  <c r="AM20" i="69"/>
  <c r="AM19" i="69"/>
  <c r="AM17" i="69"/>
  <c r="AM16" i="69"/>
  <c r="AM15" i="69"/>
  <c r="AM14" i="69"/>
  <c r="AM13" i="69"/>
  <c r="AM12" i="69"/>
  <c r="AL46" i="69"/>
  <c r="AL45" i="69"/>
  <c r="AL44" i="69"/>
  <c r="AL43" i="69"/>
  <c r="AL40" i="69"/>
  <c r="AL39" i="69"/>
  <c r="AL38" i="69"/>
  <c r="AL37" i="69"/>
  <c r="AL36" i="69"/>
  <c r="AL34" i="69"/>
  <c r="AL33" i="69"/>
  <c r="AL32" i="69"/>
  <c r="AL31" i="69"/>
  <c r="AL30" i="69"/>
  <c r="AL29" i="69"/>
  <c r="AL28" i="69"/>
  <c r="AL27" i="69"/>
  <c r="AL26" i="69"/>
  <c r="AL25" i="69"/>
  <c r="AL24" i="69"/>
  <c r="AL22" i="69"/>
  <c r="AL21" i="69"/>
  <c r="AL20" i="69"/>
  <c r="AL19" i="69"/>
  <c r="AL18" i="69"/>
  <c r="AL17" i="69"/>
  <c r="AL16" i="69"/>
  <c r="AL15" i="69"/>
  <c r="AL14" i="69"/>
  <c r="AL13" i="69"/>
  <c r="AL12" i="69"/>
  <c r="J55" i="69"/>
  <c r="J54" i="69"/>
  <c r="J51" i="69"/>
  <c r="J50" i="69"/>
  <c r="J49" i="69"/>
  <c r="J35" i="69"/>
  <c r="J27" i="69"/>
  <c r="J23" i="69"/>
  <c r="J17" i="69"/>
  <c r="J15" i="69"/>
  <c r="J11" i="69"/>
  <c r="AS34" i="68"/>
  <c r="AS29" i="68"/>
  <c r="AS26" i="68"/>
  <c r="AS24" i="68"/>
  <c r="AS22" i="68"/>
  <c r="AS17" i="68"/>
  <c r="AS14" i="68"/>
  <c r="AS12" i="68"/>
  <c r="AR34" i="68"/>
  <c r="AR29" i="68"/>
  <c r="AR26" i="68"/>
  <c r="AR24" i="68"/>
  <c r="AR22" i="68"/>
  <c r="AR17" i="68"/>
  <c r="AR14" i="68"/>
  <c r="AR12" i="68"/>
  <c r="J48" i="68"/>
  <c r="J47" i="68"/>
  <c r="J45" i="68"/>
  <c r="J44" i="68"/>
  <c r="J42" i="68"/>
  <c r="J41" i="68"/>
  <c r="J40" i="68"/>
  <c r="J39" i="68"/>
  <c r="J34" i="68"/>
  <c r="J32" i="68"/>
  <c r="J29" i="68"/>
  <c r="J26" i="68"/>
  <c r="J24" i="68"/>
  <c r="J22" i="68"/>
  <c r="J17" i="68"/>
  <c r="J14" i="68"/>
  <c r="J12" i="68"/>
  <c r="AS144" i="67"/>
  <c r="AS143" i="67"/>
  <c r="AS141" i="67"/>
  <c r="AS140" i="67"/>
  <c r="AS139" i="67"/>
  <c r="AS138" i="67"/>
  <c r="AS137" i="67"/>
  <c r="AS136" i="67"/>
  <c r="AS135" i="67"/>
  <c r="AS134" i="67"/>
  <c r="AS133" i="67"/>
  <c r="AS129" i="67"/>
  <c r="AS127" i="67"/>
  <c r="AS126" i="67"/>
  <c r="AS125" i="67"/>
  <c r="AS124" i="67"/>
  <c r="AS123" i="67"/>
  <c r="AS121" i="67"/>
  <c r="AS120" i="67"/>
  <c r="AS119" i="67"/>
  <c r="AS115" i="67"/>
  <c r="AS114" i="67"/>
  <c r="AS112" i="67"/>
  <c r="AS111" i="67"/>
  <c r="AS109" i="67"/>
  <c r="AS107" i="67"/>
  <c r="AS103" i="67"/>
  <c r="AS102" i="67"/>
  <c r="AS100" i="67"/>
  <c r="AS99" i="67"/>
  <c r="AS97" i="67"/>
  <c r="AS95" i="67"/>
  <c r="AS94" i="67"/>
  <c r="AS91" i="67"/>
  <c r="AS90" i="67"/>
  <c r="AS89" i="67"/>
  <c r="AS88" i="67"/>
  <c r="AS87" i="67"/>
  <c r="AS86" i="67"/>
  <c r="AS85" i="67"/>
  <c r="AS84" i="67"/>
  <c r="AS83" i="67"/>
  <c r="AS82" i="67"/>
  <c r="AS81" i="67"/>
  <c r="AS79" i="67"/>
  <c r="AS78" i="67"/>
  <c r="AS77" i="67"/>
  <c r="AS76" i="67"/>
  <c r="AS75" i="67"/>
  <c r="AS74" i="67"/>
  <c r="AS73" i="67"/>
  <c r="AS72" i="67"/>
  <c r="AS71" i="67"/>
  <c r="AS67" i="67"/>
  <c r="AS66" i="67"/>
  <c r="AS63" i="67"/>
  <c r="AS61" i="67"/>
  <c r="AS59" i="67"/>
  <c r="AS57" i="67"/>
  <c r="AS55" i="67"/>
  <c r="AS54" i="67"/>
  <c r="AS52" i="67"/>
  <c r="AS51" i="67"/>
  <c r="AS49" i="67"/>
  <c r="AS47" i="67"/>
  <c r="AS43" i="67"/>
  <c r="AS42" i="67"/>
  <c r="AS41" i="67"/>
  <c r="AS39" i="67"/>
  <c r="AS37" i="67"/>
  <c r="AS35" i="67"/>
  <c r="AS34" i="67"/>
  <c r="AS33" i="67"/>
  <c r="AS31" i="67"/>
  <c r="AS30" i="67"/>
  <c r="AS29" i="67"/>
  <c r="AS28" i="67"/>
  <c r="AS27" i="67"/>
  <c r="AS26" i="67"/>
  <c r="AS25" i="67"/>
  <c r="AS24" i="67"/>
  <c r="AS23" i="67"/>
  <c r="AS22" i="67"/>
  <c r="AS19" i="67"/>
  <c r="AS18" i="67"/>
  <c r="AS17" i="67"/>
  <c r="AS16" i="67"/>
  <c r="AS15" i="67"/>
  <c r="AS14" i="67"/>
  <c r="AS13" i="67"/>
  <c r="AS12" i="67"/>
  <c r="AR144" i="67"/>
  <c r="AR143" i="67"/>
  <c r="AR141" i="67"/>
  <c r="AR140" i="67"/>
  <c r="AR139" i="67"/>
  <c r="AR138" i="67"/>
  <c r="AR137" i="67"/>
  <c r="AR136" i="67"/>
  <c r="AR135" i="67"/>
  <c r="AR134" i="67"/>
  <c r="AR133" i="67"/>
  <c r="AR132" i="67"/>
  <c r="AR131" i="67"/>
  <c r="AR129" i="67"/>
  <c r="AR128" i="67"/>
  <c r="AR127" i="67"/>
  <c r="AR126" i="67"/>
  <c r="AR125" i="67"/>
  <c r="AR124" i="67"/>
  <c r="AR123" i="67"/>
  <c r="AR122" i="67"/>
  <c r="AR121" i="67"/>
  <c r="AR120" i="67"/>
  <c r="AR119" i="67"/>
  <c r="AR118" i="67"/>
  <c r="AR117" i="67"/>
  <c r="AR115" i="67"/>
  <c r="AR114" i="67"/>
  <c r="AR113" i="67"/>
  <c r="AR112" i="67"/>
  <c r="AR111" i="67"/>
  <c r="AR110" i="67"/>
  <c r="AR109" i="67"/>
  <c r="AR108" i="67"/>
  <c r="AR107" i="67"/>
  <c r="AR106" i="67"/>
  <c r="AR105" i="67"/>
  <c r="AR103" i="67"/>
  <c r="AR102" i="67"/>
  <c r="AR101" i="67"/>
  <c r="AR100" i="67"/>
  <c r="AR99" i="67"/>
  <c r="AR98" i="67"/>
  <c r="AR97" i="67"/>
  <c r="AR96" i="67"/>
  <c r="AR95" i="67"/>
  <c r="AR94" i="67"/>
  <c r="AR93" i="67"/>
  <c r="AR91" i="67"/>
  <c r="AR90" i="67"/>
  <c r="AR89" i="67"/>
  <c r="AR88" i="67"/>
  <c r="AR87" i="67"/>
  <c r="AR86" i="67"/>
  <c r="AR85" i="67"/>
  <c r="AR84" i="67"/>
  <c r="AR83" i="67"/>
  <c r="AR82" i="67"/>
  <c r="AR81" i="67"/>
  <c r="AR79" i="67"/>
  <c r="AR78" i="67"/>
  <c r="AR77" i="67"/>
  <c r="AR76" i="67"/>
  <c r="AR75" i="67"/>
  <c r="AR74" i="67"/>
  <c r="AR73" i="67"/>
  <c r="AR72" i="67"/>
  <c r="AR71" i="67"/>
  <c r="AR70" i="67"/>
  <c r="AR69" i="67"/>
  <c r="AR67" i="67"/>
  <c r="AR66" i="67"/>
  <c r="AR65" i="67"/>
  <c r="AR64" i="67"/>
  <c r="AR63" i="67"/>
  <c r="AR62" i="67"/>
  <c r="AR61" i="67"/>
  <c r="AR60" i="67"/>
  <c r="AR59" i="67"/>
  <c r="AR58" i="67"/>
  <c r="AR57" i="67"/>
  <c r="AR55" i="67"/>
  <c r="AR54" i="67"/>
  <c r="AR53" i="67"/>
  <c r="AR52" i="67"/>
  <c r="AR51" i="67"/>
  <c r="AR50" i="67"/>
  <c r="AR49" i="67"/>
  <c r="AR48" i="67"/>
  <c r="AR47" i="67"/>
  <c r="AR46" i="67"/>
  <c r="AR45" i="67"/>
  <c r="AR43" i="67"/>
  <c r="AR42" i="67"/>
  <c r="AR41" i="67"/>
  <c r="AR40" i="67"/>
  <c r="AR39" i="67"/>
  <c r="AR37" i="67"/>
  <c r="AR35" i="67"/>
  <c r="AR34" i="67"/>
  <c r="AR33" i="67"/>
  <c r="AR32" i="67"/>
  <c r="AR31" i="67"/>
  <c r="AR30" i="67"/>
  <c r="AR29" i="67"/>
  <c r="AR28" i="67"/>
  <c r="AR27" i="67"/>
  <c r="AR26" i="67"/>
  <c r="AR25" i="67"/>
  <c r="AR24" i="67"/>
  <c r="AR23" i="67"/>
  <c r="AR22" i="67"/>
  <c r="AR21" i="67"/>
  <c r="AR19" i="67"/>
  <c r="AR18" i="67"/>
  <c r="AR17" i="67"/>
  <c r="AR16" i="67"/>
  <c r="AR15" i="67"/>
  <c r="AR14" i="67"/>
  <c r="AR13" i="67"/>
  <c r="AR12" i="67"/>
  <c r="AP144" i="67"/>
  <c r="AP143" i="67"/>
  <c r="AP141" i="67"/>
  <c r="AP140" i="67"/>
  <c r="AP139" i="67"/>
  <c r="AP138" i="67"/>
  <c r="AP137" i="67"/>
  <c r="AP136" i="67"/>
  <c r="AP135" i="67"/>
  <c r="AP134" i="67"/>
  <c r="AP129" i="67"/>
  <c r="AP127" i="67"/>
  <c r="AP126" i="67"/>
  <c r="AP125" i="67"/>
  <c r="AP124" i="67"/>
  <c r="AP123" i="67"/>
  <c r="AP115" i="67"/>
  <c r="AP114" i="67"/>
  <c r="AP112" i="67"/>
  <c r="AP111" i="67"/>
  <c r="AP109" i="67"/>
  <c r="AP103" i="67"/>
  <c r="AP102" i="67"/>
  <c r="AP100" i="67"/>
  <c r="AP99" i="67"/>
  <c r="AP97" i="67"/>
  <c r="AP94" i="67"/>
  <c r="AP91" i="67"/>
  <c r="AP90" i="67"/>
  <c r="AP89" i="67"/>
  <c r="AP88" i="67"/>
  <c r="AP87" i="67"/>
  <c r="AP86" i="67"/>
  <c r="AP85" i="67"/>
  <c r="AP84" i="67"/>
  <c r="AP83" i="67"/>
  <c r="AP82" i="67"/>
  <c r="AP81" i="67"/>
  <c r="AP79" i="67"/>
  <c r="AP78" i="67"/>
  <c r="AP77" i="67"/>
  <c r="AP76" i="67"/>
  <c r="AP75" i="67"/>
  <c r="AP74" i="67"/>
  <c r="AP73" i="67"/>
  <c r="AP72" i="67"/>
  <c r="AP71" i="67"/>
  <c r="AP67" i="67"/>
  <c r="AP66" i="67"/>
  <c r="AP63" i="67"/>
  <c r="AP61" i="67"/>
  <c r="AP59" i="67"/>
  <c r="AP57" i="67"/>
  <c r="AP55" i="67"/>
  <c r="AP54" i="67"/>
  <c r="AP52" i="67"/>
  <c r="AP51" i="67"/>
  <c r="AP49" i="67"/>
  <c r="AP43" i="67"/>
  <c r="AP42" i="67"/>
  <c r="AP41" i="67"/>
  <c r="AP39" i="67"/>
  <c r="AP37" i="67"/>
  <c r="AP34" i="67"/>
  <c r="AP33" i="67"/>
  <c r="AP31" i="67"/>
  <c r="AP30" i="67"/>
  <c r="AP29" i="67"/>
  <c r="AP28" i="67"/>
  <c r="AP27" i="67"/>
  <c r="AP26" i="67"/>
  <c r="AP25" i="67"/>
  <c r="AP24" i="67"/>
  <c r="AP22" i="67"/>
  <c r="AP19" i="67"/>
  <c r="AP18" i="67"/>
  <c r="AP17" i="67"/>
  <c r="AP16" i="67"/>
  <c r="AP15" i="67"/>
  <c r="AP14" i="67"/>
  <c r="AP13" i="67"/>
  <c r="AP12" i="67"/>
  <c r="AP108" i="66"/>
  <c r="AP107" i="66"/>
  <c r="AP105" i="66"/>
  <c r="AP104" i="66"/>
  <c r="AP103" i="66"/>
  <c r="AP102" i="66"/>
  <c r="AP101" i="66"/>
  <c r="AP100" i="66"/>
  <c r="AP99" i="66"/>
  <c r="AP98" i="66"/>
  <c r="AP96" i="66"/>
  <c r="AP95" i="66"/>
  <c r="AP93" i="66"/>
  <c r="AP92" i="66"/>
  <c r="AP91" i="66"/>
  <c r="AP90" i="66"/>
  <c r="AP89" i="66"/>
  <c r="AP88" i="66"/>
  <c r="AP87" i="66"/>
  <c r="AP86" i="66"/>
  <c r="AP84" i="66"/>
  <c r="AP83" i="66"/>
  <c r="AP81" i="66"/>
  <c r="AP80" i="66"/>
  <c r="AP79" i="66"/>
  <c r="AP78" i="66"/>
  <c r="AP77" i="66"/>
  <c r="AP76" i="66"/>
  <c r="AP75" i="66"/>
  <c r="AP74" i="66"/>
  <c r="AP72" i="66"/>
  <c r="AP71" i="66"/>
  <c r="AP69" i="66"/>
  <c r="AP68" i="66"/>
  <c r="AP67" i="66"/>
  <c r="AP66" i="66"/>
  <c r="AP65" i="66"/>
  <c r="AP64" i="66"/>
  <c r="AP63" i="66"/>
  <c r="AP62" i="66"/>
  <c r="AP58" i="66"/>
  <c r="AP57" i="66"/>
  <c r="AP55" i="66"/>
  <c r="AP54" i="66"/>
  <c r="AP53" i="66"/>
  <c r="AP52" i="66"/>
  <c r="AP51" i="66"/>
  <c r="AP50" i="66"/>
  <c r="AP49" i="66"/>
  <c r="AP48" i="66"/>
  <c r="AP46" i="66"/>
  <c r="AP45" i="66"/>
  <c r="AP43" i="66"/>
  <c r="AP42" i="66"/>
  <c r="AP41" i="66"/>
  <c r="AP40" i="66"/>
  <c r="AP39" i="66"/>
  <c r="AP38" i="66"/>
  <c r="AP37" i="66"/>
  <c r="AP36" i="66"/>
  <c r="AP34" i="66"/>
  <c r="AP33" i="66"/>
  <c r="AP31" i="66"/>
  <c r="AP30" i="66"/>
  <c r="AP29" i="66"/>
  <c r="AP28" i="66"/>
  <c r="AP27" i="66"/>
  <c r="AP26" i="66"/>
  <c r="AP25" i="66"/>
  <c r="AP24" i="66"/>
  <c r="AP22" i="66"/>
  <c r="AP19" i="66"/>
  <c r="AP18" i="66"/>
  <c r="AP17" i="66"/>
  <c r="AP16" i="66"/>
  <c r="AP15" i="66"/>
  <c r="AP14" i="66"/>
  <c r="AP13" i="66"/>
  <c r="AP12" i="66"/>
  <c r="AO108" i="66"/>
  <c r="AO107" i="66"/>
  <c r="AO105" i="66"/>
  <c r="AO104" i="66"/>
  <c r="AO103" i="66"/>
  <c r="AO102" i="66"/>
  <c r="AO101" i="66"/>
  <c r="AO100" i="66"/>
  <c r="AO99" i="66"/>
  <c r="AO98" i="66"/>
  <c r="AO96" i="66"/>
  <c r="AO95" i="66"/>
  <c r="AO93" i="66"/>
  <c r="AO92" i="66"/>
  <c r="AO91" i="66"/>
  <c r="AO90" i="66"/>
  <c r="AO89" i="66"/>
  <c r="AO88" i="66"/>
  <c r="AO87" i="66"/>
  <c r="AO86" i="66"/>
  <c r="AO84" i="66"/>
  <c r="AO83" i="66"/>
  <c r="AO81" i="66"/>
  <c r="AO80" i="66"/>
  <c r="AO79" i="66"/>
  <c r="AO78" i="66"/>
  <c r="AO77" i="66"/>
  <c r="AO76" i="66"/>
  <c r="AO75" i="66"/>
  <c r="AO74" i="66"/>
  <c r="AO72" i="66"/>
  <c r="AO71" i="66"/>
  <c r="AO69" i="66"/>
  <c r="AO68" i="66"/>
  <c r="AO67" i="66"/>
  <c r="AO66" i="66"/>
  <c r="AO65" i="66"/>
  <c r="AO64" i="66"/>
  <c r="AO63" i="66"/>
  <c r="AO62" i="66"/>
  <c r="AO58" i="66"/>
  <c r="AO57" i="66"/>
  <c r="AO55" i="66"/>
  <c r="AO54" i="66"/>
  <c r="AO53" i="66"/>
  <c r="AO52" i="66"/>
  <c r="AO51" i="66"/>
  <c r="AO50" i="66"/>
  <c r="AO49" i="66"/>
  <c r="AO48" i="66"/>
  <c r="AO46" i="66"/>
  <c r="AO45" i="66"/>
  <c r="AO43" i="66"/>
  <c r="AO42" i="66"/>
  <c r="AO41" i="66"/>
  <c r="AO40" i="66"/>
  <c r="AO39" i="66"/>
  <c r="AO38" i="66"/>
  <c r="AO37" i="66"/>
  <c r="AO36" i="66"/>
  <c r="AO34" i="66"/>
  <c r="AO33" i="66"/>
  <c r="AO31" i="66"/>
  <c r="AO30" i="66"/>
  <c r="AO29" i="66"/>
  <c r="AO28" i="66"/>
  <c r="AO27" i="66"/>
  <c r="AO26" i="66"/>
  <c r="AO25" i="66"/>
  <c r="AO24" i="66"/>
  <c r="AO22" i="66"/>
  <c r="AO21" i="66"/>
  <c r="AO19" i="66"/>
  <c r="AO18" i="66"/>
  <c r="AO17" i="66"/>
  <c r="AO16" i="66"/>
  <c r="AO15" i="66"/>
  <c r="AO14" i="66"/>
  <c r="AO13" i="66"/>
  <c r="AO12" i="66"/>
  <c r="J46" i="66"/>
  <c r="J41" i="66"/>
  <c r="J38" i="66"/>
  <c r="J36" i="66"/>
  <c r="K8" i="74" l="1"/>
  <c r="H32" i="9"/>
  <c r="G32" i="9"/>
  <c r="M78" i="8" s="1"/>
  <c r="D8" i="74"/>
  <c r="J8" i="74"/>
  <c r="J43" i="68"/>
  <c r="J48" i="69"/>
  <c r="J38" i="68"/>
  <c r="J20" i="68"/>
  <c r="J44" i="66"/>
  <c r="K7" i="74"/>
  <c r="J7" i="74"/>
  <c r="D48" i="74"/>
  <c r="D7" i="74"/>
  <c r="L8" i="74" l="1"/>
  <c r="C32" i="9"/>
  <c r="L7" i="74"/>
  <c r="D47" i="74"/>
  <c r="H74" i="9"/>
  <c r="N78" i="8"/>
  <c r="B32" i="9"/>
  <c r="M30" i="8" s="1"/>
  <c r="G74" i="9"/>
  <c r="J46" i="68"/>
  <c r="B74" i="9" l="1"/>
  <c r="E29" i="4" l="1"/>
  <c r="B22" i="4"/>
  <c r="B29" i="4"/>
  <c r="C29" i="4"/>
  <c r="E22" i="4"/>
  <c r="C22" i="4"/>
  <c r="F22" i="4"/>
  <c r="F29" i="4"/>
  <c r="AM38" i="69"/>
  <c r="E22" i="79" l="1"/>
  <c r="E29" i="79"/>
  <c r="E46" i="68"/>
  <c r="AM22" i="69"/>
  <c r="AM34" i="69"/>
  <c r="K46" i="68" l="1"/>
  <c r="AF46" i="68" l="1"/>
  <c r="AS40" i="67"/>
  <c r="AP40" i="67"/>
  <c r="AS106" i="67"/>
  <c r="AP106" i="67"/>
  <c r="AR43" i="68"/>
  <c r="AR48" i="68"/>
  <c r="AS60" i="67"/>
  <c r="AP60" i="67"/>
  <c r="AP62" i="67"/>
  <c r="AS62" i="67"/>
  <c r="AR39" i="68"/>
  <c r="AP45" i="67"/>
  <c r="AS45" i="67"/>
  <c r="AP64" i="67"/>
  <c r="AS64" i="67"/>
  <c r="AR44" i="68"/>
  <c r="AP46" i="67"/>
  <c r="AS46" i="67"/>
  <c r="AS65" i="67"/>
  <c r="AP65" i="67"/>
  <c r="AP96" i="67"/>
  <c r="AS96" i="67"/>
  <c r="AR40" i="68"/>
  <c r="AR32" i="68"/>
  <c r="AP38" i="67"/>
  <c r="AS38" i="67"/>
  <c r="AP105" i="67"/>
  <c r="AS105" i="67"/>
  <c r="AR41" i="68"/>
  <c r="AR45" i="68"/>
  <c r="AS98" i="67"/>
  <c r="AP98" i="67"/>
  <c r="AP69" i="67"/>
  <c r="AS69" i="67"/>
  <c r="AP101" i="67"/>
  <c r="AS101" i="67"/>
  <c r="AR38" i="68"/>
  <c r="AS36" i="67"/>
  <c r="AP36" i="67"/>
  <c r="AP70" i="67"/>
  <c r="AS70" i="67"/>
  <c r="AR42" i="68"/>
  <c r="AR47" i="68"/>
  <c r="Q46" i="68" l="1"/>
  <c r="AM18" i="69" l="1"/>
  <c r="AR20" i="68" l="1"/>
  <c r="AS132" i="67"/>
  <c r="AP132" i="67"/>
  <c r="AR142" i="67"/>
  <c r="AL46" i="68" l="1"/>
  <c r="Z46" i="68"/>
  <c r="AO46" i="68" s="1"/>
  <c r="AS122" i="67" l="1"/>
  <c r="AP122" i="67"/>
  <c r="AS128" i="67"/>
  <c r="AP128" i="67"/>
  <c r="AS47" i="68" l="1"/>
  <c r="AS45" i="68"/>
  <c r="AS41" i="68"/>
  <c r="AS44" i="68"/>
  <c r="AS39" i="68"/>
  <c r="AS42" i="68"/>
  <c r="AS38" i="68"/>
  <c r="AS43" i="68"/>
  <c r="AL53" i="69"/>
  <c r="AL51" i="69"/>
  <c r="AP21" i="66" l="1"/>
  <c r="AR36" i="67"/>
  <c r="AR68" i="67"/>
  <c r="AR38" i="67"/>
  <c r="AS108" i="67"/>
  <c r="AP108" i="67"/>
  <c r="AS131" i="67"/>
  <c r="AP131" i="67"/>
  <c r="AR130" i="67"/>
  <c r="AM44" i="69"/>
  <c r="AS48" i="67"/>
  <c r="AP48" i="67"/>
  <c r="AR116" i="67"/>
  <c r="AP113" i="67"/>
  <c r="AS113" i="67"/>
  <c r="AP53" i="67"/>
  <c r="AS53" i="67"/>
  <c r="AP117" i="67"/>
  <c r="AS117" i="67"/>
  <c r="AR80" i="67"/>
  <c r="AP110" i="67"/>
  <c r="AS110" i="67"/>
  <c r="AP21" i="67"/>
  <c r="AS21" i="67"/>
  <c r="AP93" i="67"/>
  <c r="AS93" i="67"/>
  <c r="AP118" i="67"/>
  <c r="AS118" i="67"/>
  <c r="AR44" i="67" l="1"/>
  <c r="AL54" i="69" l="1"/>
  <c r="AL49" i="69"/>
  <c r="AO56" i="66" l="1"/>
  <c r="AO20" i="66"/>
  <c r="AR20" i="67"/>
  <c r="AO32" i="66"/>
  <c r="AO82" i="66"/>
  <c r="AR104" i="67"/>
  <c r="AO70" i="66"/>
  <c r="AO44" i="66"/>
  <c r="AM55" i="69" l="1"/>
  <c r="AL55" i="69"/>
  <c r="AM54" i="69"/>
  <c r="AM53" i="69"/>
  <c r="AM52" i="69"/>
  <c r="AL52" i="69"/>
  <c r="AM51" i="69"/>
  <c r="AM50" i="69"/>
  <c r="AL50" i="69"/>
  <c r="AM49" i="69"/>
  <c r="AM42" i="69"/>
  <c r="AL42" i="69"/>
  <c r="AM35" i="69"/>
  <c r="AL35" i="69"/>
  <c r="AM31" i="69"/>
  <c r="AM29" i="69"/>
  <c r="AM27" i="69"/>
  <c r="AL23" i="69"/>
  <c r="AM11" i="69"/>
  <c r="AL11" i="69"/>
  <c r="AP20" i="66" l="1"/>
  <c r="AO106" i="66"/>
  <c r="AS68" i="67"/>
  <c r="AP68" i="67"/>
  <c r="AS20" i="68"/>
  <c r="AS58" i="67"/>
  <c r="AP58" i="67"/>
  <c r="AS142" i="67"/>
  <c r="AP142" i="67"/>
  <c r="AP32" i="66"/>
  <c r="AP106" i="66"/>
  <c r="AS80" i="67"/>
  <c r="AP80" i="67"/>
  <c r="AS32" i="68"/>
  <c r="AP44" i="66"/>
  <c r="AR92" i="67"/>
  <c r="AP32" i="67"/>
  <c r="AS32" i="67"/>
  <c r="AP70" i="66"/>
  <c r="AP94" i="66"/>
  <c r="AP44" i="67"/>
  <c r="AS44" i="67"/>
  <c r="AS50" i="67"/>
  <c r="AP50" i="67"/>
  <c r="AS116" i="67"/>
  <c r="AP116" i="67"/>
  <c r="AS20" i="67"/>
  <c r="AP20" i="67"/>
  <c r="AP56" i="66"/>
  <c r="AP92" i="67"/>
  <c r="AS92" i="67"/>
  <c r="AP104" i="67"/>
  <c r="AS104" i="67"/>
  <c r="AP82" i="66"/>
  <c r="AO94" i="66"/>
  <c r="AR56" i="67"/>
  <c r="AP130" i="67"/>
  <c r="AS130" i="67"/>
  <c r="AM23" i="69"/>
  <c r="AM48" i="69"/>
  <c r="AL48" i="69"/>
  <c r="AS40" i="68" l="1"/>
  <c r="AP56" i="67"/>
  <c r="AS56" i="67"/>
  <c r="AR46" i="68"/>
  <c r="AS48" i="68"/>
  <c r="AS46" i="68" l="1"/>
  <c r="K32" i="13" l="1"/>
  <c r="E33" i="4"/>
  <c r="F32" i="4"/>
  <c r="E32" i="4"/>
  <c r="F31" i="4"/>
  <c r="E24" i="4"/>
  <c r="E30" i="4" l="1"/>
  <c r="B24" i="4"/>
  <c r="C25" i="4"/>
  <c r="F33" i="4"/>
  <c r="E31" i="4"/>
  <c r="F24" i="4"/>
  <c r="E25" i="4"/>
  <c r="B25" i="4"/>
  <c r="F30" i="4"/>
  <c r="D23" i="23"/>
  <c r="C24" i="4"/>
  <c r="C30" i="4"/>
  <c r="B31" i="4"/>
  <c r="E26" i="4"/>
  <c r="B32" i="4"/>
  <c r="F23" i="4"/>
  <c r="B30" i="4"/>
  <c r="B23" i="4"/>
  <c r="F25" i="4"/>
  <c r="C31" i="4"/>
  <c r="F26" i="4"/>
  <c r="C32" i="4"/>
  <c r="C23" i="4"/>
  <c r="E23" i="4"/>
  <c r="H23" i="33"/>
  <c r="D23" i="29"/>
  <c r="D30" i="33"/>
  <c r="D25" i="29"/>
  <c r="H25" i="23"/>
  <c r="H24" i="35"/>
  <c r="H24" i="29"/>
  <c r="H24" i="23"/>
  <c r="D25" i="13"/>
  <c r="D31" i="37"/>
  <c r="D32" i="29"/>
  <c r="D31" i="24"/>
  <c r="H30" i="18"/>
  <c r="H30" i="37"/>
  <c r="H30" i="33"/>
  <c r="H30" i="35"/>
  <c r="H30" i="29"/>
  <c r="H30" i="23"/>
  <c r="H30" i="13"/>
  <c r="D23" i="37"/>
  <c r="D23" i="20"/>
  <c r="D30" i="37"/>
  <c r="D30" i="20"/>
  <c r="H23" i="37"/>
  <c r="H24" i="13"/>
  <c r="H31" i="18"/>
  <c r="H31" i="37"/>
  <c r="H31" i="29"/>
  <c r="H31" i="23"/>
  <c r="H31" i="13"/>
  <c r="H25" i="13"/>
  <c r="D31" i="13"/>
  <c r="H32" i="18"/>
  <c r="H32" i="37"/>
  <c r="H32" i="33"/>
  <c r="H32" i="29"/>
  <c r="H32" i="23"/>
  <c r="H33" i="37"/>
  <c r="H33" i="33"/>
  <c r="H33" i="35"/>
  <c r="H33" i="29"/>
  <c r="H33" i="23"/>
  <c r="H23" i="35"/>
  <c r="H23" i="13"/>
  <c r="D30" i="13"/>
  <c r="D31" i="33"/>
  <c r="D31" i="29"/>
  <c r="D32" i="13"/>
  <c r="H33" i="18"/>
  <c r="H24" i="37"/>
  <c r="H24" i="33"/>
  <c r="H31" i="33"/>
  <c r="H31" i="35"/>
  <c r="H25" i="18"/>
  <c r="H25" i="37"/>
  <c r="H25" i="33"/>
  <c r="H25" i="29"/>
  <c r="H32" i="13"/>
  <c r="D24" i="37"/>
  <c r="D24" i="33"/>
  <c r="D24" i="29"/>
  <c r="D24" i="24"/>
  <c r="D24" i="13"/>
  <c r="H26" i="18"/>
  <c r="H26" i="37"/>
  <c r="H26" i="33"/>
  <c r="H26" i="35"/>
  <c r="H26" i="29"/>
  <c r="H26" i="23"/>
  <c r="J30" i="29"/>
  <c r="D30" i="29"/>
  <c r="J30" i="23"/>
  <c r="D30" i="23"/>
  <c r="D23" i="33"/>
  <c r="H23" i="18"/>
  <c r="H23" i="29"/>
  <c r="H23" i="23"/>
  <c r="D23" i="13"/>
  <c r="J30" i="18"/>
  <c r="J33" i="35"/>
  <c r="J33" i="23"/>
  <c r="J33" i="33"/>
  <c r="J33" i="29"/>
  <c r="J25" i="29"/>
  <c r="J25" i="23"/>
  <c r="J25" i="13"/>
  <c r="J32" i="18"/>
  <c r="J32" i="33"/>
  <c r="J32" i="29"/>
  <c r="J32" i="23"/>
  <c r="J26" i="18"/>
  <c r="J26" i="37"/>
  <c r="J26" i="33"/>
  <c r="J26" i="35"/>
  <c r="J26" i="29"/>
  <c r="J26" i="23"/>
  <c r="K23" i="33"/>
  <c r="J33" i="18"/>
  <c r="J33" i="37"/>
  <c r="K31" i="23"/>
  <c r="K25" i="18"/>
  <c r="K25" i="37"/>
  <c r="K25" i="33"/>
  <c r="K25" i="29"/>
  <c r="K25" i="23"/>
  <c r="K25" i="13"/>
  <c r="K23" i="37"/>
  <c r="K23" i="20"/>
  <c r="K32" i="18"/>
  <c r="K32" i="33"/>
  <c r="K32" i="29"/>
  <c r="K32" i="23"/>
  <c r="K33" i="23"/>
  <c r="K26" i="18"/>
  <c r="K26" i="33"/>
  <c r="K26" i="29"/>
  <c r="K23" i="35"/>
  <c r="K23" i="13"/>
  <c r="K33" i="18"/>
  <c r="K33" i="33"/>
  <c r="K33" i="29"/>
  <c r="J23" i="20"/>
  <c r="K26" i="35"/>
  <c r="J23" i="37"/>
  <c r="K26" i="37"/>
  <c r="K26" i="23"/>
  <c r="K31" i="13"/>
  <c r="J23" i="18"/>
  <c r="J23" i="29"/>
  <c r="J23" i="23"/>
  <c r="J25" i="18"/>
  <c r="J25" i="37"/>
  <c r="J25" i="33"/>
  <c r="K24" i="24"/>
  <c r="K24" i="23"/>
  <c r="K24" i="13"/>
  <c r="K31" i="18"/>
  <c r="K31" i="33"/>
  <c r="K31" i="29"/>
  <c r="J23" i="35"/>
  <c r="J23" i="13"/>
  <c r="K30" i="20"/>
  <c r="K30" i="13"/>
  <c r="K24" i="33"/>
  <c r="K24" i="29"/>
  <c r="J31" i="37"/>
  <c r="J31" i="24"/>
  <c r="J31" i="35"/>
  <c r="J31" i="13"/>
  <c r="J24" i="37"/>
  <c r="J24" i="33"/>
  <c r="J24" i="35"/>
  <c r="J24" i="29"/>
  <c r="J24" i="24"/>
  <c r="J24" i="23"/>
  <c r="J24" i="13"/>
  <c r="K23" i="18"/>
  <c r="K23" i="29"/>
  <c r="K23" i="23"/>
  <c r="J31" i="18"/>
  <c r="J31" i="33"/>
  <c r="J31" i="29"/>
  <c r="J31" i="23"/>
  <c r="K24" i="37"/>
  <c r="K24" i="35"/>
  <c r="K30" i="37"/>
  <c r="J30" i="13"/>
  <c r="J23" i="33"/>
  <c r="J30" i="33"/>
  <c r="J30" i="35"/>
  <c r="J32" i="13"/>
  <c r="L32" i="13" s="1"/>
  <c r="J30" i="37"/>
  <c r="J30" i="20"/>
  <c r="J32" i="37"/>
  <c r="K30" i="18"/>
  <c r="K30" i="33"/>
  <c r="K30" i="29"/>
  <c r="K30" i="23"/>
  <c r="K32" i="37"/>
  <c r="K30" i="35"/>
  <c r="K31" i="37"/>
  <c r="K33" i="37"/>
  <c r="K31" i="35"/>
  <c r="K33" i="35"/>
  <c r="K31" i="24"/>
  <c r="L31" i="23" l="1"/>
  <c r="L24" i="35"/>
  <c r="E30" i="79"/>
  <c r="L23" i="33"/>
  <c r="L30" i="37"/>
  <c r="L24" i="23"/>
  <c r="L24" i="29"/>
  <c r="L23" i="35"/>
  <c r="L23" i="20"/>
  <c r="L25" i="18"/>
  <c r="L31" i="29"/>
  <c r="L25" i="23"/>
  <c r="L25" i="29"/>
  <c r="L24" i="33"/>
  <c r="L26" i="33"/>
  <c r="L33" i="23"/>
  <c r="L30" i="35"/>
  <c r="L31" i="18"/>
  <c r="L33" i="18"/>
  <c r="L30" i="20"/>
  <c r="L31" i="13"/>
  <c r="L24" i="13"/>
  <c r="L26" i="35"/>
  <c r="L24" i="37"/>
  <c r="L31" i="37"/>
  <c r="L23" i="23"/>
  <c r="L26" i="37"/>
  <c r="L26" i="29"/>
  <c r="L30" i="29"/>
  <c r="L32" i="37"/>
  <c r="L31" i="33"/>
  <c r="L23" i="13"/>
  <c r="L23" i="29"/>
  <c r="L33" i="37"/>
  <c r="L32" i="23"/>
  <c r="L25" i="13"/>
  <c r="L30" i="18"/>
  <c r="L31" i="35"/>
  <c r="L23" i="18"/>
  <c r="L33" i="29"/>
  <c r="L25" i="33"/>
  <c r="L26" i="23"/>
  <c r="L26" i="18"/>
  <c r="L32" i="29"/>
  <c r="L33" i="33"/>
  <c r="L30" i="13"/>
  <c r="L30" i="33"/>
  <c r="L24" i="24"/>
  <c r="L25" i="37"/>
  <c r="L23" i="37"/>
  <c r="L32" i="33"/>
  <c r="L31" i="24"/>
  <c r="L32" i="18"/>
  <c r="L33" i="35"/>
  <c r="L30" i="23"/>
  <c r="J9" i="72"/>
  <c r="E31" i="13" l="1"/>
  <c r="E31" i="37"/>
  <c r="E31" i="33"/>
  <c r="E31" i="24"/>
  <c r="E31" i="29"/>
  <c r="E23" i="23"/>
  <c r="E23" i="13"/>
  <c r="E23" i="20"/>
  <c r="E23" i="37"/>
  <c r="E23" i="33"/>
  <c r="E23" i="29"/>
  <c r="E25" i="29"/>
  <c r="E25" i="13"/>
  <c r="E30" i="13"/>
  <c r="E30" i="20"/>
  <c r="E30" i="37"/>
  <c r="E30" i="23"/>
  <c r="E30" i="29"/>
  <c r="E30" i="33"/>
  <c r="E32" i="13"/>
  <c r="E32" i="29"/>
  <c r="E24" i="24"/>
  <c r="E24" i="13"/>
  <c r="E24" i="29"/>
  <c r="E24" i="33"/>
  <c r="E24" i="37"/>
  <c r="K7" i="72"/>
  <c r="K9" i="72"/>
  <c r="L9" i="72" s="1"/>
  <c r="J7" i="72"/>
  <c r="D48" i="72"/>
  <c r="D7" i="72"/>
  <c r="D9" i="72"/>
  <c r="AE13" i="71"/>
  <c r="AB13" i="71"/>
  <c r="Y13" i="71"/>
  <c r="V13" i="71"/>
  <c r="G13" i="71"/>
  <c r="AE11" i="71"/>
  <c r="AB11" i="71"/>
  <c r="Y11" i="71"/>
  <c r="V11" i="71"/>
  <c r="S11" i="71"/>
  <c r="P11" i="71"/>
  <c r="G11" i="71"/>
  <c r="D11" i="71"/>
  <c r="AE42" i="70"/>
  <c r="AE41" i="70"/>
  <c r="P40" i="70"/>
  <c r="AB39" i="70"/>
  <c r="Y39" i="70"/>
  <c r="V39" i="70"/>
  <c r="S39" i="70"/>
  <c r="M39" i="70"/>
  <c r="G39" i="70"/>
  <c r="D39" i="70"/>
  <c r="AE38" i="70"/>
  <c r="AB37" i="70"/>
  <c r="Y37" i="70"/>
  <c r="V37" i="70"/>
  <c r="S37" i="70"/>
  <c r="M37" i="70"/>
  <c r="G37" i="70"/>
  <c r="D37" i="70"/>
  <c r="AB36" i="70"/>
  <c r="Y36" i="70"/>
  <c r="V36" i="70"/>
  <c r="S36" i="70"/>
  <c r="M36" i="70"/>
  <c r="G36" i="70"/>
  <c r="P34" i="70"/>
  <c r="Y33" i="70"/>
  <c r="M33" i="70"/>
  <c r="G33" i="70"/>
  <c r="D33" i="70"/>
  <c r="AE32" i="70"/>
  <c r="M31" i="70"/>
  <c r="P30" i="70"/>
  <c r="AE29" i="70"/>
  <c r="AE28" i="70"/>
  <c r="AE27" i="70"/>
  <c r="AE25" i="70"/>
  <c r="AE24" i="70"/>
  <c r="AE23" i="70"/>
  <c r="AE22" i="70"/>
  <c r="AE21" i="70"/>
  <c r="P20" i="70"/>
  <c r="AB19" i="70"/>
  <c r="S19" i="70"/>
  <c r="M19" i="70"/>
  <c r="AB18" i="70"/>
  <c r="S18" i="70"/>
  <c r="M18" i="70"/>
  <c r="AB17" i="70"/>
  <c r="S17" i="70"/>
  <c r="M17" i="70"/>
  <c r="AB16" i="70"/>
  <c r="P15" i="70"/>
  <c r="AB14" i="70"/>
  <c r="Y14" i="70"/>
  <c r="V14" i="70"/>
  <c r="S14" i="70"/>
  <c r="M14" i="70"/>
  <c r="G14" i="70"/>
  <c r="D14" i="70"/>
  <c r="AB13" i="70"/>
  <c r="Y13" i="70"/>
  <c r="V13" i="70"/>
  <c r="S13" i="70"/>
  <c r="M13" i="70"/>
  <c r="G13" i="70"/>
  <c r="D13" i="70"/>
  <c r="AB12" i="70"/>
  <c r="Y12" i="70"/>
  <c r="V12" i="70"/>
  <c r="S12" i="70"/>
  <c r="M12" i="70"/>
  <c r="G12" i="70"/>
  <c r="D12" i="70"/>
  <c r="M11" i="70"/>
  <c r="AH46" i="69"/>
  <c r="M46" i="69"/>
  <c r="G46" i="69"/>
  <c r="AH45" i="69"/>
  <c r="AB45" i="69"/>
  <c r="V45" i="69"/>
  <c r="AH44" i="69"/>
  <c r="AE44" i="69"/>
  <c r="Y44" i="69"/>
  <c r="G44" i="69"/>
  <c r="D44" i="69"/>
  <c r="Y43" i="69"/>
  <c r="G43" i="69"/>
  <c r="AB42" i="69"/>
  <c r="D42" i="69"/>
  <c r="AH40" i="69"/>
  <c r="AE40" i="69"/>
  <c r="AB40" i="69"/>
  <c r="Y40" i="69"/>
  <c r="V40" i="69"/>
  <c r="P40" i="69"/>
  <c r="G40" i="69"/>
  <c r="D40" i="69"/>
  <c r="AH39" i="69"/>
  <c r="AB39" i="69"/>
  <c r="V39" i="69"/>
  <c r="AH38" i="69"/>
  <c r="AE38" i="69"/>
  <c r="Y38" i="69"/>
  <c r="P38" i="69"/>
  <c r="G38" i="69"/>
  <c r="D38" i="69"/>
  <c r="AH37" i="69"/>
  <c r="AE37" i="69"/>
  <c r="Y37" i="69"/>
  <c r="M37" i="69"/>
  <c r="G37" i="69"/>
  <c r="AH36" i="69"/>
  <c r="AE36" i="69"/>
  <c r="Y36" i="69"/>
  <c r="G36" i="69"/>
  <c r="Y34" i="69"/>
  <c r="AH33" i="69"/>
  <c r="V33" i="69"/>
  <c r="AH32" i="69"/>
  <c r="AE32" i="69"/>
  <c r="Y32" i="69"/>
  <c r="P32" i="69"/>
  <c r="G32" i="69"/>
  <c r="AH31" i="69"/>
  <c r="AE31" i="69"/>
  <c r="Y31" i="69"/>
  <c r="P31" i="69"/>
  <c r="G31" i="69"/>
  <c r="AH30" i="69"/>
  <c r="AE30" i="69"/>
  <c r="V30" i="69"/>
  <c r="G30" i="69"/>
  <c r="AE29" i="69"/>
  <c r="Y29" i="69"/>
  <c r="P29" i="69"/>
  <c r="G29" i="69"/>
  <c r="AH28" i="69"/>
  <c r="AE28" i="69"/>
  <c r="Y28" i="69"/>
  <c r="G28" i="69"/>
  <c r="AH27" i="69"/>
  <c r="AE27" i="69"/>
  <c r="Y27" i="69"/>
  <c r="P27" i="69"/>
  <c r="M27" i="69"/>
  <c r="G27" i="69"/>
  <c r="AE26" i="69"/>
  <c r="Y26" i="69"/>
  <c r="G26" i="69"/>
  <c r="AH25" i="69"/>
  <c r="AE25" i="69"/>
  <c r="Y25" i="69"/>
  <c r="G25" i="69"/>
  <c r="AH24" i="69"/>
  <c r="AE24" i="69"/>
  <c r="Y24" i="69"/>
  <c r="G24" i="69"/>
  <c r="D24" i="69"/>
  <c r="M23" i="69"/>
  <c r="Y22" i="69"/>
  <c r="AH21" i="69"/>
  <c r="AB21" i="69"/>
  <c r="V21" i="69"/>
  <c r="AH20" i="69"/>
  <c r="AE20" i="69"/>
  <c r="Y20" i="69"/>
  <c r="P20" i="69"/>
  <c r="G20" i="69"/>
  <c r="AH19" i="69"/>
  <c r="AE19" i="69"/>
  <c r="Y19" i="69"/>
  <c r="P19" i="69"/>
  <c r="G19" i="69"/>
  <c r="AH18" i="69"/>
  <c r="AH51" i="69" s="1"/>
  <c r="AE18" i="69"/>
  <c r="V18" i="69"/>
  <c r="G18" i="69"/>
  <c r="AE17" i="69"/>
  <c r="Y17" i="69"/>
  <c r="P17" i="69"/>
  <c r="G17" i="69"/>
  <c r="AH16" i="69"/>
  <c r="AE16" i="69"/>
  <c r="Y16" i="69"/>
  <c r="G16" i="69"/>
  <c r="AH15" i="69"/>
  <c r="AE15" i="69"/>
  <c r="Y15" i="69"/>
  <c r="P15" i="69"/>
  <c r="M15" i="69"/>
  <c r="G15" i="69"/>
  <c r="AE14" i="69"/>
  <c r="Y14" i="69"/>
  <c r="G14" i="69"/>
  <c r="AH13" i="69"/>
  <c r="AE13" i="69"/>
  <c r="Y13" i="69"/>
  <c r="G13" i="69"/>
  <c r="AH12" i="69"/>
  <c r="AE12" i="69"/>
  <c r="Y12" i="69"/>
  <c r="G12" i="69"/>
  <c r="D12" i="69"/>
  <c r="S47" i="68"/>
  <c r="M47" i="68"/>
  <c r="D47" i="68"/>
  <c r="AE45" i="68"/>
  <c r="AB45" i="68"/>
  <c r="V45" i="68"/>
  <c r="S45" i="68"/>
  <c r="P45" i="68"/>
  <c r="G45" i="68"/>
  <c r="D45" i="68"/>
  <c r="AK44" i="68"/>
  <c r="AH44" i="68"/>
  <c r="AE44" i="68"/>
  <c r="AN44" i="68"/>
  <c r="S44" i="68"/>
  <c r="P44" i="68"/>
  <c r="M44" i="68"/>
  <c r="G44" i="68"/>
  <c r="D44" i="68"/>
  <c r="AE43" i="68"/>
  <c r="AE42" i="68"/>
  <c r="S42" i="68"/>
  <c r="P42" i="68"/>
  <c r="M42" i="68"/>
  <c r="AH41" i="68"/>
  <c r="AE41" i="68"/>
  <c r="AB41" i="68"/>
  <c r="V41" i="68"/>
  <c r="S41" i="68"/>
  <c r="P41" i="68"/>
  <c r="M41" i="68"/>
  <c r="D41" i="68"/>
  <c r="AK39" i="68"/>
  <c r="AE39" i="68"/>
  <c r="S39" i="68"/>
  <c r="P39" i="68"/>
  <c r="M39" i="68"/>
  <c r="D39" i="68"/>
  <c r="AE38" i="68"/>
  <c r="AK34" i="68"/>
  <c r="Y34" i="68"/>
  <c r="M34" i="68"/>
  <c r="G34" i="68"/>
  <c r="D34" i="68"/>
  <c r="AK29" i="68"/>
  <c r="Y29" i="68"/>
  <c r="M29" i="68"/>
  <c r="G29" i="68"/>
  <c r="D29" i="68"/>
  <c r="AK26" i="68"/>
  <c r="Y26" i="68"/>
  <c r="M26" i="68"/>
  <c r="G26" i="68"/>
  <c r="D26" i="68"/>
  <c r="AK24" i="68"/>
  <c r="Y24" i="68"/>
  <c r="M24" i="68"/>
  <c r="G24" i="68"/>
  <c r="AK22" i="68"/>
  <c r="AH22" i="68"/>
  <c r="V22" i="68"/>
  <c r="S22" i="68"/>
  <c r="M22" i="68"/>
  <c r="G22" i="68"/>
  <c r="D22" i="68"/>
  <c r="AK17" i="68"/>
  <c r="AH17" i="68"/>
  <c r="V17" i="68"/>
  <c r="S17" i="68"/>
  <c r="M17" i="68"/>
  <c r="G17" i="68"/>
  <c r="D17" i="68"/>
  <c r="AK14" i="68"/>
  <c r="AH14" i="68"/>
  <c r="S14" i="68"/>
  <c r="M14" i="68"/>
  <c r="G14" i="68"/>
  <c r="D14" i="68"/>
  <c r="AK12" i="68"/>
  <c r="AH12" i="68"/>
  <c r="M12" i="68"/>
  <c r="G12" i="68"/>
  <c r="V144" i="67"/>
  <c r="V143" i="67"/>
  <c r="AT141" i="67"/>
  <c r="AQ141" i="67"/>
  <c r="V139" i="67"/>
  <c r="V138" i="67"/>
  <c r="AT137" i="67"/>
  <c r="AQ137" i="67"/>
  <c r="V136" i="67"/>
  <c r="V134" i="67"/>
  <c r="AK132" i="67"/>
  <c r="AB132" i="67"/>
  <c r="V132" i="67"/>
  <c r="AK131" i="67"/>
  <c r="AB131" i="67"/>
  <c r="V131" i="67"/>
  <c r="AK128" i="67"/>
  <c r="AB128" i="67"/>
  <c r="V128" i="67"/>
  <c r="AK127" i="67"/>
  <c r="AB127" i="67"/>
  <c r="V127" i="67"/>
  <c r="AK126" i="67"/>
  <c r="V126" i="67"/>
  <c r="AK125" i="67"/>
  <c r="AK124" i="67"/>
  <c r="AB124" i="67"/>
  <c r="V124" i="67"/>
  <c r="AK123" i="67"/>
  <c r="AB123" i="67"/>
  <c r="V123" i="67"/>
  <c r="AK122" i="67"/>
  <c r="V122" i="67"/>
  <c r="AK118" i="67"/>
  <c r="AK117" i="67"/>
  <c r="AT115" i="67"/>
  <c r="AQ115" i="67"/>
  <c r="AT114" i="67"/>
  <c r="AQ114" i="67"/>
  <c r="AT113" i="67"/>
  <c r="AQ113" i="67"/>
  <c r="AT112" i="67"/>
  <c r="AQ112" i="67"/>
  <c r="AT111" i="67"/>
  <c r="AQ111" i="67"/>
  <c r="AK110" i="67"/>
  <c r="AT109" i="67"/>
  <c r="AQ109" i="67"/>
  <c r="AK108" i="67"/>
  <c r="AK106" i="67"/>
  <c r="Y106" i="67"/>
  <c r="G106" i="67"/>
  <c r="D106" i="67"/>
  <c r="G105" i="67"/>
  <c r="AK104" i="67"/>
  <c r="Y104" i="67"/>
  <c r="G104" i="67"/>
  <c r="AT103" i="67"/>
  <c r="AQ103" i="67"/>
  <c r="AT102" i="67"/>
  <c r="AQ102" i="67"/>
  <c r="AK101" i="67"/>
  <c r="Y101" i="67"/>
  <c r="G101" i="67"/>
  <c r="D101" i="67"/>
  <c r="G100" i="67"/>
  <c r="AK99" i="67"/>
  <c r="G99" i="67"/>
  <c r="AK98" i="67"/>
  <c r="Y98" i="67"/>
  <c r="G98" i="67"/>
  <c r="D98" i="67"/>
  <c r="G97" i="67"/>
  <c r="AK96" i="67"/>
  <c r="Y96" i="67"/>
  <c r="G96" i="67"/>
  <c r="AK94" i="67"/>
  <c r="AH94" i="67"/>
  <c r="Y94" i="67"/>
  <c r="P94" i="67"/>
  <c r="G94" i="67"/>
  <c r="AK93" i="67"/>
  <c r="AH93" i="67"/>
  <c r="Y93" i="67"/>
  <c r="P93" i="67"/>
  <c r="G93" i="67"/>
  <c r="AK92" i="67"/>
  <c r="Y92" i="67"/>
  <c r="P92" i="67"/>
  <c r="AK91" i="67"/>
  <c r="Y91" i="67"/>
  <c r="AK90" i="67"/>
  <c r="Y90" i="67"/>
  <c r="AK89" i="67"/>
  <c r="AH89" i="67"/>
  <c r="Y89" i="67"/>
  <c r="P89" i="67"/>
  <c r="G89" i="67"/>
  <c r="AT88" i="67"/>
  <c r="AQ88" i="67"/>
  <c r="AT87" i="67"/>
  <c r="AQ87" i="67"/>
  <c r="AK86" i="67"/>
  <c r="AH86" i="67"/>
  <c r="Y86" i="67"/>
  <c r="P86" i="67"/>
  <c r="G86" i="67"/>
  <c r="AK85" i="67"/>
  <c r="AH85" i="67"/>
  <c r="Y85" i="67"/>
  <c r="AK84" i="67"/>
  <c r="AH84" i="67"/>
  <c r="Y84" i="67"/>
  <c r="P84" i="67"/>
  <c r="G84" i="67"/>
  <c r="AQ83" i="67"/>
  <c r="AH82" i="67"/>
  <c r="AT79" i="67"/>
  <c r="AQ79" i="67"/>
  <c r="AT78" i="67"/>
  <c r="AQ78" i="67"/>
  <c r="AH77" i="67"/>
  <c r="AT76" i="67"/>
  <c r="AQ76" i="67"/>
  <c r="AT75" i="67"/>
  <c r="AQ75" i="67"/>
  <c r="AH74" i="67"/>
  <c r="AT73" i="67"/>
  <c r="AQ73" i="67"/>
  <c r="AH72" i="67"/>
  <c r="AQ71" i="67"/>
  <c r="AH70" i="67"/>
  <c r="AH69" i="67"/>
  <c r="AT67" i="67"/>
  <c r="AQ67" i="67"/>
  <c r="AT66" i="67"/>
  <c r="AQ66" i="67"/>
  <c r="AH65" i="67"/>
  <c r="AH64" i="67"/>
  <c r="AH62" i="67"/>
  <c r="AH61" i="67"/>
  <c r="AH60" i="67"/>
  <c r="AT59" i="67"/>
  <c r="AQ59" i="67"/>
  <c r="AK58" i="67"/>
  <c r="AH58" i="67"/>
  <c r="Y58" i="67"/>
  <c r="AN58" i="67"/>
  <c r="P58" i="67"/>
  <c r="G58" i="67"/>
  <c r="D58" i="67"/>
  <c r="P57" i="67"/>
  <c r="G57" i="67"/>
  <c r="P56" i="67"/>
  <c r="D56" i="67"/>
  <c r="Y55" i="67"/>
  <c r="AT54" i="67"/>
  <c r="AQ54" i="67"/>
  <c r="AH53" i="67"/>
  <c r="Y53" i="67"/>
  <c r="P53" i="67"/>
  <c r="G53" i="67"/>
  <c r="AT52" i="67"/>
  <c r="AQ52" i="67"/>
  <c r="AT51" i="67"/>
  <c r="AQ51" i="67"/>
  <c r="AK50" i="67"/>
  <c r="AH50" i="67"/>
  <c r="Y50" i="67"/>
  <c r="AN50" i="67"/>
  <c r="P50" i="67"/>
  <c r="G50" i="67"/>
  <c r="D50" i="67"/>
  <c r="AT49" i="67"/>
  <c r="AQ49" i="67"/>
  <c r="AK48" i="67"/>
  <c r="AH48" i="67"/>
  <c r="P48" i="67"/>
  <c r="G48" i="67"/>
  <c r="AH46" i="67"/>
  <c r="AH45" i="67"/>
  <c r="AH44" i="67"/>
  <c r="AT43" i="67"/>
  <c r="AQ43" i="67"/>
  <c r="AH41" i="67"/>
  <c r="AH40" i="67"/>
  <c r="AH38" i="67"/>
  <c r="AT37" i="67"/>
  <c r="AQ37" i="67"/>
  <c r="AH36" i="67"/>
  <c r="AT34" i="67"/>
  <c r="AQ34" i="67"/>
  <c r="AT33" i="67"/>
  <c r="AQ33" i="67"/>
  <c r="AT31" i="67"/>
  <c r="AQ31" i="67"/>
  <c r="AT30" i="67"/>
  <c r="AQ30" i="67"/>
  <c r="AT29" i="67"/>
  <c r="AQ29" i="67"/>
  <c r="AT28" i="67"/>
  <c r="AQ28" i="67"/>
  <c r="AT27" i="67"/>
  <c r="AQ27" i="67"/>
  <c r="AT26" i="67"/>
  <c r="AQ26" i="67"/>
  <c r="AT25" i="67"/>
  <c r="AQ25" i="67"/>
  <c r="AT24" i="67"/>
  <c r="AQ24" i="67"/>
  <c r="AK22" i="67"/>
  <c r="AH22" i="67"/>
  <c r="Y22" i="67"/>
  <c r="AN22" i="67"/>
  <c r="G22" i="67"/>
  <c r="D22" i="67"/>
  <c r="AK21" i="67"/>
  <c r="AH21" i="67"/>
  <c r="Y21" i="67"/>
  <c r="AN21" i="67"/>
  <c r="G21" i="67"/>
  <c r="D21" i="67"/>
  <c r="G20" i="67"/>
  <c r="Y19" i="67"/>
  <c r="AN19" i="67"/>
  <c r="AK18" i="67"/>
  <c r="Y18" i="67"/>
  <c r="AK17" i="67"/>
  <c r="AH17" i="67"/>
  <c r="Y17" i="67"/>
  <c r="AN17" i="67"/>
  <c r="G17" i="67"/>
  <c r="D17" i="67"/>
  <c r="AK16" i="67"/>
  <c r="AH16" i="67"/>
  <c r="Y16" i="67"/>
  <c r="AN16" i="67"/>
  <c r="G16" i="67"/>
  <c r="D16" i="67"/>
  <c r="AK15" i="67"/>
  <c r="Y15" i="67"/>
  <c r="AN15" i="67"/>
  <c r="G15" i="67"/>
  <c r="AK14" i="67"/>
  <c r="AH14" i="67"/>
  <c r="Y14" i="67"/>
  <c r="AN14" i="67"/>
  <c r="G14" i="67"/>
  <c r="D14" i="67"/>
  <c r="AK13" i="67"/>
  <c r="AH13" i="67"/>
  <c r="Y13" i="67"/>
  <c r="AN13" i="67"/>
  <c r="G13" i="67"/>
  <c r="AK12" i="67"/>
  <c r="AH12" i="67"/>
  <c r="Y12" i="67"/>
  <c r="AN12" i="67"/>
  <c r="G12" i="67"/>
  <c r="D12" i="67"/>
  <c r="AK108" i="66"/>
  <c r="AH108" i="66"/>
  <c r="Y108" i="66"/>
  <c r="P108" i="66"/>
  <c r="G108" i="66"/>
  <c r="D108" i="66"/>
  <c r="G107" i="66"/>
  <c r="AT104" i="66"/>
  <c r="AQ104" i="66"/>
  <c r="AK103" i="66"/>
  <c r="AH103" i="66"/>
  <c r="Y103" i="66"/>
  <c r="P103" i="66"/>
  <c r="G103" i="66"/>
  <c r="D103" i="66"/>
  <c r="AT102" i="66"/>
  <c r="AQ102" i="66"/>
  <c r="AT101" i="66"/>
  <c r="AQ101" i="66"/>
  <c r="AK100" i="66"/>
  <c r="AH100" i="66"/>
  <c r="AE100" i="66"/>
  <c r="Y100" i="66"/>
  <c r="P100" i="66"/>
  <c r="G100" i="66"/>
  <c r="D100" i="66"/>
  <c r="AT99" i="66"/>
  <c r="AQ99" i="66"/>
  <c r="G98" i="66"/>
  <c r="Y96" i="66"/>
  <c r="P96" i="66"/>
  <c r="M96" i="66"/>
  <c r="D96" i="66"/>
  <c r="P95" i="66"/>
  <c r="AT92" i="66"/>
  <c r="AQ92" i="66"/>
  <c r="Y91" i="66"/>
  <c r="P91" i="66"/>
  <c r="M91" i="66"/>
  <c r="D91" i="66"/>
  <c r="AT90" i="66"/>
  <c r="AQ90" i="66"/>
  <c r="AT89" i="66"/>
  <c r="AQ89" i="66"/>
  <c r="Y88" i="66"/>
  <c r="P88" i="66"/>
  <c r="M88" i="66"/>
  <c r="D88" i="66"/>
  <c r="AT87" i="66"/>
  <c r="AQ87" i="66"/>
  <c r="Y86" i="66"/>
  <c r="P86" i="66"/>
  <c r="M86" i="66"/>
  <c r="AH84" i="66"/>
  <c r="Y84" i="66"/>
  <c r="G84" i="66"/>
  <c r="D84" i="66"/>
  <c r="AH83" i="66"/>
  <c r="Y83" i="66"/>
  <c r="G83" i="66"/>
  <c r="D83" i="66"/>
  <c r="AH82" i="66"/>
  <c r="Y82" i="66"/>
  <c r="AT81" i="66"/>
  <c r="AQ81" i="66"/>
  <c r="Y80" i="66"/>
  <c r="AH79" i="66"/>
  <c r="Y79" i="66"/>
  <c r="G79" i="66"/>
  <c r="D79" i="66"/>
  <c r="AH78" i="66"/>
  <c r="Y78" i="66"/>
  <c r="G78" i="66"/>
  <c r="G77" i="66"/>
  <c r="AH76" i="66"/>
  <c r="Y76" i="66"/>
  <c r="G76" i="66"/>
  <c r="D76" i="66"/>
  <c r="Y75" i="66"/>
  <c r="G75" i="66"/>
  <c r="AH74" i="66"/>
  <c r="Y74" i="66"/>
  <c r="G74" i="66"/>
  <c r="D74" i="66"/>
  <c r="AK72" i="66"/>
  <c r="AH72" i="66"/>
  <c r="Y72" i="66"/>
  <c r="G72" i="66"/>
  <c r="AK71" i="66"/>
  <c r="AH71" i="66"/>
  <c r="Y71" i="66"/>
  <c r="G71" i="66"/>
  <c r="AH70" i="66"/>
  <c r="AT68" i="66"/>
  <c r="AQ68" i="66"/>
  <c r="AK67" i="66"/>
  <c r="AH67" i="66"/>
  <c r="Y67" i="66"/>
  <c r="G67" i="66"/>
  <c r="AT66" i="66"/>
  <c r="AQ66" i="66"/>
  <c r="AT65" i="66"/>
  <c r="AQ65" i="66"/>
  <c r="AK64" i="66"/>
  <c r="AH64" i="66"/>
  <c r="Y64" i="66"/>
  <c r="G64" i="66"/>
  <c r="AK63" i="66"/>
  <c r="Y63" i="66"/>
  <c r="G63" i="66"/>
  <c r="AK62" i="66"/>
  <c r="AH62" i="66"/>
  <c r="Y62" i="66"/>
  <c r="G62" i="66"/>
  <c r="AK58" i="66"/>
  <c r="AH58" i="66"/>
  <c r="Y58" i="66"/>
  <c r="G58" i="66"/>
  <c r="D58" i="66"/>
  <c r="G57" i="66"/>
  <c r="AK56" i="66"/>
  <c r="D56" i="66"/>
  <c r="AT55" i="66"/>
  <c r="AQ55" i="66"/>
  <c r="AT54" i="66"/>
  <c r="AQ54" i="66"/>
  <c r="AH53" i="66"/>
  <c r="Y53" i="66"/>
  <c r="G53" i="66"/>
  <c r="D53" i="66"/>
  <c r="AT52" i="66"/>
  <c r="AQ52" i="66"/>
  <c r="AT51" i="66"/>
  <c r="AQ51" i="66"/>
  <c r="AK50" i="66"/>
  <c r="AH50" i="66"/>
  <c r="Y50" i="66"/>
  <c r="G50" i="66"/>
  <c r="D50" i="66"/>
  <c r="AT49" i="66"/>
  <c r="AQ49" i="66"/>
  <c r="G48" i="66"/>
  <c r="AK46" i="66"/>
  <c r="Y46" i="66"/>
  <c r="S46" i="66"/>
  <c r="M46" i="66"/>
  <c r="D46" i="66"/>
  <c r="AT45" i="66"/>
  <c r="AQ45" i="66"/>
  <c r="AT42" i="66"/>
  <c r="AQ42" i="66"/>
  <c r="AK41" i="66"/>
  <c r="Y41" i="66"/>
  <c r="S41" i="66"/>
  <c r="M41" i="66"/>
  <c r="D41" i="66"/>
  <c r="AT40" i="66"/>
  <c r="AQ40" i="66"/>
  <c r="AT39" i="66"/>
  <c r="AQ39" i="66"/>
  <c r="AK38" i="66"/>
  <c r="Y38" i="66"/>
  <c r="S38" i="66"/>
  <c r="M38" i="66"/>
  <c r="D38" i="66"/>
  <c r="AT37" i="66"/>
  <c r="AQ37" i="66"/>
  <c r="AK36" i="66"/>
  <c r="Y36" i="66"/>
  <c r="M36" i="66"/>
  <c r="AH34" i="66"/>
  <c r="Y34" i="66"/>
  <c r="G34" i="66"/>
  <c r="Y33" i="66"/>
  <c r="G33" i="66"/>
  <c r="Y32" i="66"/>
  <c r="AT31" i="66"/>
  <c r="AQ31" i="66"/>
  <c r="Y29" i="66"/>
  <c r="G29" i="66"/>
  <c r="Y28" i="66"/>
  <c r="G28" i="66"/>
  <c r="G27" i="66"/>
  <c r="AH26" i="66"/>
  <c r="Y26" i="66"/>
  <c r="G26" i="66"/>
  <c r="Y25" i="66"/>
  <c r="G25" i="66"/>
  <c r="Y24" i="66"/>
  <c r="G24" i="66"/>
  <c r="AK22" i="66"/>
  <c r="AH22" i="66"/>
  <c r="Y22" i="66"/>
  <c r="G22" i="66"/>
  <c r="AK21" i="66"/>
  <c r="AH21" i="66"/>
  <c r="Y21" i="66"/>
  <c r="G21" i="66"/>
  <c r="AH20" i="66"/>
  <c r="AK17" i="66"/>
  <c r="AH17" i="66"/>
  <c r="Y17" i="66"/>
  <c r="G17" i="66"/>
  <c r="AT15" i="66"/>
  <c r="AQ15" i="66"/>
  <c r="AK14" i="66"/>
  <c r="AH14" i="66"/>
  <c r="Y14" i="66"/>
  <c r="G14" i="66"/>
  <c r="AK13" i="66"/>
  <c r="Y13" i="66"/>
  <c r="G13" i="66"/>
  <c r="AK12" i="66"/>
  <c r="AH12" i="66"/>
  <c r="Y12" i="66"/>
  <c r="G12" i="66"/>
  <c r="L7" i="72" l="1"/>
  <c r="S38" i="68"/>
  <c r="AT69" i="67"/>
  <c r="AQ63" i="67"/>
  <c r="AQ81" i="67"/>
  <c r="AT81" i="67"/>
  <c r="AT63" i="67"/>
  <c r="AQ69" i="67"/>
  <c r="D11" i="70"/>
  <c r="G11" i="70"/>
  <c r="Y35" i="70"/>
  <c r="AT30" i="66"/>
  <c r="AT105" i="66"/>
  <c r="AQ30" i="66"/>
  <c r="AQ105" i="66"/>
  <c r="D43" i="68"/>
  <c r="AK43" i="68"/>
  <c r="AN44" i="69"/>
  <c r="AT26" i="68"/>
  <c r="AH42" i="68"/>
  <c r="V44" i="68"/>
  <c r="AQ140" i="67"/>
  <c r="V23" i="69"/>
  <c r="P16" i="70"/>
  <c r="AQ117" i="67"/>
  <c r="AT125" i="67"/>
  <c r="AQ136" i="67"/>
  <c r="AQ22" i="68"/>
  <c r="AE40" i="68"/>
  <c r="AH40" i="68"/>
  <c r="AK41" i="68"/>
  <c r="G42" i="68"/>
  <c r="AT67" i="66"/>
  <c r="Y94" i="66"/>
  <c r="P43" i="68"/>
  <c r="M54" i="69"/>
  <c r="V11" i="70"/>
  <c r="Y11" i="70"/>
  <c r="AK45" i="68"/>
  <c r="AN46" i="69"/>
  <c r="AE13" i="70"/>
  <c r="AT34" i="66"/>
  <c r="AT77" i="66"/>
  <c r="AQ15" i="67"/>
  <c r="AT45" i="67"/>
  <c r="AQ132" i="67"/>
  <c r="AN19" i="69"/>
  <c r="AQ86" i="66"/>
  <c r="AT22" i="67"/>
  <c r="AT53" i="67"/>
  <c r="AT64" i="67"/>
  <c r="G48" i="68"/>
  <c r="P48" i="68"/>
  <c r="Y48" i="68"/>
  <c r="M49" i="69"/>
  <c r="AE15" i="70"/>
  <c r="AH13" i="71"/>
  <c r="AT108" i="66"/>
  <c r="AT14" i="67"/>
  <c r="AQ38" i="67"/>
  <c r="AT50" i="67"/>
  <c r="AT86" i="67"/>
  <c r="AT93" i="67"/>
  <c r="AQ94" i="67"/>
  <c r="AT106" i="67"/>
  <c r="D42" i="68"/>
  <c r="AB42" i="68"/>
  <c r="AN45" i="68"/>
  <c r="S49" i="69"/>
  <c r="AB53" i="69"/>
  <c r="P55" i="69"/>
  <c r="Y55" i="69"/>
  <c r="AE18" i="70"/>
  <c r="AE19" i="70"/>
  <c r="AE20" i="70"/>
  <c r="AT33" i="66"/>
  <c r="AT64" i="66"/>
  <c r="AT71" i="66"/>
  <c r="AT72" i="66"/>
  <c r="AT74" i="66"/>
  <c r="AQ78" i="66"/>
  <c r="AT86" i="66"/>
  <c r="AQ91" i="66"/>
  <c r="AQ53" i="67"/>
  <c r="AT55" i="67"/>
  <c r="AT124" i="67"/>
  <c r="AT22" i="68"/>
  <c r="AH39" i="68"/>
  <c r="S40" i="68"/>
  <c r="AB40" i="68"/>
  <c r="Y47" i="68"/>
  <c r="D48" i="68"/>
  <c r="S48" i="68"/>
  <c r="AN48" i="68"/>
  <c r="AN22" i="69"/>
  <c r="AN26" i="69"/>
  <c r="Y49" i="69"/>
  <c r="AQ28" i="66"/>
  <c r="AQ12" i="67"/>
  <c r="AT18" i="67"/>
  <c r="AT42" i="67"/>
  <c r="AT46" i="67"/>
  <c r="AQ86" i="67"/>
  <c r="AT89" i="67"/>
  <c r="AQ90" i="67"/>
  <c r="AT105" i="67"/>
  <c r="AQ34" i="68"/>
  <c r="D38" i="68"/>
  <c r="AK48" i="68"/>
  <c r="AN14" i="69"/>
  <c r="AN15" i="69"/>
  <c r="AH52" i="69"/>
  <c r="AN21" i="69"/>
  <c r="AN24" i="69"/>
  <c r="AN37" i="69"/>
  <c r="AN45" i="69"/>
  <c r="AE55" i="69"/>
  <c r="AE17" i="70"/>
  <c r="AE33" i="70"/>
  <c r="AE34" i="70"/>
  <c r="H27" i="9"/>
  <c r="D47" i="72"/>
  <c r="G27" i="9"/>
  <c r="G68" i="9" s="1"/>
  <c r="B27" i="9"/>
  <c r="M25" i="8" s="1"/>
  <c r="AT17" i="66"/>
  <c r="AT28" i="66"/>
  <c r="AQ33" i="66"/>
  <c r="AT41" i="66"/>
  <c r="AQ67" i="66"/>
  <c r="AT91" i="66"/>
  <c r="AQ96" i="66"/>
  <c r="AT98" i="66"/>
  <c r="AT107" i="66"/>
  <c r="AT15" i="67"/>
  <c r="AQ16" i="67"/>
  <c r="AQ46" i="67"/>
  <c r="AT74" i="67"/>
  <c r="AQ84" i="67"/>
  <c r="AQ85" i="67"/>
  <c r="AQ97" i="67"/>
  <c r="AQ99" i="67"/>
  <c r="AQ100" i="67"/>
  <c r="AT108" i="67"/>
  <c r="AQ118" i="67"/>
  <c r="AQ122" i="67"/>
  <c r="AQ128" i="67"/>
  <c r="AQ131" i="67"/>
  <c r="S43" i="68"/>
  <c r="AB44" i="68"/>
  <c r="AN47" i="68"/>
  <c r="AB48" i="68"/>
  <c r="AN20" i="69"/>
  <c r="AE51" i="69"/>
  <c r="AE14" i="70"/>
  <c r="D40" i="68"/>
  <c r="AN34" i="69"/>
  <c r="AN39" i="69"/>
  <c r="AN40" i="69"/>
  <c r="G51" i="69"/>
  <c r="V51" i="69"/>
  <c r="AF40" i="70"/>
  <c r="V53" i="69"/>
  <c r="G31" i="70"/>
  <c r="AQ13" i="66"/>
  <c r="AQ22" i="66"/>
  <c r="AQ26" i="66"/>
  <c r="AQ53" i="66"/>
  <c r="AK70" i="66"/>
  <c r="AQ71" i="66"/>
  <c r="AQ74" i="66"/>
  <c r="AT78" i="66"/>
  <c r="AT80" i="66"/>
  <c r="AT16" i="67"/>
  <c r="AQ17" i="67"/>
  <c r="AT19" i="67"/>
  <c r="AK20" i="67"/>
  <c r="AQ40" i="67"/>
  <c r="AT60" i="67"/>
  <c r="AT72" i="67"/>
  <c r="AT77" i="67"/>
  <c r="AT82" i="67"/>
  <c r="AT84" i="67"/>
  <c r="AT118" i="67"/>
  <c r="AT140" i="67"/>
  <c r="AQ12" i="68"/>
  <c r="AN41" i="68"/>
  <c r="V43" i="68"/>
  <c r="Y43" i="68"/>
  <c r="AH45" i="68"/>
  <c r="P47" i="68"/>
  <c r="AN30" i="69"/>
  <c r="G50" i="69"/>
  <c r="P50" i="69"/>
  <c r="Y50" i="69"/>
  <c r="AK52" i="69"/>
  <c r="AE52" i="69"/>
  <c r="AT14" i="66"/>
  <c r="AT22" i="66"/>
  <c r="AT36" i="66"/>
  <c r="AT38" i="66"/>
  <c r="AQ41" i="66"/>
  <c r="AQ48" i="66"/>
  <c r="AT57" i="66"/>
  <c r="AQ58" i="66"/>
  <c r="AQ107" i="66"/>
  <c r="AQ108" i="66"/>
  <c r="AQ72" i="67"/>
  <c r="AQ127" i="67"/>
  <c r="P11" i="69"/>
  <c r="AE23" i="69"/>
  <c r="V42" i="69"/>
  <c r="AT50" i="66"/>
  <c r="AT63" i="66"/>
  <c r="AQ84" i="66"/>
  <c r="Y11" i="69"/>
  <c r="S16" i="70"/>
  <c r="Y31" i="70"/>
  <c r="V142" i="67"/>
  <c r="G20" i="66"/>
  <c r="AT24" i="66"/>
  <c r="AQ36" i="66"/>
  <c r="AT48" i="66"/>
  <c r="AT53" i="66"/>
  <c r="AT62" i="66"/>
  <c r="AQ63" i="66"/>
  <c r="AQ69" i="66"/>
  <c r="AT75" i="66"/>
  <c r="AQ79" i="66"/>
  <c r="AT84" i="66"/>
  <c r="AQ93" i="66"/>
  <c r="AQ98" i="66"/>
  <c r="AQ22" i="67"/>
  <c r="AQ42" i="67"/>
  <c r="AQ55" i="67"/>
  <c r="AQ64" i="67"/>
  <c r="P40" i="68"/>
  <c r="AQ18" i="67"/>
  <c r="AQ48" i="67"/>
  <c r="AQ60" i="67"/>
  <c r="AQ61" i="67"/>
  <c r="AT65" i="67"/>
  <c r="AQ70" i="67"/>
  <c r="AQ82" i="67"/>
  <c r="AT85" i="67"/>
  <c r="AQ89" i="67"/>
  <c r="AT90" i="67"/>
  <c r="AQ93" i="67"/>
  <c r="AT94" i="67"/>
  <c r="AT96" i="67"/>
  <c r="AQ98" i="67"/>
  <c r="AT99" i="67"/>
  <c r="AQ110" i="67"/>
  <c r="AT117" i="67"/>
  <c r="AT122" i="67"/>
  <c r="AT123" i="67"/>
  <c r="AT131" i="67"/>
  <c r="AT139" i="67"/>
  <c r="AT14" i="68"/>
  <c r="AQ29" i="68"/>
  <c r="AT34" i="68"/>
  <c r="G38" i="68"/>
  <c r="G40" i="68"/>
  <c r="V42" i="68"/>
  <c r="AB43" i="68"/>
  <c r="AB47" i="68"/>
  <c r="M48" i="68"/>
  <c r="AE48" i="68"/>
  <c r="AN25" i="69"/>
  <c r="V48" i="69"/>
  <c r="AN38" i="69"/>
  <c r="M50" i="69"/>
  <c r="Y54" i="69"/>
  <c r="G55" i="69"/>
  <c r="AE30" i="70"/>
  <c r="AH11" i="71"/>
  <c r="AQ13" i="67"/>
  <c r="AQ21" i="67"/>
  <c r="AQ39" i="67"/>
  <c r="AT48" i="67"/>
  <c r="AQ50" i="67"/>
  <c r="AT57" i="67"/>
  <c r="AT61" i="67"/>
  <c r="AQ65" i="67"/>
  <c r="AQ74" i="67"/>
  <c r="AQ125" i="67"/>
  <c r="AT128" i="67"/>
  <c r="AT134" i="67"/>
  <c r="AT136" i="67"/>
  <c r="AQ139" i="67"/>
  <c r="AQ143" i="67"/>
  <c r="AQ17" i="68"/>
  <c r="M40" i="68"/>
  <c r="AH43" i="68"/>
  <c r="M45" i="68"/>
  <c r="AK47" i="68"/>
  <c r="AN13" i="69"/>
  <c r="V55" i="69"/>
  <c r="AT129" i="67"/>
  <c r="AT24" i="68"/>
  <c r="AT29" i="68"/>
  <c r="M38" i="68"/>
  <c r="Y44" i="68"/>
  <c r="AH47" i="68"/>
  <c r="V48" i="68"/>
  <c r="V11" i="69"/>
  <c r="AN31" i="69"/>
  <c r="AB55" i="69"/>
  <c r="AE36" i="70"/>
  <c r="D104" i="67"/>
  <c r="V20" i="68"/>
  <c r="M16" i="70"/>
  <c r="M94" i="66"/>
  <c r="AK106" i="66"/>
  <c r="AK20" i="68"/>
  <c r="P31" i="70"/>
  <c r="M44" i="66"/>
  <c r="D94" i="66"/>
  <c r="D44" i="66"/>
  <c r="Y56" i="66"/>
  <c r="AT27" i="66"/>
  <c r="AH56" i="66"/>
  <c r="AQ77" i="66"/>
  <c r="G82" i="66"/>
  <c r="G56" i="67"/>
  <c r="AQ124" i="67"/>
  <c r="AT26" i="66"/>
  <c r="AQ29" i="66"/>
  <c r="AQ38" i="66"/>
  <c r="AQ46" i="66"/>
  <c r="AQ57" i="66"/>
  <c r="AQ62" i="66"/>
  <c r="G70" i="66"/>
  <c r="AT79" i="66"/>
  <c r="AT83" i="66"/>
  <c r="AQ95" i="66"/>
  <c r="AT96" i="66"/>
  <c r="AT13" i="67"/>
  <c r="AT40" i="67"/>
  <c r="AQ58" i="67"/>
  <c r="G92" i="67"/>
  <c r="AT97" i="67"/>
  <c r="AQ129" i="67"/>
  <c r="AK130" i="67"/>
  <c r="AT12" i="68"/>
  <c r="AQ26" i="68"/>
  <c r="Y39" i="68"/>
  <c r="G41" i="68"/>
  <c r="AN42" i="68"/>
  <c r="P35" i="69"/>
  <c r="P11" i="70"/>
  <c r="P35" i="70"/>
  <c r="D36" i="70"/>
  <c r="AN38" i="68"/>
  <c r="AT25" i="66"/>
  <c r="Y70" i="66"/>
  <c r="AT76" i="66"/>
  <c r="AT100" i="66"/>
  <c r="D106" i="66"/>
  <c r="P106" i="66"/>
  <c r="AH20" i="67"/>
  <c r="AH56" i="67"/>
  <c r="AT101" i="67"/>
  <c r="AT135" i="67"/>
  <c r="Y40" i="68"/>
  <c r="AQ27" i="66"/>
  <c r="AT29" i="66"/>
  <c r="AQ34" i="66"/>
  <c r="AT46" i="66"/>
  <c r="AQ50" i="66"/>
  <c r="AT58" i="66"/>
  <c r="AQ64" i="66"/>
  <c r="AQ75" i="66"/>
  <c r="AQ76" i="66"/>
  <c r="AQ80" i="66"/>
  <c r="AQ88" i="66"/>
  <c r="AT93" i="66"/>
  <c r="AQ103" i="66"/>
  <c r="AT17" i="67"/>
  <c r="D20" i="67"/>
  <c r="AN20" i="67"/>
  <c r="AT21" i="67"/>
  <c r="AK40" i="68"/>
  <c r="AT38" i="67"/>
  <c r="AT39" i="67"/>
  <c r="AN56" i="67"/>
  <c r="AQ57" i="67"/>
  <c r="AT58" i="67"/>
  <c r="AQ62" i="67"/>
  <c r="AH68" i="67"/>
  <c r="AQ96" i="67"/>
  <c r="AT98" i="67"/>
  <c r="AT100" i="67"/>
  <c r="AQ105" i="67"/>
  <c r="AQ126" i="67"/>
  <c r="AT132" i="67"/>
  <c r="AT143" i="67"/>
  <c r="AT144" i="67"/>
  <c r="G20" i="68"/>
  <c r="V38" i="68"/>
  <c r="Y38" i="68"/>
  <c r="AN39" i="68"/>
  <c r="AB39" i="68"/>
  <c r="Y42" i="68"/>
  <c r="G43" i="68"/>
  <c r="Y45" i="68"/>
  <c r="AE11" i="69"/>
  <c r="AN18" i="69"/>
  <c r="AH53" i="69"/>
  <c r="P23" i="69"/>
  <c r="AH49" i="69"/>
  <c r="AH55" i="69"/>
  <c r="D50" i="69"/>
  <c r="AF37" i="70"/>
  <c r="AG42" i="70"/>
  <c r="M55" i="69"/>
  <c r="S11" i="70"/>
  <c r="S35" i="70"/>
  <c r="D31" i="70"/>
  <c r="AT41" i="67"/>
  <c r="AQ77" i="67"/>
  <c r="AT91" i="67"/>
  <c r="AT126" i="67"/>
  <c r="AQ134" i="67"/>
  <c r="AQ144" i="67"/>
  <c r="M43" i="68"/>
  <c r="AN29" i="69"/>
  <c r="G35" i="69"/>
  <c r="AB11" i="70"/>
  <c r="AE40" i="70"/>
  <c r="AN43" i="68"/>
  <c r="AN16" i="69"/>
  <c r="AH23" i="69"/>
  <c r="AN32" i="69"/>
  <c r="AN33" i="69"/>
  <c r="AB35" i="69"/>
  <c r="AE35" i="69"/>
  <c r="G42" i="69"/>
  <c r="AH42" i="69"/>
  <c r="AN43" i="69"/>
  <c r="D49" i="69"/>
  <c r="AE50" i="69"/>
  <c r="D51" i="69"/>
  <c r="M51" i="69"/>
  <c r="S51" i="69"/>
  <c r="Y52" i="69"/>
  <c r="P26" i="70"/>
  <c r="AH48" i="68"/>
  <c r="AN12" i="69"/>
  <c r="AN28" i="69"/>
  <c r="G49" i="69"/>
  <c r="G52" i="69"/>
  <c r="AE37" i="70"/>
  <c r="AE39" i="70"/>
  <c r="AG38" i="70"/>
  <c r="AN36" i="69"/>
  <c r="D11" i="69"/>
  <c r="AH11" i="69"/>
  <c r="AH50" i="69"/>
  <c r="G23" i="69"/>
  <c r="D35" i="69"/>
  <c r="M35" i="69"/>
  <c r="V35" i="69"/>
  <c r="Y35" i="69"/>
  <c r="AH35" i="69"/>
  <c r="G54" i="69"/>
  <c r="G11" i="69"/>
  <c r="M11" i="69"/>
  <c r="AK11" i="69"/>
  <c r="AN17" i="69"/>
  <c r="AN27" i="69"/>
  <c r="Y42" i="69"/>
  <c r="AE42" i="69"/>
  <c r="AE49" i="69"/>
  <c r="AF36" i="70"/>
  <c r="P52" i="69"/>
  <c r="AB11" i="69"/>
  <c r="D23" i="69"/>
  <c r="Y23" i="69"/>
  <c r="S50" i="69"/>
  <c r="D52" i="69"/>
  <c r="AG41" i="70"/>
  <c r="D55" i="69"/>
  <c r="AE12" i="70"/>
  <c r="AT21" i="66"/>
  <c r="AK116" i="67"/>
  <c r="AQ14" i="66"/>
  <c r="G32" i="66"/>
  <c r="D82" i="66"/>
  <c r="AK38" i="68"/>
  <c r="AQ36" i="67"/>
  <c r="V130" i="67"/>
  <c r="AT12" i="66"/>
  <c r="AT13" i="66"/>
  <c r="AQ24" i="66"/>
  <c r="AT43" i="66"/>
  <c r="Y44" i="66"/>
  <c r="G56" i="66"/>
  <c r="AT69" i="66"/>
  <c r="AQ70" i="66"/>
  <c r="G106" i="66"/>
  <c r="AQ14" i="67"/>
  <c r="AQ19" i="67"/>
  <c r="AQ45" i="67"/>
  <c r="Y56" i="67"/>
  <c r="AT62" i="67"/>
  <c r="AT70" i="67"/>
  <c r="AH80" i="67"/>
  <c r="AQ106" i="67"/>
  <c r="AT110" i="67"/>
  <c r="AQ24" i="68"/>
  <c r="AH32" i="66"/>
  <c r="AE106" i="66"/>
  <c r="AQ104" i="67"/>
  <c r="AT19" i="66"/>
  <c r="AK20" i="66"/>
  <c r="P94" i="66"/>
  <c r="D46" i="68"/>
  <c r="AQ12" i="66"/>
  <c r="AT16" i="66"/>
  <c r="AQ17" i="66"/>
  <c r="AQ18" i="66"/>
  <c r="AT18" i="66"/>
  <c r="AQ19" i="66"/>
  <c r="Y20" i="66"/>
  <c r="AQ25" i="66"/>
  <c r="AK44" i="66"/>
  <c r="AQ83" i="66"/>
  <c r="Y106" i="66"/>
  <c r="Y20" i="67"/>
  <c r="AK56" i="67"/>
  <c r="AQ108" i="67"/>
  <c r="V47" i="68"/>
  <c r="AQ16" i="66"/>
  <c r="AB46" i="68"/>
  <c r="AQ21" i="66"/>
  <c r="AQ43" i="66"/>
  <c r="S44" i="66"/>
  <c r="AT56" i="66"/>
  <c r="AT70" i="66"/>
  <c r="AQ72" i="66"/>
  <c r="AT88" i="66"/>
  <c r="AT95" i="66"/>
  <c r="AQ100" i="66"/>
  <c r="AT103" i="66"/>
  <c r="AH106" i="66"/>
  <c r="AT12" i="67"/>
  <c r="AQ41" i="67"/>
  <c r="AQ91" i="67"/>
  <c r="AH92" i="67"/>
  <c r="AQ101" i="67"/>
  <c r="AQ123" i="67"/>
  <c r="AB130" i="67"/>
  <c r="M32" i="68"/>
  <c r="G39" i="68"/>
  <c r="AT20" i="67"/>
  <c r="AT68" i="67"/>
  <c r="AQ92" i="67"/>
  <c r="AT127" i="67"/>
  <c r="AQ130" i="67"/>
  <c r="AT138" i="67"/>
  <c r="P38" i="68"/>
  <c r="V40" i="68"/>
  <c r="AQ138" i="67"/>
  <c r="AQ14" i="68"/>
  <c r="AT17" i="68"/>
  <c r="AK32" i="68"/>
  <c r="AB38" i="68"/>
  <c r="AH38" i="68"/>
  <c r="Y41" i="68"/>
  <c r="AQ135" i="67"/>
  <c r="AE47" i="68"/>
  <c r="D20" i="68"/>
  <c r="M20" i="68"/>
  <c r="S20" i="68"/>
  <c r="AH20" i="68"/>
  <c r="D32" i="68"/>
  <c r="V39" i="68"/>
  <c r="AK42" i="68"/>
  <c r="AQ20" i="68"/>
  <c r="AN40" i="68"/>
  <c r="G47" i="68"/>
  <c r="G32" i="68"/>
  <c r="Y32" i="68"/>
  <c r="AT92" i="67" l="1"/>
  <c r="AE31" i="70"/>
  <c r="AT116" i="67"/>
  <c r="AQ32" i="68"/>
  <c r="AQ40" i="68"/>
  <c r="AT44" i="68"/>
  <c r="AT36" i="67"/>
  <c r="AT45" i="68"/>
  <c r="AQ43" i="68"/>
  <c r="AN50" i="69"/>
  <c r="AT32" i="67"/>
  <c r="AT94" i="66"/>
  <c r="C27" i="9"/>
  <c r="B68" i="9"/>
  <c r="AB35" i="70"/>
  <c r="AT20" i="68"/>
  <c r="AE48" i="69"/>
  <c r="AQ41" i="68"/>
  <c r="AG36" i="70"/>
  <c r="AH36" i="70" s="1"/>
  <c r="S46" i="68"/>
  <c r="AQ42" i="68"/>
  <c r="AT106" i="66"/>
  <c r="AE26" i="70"/>
  <c r="AN53" i="69"/>
  <c r="AE16" i="70"/>
  <c r="AT43" i="68"/>
  <c r="AN42" i="69"/>
  <c r="Y48" i="69"/>
  <c r="AQ45" i="68"/>
  <c r="AQ44" i="68"/>
  <c r="AH48" i="69"/>
  <c r="AQ47" i="68"/>
  <c r="AT40" i="68"/>
  <c r="AG37" i="70"/>
  <c r="AH37" i="70" s="1"/>
  <c r="AN51" i="69"/>
  <c r="M35" i="70"/>
  <c r="AG39" i="70"/>
  <c r="AT47" i="68"/>
  <c r="AG40" i="70"/>
  <c r="AH40" i="70" s="1"/>
  <c r="V35" i="70"/>
  <c r="AN23" i="69"/>
  <c r="AE11" i="70"/>
  <c r="AN49" i="69"/>
  <c r="G48" i="69"/>
  <c r="P48" i="69"/>
  <c r="D48" i="69"/>
  <c r="AN35" i="69"/>
  <c r="D35" i="70"/>
  <c r="AB48" i="69"/>
  <c r="AK48" i="69"/>
  <c r="AN54" i="69"/>
  <c r="AF41" i="70"/>
  <c r="AH41" i="70" s="1"/>
  <c r="M48" i="69"/>
  <c r="G35" i="70"/>
  <c r="AF42" i="70"/>
  <c r="AH42" i="70" s="1"/>
  <c r="AN55" i="69"/>
  <c r="AF38" i="70"/>
  <c r="AH38" i="70" s="1"/>
  <c r="AN52" i="69"/>
  <c r="AF39" i="70"/>
  <c r="S48" i="69"/>
  <c r="AN11" i="69"/>
  <c r="G46" i="68"/>
  <c r="AQ44" i="66"/>
  <c r="AT80" i="67"/>
  <c r="AQ20" i="67"/>
  <c r="AT32" i="66"/>
  <c r="AT38" i="68"/>
  <c r="AQ48" i="68"/>
  <c r="AQ39" i="68"/>
  <c r="AQ116" i="67"/>
  <c r="M46" i="68"/>
  <c r="AT42" i="68"/>
  <c r="AT20" i="66"/>
  <c r="AQ44" i="67"/>
  <c r="AQ56" i="66"/>
  <c r="V46" i="68"/>
  <c r="AQ38" i="68"/>
  <c r="AT32" i="68"/>
  <c r="AQ68" i="67"/>
  <c r="AQ32" i="67"/>
  <c r="AQ94" i="66"/>
  <c r="AQ82" i="66"/>
  <c r="P46" i="68"/>
  <c r="AN46" i="68"/>
  <c r="AE46" i="68"/>
  <c r="AQ56" i="67"/>
  <c r="AQ32" i="66"/>
  <c r="AT39" i="68"/>
  <c r="AT142" i="67"/>
  <c r="AT82" i="66"/>
  <c r="AK46" i="68"/>
  <c r="AH46" i="68"/>
  <c r="AT130" i="67"/>
  <c r="AT48" i="68"/>
  <c r="AQ80" i="67"/>
  <c r="Y46" i="68"/>
  <c r="AQ20" i="66"/>
  <c r="AT44" i="66"/>
  <c r="AT41" i="68"/>
  <c r="AT104" i="67"/>
  <c r="AT56" i="67"/>
  <c r="AQ106" i="66"/>
  <c r="AQ142" i="67"/>
  <c r="C68" i="9" l="1"/>
  <c r="D68" i="9" s="1"/>
  <c r="N25" i="8"/>
  <c r="AH39" i="70"/>
  <c r="AT46" i="68"/>
  <c r="AT44" i="67"/>
  <c r="AN48" i="69"/>
  <c r="AF35" i="70"/>
  <c r="AG35" i="70"/>
  <c r="AE35" i="70"/>
  <c r="AQ46" i="68"/>
  <c r="G33" i="4"/>
  <c r="I33" i="4" l="1"/>
  <c r="H33" i="4"/>
  <c r="AH35" i="70"/>
  <c r="J33" i="4" l="1"/>
  <c r="K9" i="18"/>
  <c r="K8" i="18"/>
  <c r="G10" i="9" l="1"/>
  <c r="D22" i="18"/>
  <c r="H10" i="9"/>
  <c r="D29" i="18"/>
  <c r="H124"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48" i="18"/>
  <c r="K67" i="18"/>
  <c r="D120" i="18"/>
  <c r="J11" i="18"/>
  <c r="J108" i="18"/>
  <c r="D112" i="18"/>
  <c r="H22" i="18"/>
  <c r="D78" i="18"/>
  <c r="D108" i="18"/>
  <c r="J125" i="18"/>
  <c r="J9" i="18"/>
  <c r="L9" i="18" s="1"/>
  <c r="D9" i="18"/>
  <c r="J28" i="18"/>
  <c r="J12" i="18"/>
  <c r="J7" i="18"/>
  <c r="J10" i="18"/>
  <c r="J8" i="18"/>
  <c r="L8" i="18" s="1"/>
  <c r="D8" i="18"/>
  <c r="J78" i="18"/>
  <c r="K125" i="18"/>
  <c r="K88" i="18"/>
  <c r="B97" i="4" l="1"/>
  <c r="C97" i="4"/>
  <c r="C76" i="4"/>
  <c r="B76" i="4"/>
  <c r="M58" i="8"/>
  <c r="N58" i="8"/>
  <c r="K98" i="18"/>
  <c r="I10" i="9"/>
  <c r="D87" i="18"/>
  <c r="H29" i="18"/>
  <c r="D66" i="18"/>
  <c r="K29" i="18"/>
  <c r="K22" i="18"/>
  <c r="J29" i="18"/>
  <c r="H119" i="18"/>
  <c r="J22" i="18"/>
  <c r="K119" i="18"/>
  <c r="L113" i="18"/>
  <c r="L12" i="18"/>
  <c r="L28" i="18"/>
  <c r="L88" i="18"/>
  <c r="L121" i="18"/>
  <c r="L109" i="18"/>
  <c r="L120" i="18"/>
  <c r="L99" i="18"/>
  <c r="L35" i="18"/>
  <c r="J111" i="18"/>
  <c r="H111" i="18"/>
  <c r="L117" i="18"/>
  <c r="L78" i="18"/>
  <c r="L7" i="18"/>
  <c r="L108" i="18"/>
  <c r="L11" i="18"/>
  <c r="L67" i="18"/>
  <c r="K111" i="18"/>
  <c r="L112" i="18"/>
  <c r="L124" i="18"/>
  <c r="D98" i="18"/>
  <c r="L10" i="18"/>
  <c r="J119" i="18"/>
  <c r="D119" i="18"/>
  <c r="L34" i="18"/>
  <c r="L125" i="18"/>
  <c r="D111" i="18"/>
  <c r="K97" i="37"/>
  <c r="J97" i="37"/>
  <c r="D97" i="29"/>
  <c r="K97" i="33"/>
  <c r="J97" i="13"/>
  <c r="J97" i="33"/>
  <c r="D97" i="37"/>
  <c r="D97" i="13"/>
  <c r="K97" i="13"/>
  <c r="D97" i="33"/>
  <c r="K76" i="37"/>
  <c r="D76" i="33"/>
  <c r="D76" i="37"/>
  <c r="J76" i="13"/>
  <c r="J76" i="37"/>
  <c r="D76" i="29"/>
  <c r="K76" i="33"/>
  <c r="J76" i="33"/>
  <c r="D76" i="13"/>
  <c r="K76" i="13"/>
  <c r="J8" i="37"/>
  <c r="K8" i="37"/>
  <c r="J9" i="37"/>
  <c r="K9" i="37"/>
  <c r="J36" i="37"/>
  <c r="J37" i="37"/>
  <c r="K100" i="18" l="1"/>
  <c r="L8" i="37"/>
  <c r="L9" i="37"/>
  <c r="D47" i="18"/>
  <c r="B10" i="9"/>
  <c r="L76" i="33"/>
  <c r="L119"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7" i="37"/>
  <c r="K135" i="37"/>
  <c r="K134" i="37"/>
  <c r="K122" i="37"/>
  <c r="D122" i="37"/>
  <c r="H114" i="37"/>
  <c r="H112" i="37"/>
  <c r="J121" i="37"/>
  <c r="D137"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L122" i="37" s="1"/>
  <c r="J116" i="37"/>
  <c r="K109" i="37"/>
  <c r="D35" i="37"/>
  <c r="J12" i="37"/>
  <c r="J7" i="37"/>
  <c r="H75" i="37"/>
  <c r="D48" i="37"/>
  <c r="J137" i="37"/>
  <c r="K121" i="37"/>
  <c r="J67" i="37"/>
  <c r="H125" i="37"/>
  <c r="D124" i="37"/>
  <c r="D109" i="37"/>
  <c r="H96" i="37"/>
  <c r="K88"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K34" i="37"/>
  <c r="H12" i="37"/>
  <c r="K37" i="37"/>
  <c r="L37" i="37" s="1"/>
  <c r="D37" i="37"/>
  <c r="H10" i="37"/>
  <c r="K36" i="37"/>
  <c r="L36" i="37" s="1"/>
  <c r="D36" i="37"/>
  <c r="J11" i="37"/>
  <c r="M8" i="8" l="1"/>
  <c r="J76" i="4"/>
  <c r="L100" i="18"/>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L88" i="37"/>
  <c r="L124" i="37"/>
  <c r="L12" i="37"/>
  <c r="L78" i="37"/>
  <c r="K111" i="37"/>
  <c r="L7" i="37"/>
  <c r="L135" i="37"/>
  <c r="L28" i="37"/>
  <c r="L136"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F30" i="58" l="1"/>
  <c r="C8" i="58" l="1"/>
  <c r="F106" i="4" l="1"/>
  <c r="E106" i="4"/>
  <c r="F105" i="4"/>
  <c r="E105" i="4"/>
  <c r="F95" i="4"/>
  <c r="E95" i="4"/>
  <c r="F94" i="4"/>
  <c r="E94" i="4"/>
  <c r="F92" i="4"/>
  <c r="E92" i="4"/>
  <c r="F91" i="4"/>
  <c r="E91" i="4"/>
  <c r="F85" i="4"/>
  <c r="E85" i="4"/>
  <c r="F84" i="4"/>
  <c r="E84" i="4"/>
  <c r="F74" i="4"/>
  <c r="E74" i="4"/>
  <c r="F73" i="4"/>
  <c r="E73" i="4"/>
  <c r="F71" i="4"/>
  <c r="E71" i="4"/>
  <c r="C104" i="4"/>
  <c r="B104" i="4"/>
  <c r="C93" i="4"/>
  <c r="B93" i="4"/>
  <c r="C83" i="4"/>
  <c r="B83" i="4"/>
  <c r="C72" i="4"/>
  <c r="B72" i="4"/>
  <c r="C69" i="4"/>
  <c r="B69" i="4"/>
  <c r="G31" i="4"/>
  <c r="G71" i="4" l="1"/>
  <c r="G92" i="4"/>
  <c r="G73" i="4"/>
  <c r="G84" i="4"/>
  <c r="G94" i="4"/>
  <c r="G91" i="4"/>
  <c r="G74" i="4"/>
  <c r="G85" i="4"/>
  <c r="G95" i="4"/>
  <c r="G106" i="4"/>
  <c r="G105" i="4"/>
  <c r="G23" i="4"/>
  <c r="G24" i="4"/>
  <c r="G30" i="4"/>
  <c r="G25" i="4"/>
  <c r="G32" i="4"/>
  <c r="D32" i="4"/>
  <c r="D24" i="4"/>
  <c r="I23" i="37"/>
  <c r="I25" i="37"/>
  <c r="I25" i="18"/>
  <c r="I30" i="37"/>
  <c r="I30" i="18"/>
  <c r="I31" i="37"/>
  <c r="I31" i="18"/>
  <c r="G26" i="4"/>
  <c r="D25" i="4"/>
  <c r="I24" i="37"/>
  <c r="I32" i="37"/>
  <c r="I32" i="18"/>
  <c r="D30" i="4"/>
  <c r="D31" i="4"/>
  <c r="F72" i="4"/>
  <c r="F83" i="4"/>
  <c r="F93" i="4"/>
  <c r="F104" i="4"/>
  <c r="E69" i="4"/>
  <c r="E90" i="4"/>
  <c r="E83" i="4"/>
  <c r="E104" i="4"/>
  <c r="F69" i="4"/>
  <c r="F90" i="4"/>
  <c r="E72" i="4"/>
  <c r="E93" i="4"/>
  <c r="G104" i="4" l="1"/>
  <c r="G83" i="4"/>
  <c r="G93" i="4"/>
  <c r="G72" i="4"/>
  <c r="G90" i="4"/>
  <c r="G69" i="4"/>
  <c r="D69" i="4"/>
  <c r="D72" i="4"/>
  <c r="D104" i="4"/>
  <c r="D93" i="4"/>
  <c r="D83" i="4"/>
  <c r="E29" i="18"/>
  <c r="E29" i="23"/>
  <c r="E29" i="29"/>
  <c r="E29" i="33"/>
  <c r="E29" i="16"/>
  <c r="E29" i="20"/>
  <c r="E29" i="24"/>
  <c r="E29" i="51"/>
  <c r="E29" i="37"/>
  <c r="E29" i="13"/>
  <c r="I23" i="18"/>
  <c r="D23" i="4"/>
  <c r="I26" i="4"/>
  <c r="H26" i="4"/>
  <c r="I74" i="37"/>
  <c r="F26" i="10"/>
  <c r="F16" i="10"/>
  <c r="F34" i="10"/>
  <c r="I26" i="29"/>
  <c r="I26" i="23"/>
  <c r="I26" i="33"/>
  <c r="I26" i="37"/>
  <c r="I26" i="35"/>
  <c r="I26" i="18"/>
  <c r="G16" i="10"/>
  <c r="G26" i="10"/>
  <c r="G34" i="10"/>
  <c r="M26" i="29" l="1"/>
  <c r="J26" i="4"/>
  <c r="I72" i="37"/>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C52" i="4"/>
  <c r="B52" i="4"/>
  <c r="C51" i="4"/>
  <c r="B51" i="4"/>
  <c r="D51" i="16" l="1"/>
  <c r="D52" i="16"/>
  <c r="E51" i="77" l="1"/>
  <c r="D51" i="4"/>
  <c r="D52" i="4"/>
  <c r="G56" i="10" l="1"/>
  <c r="G60" i="10"/>
  <c r="I69" i="29" l="1"/>
  <c r="F60" i="10"/>
  <c r="F56" i="10"/>
  <c r="K28" i="10" l="1"/>
  <c r="J28" i="10"/>
  <c r="K9" i="33" l="1"/>
  <c r="K9" i="29"/>
  <c r="K8" i="51"/>
  <c r="K8" i="29"/>
  <c r="K8" i="33"/>
  <c r="K9" i="51"/>
  <c r="K8" i="25"/>
  <c r="K8" i="24"/>
  <c r="K9" i="25"/>
  <c r="K9" i="24"/>
  <c r="K8" i="22"/>
  <c r="K9" i="22"/>
  <c r="K9" i="20"/>
  <c r="K8" i="20"/>
  <c r="K8" i="19"/>
  <c r="J36" i="13"/>
  <c r="K9" i="19"/>
  <c r="K39" i="13"/>
  <c r="K37" i="13"/>
  <c r="J39" i="13"/>
  <c r="J37" i="13"/>
  <c r="K36" i="13"/>
  <c r="K8" i="13"/>
  <c r="K9" i="13"/>
  <c r="D22" i="16"/>
  <c r="B124" i="4" l="1"/>
  <c r="B55" i="4"/>
  <c r="B135" i="4"/>
  <c r="B25" i="10" s="1"/>
  <c r="B57" i="4"/>
  <c r="E7" i="4"/>
  <c r="F9" i="10" s="1"/>
  <c r="F10" i="4"/>
  <c r="E114" i="4"/>
  <c r="G114" i="4" s="1"/>
  <c r="C86" i="4"/>
  <c r="F135" i="4"/>
  <c r="B48" i="4"/>
  <c r="E79" i="4"/>
  <c r="C67" i="4"/>
  <c r="C108" i="4"/>
  <c r="C125" i="4"/>
  <c r="E116" i="4"/>
  <c r="F124" i="4"/>
  <c r="B122" i="4"/>
  <c r="B68" i="4"/>
  <c r="B13" i="10" s="1"/>
  <c r="C126" i="4"/>
  <c r="C57" i="4"/>
  <c r="C124" i="4"/>
  <c r="E113" i="4"/>
  <c r="F11" i="4"/>
  <c r="B136" i="4"/>
  <c r="B33" i="10" s="1"/>
  <c r="F34" i="4"/>
  <c r="C99" i="4"/>
  <c r="E10" i="4"/>
  <c r="F20" i="10" s="1"/>
  <c r="B86" i="4"/>
  <c r="E86" i="4"/>
  <c r="B89" i="4"/>
  <c r="B23" i="10" s="1"/>
  <c r="B110" i="4"/>
  <c r="F116" i="4"/>
  <c r="B36" i="4"/>
  <c r="B16" i="10" s="1"/>
  <c r="C34" i="4"/>
  <c r="C107" i="4"/>
  <c r="E121" i="4"/>
  <c r="C88" i="4"/>
  <c r="B54" i="4"/>
  <c r="C49" i="4"/>
  <c r="F68" i="4"/>
  <c r="F109" i="4"/>
  <c r="B126" i="4"/>
  <c r="D126" i="4" s="1"/>
  <c r="C28" i="4"/>
  <c r="E34" i="4"/>
  <c r="F86" i="4"/>
  <c r="E11" i="4"/>
  <c r="F30" i="10" s="1"/>
  <c r="E12" i="4"/>
  <c r="F41" i="10" s="1"/>
  <c r="C112" i="4"/>
  <c r="E107" i="4"/>
  <c r="E134" i="4"/>
  <c r="F15" i="10" s="1"/>
  <c r="C96" i="4"/>
  <c r="F7" i="4"/>
  <c r="C68" i="4"/>
  <c r="E68" i="33" s="1"/>
  <c r="C89" i="4"/>
  <c r="F79" i="4"/>
  <c r="E117" i="4"/>
  <c r="C110" i="4"/>
  <c r="B116" i="4"/>
  <c r="C39" i="4"/>
  <c r="C75" i="4"/>
  <c r="E75" i="4"/>
  <c r="F96" i="4"/>
  <c r="B34" i="4"/>
  <c r="C114" i="4"/>
  <c r="B8" i="4"/>
  <c r="F107" i="4"/>
  <c r="F12" i="4"/>
  <c r="E96" i="4"/>
  <c r="C79" i="4"/>
  <c r="B49" i="4"/>
  <c r="E100" i="4"/>
  <c r="B108" i="4"/>
  <c r="F117" i="4"/>
  <c r="C116" i="4"/>
  <c r="B75" i="4"/>
  <c r="F113" i="4"/>
  <c r="B114" i="4"/>
  <c r="C120" i="4"/>
  <c r="B39" i="4"/>
  <c r="B35" i="4"/>
  <c r="C121" i="4"/>
  <c r="F112" i="4"/>
  <c r="C35" i="4"/>
  <c r="C48" i="4"/>
  <c r="B113" i="4"/>
  <c r="F89" i="4"/>
  <c r="F100" i="4"/>
  <c r="E109" i="4"/>
  <c r="F125" i="4"/>
  <c r="E108" i="4"/>
  <c r="B134" i="4"/>
  <c r="B15" i="10" s="1"/>
  <c r="B107" i="4"/>
  <c r="C113" i="4"/>
  <c r="B37" i="4"/>
  <c r="B26" i="10" s="1"/>
  <c r="C134" i="4"/>
  <c r="C37" i="4"/>
  <c r="E37" i="13" s="1"/>
  <c r="E35" i="4"/>
  <c r="F42" i="10" s="1"/>
  <c r="F114" i="4"/>
  <c r="B96" i="4"/>
  <c r="C54" i="4"/>
  <c r="B120" i="4"/>
  <c r="C100" i="4"/>
  <c r="B79" i="4"/>
  <c r="B109" i="4"/>
  <c r="B117" i="4"/>
  <c r="F108" i="4"/>
  <c r="F136" i="4"/>
  <c r="B137" i="4"/>
  <c r="B44" i="10" s="1"/>
  <c r="C55" i="4"/>
  <c r="B112" i="4"/>
  <c r="B99" i="4"/>
  <c r="C122" i="4"/>
  <c r="C135" i="4"/>
  <c r="B78" i="4"/>
  <c r="B38" i="4"/>
  <c r="F121" i="4"/>
  <c r="E112" i="4"/>
  <c r="G112" i="4" s="1"/>
  <c r="F35" i="4"/>
  <c r="B67" i="4"/>
  <c r="E89" i="4"/>
  <c r="B125" i="4"/>
  <c r="C117" i="4"/>
  <c r="B28" i="4"/>
  <c r="E136" i="4"/>
  <c r="C36" i="4"/>
  <c r="E36" i="13" s="1"/>
  <c r="B121" i="4"/>
  <c r="C136" i="4"/>
  <c r="F75" i="4"/>
  <c r="C137" i="4"/>
  <c r="B88" i="4"/>
  <c r="C78" i="4"/>
  <c r="F134" i="4"/>
  <c r="E135" i="4"/>
  <c r="F25" i="10" s="1"/>
  <c r="C38" i="4"/>
  <c r="E68" i="4"/>
  <c r="B100" i="4"/>
  <c r="E125" i="4"/>
  <c r="C109" i="4"/>
  <c r="E124" i="4"/>
  <c r="C10" i="4"/>
  <c r="B12" i="4"/>
  <c r="B41" i="10" s="1"/>
  <c r="B9" i="4"/>
  <c r="B7" i="4"/>
  <c r="B9" i="10" s="1"/>
  <c r="B10" i="4"/>
  <c r="B20" i="10" s="1"/>
  <c r="C12" i="4"/>
  <c r="C8" i="4"/>
  <c r="C11" i="4"/>
  <c r="B11" i="4"/>
  <c r="B30" i="10" s="1"/>
  <c r="C9" i="4"/>
  <c r="C7" i="4"/>
  <c r="F31" i="10"/>
  <c r="G17" i="9"/>
  <c r="G58" i="9" s="1"/>
  <c r="H42" i="9"/>
  <c r="C40" i="9"/>
  <c r="H41" i="9"/>
  <c r="G40" i="9"/>
  <c r="H20" i="9"/>
  <c r="N67" i="8" s="1"/>
  <c r="G18" i="9"/>
  <c r="M65" i="8" s="1"/>
  <c r="G15" i="9"/>
  <c r="M63" i="8" s="1"/>
  <c r="G16" i="9"/>
  <c r="C38" i="9"/>
  <c r="G19" i="9"/>
  <c r="M66" i="8" s="1"/>
  <c r="B43" i="9"/>
  <c r="B44" i="9"/>
  <c r="C44" i="9"/>
  <c r="G22" i="9"/>
  <c r="M69" i="8" s="1"/>
  <c r="C42" i="9"/>
  <c r="H43" i="9"/>
  <c r="H15" i="9"/>
  <c r="N63" i="8" s="1"/>
  <c r="H39" i="9"/>
  <c r="G12" i="9"/>
  <c r="C39" i="9"/>
  <c r="G21" i="9"/>
  <c r="M68" i="8" s="1"/>
  <c r="H21" i="9"/>
  <c r="G25" i="9"/>
  <c r="M72" i="8" s="1"/>
  <c r="H38" i="9"/>
  <c r="H11" i="9"/>
  <c r="H40" i="9"/>
  <c r="C43" i="9"/>
  <c r="G11" i="9"/>
  <c r="H12" i="9"/>
  <c r="N60" i="8" s="1"/>
  <c r="C41" i="9"/>
  <c r="G23" i="9"/>
  <c r="G20" i="9"/>
  <c r="G26" i="9"/>
  <c r="H44" i="9"/>
  <c r="G28" i="9"/>
  <c r="M74" i="8" s="1"/>
  <c r="G30" i="9"/>
  <c r="M76" i="8" s="1"/>
  <c r="G38" i="9"/>
  <c r="H23" i="9"/>
  <c r="N70" i="8" s="1"/>
  <c r="B38" i="9"/>
  <c r="B42" i="9"/>
  <c r="B39" i="9"/>
  <c r="K135" i="26"/>
  <c r="K7" i="35"/>
  <c r="H29" i="29"/>
  <c r="K121" i="13"/>
  <c r="H121" i="33"/>
  <c r="H125" i="33"/>
  <c r="H68" i="29"/>
  <c r="K113" i="33"/>
  <c r="H29" i="13"/>
  <c r="K12" i="29"/>
  <c r="K108" i="33"/>
  <c r="H22" i="33"/>
  <c r="K68" i="33"/>
  <c r="H35" i="29"/>
  <c r="H34" i="13"/>
  <c r="H121" i="35"/>
  <c r="K22" i="51"/>
  <c r="K135" i="34"/>
  <c r="K134" i="26"/>
  <c r="H100" i="29"/>
  <c r="K137" i="26"/>
  <c r="K28" i="51"/>
  <c r="H89" i="29"/>
  <c r="K12" i="33"/>
  <c r="K116" i="33"/>
  <c r="K29" i="51"/>
  <c r="H34" i="33"/>
  <c r="H12" i="33"/>
  <c r="H125" i="29"/>
  <c r="K108" i="23"/>
  <c r="K22" i="23"/>
  <c r="H107" i="23"/>
  <c r="K107" i="33"/>
  <c r="K100" i="33"/>
  <c r="K75" i="33"/>
  <c r="K122" i="33"/>
  <c r="K114" i="33"/>
  <c r="H29" i="33"/>
  <c r="H75" i="33"/>
  <c r="D37" i="13"/>
  <c r="K89" i="23"/>
  <c r="K68" i="23"/>
  <c r="K28" i="24"/>
  <c r="H135" i="26"/>
  <c r="H22" i="29"/>
  <c r="K113" i="35"/>
  <c r="K12" i="35"/>
  <c r="K109" i="35"/>
  <c r="H12" i="35"/>
  <c r="H96" i="33"/>
  <c r="H117" i="33"/>
  <c r="K28" i="25"/>
  <c r="K136" i="34"/>
  <c r="K96" i="33"/>
  <c r="H35" i="33"/>
  <c r="K117" i="33"/>
  <c r="H109" i="35"/>
  <c r="K28" i="23"/>
  <c r="K89" i="33"/>
  <c r="K11" i="35"/>
  <c r="H113" i="35"/>
  <c r="D57" i="16"/>
  <c r="D28" i="16"/>
  <c r="D29" i="16"/>
  <c r="D9" i="16"/>
  <c r="D10" i="16"/>
  <c r="D54" i="16"/>
  <c r="D8" i="16"/>
  <c r="D49" i="16"/>
  <c r="D7" i="16"/>
  <c r="D48" i="16"/>
  <c r="H100" i="23"/>
  <c r="B21" i="10"/>
  <c r="K109" i="23"/>
  <c r="K10" i="35"/>
  <c r="K34" i="13"/>
  <c r="K107" i="13"/>
  <c r="K121" i="23"/>
  <c r="H109" i="23"/>
  <c r="H22" i="23"/>
  <c r="H100" i="33"/>
  <c r="H68" i="33"/>
  <c r="K125" i="33"/>
  <c r="D49" i="39"/>
  <c r="K7" i="13"/>
  <c r="K7" i="19"/>
  <c r="K10" i="29"/>
  <c r="H7" i="23"/>
  <c r="H7" i="29"/>
  <c r="H7" i="33"/>
  <c r="K10" i="33"/>
  <c r="H10" i="13"/>
  <c r="K7" i="23"/>
  <c r="K11" i="33"/>
  <c r="K7" i="29"/>
  <c r="H10" i="35"/>
  <c r="H11" i="13"/>
  <c r="K22" i="13"/>
  <c r="K29" i="13"/>
  <c r="H79" i="13"/>
  <c r="K100" i="13"/>
  <c r="K116" i="13"/>
  <c r="K10" i="19"/>
  <c r="K10" i="13"/>
  <c r="H121" i="13"/>
  <c r="K7" i="20"/>
  <c r="K10" i="20"/>
  <c r="K22" i="24"/>
  <c r="K11" i="29"/>
  <c r="H22" i="35"/>
  <c r="H113" i="29"/>
  <c r="H7" i="35"/>
  <c r="H11" i="35"/>
  <c r="K7" i="33"/>
  <c r="H89" i="33"/>
  <c r="H107" i="33"/>
  <c r="K121" i="33"/>
  <c r="K126" i="33"/>
  <c r="H89" i="13"/>
  <c r="K109" i="13"/>
  <c r="K67" i="13"/>
  <c r="K11" i="13"/>
  <c r="H113" i="33"/>
  <c r="H107" i="35"/>
  <c r="H12" i="23"/>
  <c r="H86" i="23"/>
  <c r="H136" i="26"/>
  <c r="K28" i="29"/>
  <c r="K34" i="29"/>
  <c r="H134" i="26"/>
  <c r="H35" i="35"/>
  <c r="H79" i="23"/>
  <c r="H89" i="23"/>
  <c r="H117" i="23"/>
  <c r="K35" i="29"/>
  <c r="H117" i="29"/>
  <c r="H45" i="9"/>
  <c r="D39" i="13"/>
  <c r="H22" i="13"/>
  <c r="H7" i="13"/>
  <c r="K35" i="13"/>
  <c r="K108" i="13"/>
  <c r="K12" i="13"/>
  <c r="H107" i="13"/>
  <c r="C45" i="9"/>
  <c r="D48" i="13"/>
  <c r="J10" i="13"/>
  <c r="D10" i="13"/>
  <c r="K28" i="13"/>
  <c r="K68" i="13"/>
  <c r="K112" i="13"/>
  <c r="K117" i="13"/>
  <c r="H35" i="13"/>
  <c r="H109" i="13"/>
  <c r="J89" i="13"/>
  <c r="D89" i="13"/>
  <c r="D11" i="13"/>
  <c r="J11" i="13"/>
  <c r="J9" i="19"/>
  <c r="L9" i="19" s="1"/>
  <c r="D9" i="19"/>
  <c r="B37" i="9"/>
  <c r="K113" i="13"/>
  <c r="J9" i="13"/>
  <c r="L9" i="13" s="1"/>
  <c r="D9" i="13"/>
  <c r="H68" i="13"/>
  <c r="J88" i="13"/>
  <c r="D88" i="13"/>
  <c r="H100" i="13"/>
  <c r="H12" i="13"/>
  <c r="C37" i="9"/>
  <c r="H37" i="9"/>
  <c r="H51" i="9" s="1"/>
  <c r="G37" i="9"/>
  <c r="G51" i="9" s="1"/>
  <c r="D78" i="13"/>
  <c r="J78" i="13"/>
  <c r="J12" i="13"/>
  <c r="D12" i="13"/>
  <c r="K120" i="13"/>
  <c r="K88" i="13"/>
  <c r="H117" i="13"/>
  <c r="D48" i="19"/>
  <c r="D47" i="19"/>
  <c r="D35" i="13"/>
  <c r="J35" i="13"/>
  <c r="J68" i="13"/>
  <c r="K86" i="13"/>
  <c r="K89" i="13"/>
  <c r="J107" i="13"/>
  <c r="D107" i="13"/>
  <c r="D112" i="13"/>
  <c r="J112" i="13"/>
  <c r="J117" i="13"/>
  <c r="D86" i="13"/>
  <c r="J86" i="13"/>
  <c r="J125" i="13"/>
  <c r="D8" i="20"/>
  <c r="J8" i="20"/>
  <c r="L8" i="20" s="1"/>
  <c r="J79" i="13"/>
  <c r="D99" i="13"/>
  <c r="J99" i="13"/>
  <c r="J124" i="13"/>
  <c r="D124" i="13"/>
  <c r="H108" i="13"/>
  <c r="H113" i="13"/>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D10" i="19"/>
  <c r="J10" i="19"/>
  <c r="J28" i="20"/>
  <c r="D28" i="20"/>
  <c r="D22" i="23"/>
  <c r="J22" i="23"/>
  <c r="D28" i="24"/>
  <c r="J28" i="24"/>
  <c r="D28" i="25"/>
  <c r="J28" i="25"/>
  <c r="J112" i="23"/>
  <c r="D112" i="23"/>
  <c r="J22" i="24"/>
  <c r="D22" i="24"/>
  <c r="D8" i="22"/>
  <c r="J8" i="22"/>
  <c r="L8" i="22" s="1"/>
  <c r="D29" i="23"/>
  <c r="J29" i="23"/>
  <c r="K112" i="23"/>
  <c r="D7" i="24"/>
  <c r="J7" i="24"/>
  <c r="J22" i="51"/>
  <c r="D22" i="51"/>
  <c r="K11" i="23"/>
  <c r="K35" i="23"/>
  <c r="D107" i="23"/>
  <c r="J107" i="23"/>
  <c r="J117" i="23"/>
  <c r="K29" i="24"/>
  <c r="D48" i="25"/>
  <c r="D9" i="22"/>
  <c r="J9" i="22"/>
  <c r="L9" i="22" s="1"/>
  <c r="K12" i="23"/>
  <c r="K67" i="23"/>
  <c r="D78" i="23"/>
  <c r="K78" i="23"/>
  <c r="J108" i="23"/>
  <c r="D108" i="23"/>
  <c r="H113" i="23"/>
  <c r="D67" i="29"/>
  <c r="K67" i="29"/>
  <c r="J75" i="33"/>
  <c r="D75" i="33"/>
  <c r="D48" i="51"/>
  <c r="D54" i="40"/>
  <c r="J28" i="29"/>
  <c r="D28" i="29"/>
  <c r="J136" i="26"/>
  <c r="D7" i="29"/>
  <c r="J7" i="29"/>
  <c r="J10" i="35"/>
  <c r="J12" i="29"/>
  <c r="H12" i="29"/>
  <c r="D109" i="29"/>
  <c r="D68" i="29"/>
  <c r="J68" i="29"/>
  <c r="D86" i="29"/>
  <c r="D112" i="29"/>
  <c r="D116" i="29"/>
  <c r="H121" i="29"/>
  <c r="J7" i="35"/>
  <c r="K22" i="35"/>
  <c r="K29" i="35"/>
  <c r="J10" i="33"/>
  <c r="D10" i="33"/>
  <c r="J68" i="33"/>
  <c r="D68" i="33"/>
  <c r="J125" i="35"/>
  <c r="D126" i="33"/>
  <c r="J126" i="33"/>
  <c r="L126" i="33" s="1"/>
  <c r="J89" i="35"/>
  <c r="J107" i="35"/>
  <c r="K78" i="33"/>
  <c r="K77" i="33"/>
  <c r="K112" i="33"/>
  <c r="K121" i="35"/>
  <c r="J8" i="33"/>
  <c r="L8" i="33" s="1"/>
  <c r="D8" i="33"/>
  <c r="H11" i="33"/>
  <c r="K35" i="33"/>
  <c r="D96" i="33"/>
  <c r="J96" i="33"/>
  <c r="J108" i="33"/>
  <c r="D108" i="33"/>
  <c r="K110" i="33"/>
  <c r="D116" i="33"/>
  <c r="J116" i="33"/>
  <c r="J8" i="13"/>
  <c r="L8" i="13" s="1"/>
  <c r="D8" i="13"/>
  <c r="J28" i="13"/>
  <c r="D28" i="13"/>
  <c r="J34" i="13"/>
  <c r="D34" i="13"/>
  <c r="D67" i="13"/>
  <c r="J67" i="13"/>
  <c r="K79" i="13"/>
  <c r="D100" i="13"/>
  <c r="J100" i="13"/>
  <c r="J116" i="13"/>
  <c r="D116" i="13"/>
  <c r="J121" i="13"/>
  <c r="K125" i="13"/>
  <c r="J8" i="19"/>
  <c r="L8" i="19" s="1"/>
  <c r="D8" i="19"/>
  <c r="J9" i="20"/>
  <c r="L9" i="20" s="1"/>
  <c r="D9" i="20"/>
  <c r="K22" i="20"/>
  <c r="K29" i="20"/>
  <c r="J113" i="23"/>
  <c r="K7" i="22"/>
  <c r="J12" i="35"/>
  <c r="D49" i="22"/>
  <c r="J10" i="23"/>
  <c r="J34" i="23"/>
  <c r="K113" i="23"/>
  <c r="J125" i="23"/>
  <c r="J8" i="24"/>
  <c r="L8" i="24" s="1"/>
  <c r="D8" i="24"/>
  <c r="J7" i="25"/>
  <c r="D7" i="25"/>
  <c r="J10" i="25"/>
  <c r="D10" i="25"/>
  <c r="D29" i="51"/>
  <c r="J29" i="51"/>
  <c r="J12" i="23"/>
  <c r="J78" i="23"/>
  <c r="K7" i="24"/>
  <c r="D10" i="24"/>
  <c r="J10" i="24"/>
  <c r="H29" i="23"/>
  <c r="J68" i="23"/>
  <c r="K79" i="23"/>
  <c r="J88" i="23"/>
  <c r="D88" i="23"/>
  <c r="K99" i="23"/>
  <c r="J109" i="23"/>
  <c r="K120" i="23"/>
  <c r="K10" i="24"/>
  <c r="D48" i="40"/>
  <c r="J29" i="29"/>
  <c r="D29" i="29"/>
  <c r="D134" i="26"/>
  <c r="J134" i="26"/>
  <c r="D137" i="26"/>
  <c r="J137" i="26"/>
  <c r="K7" i="51"/>
  <c r="K10" i="51"/>
  <c r="D78" i="29"/>
  <c r="J22" i="29"/>
  <c r="D22" i="29"/>
  <c r="K68" i="29"/>
  <c r="D88" i="29"/>
  <c r="J11" i="33"/>
  <c r="J134" i="34"/>
  <c r="D134" i="34"/>
  <c r="H29" i="35"/>
  <c r="D48" i="34"/>
  <c r="J22" i="35"/>
  <c r="J29" i="35"/>
  <c r="H107" i="29"/>
  <c r="D117" i="29"/>
  <c r="J135" i="34"/>
  <c r="D135" i="34"/>
  <c r="K34" i="35"/>
  <c r="J117" i="35"/>
  <c r="J9" i="33"/>
  <c r="L9" i="33" s="1"/>
  <c r="D9" i="33"/>
  <c r="J78" i="33"/>
  <c r="D78" i="33"/>
  <c r="J22" i="33"/>
  <c r="D22" i="33"/>
  <c r="J29" i="33"/>
  <c r="D29" i="33"/>
  <c r="J67" i="33"/>
  <c r="K79" i="33"/>
  <c r="K89" i="35"/>
  <c r="K107" i="35"/>
  <c r="H117" i="35"/>
  <c r="J99" i="33"/>
  <c r="D99" i="33"/>
  <c r="D109" i="33"/>
  <c r="J109" i="33"/>
  <c r="D48" i="38"/>
  <c r="G45" i="9"/>
  <c r="J112" i="33"/>
  <c r="D112" i="33"/>
  <c r="J117" i="33"/>
  <c r="D48" i="39"/>
  <c r="D57" i="21"/>
  <c r="K28" i="20"/>
  <c r="J28" i="23"/>
  <c r="D28" i="23"/>
  <c r="D48" i="21"/>
  <c r="D57" i="25"/>
  <c r="J11" i="23"/>
  <c r="J35" i="23"/>
  <c r="J8" i="25"/>
  <c r="L8" i="25" s="1"/>
  <c r="D8" i="25"/>
  <c r="J9" i="51"/>
  <c r="L9" i="51" s="1"/>
  <c r="D9" i="51"/>
  <c r="K29" i="23"/>
  <c r="J67" i="23"/>
  <c r="D67" i="23"/>
  <c r="J79" i="23"/>
  <c r="J99" i="23"/>
  <c r="D99" i="23"/>
  <c r="J120" i="23"/>
  <c r="D120" i="23"/>
  <c r="K125" i="23"/>
  <c r="K7" i="25"/>
  <c r="K10" i="25"/>
  <c r="D48" i="22"/>
  <c r="H10" i="23"/>
  <c r="H34" i="23"/>
  <c r="K86" i="23"/>
  <c r="J89" i="23"/>
  <c r="K100" i="23"/>
  <c r="K116" i="23"/>
  <c r="J121" i="23"/>
  <c r="H125" i="23"/>
  <c r="J9" i="24"/>
  <c r="L9" i="24" s="1"/>
  <c r="D9" i="24"/>
  <c r="D54" i="25"/>
  <c r="J7" i="51"/>
  <c r="D7" i="51"/>
  <c r="D10" i="51"/>
  <c r="J10" i="51"/>
  <c r="J34" i="29"/>
  <c r="D34" i="29"/>
  <c r="D10" i="29"/>
  <c r="J10" i="29"/>
  <c r="D89" i="29"/>
  <c r="J11" i="35"/>
  <c r="H10" i="29"/>
  <c r="K22" i="29"/>
  <c r="K29" i="29"/>
  <c r="D120" i="29"/>
  <c r="D107" i="29"/>
  <c r="H34" i="35"/>
  <c r="K134" i="34"/>
  <c r="J34" i="35"/>
  <c r="H29" i="9"/>
  <c r="N75" i="8" s="1"/>
  <c r="H79" i="29"/>
  <c r="D113" i="29"/>
  <c r="K35" i="35"/>
  <c r="K117" i="35"/>
  <c r="D67" i="33"/>
  <c r="K67" i="33"/>
  <c r="J79" i="33"/>
  <c r="D79" i="33"/>
  <c r="K125" i="35"/>
  <c r="J34" i="33"/>
  <c r="K86" i="33"/>
  <c r="D122" i="33"/>
  <c r="J122" i="33"/>
  <c r="J113" i="35"/>
  <c r="K22" i="33"/>
  <c r="K29" i="33"/>
  <c r="H79" i="33"/>
  <c r="J88" i="33"/>
  <c r="D88" i="33"/>
  <c r="J100" i="33"/>
  <c r="D100" i="33"/>
  <c r="K120" i="33"/>
  <c r="D113" i="33"/>
  <c r="J113" i="33"/>
  <c r="D54" i="21"/>
  <c r="J22" i="20"/>
  <c r="D22" i="20"/>
  <c r="J29" i="20"/>
  <c r="D29" i="20"/>
  <c r="D48" i="20"/>
  <c r="J7" i="23"/>
  <c r="K10" i="22"/>
  <c r="K88" i="23"/>
  <c r="J35" i="29"/>
  <c r="D7" i="22"/>
  <c r="J7" i="22"/>
  <c r="D10" i="22"/>
  <c r="J10" i="22"/>
  <c r="H121" i="23"/>
  <c r="J29" i="24"/>
  <c r="D29" i="24"/>
  <c r="K10" i="23"/>
  <c r="K34" i="23"/>
  <c r="H68" i="23"/>
  <c r="D86" i="23"/>
  <c r="J86" i="23"/>
  <c r="J100" i="23"/>
  <c r="D116" i="23"/>
  <c r="J116" i="23"/>
  <c r="J28" i="51"/>
  <c r="D28" i="51"/>
  <c r="H11" i="23"/>
  <c r="H35" i="23"/>
  <c r="K107" i="23"/>
  <c r="K117" i="23"/>
  <c r="J9" i="25"/>
  <c r="L9" i="25" s="1"/>
  <c r="D9" i="25"/>
  <c r="K136" i="26"/>
  <c r="J8" i="51"/>
  <c r="L8" i="51" s="1"/>
  <c r="D8" i="51"/>
  <c r="D135" i="26"/>
  <c r="J135" i="26"/>
  <c r="D57" i="40"/>
  <c r="J8" i="29"/>
  <c r="L8" i="29" s="1"/>
  <c r="D8" i="29"/>
  <c r="J11" i="29"/>
  <c r="D99" i="29"/>
  <c r="D120" i="33"/>
  <c r="J120" i="33"/>
  <c r="D9" i="29"/>
  <c r="J9" i="29"/>
  <c r="L9" i="29" s="1"/>
  <c r="H11" i="29"/>
  <c r="H34" i="29"/>
  <c r="D100" i="29"/>
  <c r="J136" i="34"/>
  <c r="D136" i="34"/>
  <c r="D108" i="29"/>
  <c r="J12" i="33"/>
  <c r="D125" i="33"/>
  <c r="J125" i="33"/>
  <c r="J67" i="29"/>
  <c r="D79" i="29"/>
  <c r="J35" i="35"/>
  <c r="K99" i="33"/>
  <c r="H86" i="29"/>
  <c r="H109" i="29"/>
  <c r="K88" i="33"/>
  <c r="J86" i="33"/>
  <c r="D121" i="33"/>
  <c r="J121" i="33"/>
  <c r="J121" i="35"/>
  <c r="J35" i="33"/>
  <c r="D35" i="33"/>
  <c r="J109" i="35"/>
  <c r="H125" i="35"/>
  <c r="J7" i="33"/>
  <c r="D7" i="33"/>
  <c r="H10" i="33"/>
  <c r="K34" i="33"/>
  <c r="H86" i="33"/>
  <c r="J89" i="33"/>
  <c r="D89" i="33"/>
  <c r="J107" i="33"/>
  <c r="J110" i="33"/>
  <c r="D110" i="33"/>
  <c r="K109" i="33"/>
  <c r="H109" i="33"/>
  <c r="J114" i="33"/>
  <c r="D114" i="33"/>
  <c r="G29" i="9"/>
  <c r="M75" i="8" s="1"/>
  <c r="B10" i="10"/>
  <c r="F21" i="10"/>
  <c r="F10" i="10"/>
  <c r="K9" i="16"/>
  <c r="K8" i="16"/>
  <c r="K22" i="16"/>
  <c r="K7" i="16"/>
  <c r="J8" i="16"/>
  <c r="J9" i="16"/>
  <c r="J22" i="16"/>
  <c r="J28" i="16"/>
  <c r="J29" i="16"/>
  <c r="K10" i="16"/>
  <c r="K29" i="16"/>
  <c r="J10" i="16"/>
  <c r="J7" i="16"/>
  <c r="K28" i="16"/>
  <c r="G96" i="4" l="1"/>
  <c r="G125" i="4"/>
  <c r="G100" i="4"/>
  <c r="G107" i="4"/>
  <c r="G109" i="4"/>
  <c r="G124" i="4"/>
  <c r="G117" i="4"/>
  <c r="G86" i="4"/>
  <c r="G108" i="4"/>
  <c r="G116" i="4"/>
  <c r="I75" i="4"/>
  <c r="G113" i="4"/>
  <c r="F23" i="10"/>
  <c r="G89" i="4"/>
  <c r="G79" i="4"/>
  <c r="G121" i="4"/>
  <c r="F13" i="10"/>
  <c r="G68" i="4"/>
  <c r="G75" i="4"/>
  <c r="D56" i="21"/>
  <c r="H77" i="29"/>
  <c r="D28" i="4"/>
  <c r="E119" i="4"/>
  <c r="F111" i="4"/>
  <c r="C98" i="4"/>
  <c r="E87" i="4"/>
  <c r="E111" i="4"/>
  <c r="F87" i="4"/>
  <c r="B47" i="4"/>
  <c r="B11" i="10" s="1"/>
  <c r="E77" i="4"/>
  <c r="F77" i="4"/>
  <c r="B87" i="4"/>
  <c r="B22" i="10" s="1"/>
  <c r="B53" i="4"/>
  <c r="B38" i="10" s="1"/>
  <c r="F119" i="4"/>
  <c r="B119" i="4"/>
  <c r="B43" i="10" s="1"/>
  <c r="C119" i="4"/>
  <c r="C53" i="4"/>
  <c r="C47" i="4"/>
  <c r="C77" i="4"/>
  <c r="F98" i="4"/>
  <c r="E66" i="4"/>
  <c r="C111" i="4"/>
  <c r="C56" i="4"/>
  <c r="B77" i="4"/>
  <c r="E98" i="4"/>
  <c r="C87" i="4"/>
  <c r="B56" i="4"/>
  <c r="B49" i="10" s="1"/>
  <c r="B98" i="4"/>
  <c r="F66" i="4"/>
  <c r="B66" i="4"/>
  <c r="C66" i="4"/>
  <c r="B111" i="4"/>
  <c r="B32" i="10" s="1"/>
  <c r="N59" i="8"/>
  <c r="M59" i="8"/>
  <c r="M79" i="8"/>
  <c r="L86" i="23"/>
  <c r="E9" i="79"/>
  <c r="E57" i="78"/>
  <c r="E7" i="79"/>
  <c r="E48" i="78"/>
  <c r="E54" i="78"/>
  <c r="E8" i="79"/>
  <c r="E10" i="79"/>
  <c r="E28" i="79"/>
  <c r="H14" i="9"/>
  <c r="N62" i="8" s="1"/>
  <c r="G14" i="9"/>
  <c r="M62" i="8" s="1"/>
  <c r="N79" i="8"/>
  <c r="D34" i="4"/>
  <c r="E48" i="77"/>
  <c r="E48" i="76"/>
  <c r="E55" i="77"/>
  <c r="E57" i="76"/>
  <c r="E49" i="77"/>
  <c r="E54" i="76"/>
  <c r="E54" i="77"/>
  <c r="L7" i="35"/>
  <c r="L107" i="23"/>
  <c r="B14" i="9"/>
  <c r="M12" i="8" s="1"/>
  <c r="H77" i="33"/>
  <c r="L10" i="22"/>
  <c r="L29" i="51"/>
  <c r="N136" i="8"/>
  <c r="E28" i="16"/>
  <c r="H62" i="9"/>
  <c r="N68" i="8"/>
  <c r="E28" i="51"/>
  <c r="G67" i="9"/>
  <c r="M73" i="8"/>
  <c r="G61" i="9"/>
  <c r="M67" i="8"/>
  <c r="E28" i="29"/>
  <c r="E28" i="24"/>
  <c r="G64" i="9"/>
  <c r="M70" i="8"/>
  <c r="E28" i="23"/>
  <c r="E28" i="20"/>
  <c r="G53" i="9"/>
  <c r="M60" i="8"/>
  <c r="E28" i="25"/>
  <c r="G57" i="9"/>
  <c r="M64" i="8"/>
  <c r="M136" i="8"/>
  <c r="G71" i="9"/>
  <c r="I11" i="9"/>
  <c r="G52" i="9"/>
  <c r="G59" i="9"/>
  <c r="G72" i="9"/>
  <c r="G63" i="9"/>
  <c r="G60" i="9"/>
  <c r="K98" i="33"/>
  <c r="C14" i="9"/>
  <c r="L22" i="51"/>
  <c r="D47" i="39"/>
  <c r="L7" i="51"/>
  <c r="E34" i="37"/>
  <c r="E34" i="13"/>
  <c r="E34" i="29"/>
  <c r="L110" i="33"/>
  <c r="E8" i="74"/>
  <c r="E28" i="18"/>
  <c r="E7" i="72"/>
  <c r="E7" i="74"/>
  <c r="E48" i="72"/>
  <c r="E48" i="74"/>
  <c r="E28" i="37"/>
  <c r="E28" i="13"/>
  <c r="D38" i="4"/>
  <c r="D35" i="4"/>
  <c r="C31" i="9"/>
  <c r="N29" i="8" s="1"/>
  <c r="D53" i="40"/>
  <c r="D53" i="21"/>
  <c r="L28" i="51"/>
  <c r="L125" i="35"/>
  <c r="L10" i="51"/>
  <c r="E35" i="13"/>
  <c r="E35" i="37"/>
  <c r="E35" i="33"/>
  <c r="B34" i="10"/>
  <c r="H77" i="13"/>
  <c r="B42" i="10"/>
  <c r="E99" i="18"/>
  <c r="D29" i="4"/>
  <c r="E88" i="18"/>
  <c r="E9" i="18"/>
  <c r="E9" i="72"/>
  <c r="E67" i="18"/>
  <c r="E8" i="18"/>
  <c r="E112" i="18"/>
  <c r="E108" i="18"/>
  <c r="E120" i="18"/>
  <c r="E78" i="18"/>
  <c r="D37" i="4"/>
  <c r="L10" i="19"/>
  <c r="D36" i="4"/>
  <c r="D39" i="4"/>
  <c r="I33" i="18"/>
  <c r="I33" i="35"/>
  <c r="B31" i="10"/>
  <c r="D110" i="4"/>
  <c r="L117" i="35"/>
  <c r="L10" i="2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E55" i="37"/>
  <c r="I89" i="37"/>
  <c r="I89" i="18"/>
  <c r="I10" i="37"/>
  <c r="I10" i="18"/>
  <c r="I125" i="37"/>
  <c r="I125" i="18"/>
  <c r="I124" i="37"/>
  <c r="I124" i="18"/>
  <c r="I113" i="37"/>
  <c r="I113" i="18"/>
  <c r="I68" i="37"/>
  <c r="I68" i="18"/>
  <c r="E137" i="37"/>
  <c r="I114" i="37"/>
  <c r="I96" i="37"/>
  <c r="E75" i="37"/>
  <c r="E36" i="37"/>
  <c r="E49" i="37"/>
  <c r="I100" i="37"/>
  <c r="I100" i="18"/>
  <c r="E89" i="37"/>
  <c r="D114" i="4"/>
  <c r="I12" i="37"/>
  <c r="I12" i="18"/>
  <c r="E37" i="37"/>
  <c r="I22" i="37"/>
  <c r="I22" i="18"/>
  <c r="I121" i="37"/>
  <c r="I121" i="18"/>
  <c r="I29" i="37"/>
  <c r="I29" i="18"/>
  <c r="I79" i="37"/>
  <c r="I79" i="18"/>
  <c r="I116" i="37"/>
  <c r="I35" i="37"/>
  <c r="I35" i="18"/>
  <c r="I75" i="37"/>
  <c r="E135" i="37"/>
  <c r="I112" i="37"/>
  <c r="I108" i="37"/>
  <c r="I108" i="18"/>
  <c r="E10" i="37"/>
  <c r="E10" i="18"/>
  <c r="E57" i="37"/>
  <c r="I7" i="37"/>
  <c r="I7" i="18"/>
  <c r="E96" i="37"/>
  <c r="E136" i="37"/>
  <c r="L114" i="33"/>
  <c r="H77" i="23"/>
  <c r="K77" i="23"/>
  <c r="D47" i="21"/>
  <c r="D47" i="20"/>
  <c r="L107" i="29"/>
  <c r="L134" i="26"/>
  <c r="L109" i="23"/>
  <c r="L113" i="33"/>
  <c r="L12" i="33"/>
  <c r="E100" i="37"/>
  <c r="E122" i="37"/>
  <c r="E78" i="37"/>
  <c r="E114" i="37"/>
  <c r="E9" i="37"/>
  <c r="E124" i="37"/>
  <c r="E8" i="37"/>
  <c r="E67" i="37"/>
  <c r="E109" i="37"/>
  <c r="E116" i="37"/>
  <c r="E125" i="37"/>
  <c r="E99" i="37"/>
  <c r="E112" i="37"/>
  <c r="E110" i="37"/>
  <c r="E107" i="37"/>
  <c r="E88" i="37"/>
  <c r="E86" i="37"/>
  <c r="E108" i="37"/>
  <c r="E120" i="37"/>
  <c r="D47" i="38"/>
  <c r="L96" i="33"/>
  <c r="L113" i="29"/>
  <c r="L89" i="23"/>
  <c r="L75" i="33"/>
  <c r="L136" i="34"/>
  <c r="L68" i="33"/>
  <c r="L68" i="23"/>
  <c r="L28" i="24"/>
  <c r="H98" i="29"/>
  <c r="L22" i="23"/>
  <c r="L120" i="33"/>
  <c r="L137" i="26"/>
  <c r="D47" i="40"/>
  <c r="L28" i="23"/>
  <c r="L12" i="29"/>
  <c r="D53" i="13"/>
  <c r="K87" i="33"/>
  <c r="K87" i="23"/>
  <c r="L89" i="33"/>
  <c r="H87" i="29"/>
  <c r="L135" i="34"/>
  <c r="L10" i="29"/>
  <c r="L7" i="33"/>
  <c r="H66" i="23"/>
  <c r="L35" i="29"/>
  <c r="L11" i="35"/>
  <c r="H87" i="35"/>
  <c r="L116" i="29"/>
  <c r="L11" i="29"/>
  <c r="H111" i="13"/>
  <c r="L35" i="23"/>
  <c r="N135" i="8"/>
  <c r="C12" i="9"/>
  <c r="N10" i="8" s="1"/>
  <c r="N112" i="8"/>
  <c r="C25" i="9"/>
  <c r="N23" i="8" s="1"/>
  <c r="C15" i="9"/>
  <c r="N13" i="8" s="1"/>
  <c r="C23" i="9"/>
  <c r="N21" i="8" s="1"/>
  <c r="C28" i="9"/>
  <c r="N26" i="8" s="1"/>
  <c r="K111" i="13"/>
  <c r="L107" i="33"/>
  <c r="L100" i="33"/>
  <c r="N138" i="8"/>
  <c r="M112" i="8"/>
  <c r="L108" i="13"/>
  <c r="D56" i="40"/>
  <c r="N139" i="8"/>
  <c r="L109" i="35"/>
  <c r="H119" i="23"/>
  <c r="L116" i="33"/>
  <c r="C21" i="9"/>
  <c r="N19" i="8" s="1"/>
  <c r="L35" i="33"/>
  <c r="L8" i="16"/>
  <c r="L67" i="29"/>
  <c r="L29" i="20"/>
  <c r="L116" i="23"/>
  <c r="L12" i="35"/>
  <c r="L108" i="23"/>
  <c r="L28" i="25"/>
  <c r="L9" i="16"/>
  <c r="H98" i="13"/>
  <c r="L7" i="16"/>
  <c r="D53" i="16"/>
  <c r="D56" i="25"/>
  <c r="L117" i="33"/>
  <c r="L10" i="35"/>
  <c r="L12" i="13"/>
  <c r="D56" i="16"/>
  <c r="N133" i="8"/>
  <c r="L99" i="23"/>
  <c r="L7" i="20"/>
  <c r="K119" i="13"/>
  <c r="M113" i="8"/>
  <c r="K66" i="23"/>
  <c r="K87" i="35"/>
  <c r="M109" i="8"/>
  <c r="L11" i="33"/>
  <c r="H119" i="13"/>
  <c r="L22" i="16"/>
  <c r="L29" i="16"/>
  <c r="C16" i="9"/>
  <c r="N14" i="8" s="1"/>
  <c r="L10" i="16"/>
  <c r="D47" i="16"/>
  <c r="L28" i="16"/>
  <c r="N137" i="8"/>
  <c r="L7" i="13"/>
  <c r="N132" i="8"/>
  <c r="B29" i="9"/>
  <c r="M27" i="8" s="1"/>
  <c r="M114" i="8"/>
  <c r="M137" i="8"/>
  <c r="N111" i="8"/>
  <c r="N134" i="8"/>
  <c r="N140" i="8"/>
  <c r="C29" i="9"/>
  <c r="N27" i="8" s="1"/>
  <c r="C22" i="9"/>
  <c r="N20" i="8" s="1"/>
  <c r="C19" i="9"/>
  <c r="N17" i="8" s="1"/>
  <c r="M111" i="8"/>
  <c r="B11" i="9"/>
  <c r="B17" i="9"/>
  <c r="M15" i="8" s="1"/>
  <c r="M115" i="8"/>
  <c r="H119" i="33"/>
  <c r="L125" i="33"/>
  <c r="L121" i="23"/>
  <c r="M135" i="8"/>
  <c r="L116" i="13"/>
  <c r="N114" i="8"/>
  <c r="L10" i="33"/>
  <c r="C20" i="9"/>
  <c r="N18" i="8" s="1"/>
  <c r="B20" i="9"/>
  <c r="M18" i="8" s="1"/>
  <c r="L22" i="13"/>
  <c r="L107" i="13"/>
  <c r="L10" i="13"/>
  <c r="L121" i="33"/>
  <c r="C26" i="9"/>
  <c r="N24" i="8" s="1"/>
  <c r="H87" i="23"/>
  <c r="L29" i="24"/>
  <c r="L7" i="23"/>
  <c r="H87" i="33"/>
  <c r="L120" i="29"/>
  <c r="D47" i="22"/>
  <c r="L11" i="23"/>
  <c r="L117" i="29"/>
  <c r="K119" i="23"/>
  <c r="L34" i="13"/>
  <c r="M139" i="8"/>
  <c r="B22" i="9"/>
  <c r="M20" i="8" s="1"/>
  <c r="B21" i="9"/>
  <c r="M19" i="8" s="1"/>
  <c r="L22" i="24"/>
  <c r="L7" i="19"/>
  <c r="N109" i="8"/>
  <c r="M110" i="8"/>
  <c r="C10" i="9"/>
  <c r="L11" i="13"/>
  <c r="C11" i="9"/>
  <c r="N9" i="8" s="1"/>
  <c r="M132" i="8"/>
  <c r="C30" i="9"/>
  <c r="N28" i="8" s="1"/>
  <c r="F14" i="10"/>
  <c r="E48" i="39"/>
  <c r="E48" i="16"/>
  <c r="I73" i="29"/>
  <c r="I89" i="13"/>
  <c r="I89" i="29"/>
  <c r="I89" i="33"/>
  <c r="I89" i="23"/>
  <c r="G23" i="10"/>
  <c r="I35" i="23"/>
  <c r="I35" i="29"/>
  <c r="I35" i="35"/>
  <c r="I35" i="33"/>
  <c r="I35" i="13"/>
  <c r="G42" i="10"/>
  <c r="I134" i="26"/>
  <c r="G15" i="10"/>
  <c r="I10" i="23"/>
  <c r="I10" i="35"/>
  <c r="I10" i="29"/>
  <c r="I10" i="33"/>
  <c r="I10" i="13"/>
  <c r="G20" i="10"/>
  <c r="E49" i="39"/>
  <c r="E49" i="16"/>
  <c r="I23" i="33"/>
  <c r="I23" i="13"/>
  <c r="I23" i="23"/>
  <c r="I23" i="29"/>
  <c r="I23" i="35"/>
  <c r="E54" i="39"/>
  <c r="E54" i="16"/>
  <c r="C25" i="10"/>
  <c r="C31" i="10"/>
  <c r="C9" i="10"/>
  <c r="C23" i="10"/>
  <c r="G44" i="10"/>
  <c r="C41" i="10"/>
  <c r="I86" i="23"/>
  <c r="I86" i="29"/>
  <c r="I86" i="33"/>
  <c r="C21" i="10"/>
  <c r="C33" i="10"/>
  <c r="C16" i="10"/>
  <c r="H18" i="9"/>
  <c r="N65" i="8" s="1"/>
  <c r="B16" i="9"/>
  <c r="M14" i="8" s="1"/>
  <c r="M140" i="8"/>
  <c r="B12" i="9"/>
  <c r="M10" i="8" s="1"/>
  <c r="H68" i="9"/>
  <c r="H19" i="9"/>
  <c r="N66" i="8" s="1"/>
  <c r="M134" i="8"/>
  <c r="N110" i="8"/>
  <c r="I29" i="33"/>
  <c r="I29" i="23"/>
  <c r="I29" i="29"/>
  <c r="I29" i="13"/>
  <c r="I29" i="35"/>
  <c r="G21" i="10"/>
  <c r="I25" i="23"/>
  <c r="I25" i="29"/>
  <c r="I25" i="33"/>
  <c r="I25" i="13"/>
  <c r="I30" i="23"/>
  <c r="I30" i="29"/>
  <c r="I30" i="35"/>
  <c r="I30" i="33"/>
  <c r="I30" i="13"/>
  <c r="C30" i="10"/>
  <c r="I107" i="13"/>
  <c r="I107" i="23"/>
  <c r="I107" i="29"/>
  <c r="I107" i="35"/>
  <c r="I107" i="33"/>
  <c r="C44" i="10"/>
  <c r="I75" i="33"/>
  <c r="G14" i="10"/>
  <c r="I32" i="13"/>
  <c r="I32" i="23"/>
  <c r="I32" i="29"/>
  <c r="I32" i="33"/>
  <c r="I100" i="13"/>
  <c r="I100" i="23"/>
  <c r="I100" i="29"/>
  <c r="I100" i="33"/>
  <c r="I22" i="23"/>
  <c r="I22" i="29"/>
  <c r="I22" i="35"/>
  <c r="I22" i="33"/>
  <c r="I22" i="13"/>
  <c r="G10" i="10"/>
  <c r="C34" i="10"/>
  <c r="I121" i="13"/>
  <c r="I121" i="23"/>
  <c r="I121" i="35"/>
  <c r="I121" i="33"/>
  <c r="I121" i="29"/>
  <c r="I113" i="23"/>
  <c r="I113" i="13"/>
  <c r="I113" i="35"/>
  <c r="I113" i="33"/>
  <c r="I113" i="29"/>
  <c r="I108" i="13"/>
  <c r="M138" i="8"/>
  <c r="N113" i="8"/>
  <c r="B41" i="9"/>
  <c r="B15" i="9"/>
  <c r="M13" i="8" s="1"/>
  <c r="B31" i="9"/>
  <c r="M29" i="8" s="1"/>
  <c r="G44" i="9"/>
  <c r="G70" i="9" s="1"/>
  <c r="H22" i="9"/>
  <c r="N69" i="8" s="1"/>
  <c r="C17" i="9"/>
  <c r="N15" i="8" s="1"/>
  <c r="B30" i="9"/>
  <c r="M28" i="8" s="1"/>
  <c r="H28" i="9"/>
  <c r="N74" i="8" s="1"/>
  <c r="B40" i="9"/>
  <c r="B19" i="9"/>
  <c r="M17" i="8" s="1"/>
  <c r="I71" i="29"/>
  <c r="I106" i="33"/>
  <c r="I136" i="26"/>
  <c r="G33" i="10"/>
  <c r="I7" i="29"/>
  <c r="I7" i="33"/>
  <c r="I7" i="23"/>
  <c r="I7" i="35"/>
  <c r="I7" i="13"/>
  <c r="G9" i="10"/>
  <c r="B45" i="10"/>
  <c r="I31" i="35"/>
  <c r="I31" i="13"/>
  <c r="I31" i="33"/>
  <c r="I31" i="23"/>
  <c r="I31" i="29"/>
  <c r="C45" i="10"/>
  <c r="C42" i="10"/>
  <c r="I24" i="13"/>
  <c r="I24" i="35"/>
  <c r="I24" i="33"/>
  <c r="I24" i="29"/>
  <c r="I24" i="23"/>
  <c r="C15" i="10"/>
  <c r="B28" i="9"/>
  <c r="M26" i="8" s="1"/>
  <c r="H17" i="9"/>
  <c r="M133" i="8"/>
  <c r="B45" i="9"/>
  <c r="G43" i="9"/>
  <c r="G69" i="9" s="1"/>
  <c r="N115" i="8"/>
  <c r="C18" i="9"/>
  <c r="N16" i="8" s="1"/>
  <c r="H30" i="9"/>
  <c r="N76" i="8" s="1"/>
  <c r="I70" i="29"/>
  <c r="I74" i="29"/>
  <c r="I74" i="33"/>
  <c r="C13" i="10"/>
  <c r="I85" i="33"/>
  <c r="F44" i="10"/>
  <c r="I135" i="26"/>
  <c r="G25" i="10"/>
  <c r="I96" i="33"/>
  <c r="G24" i="10"/>
  <c r="C14" i="10"/>
  <c r="I68" i="23"/>
  <c r="I68" i="29"/>
  <c r="I68" i="33"/>
  <c r="I68" i="13"/>
  <c r="G13" i="10"/>
  <c r="I95" i="33"/>
  <c r="G136" i="4"/>
  <c r="F33" i="10"/>
  <c r="I79" i="13"/>
  <c r="I79" i="23"/>
  <c r="I79" i="33"/>
  <c r="I79" i="29"/>
  <c r="I109" i="13"/>
  <c r="I109" i="35"/>
  <c r="I109" i="29"/>
  <c r="I109" i="23"/>
  <c r="I109" i="33"/>
  <c r="I12" i="29"/>
  <c r="I12" i="33"/>
  <c r="I12" i="35"/>
  <c r="I12" i="23"/>
  <c r="I12" i="13"/>
  <c r="G41" i="10"/>
  <c r="I11" i="13"/>
  <c r="I11" i="23"/>
  <c r="I11" i="35"/>
  <c r="I11" i="33"/>
  <c r="G30" i="10"/>
  <c r="I11" i="29"/>
  <c r="F24" i="10"/>
  <c r="I125" i="13"/>
  <c r="I125" i="23"/>
  <c r="I125" i="35"/>
  <c r="I125" i="29"/>
  <c r="I125" i="33"/>
  <c r="C26" i="10"/>
  <c r="I34" i="13"/>
  <c r="I34" i="35"/>
  <c r="I34" i="29"/>
  <c r="I34" i="33"/>
  <c r="G31" i="10"/>
  <c r="D96" i="4"/>
  <c r="B24" i="10"/>
  <c r="C24" i="10"/>
  <c r="I117" i="13"/>
  <c r="I117" i="23"/>
  <c r="I117" i="35"/>
  <c r="I117" i="29"/>
  <c r="I117" i="33"/>
  <c r="C10" i="10"/>
  <c r="C20" i="10"/>
  <c r="D75" i="4"/>
  <c r="B14" i="10"/>
  <c r="E57" i="39"/>
  <c r="E57" i="16"/>
  <c r="L120" i="23"/>
  <c r="L67" i="23"/>
  <c r="H98" i="33"/>
  <c r="L22" i="35"/>
  <c r="L100" i="13"/>
  <c r="L109" i="29"/>
  <c r="L7" i="29"/>
  <c r="L28" i="29"/>
  <c r="L117" i="23"/>
  <c r="H98" i="23"/>
  <c r="L10" i="20"/>
  <c r="K98" i="13"/>
  <c r="L29" i="13"/>
  <c r="G41" i="9"/>
  <c r="G62" i="9" s="1"/>
  <c r="B18" i="9"/>
  <c r="M16" i="8" s="1"/>
  <c r="G42" i="9"/>
  <c r="G66" i="9" s="1"/>
  <c r="B23" i="9"/>
  <c r="M21" i="8" s="1"/>
  <c r="H16" i="9"/>
  <c r="N64" i="8" s="1"/>
  <c r="B26" i="9"/>
  <c r="M24" i="8" s="1"/>
  <c r="N31" i="8"/>
  <c r="G39" i="9"/>
  <c r="G56" i="9" s="1"/>
  <c r="H26" i="9"/>
  <c r="N73" i="8" s="1"/>
  <c r="B25" i="9"/>
  <c r="M23" i="8" s="1"/>
  <c r="H25" i="9"/>
  <c r="N72" i="8" s="1"/>
  <c r="L22" i="20"/>
  <c r="L109" i="33"/>
  <c r="L99" i="33"/>
  <c r="H111" i="29"/>
  <c r="L10" i="23"/>
  <c r="L28" i="13"/>
  <c r="L89" i="35"/>
  <c r="D56" i="13"/>
  <c r="L35" i="35"/>
  <c r="L99" i="29"/>
  <c r="K119" i="33"/>
  <c r="L88" i="33"/>
  <c r="L79" i="33"/>
  <c r="L34" i="29"/>
  <c r="H66" i="33"/>
  <c r="L78" i="33"/>
  <c r="L67" i="13"/>
  <c r="L109" i="13"/>
  <c r="L112" i="13"/>
  <c r="L35" i="13"/>
  <c r="L79" i="29"/>
  <c r="L86" i="29"/>
  <c r="L7" i="22"/>
  <c r="K66" i="33"/>
  <c r="L89" i="29"/>
  <c r="L12" i="23"/>
  <c r="H87" i="13"/>
  <c r="L120" i="13"/>
  <c r="L68" i="13"/>
  <c r="L7" i="25"/>
  <c r="L134" i="34"/>
  <c r="L108" i="29"/>
  <c r="L34" i="35"/>
  <c r="D53" i="25"/>
  <c r="L112" i="33"/>
  <c r="L29" i="33"/>
  <c r="L121" i="29"/>
  <c r="L29" i="29"/>
  <c r="H111" i="23"/>
  <c r="L112" i="29"/>
  <c r="L68" i="29"/>
  <c r="L136" i="26"/>
  <c r="D47" i="25"/>
  <c r="L112" i="23"/>
  <c r="L113" i="13"/>
  <c r="L117" i="13"/>
  <c r="L86" i="33"/>
  <c r="H119" i="29"/>
  <c r="L100" i="29"/>
  <c r="L34" i="33"/>
  <c r="L125" i="29"/>
  <c r="L29" i="35"/>
  <c r="L88" i="29"/>
  <c r="L78" i="29"/>
  <c r="L88" i="23"/>
  <c r="L125" i="23"/>
  <c r="L113" i="23"/>
  <c r="H111" i="33"/>
  <c r="L107" i="35"/>
  <c r="D47" i="51"/>
  <c r="L7" i="24"/>
  <c r="L29" i="23"/>
  <c r="L28" i="20"/>
  <c r="K119" i="35"/>
  <c r="L100" i="23"/>
  <c r="L79" i="23"/>
  <c r="L67" i="33"/>
  <c r="L22" i="33"/>
  <c r="L22" i="29"/>
  <c r="K98" i="23"/>
  <c r="L10" i="24"/>
  <c r="L78" i="23"/>
  <c r="L34" i="23"/>
  <c r="L124" i="13"/>
  <c r="L79" i="13"/>
  <c r="L89" i="13"/>
  <c r="L99" i="13"/>
  <c r="L125" i="13"/>
  <c r="L78" i="13"/>
  <c r="K66" i="13"/>
  <c r="L86" i="13"/>
  <c r="K87" i="13"/>
  <c r="J77" i="13"/>
  <c r="L88" i="13"/>
  <c r="H66" i="13"/>
  <c r="D47" i="13"/>
  <c r="J87" i="35"/>
  <c r="D66" i="33"/>
  <c r="J66" i="33"/>
  <c r="J98" i="23"/>
  <c r="D98" i="23"/>
  <c r="D111" i="33"/>
  <c r="J111" i="33"/>
  <c r="J111" i="35"/>
  <c r="D66" i="13"/>
  <c r="J66" i="13"/>
  <c r="K111" i="33"/>
  <c r="K111" i="35"/>
  <c r="D111" i="29"/>
  <c r="J111" i="23"/>
  <c r="D111" i="23"/>
  <c r="J87" i="13"/>
  <c r="D87" i="13"/>
  <c r="J119" i="33"/>
  <c r="D119" i="33"/>
  <c r="D77" i="29"/>
  <c r="D77" i="13"/>
  <c r="K77" i="13"/>
  <c r="J66" i="29"/>
  <c r="J87" i="33"/>
  <c r="D87" i="33"/>
  <c r="D119" i="29"/>
  <c r="D98" i="33"/>
  <c r="J98" i="33"/>
  <c r="D87" i="29"/>
  <c r="J87" i="23"/>
  <c r="D87" i="23"/>
  <c r="K111" i="23"/>
  <c r="D119" i="13"/>
  <c r="J119" i="13"/>
  <c r="D98" i="13"/>
  <c r="J98" i="13"/>
  <c r="D111" i="13"/>
  <c r="J111" i="13"/>
  <c r="D98" i="29"/>
  <c r="J119" i="35"/>
  <c r="H66" i="29"/>
  <c r="D119" i="23"/>
  <c r="J119" i="23"/>
  <c r="J66" i="23"/>
  <c r="D66" i="23"/>
  <c r="D77" i="33"/>
  <c r="J77" i="33"/>
  <c r="L77" i="33" s="1"/>
  <c r="J77" i="23"/>
  <c r="D77" i="23"/>
  <c r="D66" i="29"/>
  <c r="K66" i="29"/>
  <c r="E48" i="38"/>
  <c r="E88" i="33"/>
  <c r="E108" i="33"/>
  <c r="E22" i="33"/>
  <c r="E99" i="33"/>
  <c r="E9" i="33"/>
  <c r="E110" i="33"/>
  <c r="E122" i="33"/>
  <c r="E75" i="33"/>
  <c r="E126" i="33"/>
  <c r="E116" i="33"/>
  <c r="E10" i="33"/>
  <c r="E79" i="33"/>
  <c r="E7" i="33"/>
  <c r="E89" i="33"/>
  <c r="E100" i="33"/>
  <c r="E125" i="33"/>
  <c r="E96" i="33"/>
  <c r="E8" i="33"/>
  <c r="E78" i="33"/>
  <c r="E67" i="33"/>
  <c r="E112" i="33"/>
  <c r="E109" i="33"/>
  <c r="E114" i="33"/>
  <c r="E121" i="33"/>
  <c r="E120" i="33"/>
  <c r="E113" i="33"/>
  <c r="E99" i="29"/>
  <c r="E9" i="29"/>
  <c r="E48" i="34"/>
  <c r="E86" i="29"/>
  <c r="E117" i="29"/>
  <c r="E134" i="34"/>
  <c r="E68" i="29"/>
  <c r="E88" i="29"/>
  <c r="E108" i="29"/>
  <c r="E116" i="29"/>
  <c r="E22" i="29"/>
  <c r="E10" i="29"/>
  <c r="E79" i="29"/>
  <c r="E135" i="34"/>
  <c r="E7" i="29"/>
  <c r="E89" i="29"/>
  <c r="E100" i="29"/>
  <c r="E107" i="29"/>
  <c r="E136" i="34"/>
  <c r="E8" i="29"/>
  <c r="E78" i="29"/>
  <c r="E67" i="29"/>
  <c r="E112" i="29"/>
  <c r="E109" i="29"/>
  <c r="E120" i="29"/>
  <c r="E113" i="29"/>
  <c r="E48" i="40"/>
  <c r="E57" i="40"/>
  <c r="E54" i="40"/>
  <c r="E9" i="51"/>
  <c r="E48" i="51"/>
  <c r="E22" i="51"/>
  <c r="E10" i="51"/>
  <c r="E7" i="51"/>
  <c r="E8" i="51"/>
  <c r="E9" i="25"/>
  <c r="E10" i="25"/>
  <c r="E57" i="25"/>
  <c r="E48" i="25"/>
  <c r="E137" i="26"/>
  <c r="E54" i="25"/>
  <c r="E135" i="26"/>
  <c r="E7" i="25"/>
  <c r="E134" i="26"/>
  <c r="E8" i="25"/>
  <c r="E99" i="23"/>
  <c r="E9" i="24"/>
  <c r="E86" i="23"/>
  <c r="E88" i="23"/>
  <c r="E108" i="23"/>
  <c r="E116" i="23"/>
  <c r="E22" i="23"/>
  <c r="E22" i="24"/>
  <c r="E10" i="24"/>
  <c r="E7" i="24"/>
  <c r="E107" i="23"/>
  <c r="E8" i="24"/>
  <c r="E78" i="23"/>
  <c r="E67" i="23"/>
  <c r="E112" i="23"/>
  <c r="E120" i="23"/>
  <c r="E9" i="22"/>
  <c r="E48" i="21"/>
  <c r="E48" i="22"/>
  <c r="E10" i="22"/>
  <c r="E57" i="21"/>
  <c r="E57" i="22"/>
  <c r="E49" i="22"/>
  <c r="E54" i="21"/>
  <c r="E54" i="22"/>
  <c r="E7" i="22"/>
  <c r="E8" i="22"/>
  <c r="E22" i="20"/>
  <c r="E10" i="19"/>
  <c r="E10" i="20"/>
  <c r="E7" i="19"/>
  <c r="E7" i="20"/>
  <c r="E9" i="19"/>
  <c r="E9" i="20"/>
  <c r="E48" i="19"/>
  <c r="E48" i="20"/>
  <c r="E8" i="19"/>
  <c r="E8" i="20"/>
  <c r="E99" i="13"/>
  <c r="E9" i="13"/>
  <c r="E48" i="13"/>
  <c r="E86" i="13"/>
  <c r="E88" i="13"/>
  <c r="E124" i="13"/>
  <c r="E108" i="13"/>
  <c r="E116" i="13"/>
  <c r="E22" i="13"/>
  <c r="E10" i="13"/>
  <c r="E57" i="13"/>
  <c r="E11" i="13"/>
  <c r="E54" i="13"/>
  <c r="E7" i="13"/>
  <c r="E89" i="13"/>
  <c r="E100" i="13"/>
  <c r="E107" i="13"/>
  <c r="E12" i="13"/>
  <c r="E8" i="13"/>
  <c r="E78" i="13"/>
  <c r="E67" i="13"/>
  <c r="E112" i="13"/>
  <c r="E109" i="13"/>
  <c r="E120" i="13"/>
  <c r="D116" i="4"/>
  <c r="D108" i="4"/>
  <c r="D117" i="4"/>
  <c r="D124" i="4"/>
  <c r="D125" i="4"/>
  <c r="D109" i="4"/>
  <c r="E22" i="16"/>
  <c r="E9" i="16"/>
  <c r="D22" i="4"/>
  <c r="D136" i="4"/>
  <c r="D57" i="4"/>
  <c r="E10"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G10" i="4"/>
  <c r="D89" i="4"/>
  <c r="G35" i="4"/>
  <c r="D99" i="4"/>
  <c r="D86" i="4"/>
  <c r="D107" i="4"/>
  <c r="D135" i="4"/>
  <c r="G135" i="4"/>
  <c r="G134" i="4"/>
  <c r="D78" i="4"/>
  <c r="D88" i="4"/>
  <c r="D79" i="4"/>
  <c r="D9" i="4"/>
  <c r="G77" i="4" l="1"/>
  <c r="G98" i="4"/>
  <c r="F32" i="10"/>
  <c r="G111" i="4"/>
  <c r="G87" i="4"/>
  <c r="F43" i="10"/>
  <c r="G119" i="4"/>
  <c r="C34" i="9"/>
  <c r="E24" i="9" s="1"/>
  <c r="H34" i="9"/>
  <c r="M9" i="8"/>
  <c r="B34" i="9"/>
  <c r="G34" i="9"/>
  <c r="M31" i="8"/>
  <c r="G55" i="9"/>
  <c r="G76" i="9" s="1"/>
  <c r="E56" i="78"/>
  <c r="E53" i="78"/>
  <c r="E47" i="78"/>
  <c r="I14" i="9"/>
  <c r="H55" i="9"/>
  <c r="N8" i="8"/>
  <c r="E56" i="76"/>
  <c r="E47" i="76"/>
  <c r="E47" i="77"/>
  <c r="E53" i="76"/>
  <c r="E53" i="77"/>
  <c r="B55" i="9"/>
  <c r="L98" i="33"/>
  <c r="C55" i="9"/>
  <c r="N12" i="8"/>
  <c r="D14" i="9"/>
  <c r="E47" i="72"/>
  <c r="E47" i="74"/>
  <c r="L119" i="35"/>
  <c r="E87" i="18"/>
  <c r="E66" i="18"/>
  <c r="L77" i="23"/>
  <c r="I77" i="29"/>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87" i="29"/>
  <c r="E97" i="33"/>
  <c r="E97" i="29"/>
  <c r="E97" i="37"/>
  <c r="E97" i="13"/>
  <c r="I98" i="37"/>
  <c r="L119" i="13"/>
  <c r="E76" i="33"/>
  <c r="E76" i="29"/>
  <c r="E76" i="37"/>
  <c r="E76" i="13"/>
  <c r="E66" i="37"/>
  <c r="E87" i="33"/>
  <c r="E87" i="37"/>
  <c r="E98" i="37"/>
  <c r="E77" i="37"/>
  <c r="L111" i="29"/>
  <c r="L111" i="13"/>
  <c r="L87" i="33"/>
  <c r="L98" i="29"/>
  <c r="L119" i="23"/>
  <c r="L87" i="23"/>
  <c r="L98" i="23"/>
  <c r="E87" i="13"/>
  <c r="E87" i="23"/>
  <c r="D98" i="4"/>
  <c r="E98" i="29"/>
  <c r="E98" i="33"/>
  <c r="L119" i="33"/>
  <c r="L98" i="13"/>
  <c r="L66" i="33"/>
  <c r="L87" i="35"/>
  <c r="L66" i="23"/>
  <c r="L66" i="13"/>
  <c r="E66" i="23"/>
  <c r="E66" i="13"/>
  <c r="E66" i="29"/>
  <c r="E66" i="33"/>
  <c r="L111" i="33"/>
  <c r="D87" i="4"/>
  <c r="E98" i="23"/>
  <c r="E87" i="29"/>
  <c r="C43" i="10"/>
  <c r="I119" i="13"/>
  <c r="I119" i="23"/>
  <c r="I119" i="29"/>
  <c r="I119" i="35"/>
  <c r="I119" i="33"/>
  <c r="G43" i="10"/>
  <c r="F22" i="10"/>
  <c r="I98" i="13"/>
  <c r="I98" i="23"/>
  <c r="I98" i="29"/>
  <c r="I98" i="33"/>
  <c r="D66" i="4"/>
  <c r="B12" i="10"/>
  <c r="I66" i="13"/>
  <c r="I66" i="29"/>
  <c r="I66" i="33"/>
  <c r="G12" i="10"/>
  <c r="I66" i="23"/>
  <c r="G66" i="4"/>
  <c r="F12" i="10"/>
  <c r="E53" i="39"/>
  <c r="C38" i="10"/>
  <c r="E53" i="16"/>
  <c r="I72" i="29"/>
  <c r="I72" i="33"/>
  <c r="I83" i="33"/>
  <c r="I93" i="33"/>
  <c r="I104" i="33"/>
  <c r="I111" i="13"/>
  <c r="I111" i="23"/>
  <c r="I111" i="29"/>
  <c r="I111" i="35"/>
  <c r="I111" i="33"/>
  <c r="G32" i="10"/>
  <c r="E56" i="39"/>
  <c r="E56" i="16"/>
  <c r="C49" i="10"/>
  <c r="C32" i="10"/>
  <c r="C22" i="10"/>
  <c r="E47" i="39"/>
  <c r="C11" i="10"/>
  <c r="E47" i="16"/>
  <c r="C12" i="10"/>
  <c r="I87" i="13"/>
  <c r="I87" i="29"/>
  <c r="I87" i="23"/>
  <c r="I87" i="33"/>
  <c r="I87" i="35"/>
  <c r="G22" i="10"/>
  <c r="L87" i="13"/>
  <c r="L119" i="29"/>
  <c r="L66" i="29"/>
  <c r="L77" i="29"/>
  <c r="L111" i="23"/>
  <c r="E98" i="13"/>
  <c r="L77" i="13"/>
  <c r="E47" i="38"/>
  <c r="E77" i="33"/>
  <c r="E111" i="33"/>
  <c r="E119" i="33"/>
  <c r="E47" i="34"/>
  <c r="E119" i="29"/>
  <c r="E77" i="29"/>
  <c r="E111" i="29"/>
  <c r="E53" i="40"/>
  <c r="E56" i="40"/>
  <c r="E47" i="40"/>
  <c r="E47" i="51"/>
  <c r="E53" i="25"/>
  <c r="E47" i="25"/>
  <c r="E56" i="25"/>
  <c r="E119" i="23"/>
  <c r="E77" i="23"/>
  <c r="E111" i="23"/>
  <c r="E56" i="21"/>
  <c r="E56" i="22"/>
  <c r="E47" i="21"/>
  <c r="E47" i="22"/>
  <c r="E53" i="21"/>
  <c r="E53" i="22"/>
  <c r="E47" i="19"/>
  <c r="E47" i="20"/>
  <c r="E53" i="13"/>
  <c r="E77" i="13"/>
  <c r="E56" i="13"/>
  <c r="E111" i="13"/>
  <c r="E47" i="13"/>
  <c r="E119" i="13"/>
  <c r="D111" i="4"/>
  <c r="D77" i="4"/>
  <c r="D119" i="4"/>
  <c r="D53" i="4"/>
  <c r="D56" i="4"/>
  <c r="D47" i="4"/>
  <c r="I73" i="4"/>
  <c r="I84" i="4"/>
  <c r="J26" i="9" l="1"/>
  <c r="J18" i="9"/>
  <c r="J10" i="9"/>
  <c r="J15" i="9"/>
  <c r="J30" i="9"/>
  <c r="J13" i="9"/>
  <c r="J20" i="9"/>
  <c r="J11" i="9"/>
  <c r="J33" i="9"/>
  <c r="J25" i="9"/>
  <c r="J17" i="9"/>
  <c r="J23" i="9"/>
  <c r="J22" i="9"/>
  <c r="J28" i="9"/>
  <c r="J27" i="9"/>
  <c r="J32" i="9"/>
  <c r="J24" i="9"/>
  <c r="J16" i="9"/>
  <c r="J31" i="9"/>
  <c r="J14" i="9"/>
  <c r="J21" i="9"/>
  <c r="J12" i="9"/>
  <c r="J19" i="9"/>
  <c r="J29" i="9"/>
  <c r="I55" i="9"/>
  <c r="D55" i="9"/>
  <c r="C60" i="10"/>
  <c r="H84" i="4"/>
  <c r="J84" i="4" s="1"/>
  <c r="H71" i="4"/>
  <c r="H92" i="4"/>
  <c r="H107" i="4"/>
  <c r="H106" i="4"/>
  <c r="H85" i="4"/>
  <c r="H73" i="4"/>
  <c r="J73" i="4" s="1"/>
  <c r="H114" i="4"/>
  <c r="H116" i="4"/>
  <c r="H95" i="4"/>
  <c r="H74" i="4"/>
  <c r="H94" i="4"/>
  <c r="H91" i="4"/>
  <c r="H104" i="4"/>
  <c r="H105" i="4"/>
  <c r="H93" i="4"/>
  <c r="H28" i="4"/>
  <c r="H98" i="4" l="1"/>
  <c r="H117" i="4"/>
  <c r="H99" i="4"/>
  <c r="H24" i="4"/>
  <c r="H90" i="4"/>
  <c r="H72" i="4"/>
  <c r="H78" i="4"/>
  <c r="D9" i="10"/>
  <c r="H124" i="4"/>
  <c r="H112" i="4"/>
  <c r="H88" i="4"/>
  <c r="H9" i="4"/>
  <c r="H8" i="4"/>
  <c r="H79" i="4"/>
  <c r="H83" i="4"/>
  <c r="H122" i="4"/>
  <c r="H14" i="10"/>
  <c r="H37" i="4"/>
  <c r="H121" i="4"/>
  <c r="I121" i="4"/>
  <c r="I112" i="4"/>
  <c r="I9" i="4"/>
  <c r="I109" i="4"/>
  <c r="K49" i="10"/>
  <c r="H113" i="4"/>
  <c r="I105" i="4"/>
  <c r="I93" i="4"/>
  <c r="I108" i="4"/>
  <c r="H11" i="4"/>
  <c r="I85" i="4"/>
  <c r="I122" i="4"/>
  <c r="I79" i="4"/>
  <c r="I100" i="4"/>
  <c r="I104" i="4"/>
  <c r="H110" i="4"/>
  <c r="H25" i="4"/>
  <c r="H125" i="4"/>
  <c r="H86" i="4"/>
  <c r="H42" i="10"/>
  <c r="H21" i="10"/>
  <c r="I120" i="4"/>
  <c r="I28" i="4"/>
  <c r="H109" i="4"/>
  <c r="I32" i="4"/>
  <c r="I67" i="4"/>
  <c r="K11" i="10"/>
  <c r="I23" i="4"/>
  <c r="H22" i="10"/>
  <c r="H108" i="4"/>
  <c r="I95" i="4"/>
  <c r="H10" i="4"/>
  <c r="I126" i="4"/>
  <c r="H38" i="4"/>
  <c r="I77" i="4"/>
  <c r="I88" i="4"/>
  <c r="I91" i="4"/>
  <c r="I117" i="4"/>
  <c r="H67" i="4"/>
  <c r="H12" i="10"/>
  <c r="I116" i="4"/>
  <c r="H120" i="4"/>
  <c r="I110" i="4"/>
  <c r="I113" i="4"/>
  <c r="I69" i="4"/>
  <c r="I90" i="4"/>
  <c r="I78" i="4"/>
  <c r="K26" i="10"/>
  <c r="I98" i="4"/>
  <c r="I99" i="4"/>
  <c r="K9" i="10"/>
  <c r="H77" i="4"/>
  <c r="I92" i="4"/>
  <c r="H24" i="10"/>
  <c r="I31" i="4"/>
  <c r="I24" i="4"/>
  <c r="H69" i="4"/>
  <c r="H126" i="4"/>
  <c r="J126" i="4" s="1"/>
  <c r="K16" i="10"/>
  <c r="I72" i="4"/>
  <c r="I30" i="4"/>
  <c r="H36" i="4"/>
  <c r="K45" i="10"/>
  <c r="H39" i="4"/>
  <c r="I94" i="4"/>
  <c r="I107" i="4"/>
  <c r="I74" i="4"/>
  <c r="I8" i="4"/>
  <c r="I114" i="4"/>
  <c r="I83" i="4"/>
  <c r="I86" i="4"/>
  <c r="I106" i="4"/>
  <c r="H10" i="10"/>
  <c r="I124" i="4"/>
  <c r="H100" i="4"/>
  <c r="H7" i="4"/>
  <c r="H23" i="4"/>
  <c r="H15" i="10"/>
  <c r="I71" i="4"/>
  <c r="I125" i="4"/>
  <c r="M28" i="79" l="1"/>
  <c r="M8" i="79"/>
  <c r="M30" i="79"/>
  <c r="M9" i="79"/>
  <c r="M9" i="72"/>
  <c r="M8" i="74"/>
  <c r="J91" i="4"/>
  <c r="J106" i="4"/>
  <c r="J95" i="4"/>
  <c r="J71" i="4"/>
  <c r="J74" i="4"/>
  <c r="J94" i="4"/>
  <c r="J92" i="4"/>
  <c r="J93" i="4"/>
  <c r="J104" i="4"/>
  <c r="J85" i="4"/>
  <c r="J105" i="4"/>
  <c r="J69" i="4"/>
  <c r="J83" i="4"/>
  <c r="J23" i="4"/>
  <c r="J72" i="4"/>
  <c r="J90" i="4"/>
  <c r="J24" i="4"/>
  <c r="J110" i="4"/>
  <c r="M67" i="37"/>
  <c r="M67" i="18"/>
  <c r="M106" i="37"/>
  <c r="M107" i="37"/>
  <c r="M32" i="37"/>
  <c r="M32" i="18"/>
  <c r="M79" i="37"/>
  <c r="M79" i="18"/>
  <c r="M124" i="37"/>
  <c r="M124" i="18"/>
  <c r="M88" i="37"/>
  <c r="M88" i="18"/>
  <c r="M78" i="37"/>
  <c r="M78" i="18"/>
  <c r="M100" i="37"/>
  <c r="M100" i="18"/>
  <c r="M86" i="37"/>
  <c r="M122" i="37"/>
  <c r="M109" i="37"/>
  <c r="M109" i="18"/>
  <c r="M74" i="37"/>
  <c r="M83" i="37"/>
  <c r="M99" i="37"/>
  <c r="M99" i="18"/>
  <c r="M113" i="37"/>
  <c r="M113" i="18"/>
  <c r="M117" i="37"/>
  <c r="M117" i="18"/>
  <c r="M95" i="37"/>
  <c r="M28" i="37"/>
  <c r="M28" i="18"/>
  <c r="M85" i="37"/>
  <c r="M72" i="37"/>
  <c r="M114" i="37"/>
  <c r="M98" i="18"/>
  <c r="M110" i="37"/>
  <c r="M9" i="37"/>
  <c r="M9" i="18"/>
  <c r="M31" i="37"/>
  <c r="M31" i="18"/>
  <c r="M8" i="37"/>
  <c r="M8" i="18"/>
  <c r="M24" i="37"/>
  <c r="M108" i="37"/>
  <c r="M108" i="18"/>
  <c r="M112" i="37"/>
  <c r="M112" i="18"/>
  <c r="J122" i="4"/>
  <c r="M23" i="37"/>
  <c r="M23" i="18"/>
  <c r="M93" i="37"/>
  <c r="M121" i="37"/>
  <c r="M121" i="18"/>
  <c r="M125" i="37"/>
  <c r="M125" i="18"/>
  <c r="M30" i="37"/>
  <c r="M30" i="18"/>
  <c r="M116" i="37"/>
  <c r="M77" i="18"/>
  <c r="M120" i="37"/>
  <c r="M120" i="18"/>
  <c r="M104" i="37"/>
  <c r="J114" i="4"/>
  <c r="M98" i="37"/>
  <c r="M97" i="37"/>
  <c r="M97" i="13"/>
  <c r="M97" i="29"/>
  <c r="M97" i="33"/>
  <c r="M77" i="37"/>
  <c r="M76" i="37"/>
  <c r="M76" i="33"/>
  <c r="M76" i="29"/>
  <c r="M76" i="13"/>
  <c r="M106" i="33"/>
  <c r="M24" i="13"/>
  <c r="M24" i="24"/>
  <c r="M24" i="23"/>
  <c r="M24" i="33"/>
  <c r="M24" i="29"/>
  <c r="M24" i="35"/>
  <c r="M88" i="13"/>
  <c r="M88" i="29"/>
  <c r="M88" i="23"/>
  <c r="M88" i="33"/>
  <c r="J28" i="4"/>
  <c r="M28" i="20"/>
  <c r="M28" i="25"/>
  <c r="M28" i="23"/>
  <c r="M28" i="24"/>
  <c r="M28" i="51"/>
  <c r="M28" i="29"/>
  <c r="M28" i="16"/>
  <c r="M28" i="13"/>
  <c r="M121" i="23"/>
  <c r="M121" i="13"/>
  <c r="M121" i="29"/>
  <c r="M121" i="33"/>
  <c r="M121" i="35"/>
  <c r="M125" i="23"/>
  <c r="M125" i="13"/>
  <c r="M125" i="29"/>
  <c r="M125" i="33"/>
  <c r="M125" i="35"/>
  <c r="M124" i="13"/>
  <c r="M114" i="33"/>
  <c r="M31" i="23"/>
  <c r="M31" i="13"/>
  <c r="M31" i="24"/>
  <c r="M31" i="35"/>
  <c r="M31" i="29"/>
  <c r="M31" i="33"/>
  <c r="M78" i="23"/>
  <c r="M78" i="13"/>
  <c r="M78" i="29"/>
  <c r="M78" i="33"/>
  <c r="M113" i="23"/>
  <c r="M113" i="13"/>
  <c r="M113" i="29"/>
  <c r="M113" i="33"/>
  <c r="M113" i="35"/>
  <c r="J116" i="4"/>
  <c r="M116" i="13"/>
  <c r="M116" i="23"/>
  <c r="M116" i="29"/>
  <c r="M116" i="33"/>
  <c r="M117" i="23"/>
  <c r="M117" i="13"/>
  <c r="M117" i="29"/>
  <c r="M117" i="33"/>
  <c r="M117" i="35"/>
  <c r="M23" i="20"/>
  <c r="M23" i="23"/>
  <c r="M23" i="13"/>
  <c r="M23" i="35"/>
  <c r="M23" i="29"/>
  <c r="M23" i="33"/>
  <c r="M32" i="13"/>
  <c r="M32" i="33"/>
  <c r="M32" i="23"/>
  <c r="M32" i="29"/>
  <c r="M104" i="33"/>
  <c r="M79" i="13"/>
  <c r="M79" i="23"/>
  <c r="M79" i="33"/>
  <c r="M79" i="29"/>
  <c r="M8" i="20"/>
  <c r="M8" i="13"/>
  <c r="M8" i="22"/>
  <c r="M8" i="24"/>
  <c r="M8" i="51"/>
  <c r="M8" i="25"/>
  <c r="M8" i="29"/>
  <c r="M8" i="33"/>
  <c r="M8" i="19"/>
  <c r="M8" i="16"/>
  <c r="M30" i="20"/>
  <c r="M30" i="13"/>
  <c r="M30" i="23"/>
  <c r="M30" i="33"/>
  <c r="M30" i="29"/>
  <c r="M30" i="35"/>
  <c r="M99" i="23"/>
  <c r="M99" i="29"/>
  <c r="M99" i="13"/>
  <c r="M99" i="33"/>
  <c r="M110" i="33"/>
  <c r="M95" i="33"/>
  <c r="M120" i="13"/>
  <c r="M120" i="23"/>
  <c r="M120" i="29"/>
  <c r="M120" i="33"/>
  <c r="M100" i="13"/>
  <c r="M100" i="29"/>
  <c r="M100" i="33"/>
  <c r="M100" i="23"/>
  <c r="M122" i="33"/>
  <c r="M108" i="13"/>
  <c r="M108" i="23"/>
  <c r="M108" i="33"/>
  <c r="M108" i="29"/>
  <c r="M9" i="19"/>
  <c r="M9" i="25"/>
  <c r="M9" i="20"/>
  <c r="M9" i="22"/>
  <c r="M9" i="51"/>
  <c r="M9" i="13"/>
  <c r="M9" i="16"/>
  <c r="M9" i="29"/>
  <c r="M9" i="24"/>
  <c r="M9" i="33"/>
  <c r="M86" i="23"/>
  <c r="M86" i="29"/>
  <c r="M86" i="13"/>
  <c r="M86" i="33"/>
  <c r="J107" i="4"/>
  <c r="M107" i="23"/>
  <c r="M107" i="13"/>
  <c r="M107" i="35"/>
  <c r="M107" i="29"/>
  <c r="M107" i="33"/>
  <c r="M98" i="13"/>
  <c r="M98" i="23"/>
  <c r="M98" i="29"/>
  <c r="M98" i="33"/>
  <c r="M77" i="13"/>
  <c r="M77" i="23"/>
  <c r="M77" i="29"/>
  <c r="M77" i="33"/>
  <c r="M126" i="33"/>
  <c r="M67" i="13"/>
  <c r="M67" i="23"/>
  <c r="M67" i="29"/>
  <c r="M67" i="33"/>
  <c r="M93" i="33"/>
  <c r="M109" i="13"/>
  <c r="M109" i="23"/>
  <c r="M109" i="29"/>
  <c r="M109" i="35"/>
  <c r="M109" i="33"/>
  <c r="M112" i="13"/>
  <c r="M112" i="23"/>
  <c r="M112" i="33"/>
  <c r="M112" i="29"/>
  <c r="J108" i="4"/>
  <c r="M42" i="8"/>
  <c r="D42" i="9"/>
  <c r="H67" i="9"/>
  <c r="B69" i="9"/>
  <c r="M43" i="8"/>
  <c r="D43" i="9"/>
  <c r="M39" i="8"/>
  <c r="C56" i="9"/>
  <c r="H53" i="9"/>
  <c r="N45" i="8"/>
  <c r="I17" i="9"/>
  <c r="B73" i="9"/>
  <c r="D31" i="9"/>
  <c r="D16" i="9"/>
  <c r="B57" i="9"/>
  <c r="D23" i="9"/>
  <c r="B64" i="9"/>
  <c r="M37" i="8"/>
  <c r="B46" i="9"/>
  <c r="D37" i="9"/>
  <c r="I12" i="9"/>
  <c r="I25" i="9"/>
  <c r="H57" i="9"/>
  <c r="C51" i="9"/>
  <c r="B72" i="9"/>
  <c r="D30" i="9"/>
  <c r="M86" i="8"/>
  <c r="I21" i="9"/>
  <c r="N42" i="8"/>
  <c r="C53" i="9"/>
  <c r="C64" i="9"/>
  <c r="B62" i="9"/>
  <c r="D21" i="9"/>
  <c r="H58" i="9"/>
  <c r="N41" i="8"/>
  <c r="N40" i="8"/>
  <c r="C71" i="9"/>
  <c r="H56" i="9"/>
  <c r="N44" i="8"/>
  <c r="M45" i="8"/>
  <c r="D45" i="9"/>
  <c r="B71" i="9"/>
  <c r="I33" i="9"/>
  <c r="C52" i="9"/>
  <c r="M85" i="8"/>
  <c r="I38" i="9"/>
  <c r="H61" i="9"/>
  <c r="D44" i="9"/>
  <c r="M44" i="8"/>
  <c r="H64" i="9"/>
  <c r="I22" i="9"/>
  <c r="D15" i="9"/>
  <c r="B56" i="9"/>
  <c r="N86" i="8"/>
  <c r="B67" i="9"/>
  <c r="D26" i="9"/>
  <c r="C62" i="9"/>
  <c r="D33" i="9"/>
  <c r="D11" i="9"/>
  <c r="B52" i="9"/>
  <c r="M87" i="8"/>
  <c r="I40" i="9"/>
  <c r="H60" i="9"/>
  <c r="I28" i="9"/>
  <c r="H70" i="9"/>
  <c r="H71" i="9"/>
  <c r="N92" i="8"/>
  <c r="B51" i="9"/>
  <c r="D10" i="9"/>
  <c r="N43" i="8"/>
  <c r="C69" i="9"/>
  <c r="H66" i="9"/>
  <c r="N87" i="8"/>
  <c r="H52" i="9"/>
  <c r="C58" i="9"/>
  <c r="I42" i="9"/>
  <c r="M89" i="8"/>
  <c r="B60" i="9"/>
  <c r="D19" i="9"/>
  <c r="N89" i="8"/>
  <c r="C73" i="9"/>
  <c r="I43" i="9"/>
  <c r="M90" i="8"/>
  <c r="C70" i="9"/>
  <c r="D22" i="9"/>
  <c r="B63" i="9"/>
  <c r="C59" i="9"/>
  <c r="N91" i="8"/>
  <c r="C46" i="9"/>
  <c r="N37" i="8"/>
  <c r="M41" i="8"/>
  <c r="D41" i="9"/>
  <c r="I26" i="9"/>
  <c r="N39" i="8"/>
  <c r="B66" i="9"/>
  <c r="D25" i="9"/>
  <c r="D38" i="9"/>
  <c r="M38" i="8"/>
  <c r="N88" i="8"/>
  <c r="D29" i="9"/>
  <c r="H46" i="9"/>
  <c r="N84" i="8"/>
  <c r="C67" i="9"/>
  <c r="N38" i="8"/>
  <c r="B59" i="9"/>
  <c r="D18" i="9"/>
  <c r="C63" i="9"/>
  <c r="N85" i="8"/>
  <c r="C72" i="9"/>
  <c r="I41" i="9"/>
  <c r="M88" i="8"/>
  <c r="D12" i="9"/>
  <c r="B53" i="9"/>
  <c r="C57" i="9"/>
  <c r="I37" i="9"/>
  <c r="G46" i="9"/>
  <c r="F27" i="10" s="1"/>
  <c r="M84" i="8"/>
  <c r="C60" i="9"/>
  <c r="H69" i="9"/>
  <c r="N90" i="8"/>
  <c r="D28" i="9"/>
  <c r="B70" i="9"/>
  <c r="H59" i="9"/>
  <c r="M91" i="8"/>
  <c r="I44" i="9"/>
  <c r="H63" i="9"/>
  <c r="D20" i="9"/>
  <c r="B61" i="9"/>
  <c r="H72" i="9"/>
  <c r="C61" i="9"/>
  <c r="M92" i="8"/>
  <c r="I45" i="9"/>
  <c r="I20" i="9"/>
  <c r="M40" i="8"/>
  <c r="D40" i="9"/>
  <c r="D27" i="9"/>
  <c r="B58" i="9"/>
  <c r="D17" i="9"/>
  <c r="I15" i="9"/>
  <c r="I29" i="9"/>
  <c r="I18" i="9"/>
  <c r="C66" i="9"/>
  <c r="I1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66" i="4"/>
  <c r="H32" i="10"/>
  <c r="F54" i="10"/>
  <c r="I22" i="4"/>
  <c r="K41" i="10"/>
  <c r="C46" i="10"/>
  <c r="H119" i="4"/>
  <c r="H137" i="4"/>
  <c r="I136" i="4"/>
  <c r="H68" i="4"/>
  <c r="I68" i="4"/>
  <c r="I38" i="4"/>
  <c r="K43" i="10"/>
  <c r="I10" i="4"/>
  <c r="H135"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41" i="9"/>
  <c r="B76" i="9" l="1"/>
  <c r="H76" i="9"/>
  <c r="J65" i="9" s="1"/>
  <c r="M22" i="79"/>
  <c r="M29" i="79"/>
  <c r="M10" i="79"/>
  <c r="M7" i="79"/>
  <c r="J9" i="9"/>
  <c r="J34" i="9" s="1"/>
  <c r="J74" i="9"/>
  <c r="B17" i="10"/>
  <c r="M38" i="9"/>
  <c r="N19" i="9"/>
  <c r="M29" i="9"/>
  <c r="L17" i="9"/>
  <c r="N37" i="9"/>
  <c r="J50" i="9" l="1"/>
  <c r="J54" i="9"/>
  <c r="M7" i="72"/>
  <c r="M7" i="74"/>
  <c r="J41" i="9"/>
  <c r="E37" i="9"/>
  <c r="O21" i="9"/>
  <c r="N26" i="9"/>
  <c r="M12" i="9"/>
  <c r="L42" i="9"/>
  <c r="L10" i="9"/>
  <c r="O26" i="9"/>
  <c r="O16" i="9"/>
  <c r="O43" i="9"/>
  <c r="L18" i="9"/>
  <c r="M41" i="9"/>
  <c r="M39" i="9"/>
  <c r="O38" i="9"/>
  <c r="O23" i="9"/>
  <c r="O19" i="9"/>
  <c r="O31" i="9"/>
  <c r="N22" i="9"/>
  <c r="O22" i="9"/>
  <c r="L44" i="9"/>
  <c r="O41" i="9"/>
  <c r="O32" i="9"/>
  <c r="O25" i="9"/>
  <c r="O40" i="9"/>
  <c r="M44" i="9"/>
  <c r="L12" i="9"/>
  <c r="M11" i="9"/>
  <c r="L27" i="9"/>
  <c r="N16" i="9"/>
  <c r="L43" i="9"/>
  <c r="N42" i="9"/>
  <c r="N18" i="9"/>
  <c r="L31" i="9"/>
  <c r="L28" i="9"/>
  <c r="L11" i="9"/>
  <c r="N14" i="9"/>
  <c r="L26" i="9"/>
  <c r="M19" i="9"/>
  <c r="M16" i="9"/>
  <c r="N39" i="9"/>
  <c r="L39" i="9"/>
  <c r="M32" i="9"/>
  <c r="N25" i="9"/>
  <c r="O39" i="9"/>
  <c r="M27" i="9"/>
  <c r="O42" i="9"/>
  <c r="O28" i="9"/>
  <c r="M31" i="9"/>
  <c r="M45" i="9"/>
  <c r="M14" i="9"/>
  <c r="L29" i="9"/>
  <c r="N11" i="9"/>
  <c r="N12" i="9"/>
  <c r="M22" i="9"/>
  <c r="L21" i="9"/>
  <c r="N21" i="9"/>
  <c r="O11" i="9"/>
  <c r="M21" i="9"/>
  <c r="M10" i="9"/>
  <c r="O14" i="9"/>
  <c r="M20" i="9"/>
  <c r="O37" i="9"/>
  <c r="N23" i="9"/>
  <c r="M28" i="9"/>
  <c r="N30" i="9"/>
  <c r="M17" i="9"/>
  <c r="O45" i="9"/>
  <c r="N17" i="9"/>
  <c r="M18" i="9"/>
  <c r="N20" i="9"/>
  <c r="L38" i="9"/>
  <c r="N31" i="9"/>
  <c r="L33" i="9"/>
  <c r="L23" i="9"/>
  <c r="O29" i="9"/>
  <c r="L14" i="9"/>
  <c r="M43" i="9"/>
  <c r="L22" i="9"/>
  <c r="L40" i="9"/>
  <c r="M25" i="9"/>
  <c r="L25" i="9"/>
  <c r="N28" i="9"/>
  <c r="N33" i="9"/>
  <c r="N44" i="9"/>
  <c r="N40" i="9"/>
  <c r="L30" i="9"/>
  <c r="N41" i="9"/>
  <c r="O27" i="9"/>
  <c r="M37" i="9"/>
  <c r="L20" i="9"/>
  <c r="L45" i="9"/>
  <c r="O33" i="9"/>
  <c r="N29" i="9"/>
  <c r="N38" i="9"/>
  <c r="O12" i="9"/>
  <c r="O30" i="9"/>
  <c r="O44" i="9"/>
  <c r="O17" i="9"/>
  <c r="O10" i="9"/>
  <c r="N10" i="9"/>
  <c r="M33" i="9"/>
  <c r="O20" i="9"/>
  <c r="M42" i="9"/>
  <c r="M40" i="9"/>
  <c r="N27" i="9"/>
  <c r="M30" i="9"/>
  <c r="N43" i="9"/>
  <c r="M23" i="9"/>
  <c r="N45" i="9"/>
  <c r="O18" i="9"/>
  <c r="N32" i="9"/>
  <c r="M26" i="9"/>
  <c r="L37" i="9"/>
  <c r="L16" i="9"/>
  <c r="J25" i="4" l="1"/>
  <c r="M33" i="18"/>
  <c r="M33" i="35"/>
  <c r="M35" i="37"/>
  <c r="M35" i="18"/>
  <c r="M22" i="37"/>
  <c r="M22" i="18"/>
  <c r="M29" i="37"/>
  <c r="M29" i="18"/>
  <c r="M135" i="37"/>
  <c r="M37" i="37"/>
  <c r="M1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2" i="9"/>
  <c r="M46" i="9"/>
  <c r="M71" i="9"/>
  <c r="O70" i="9"/>
  <c r="L57" i="9"/>
  <c r="M52" i="9"/>
  <c r="M59" i="9"/>
  <c r="O59" i="9"/>
  <c r="N63" i="9"/>
  <c r="O73" i="9"/>
  <c r="O58" i="9"/>
  <c r="M63" i="9"/>
  <c r="N59" i="9"/>
  <c r="N56" i="9"/>
  <c r="O72" i="9"/>
  <c r="M70" i="9"/>
  <c r="L67" i="9"/>
  <c r="L61" i="9"/>
  <c r="L66" i="9"/>
  <c r="M75" i="9"/>
  <c r="L72" i="9"/>
  <c r="M50" i="9"/>
  <c r="M34" i="9"/>
  <c r="O57" i="9"/>
  <c r="L46" i="9"/>
  <c r="L56" i="9"/>
  <c r="O69" i="9"/>
  <c r="L51" i="9"/>
  <c r="M73" i="9"/>
  <c r="N50" i="9"/>
  <c r="N34" i="9"/>
  <c r="M64" i="9"/>
  <c r="O46" i="9"/>
  <c r="N58" i="9"/>
  <c r="O52" i="9"/>
  <c r="O51" i="9"/>
  <c r="L63" i="9"/>
  <c r="N69" i="9"/>
  <c r="N73" i="9"/>
  <c r="M66" i="9"/>
  <c r="O66" i="9"/>
  <c r="N71" i="9"/>
  <c r="O62" i="9"/>
  <c r="L64" i="9"/>
  <c r="L71" i="9"/>
  <c r="L60" i="9"/>
  <c r="N67" i="9"/>
  <c r="N57" i="9"/>
  <c r="L69" i="9"/>
  <c r="O63" i="9"/>
  <c r="O75" i="9"/>
  <c r="O71" i="9"/>
  <c r="L62" i="9"/>
  <c r="O67" i="9"/>
  <c r="N52" i="9"/>
  <c r="L75" i="9"/>
  <c r="N51" i="9"/>
  <c r="M72" i="9"/>
  <c r="N66" i="9"/>
  <c r="M57" i="9"/>
  <c r="M69" i="9"/>
  <c r="O50" i="9"/>
  <c r="O34" i="9"/>
  <c r="M61" i="9"/>
  <c r="M62" i="9"/>
  <c r="M51" i="9"/>
  <c r="N72" i="9"/>
  <c r="N53" i="9"/>
  <c r="O60" i="9"/>
  <c r="M60" i="9"/>
  <c r="L70" i="9"/>
  <c r="M56" i="9"/>
  <c r="M58" i="9"/>
  <c r="N46" i="9"/>
  <c r="N64" i="9"/>
  <c r="N60" i="9"/>
  <c r="M53" i="9"/>
  <c r="N75" i="9"/>
  <c r="N62" i="9"/>
  <c r="L34" i="9"/>
  <c r="L50" i="9"/>
  <c r="M67" i="9"/>
  <c r="L58" i="9"/>
  <c r="O61" i="9"/>
  <c r="O56" i="9"/>
  <c r="O53" i="9"/>
  <c r="N70" i="9"/>
  <c r="O64" i="9"/>
  <c r="L53" i="9"/>
  <c r="L42" i="10"/>
  <c r="J11" i="4"/>
  <c r="M11" i="13"/>
  <c r="M11" i="33"/>
  <c r="M11" i="23"/>
  <c r="M11" i="29"/>
  <c r="M11" i="35"/>
  <c r="J10" i="4"/>
  <c r="M10" i="19"/>
  <c r="M10" i="20"/>
  <c r="M10" i="25"/>
  <c r="M10" i="23"/>
  <c r="M10" i="22"/>
  <c r="M10" i="13"/>
  <c r="M10" i="24"/>
  <c r="M10" i="35"/>
  <c r="M10" i="51"/>
  <c r="M10" i="16"/>
  <c r="M10" i="29"/>
  <c r="M10" i="33"/>
  <c r="M68" i="13"/>
  <c r="M68" i="23"/>
  <c r="M68" i="29"/>
  <c r="M68" i="33"/>
  <c r="M136" i="26"/>
  <c r="M136" i="34"/>
  <c r="M119" i="23"/>
  <c r="M119" i="13"/>
  <c r="M119" i="35"/>
  <c r="M119" i="29"/>
  <c r="M119" i="33"/>
  <c r="M111" i="23"/>
  <c r="M111" i="35"/>
  <c r="M111" i="29"/>
  <c r="M111" i="13"/>
  <c r="M111" i="33"/>
  <c r="J7" i="4"/>
  <c r="M7" i="19"/>
  <c r="M7" i="13"/>
  <c r="M7" i="23"/>
  <c r="M7" i="22"/>
  <c r="M7" i="25"/>
  <c r="M7" i="20"/>
  <c r="M7" i="24"/>
  <c r="M7" i="29"/>
  <c r="M7" i="16"/>
  <c r="M7" i="51"/>
  <c r="M7" i="35"/>
  <c r="M7" i="33"/>
  <c r="J22" i="4"/>
  <c r="M22" i="20"/>
  <c r="M22" i="13"/>
  <c r="M22" i="24"/>
  <c r="M22" i="51"/>
  <c r="M22" i="23"/>
  <c r="M22" i="29"/>
  <c r="M22" i="35"/>
  <c r="M22" i="33"/>
  <c r="M22" i="16"/>
  <c r="M29" i="23"/>
  <c r="M29" i="13"/>
  <c r="M29" i="29"/>
  <c r="M29" i="51"/>
  <c r="M29" i="35"/>
  <c r="M29" i="24"/>
  <c r="M29" i="16"/>
  <c r="M29" i="20"/>
  <c r="M29" i="33"/>
  <c r="M137" i="26"/>
  <c r="M87" i="13"/>
  <c r="M87" i="23"/>
  <c r="M87" i="33"/>
  <c r="M87" i="29"/>
  <c r="M87" i="35"/>
  <c r="M35" i="13"/>
  <c r="M35" i="23"/>
  <c r="M35" i="29"/>
  <c r="M35" i="35"/>
  <c r="M35" i="33"/>
  <c r="M39" i="13"/>
  <c r="M34" i="13"/>
  <c r="M34" i="29"/>
  <c r="M34" i="35"/>
  <c r="M34" i="33"/>
  <c r="J38" i="4"/>
  <c r="M66" i="13"/>
  <c r="M66" i="33"/>
  <c r="M66" i="23"/>
  <c r="M66" i="29"/>
  <c r="M89" i="13"/>
  <c r="M89" i="23"/>
  <c r="M89" i="29"/>
  <c r="M89" i="35"/>
  <c r="M89" i="33"/>
  <c r="M96" i="33"/>
  <c r="M75" i="33"/>
  <c r="J37" i="4"/>
  <c r="M37" i="13"/>
  <c r="I71" i="9"/>
  <c r="M134" i="26"/>
  <c r="M134" i="34"/>
  <c r="M12" i="13"/>
  <c r="M12" i="23"/>
  <c r="M12" i="29"/>
  <c r="M12" i="35"/>
  <c r="M12" i="33"/>
  <c r="J36" i="4"/>
  <c r="M36" i="13"/>
  <c r="L21" i="10"/>
  <c r="H53" i="10"/>
  <c r="M135" i="26"/>
  <c r="M135" i="34"/>
  <c r="M25" i="23"/>
  <c r="M25" i="13"/>
  <c r="M25" i="29"/>
  <c r="M25" i="33"/>
  <c r="L31" i="10"/>
  <c r="L22" i="10"/>
  <c r="L12" i="10"/>
  <c r="L10" i="10"/>
  <c r="I69" i="9"/>
  <c r="I66" i="9"/>
  <c r="I75" i="9"/>
  <c r="I59" i="9"/>
  <c r="I56" i="9"/>
  <c r="I34" i="9"/>
  <c r="I51" i="9"/>
  <c r="D69" i="9"/>
  <c r="D46" i="9"/>
  <c r="D51" i="9"/>
  <c r="G17" i="10"/>
  <c r="E40" i="9"/>
  <c r="E43" i="9"/>
  <c r="E38" i="9"/>
  <c r="E39" i="9"/>
  <c r="E45" i="9"/>
  <c r="E44" i="9"/>
  <c r="E42" i="9"/>
  <c r="F17" i="10"/>
  <c r="J17" i="10" s="1"/>
  <c r="E41" i="9"/>
  <c r="B27" i="10"/>
  <c r="J27" i="10" s="1"/>
  <c r="J37" i="9"/>
  <c r="J42" i="9"/>
  <c r="G27" i="10"/>
  <c r="H27" i="10" s="1"/>
  <c r="J55" i="9"/>
  <c r="C27" i="10"/>
  <c r="J43" i="9"/>
  <c r="J44" i="9"/>
  <c r="J38" i="9"/>
  <c r="J39" i="9"/>
  <c r="I46" i="9"/>
  <c r="J40" i="9"/>
  <c r="J45" i="9"/>
  <c r="J119" i="4"/>
  <c r="J137" i="4"/>
  <c r="J135" i="4"/>
  <c r="J111" i="4"/>
  <c r="J12" i="4"/>
  <c r="J66" i="4"/>
  <c r="J35" i="4"/>
  <c r="J134" i="4"/>
  <c r="J34" i="4"/>
  <c r="J136" i="4"/>
  <c r="J68" i="4"/>
  <c r="J89" i="4"/>
  <c r="J87" i="4"/>
  <c r="J29" i="4"/>
  <c r="K53" i="10"/>
  <c r="K55" i="10"/>
  <c r="L44" i="10"/>
  <c r="L23" i="10"/>
  <c r="H55"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19" i="9"/>
  <c r="L32" i="9"/>
  <c r="N61" i="9" l="1"/>
  <c r="L59" i="9"/>
  <c r="L73" i="9"/>
  <c r="J73" i="9"/>
  <c r="J68" i="9"/>
  <c r="L55" i="10"/>
  <c r="M76" i="9"/>
  <c r="O76" i="9"/>
  <c r="L76" i="9"/>
  <c r="N76" i="9"/>
  <c r="L53" i="10"/>
  <c r="J46" i="9"/>
  <c r="I76" i="9"/>
  <c r="E46" i="9"/>
  <c r="H17" i="10"/>
  <c r="J59" i="9"/>
  <c r="J58" i="9"/>
  <c r="I58" i="9" s="1"/>
  <c r="D27" i="10"/>
  <c r="K27" i="10"/>
  <c r="L27" i="10" s="1"/>
  <c r="J69" i="9"/>
  <c r="J53" i="9"/>
  <c r="I53" i="9" s="1"/>
  <c r="J62" i="9"/>
  <c r="I62" i="9" s="1"/>
  <c r="J64" i="9"/>
  <c r="J52" i="9"/>
  <c r="I52" i="9" s="1"/>
  <c r="J60" i="9"/>
  <c r="I60" i="9" s="1"/>
  <c r="J66" i="9"/>
  <c r="J61" i="9"/>
  <c r="I61" i="9" s="1"/>
  <c r="J67" i="9"/>
  <c r="I67" i="9" s="1"/>
  <c r="J56" i="9"/>
  <c r="J75" i="9"/>
  <c r="J72" i="9"/>
  <c r="J51" i="9"/>
  <c r="J63" i="9"/>
  <c r="I63" i="9" s="1"/>
  <c r="J57" i="9"/>
  <c r="J70" i="9"/>
  <c r="I70" i="9" s="1"/>
  <c r="J71" i="9"/>
  <c r="K57" i="10"/>
  <c r="H57" i="10"/>
  <c r="L46" i="10"/>
  <c r="L35" i="10"/>
  <c r="L54" i="10"/>
  <c r="J57" i="10"/>
  <c r="D57" i="10"/>
  <c r="L52" i="10"/>
  <c r="J76" i="9" l="1"/>
  <c r="L57" i="10"/>
  <c r="D32" i="9" l="1"/>
  <c r="N30" i="8" l="1"/>
  <c r="C74" i="9"/>
  <c r="D74" i="9" l="1"/>
  <c r="C76" i="9"/>
  <c r="E9" i="9"/>
  <c r="E13" i="9"/>
  <c r="E27" i="9"/>
  <c r="D34" i="9"/>
  <c r="E25" i="9"/>
  <c r="E19" i="9"/>
  <c r="E15" i="9"/>
  <c r="E33" i="9"/>
  <c r="E22" i="9"/>
  <c r="E30" i="9"/>
  <c r="E16" i="9"/>
  <c r="E11" i="9"/>
  <c r="E10" i="9"/>
  <c r="E26" i="9"/>
  <c r="E14" i="9"/>
  <c r="C17" i="10"/>
  <c r="K17" i="10" s="1"/>
  <c r="L17" i="10" s="1"/>
  <c r="E28" i="9"/>
  <c r="E32" i="9"/>
  <c r="E20" i="9"/>
  <c r="E23" i="9"/>
  <c r="E18" i="9"/>
  <c r="E12" i="9"/>
  <c r="E29" i="9"/>
  <c r="E31" i="9"/>
  <c r="E17" i="9"/>
  <c r="E21" i="9"/>
  <c r="E74" i="9"/>
  <c r="E34" i="9" l="1"/>
  <c r="E54" i="9"/>
  <c r="E65" i="9"/>
  <c r="D76" i="9"/>
  <c r="E50" i="9"/>
  <c r="D17" i="10"/>
  <c r="E55" i="9"/>
  <c r="E64" i="9"/>
  <c r="D64" i="9" s="1"/>
  <c r="E75" i="9"/>
  <c r="D75" i="9" s="1"/>
  <c r="E60" i="9"/>
  <c r="D60" i="9" s="1"/>
  <c r="E67" i="9"/>
  <c r="D67" i="9" s="1"/>
  <c r="E70" i="9"/>
  <c r="D70" i="9" s="1"/>
  <c r="E58" i="9"/>
  <c r="D58" i="9" s="1"/>
  <c r="E62" i="9"/>
  <c r="D62" i="9" s="1"/>
  <c r="E53" i="9"/>
  <c r="D53" i="9" s="1"/>
  <c r="E63" i="9"/>
  <c r="D63" i="9" s="1"/>
  <c r="E52" i="9"/>
  <c r="D52" i="9" s="1"/>
  <c r="E59" i="9"/>
  <c r="D59" i="9" s="1"/>
  <c r="E51" i="9"/>
  <c r="E71" i="9"/>
  <c r="D71" i="9" s="1"/>
  <c r="E68" i="9"/>
  <c r="E56" i="9"/>
  <c r="D56" i="9" s="1"/>
  <c r="E73" i="9"/>
  <c r="D73" i="9" s="1"/>
  <c r="E61" i="9"/>
  <c r="D61" i="9" s="1"/>
  <c r="E72" i="9"/>
  <c r="D72" i="9" s="1"/>
  <c r="E57" i="9"/>
  <c r="D57" i="9" s="1"/>
  <c r="E66" i="9"/>
  <c r="D66" i="9" s="1"/>
  <c r="E69" i="9"/>
  <c r="E76"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8"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<sst xmlns="http://schemas.openxmlformats.org/spreadsheetml/2006/main" count="6758" uniqueCount="517">
  <si>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</si>
  <si>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</si>
  <si>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</si>
  <si>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</si>
  <si>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</si>
  <si>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</si>
  <si>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</si>
  <si>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</si>
  <si>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</si>
  <si>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</si>
  <si>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</si>
  <si>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</si>
  <si>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</si>
  <si>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</si>
  <si>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</si>
  <si>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</si>
  <si>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</si>
  <si>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</si>
  <si>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</si>
  <si>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</si>
  <si>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</si>
  <si>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</si>
  <si>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</si>
  <si>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</si>
  <si>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</si>
  <si>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</si>
  <si>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</si>
  <si>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</si>
  <si>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</si>
  <si>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</si>
  <si>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</si>
  <si>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</si>
  <si>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</si>
  <si>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</si>
  <si>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</si>
  <si>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</si>
  <si>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</si>
  <si>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</si>
  <si>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</si>
  <si>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</si>
  <si>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</si>
  <si>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</si>
  <si>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</si>
  <si>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</si>
  <si>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</si>
  <si>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</si>
  <si>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</si>
  <si>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</si>
  <si>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</si>
  <si>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</si>
  <si>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</si>
  <si>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</si>
  <si>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</si>
  <si>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</si>
  <si>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</si>
  <si>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</si>
  <si>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</si>
  <si>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</si>
  <si>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</si>
  <si>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</si>
  <si>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</si>
  <si>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</si>
  <si>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</si>
  <si>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</si>
  <si>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Skadef</t>
  </si>
  <si>
    <t>Nordea Liv</t>
  </si>
  <si>
    <t>OPF</t>
  </si>
  <si>
    <t>SpareBank 1</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</si>
  <si>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</si>
  <si>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</si>
  <si>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</si>
  <si>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</si>
  <si>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</si>
  <si>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</si>
  <si>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</si>
  <si>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</si>
  <si>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</si>
  <si>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</si>
  <si>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</si>
  <si>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</si>
  <si>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</si>
  <si>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</si>
  <si>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</si>
  <si>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</si>
  <si>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</si>
  <si>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</si>
  <si>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</si>
  <si>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</si>
  <si>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</si>
  <si>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</si>
  <si>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</si>
  <si>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</si>
  <si>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</si>
  <si>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</si>
  <si>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</si>
  <si>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</si>
  <si>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</si>
  <si>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</si>
  <si>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</si>
  <si>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</si>
  <si>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</si>
  <si>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</si>
  <si>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</si>
  <si>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</si>
  <si>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</si>
  <si>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</si>
  <si>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</si>
  <si>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</si>
  <si>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</si>
  <si>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</si>
  <si>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</si>
  <si>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</si>
  <si>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</si>
  <si>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</si>
  <si>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</si>
  <si>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</si>
  <si>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</si>
  <si>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</si>
  <si>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</si>
  <si>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</si>
  <si>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</si>
  <si>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</si>
  <si>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</si>
  <si>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</si>
  <si>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</si>
  <si>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</si>
  <si>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</si>
  <si>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</si>
  <si>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</si>
  <si>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</si>
  <si>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KLP Skadeforsikring</t>
  </si>
  <si>
    <t>Selskap</t>
  </si>
  <si>
    <t>Flytting fra andre</t>
  </si>
  <si>
    <t>Flytting til andre</t>
  </si>
  <si>
    <t>Q8</t>
  </si>
  <si>
    <t>Q9</t>
  </si>
  <si>
    <t>Q10</t>
  </si>
  <si>
    <t>Q14</t>
  </si>
  <si>
    <t>Q15</t>
  </si>
  <si>
    <t>Q16</t>
  </si>
  <si>
    <t>Q7</t>
  </si>
  <si>
    <t>R7</t>
  </si>
  <si>
    <t>R8</t>
  </si>
  <si>
    <t>R9</t>
  </si>
  <si>
    <t>R10</t>
  </si>
  <si>
    <t>R14</t>
  </si>
  <si>
    <t>R15</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</si>
  <si>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</si>
  <si>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</si>
  <si>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</si>
  <si>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</si>
  <si>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</si>
  <si>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</si>
  <si>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</si>
  <si>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</si>
  <si>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</si>
  <si>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</si>
  <si>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</si>
  <si>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</si>
  <si>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</si>
  <si>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</si>
  <si>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</si>
  <si>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</si>
  <si>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</si>
  <si>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</si>
  <si>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</si>
  <si>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</si>
  <si>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</si>
  <si>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</si>
  <si>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</si>
  <si>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</si>
  <si>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</si>
  <si>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</si>
  <si>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</si>
  <si>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</si>
  <si>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</si>
  <si>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</si>
  <si>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</si>
  <si>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</si>
  <si>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</si>
  <si>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</si>
  <si>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</si>
  <si>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</si>
  <si>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</si>
  <si>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</si>
  <si>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</si>
  <si>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</si>
  <si>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</si>
  <si>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</si>
  <si>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</si>
  <si>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</si>
  <si>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</si>
  <si>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</si>
  <si>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</si>
  <si>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</si>
  <si>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</si>
  <si>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</si>
  <si>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</si>
  <si>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</si>
  <si>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</si>
  <si>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</si>
  <si>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</si>
  <si>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</si>
  <si>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</si>
  <si>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</si>
  <si>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</si>
  <si>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</si>
  <si>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</si>
  <si>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</si>
  <si>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</si>
  <si>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</si>
  <si>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</si>
  <si>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</si>
  <si>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</si>
  <si>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</si>
  <si>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</si>
  <si>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</si>
  <si>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</si>
  <si>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</si>
  <si>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</si>
  <si>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</si>
  <si>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</si>
  <si>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</si>
  <si>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</si>
  <si>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</si>
  <si>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</si>
  <si>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</si>
  <si>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</si>
  <si>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</si>
  <si>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</si>
  <si>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</si>
  <si>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</si>
  <si>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</si>
  <si>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</si>
  <si>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</si>
  <si>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</si>
  <si>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</si>
  <si>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</si>
  <si>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</si>
  <si>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</si>
  <si>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</si>
  <si>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</si>
  <si>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</si>
  <si>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</si>
  <si>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</si>
  <si>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</si>
  <si>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</si>
  <si>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</si>
  <si>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</si>
  <si>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</si>
  <si>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</si>
  <si>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</si>
  <si>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</si>
  <si>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</si>
  <si>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</si>
  <si>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</si>
  <si>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</si>
  <si>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</si>
  <si>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</si>
  <si>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</si>
  <si>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</si>
  <si>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</si>
  <si>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</si>
  <si>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</si>
  <si>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</si>
  <si>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</si>
  <si>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</si>
  <si>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</si>
  <si>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</si>
  <si>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</si>
  <si>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</si>
  <si>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</si>
  <si>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</si>
  <si>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</si>
  <si>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</si>
  <si>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</si>
  <si>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</si>
  <si>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</si>
  <si>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</si>
  <si>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</si>
  <si>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</si>
  <si>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</si>
  <si>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</si>
  <si>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</si>
  <si>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</si>
  <si>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 xml:space="preserve">    1.1 Forfalt premier, brutto</t>
  </si>
  <si>
    <t xml:space="preserve">    1.2 - Avgitte gjenforsikringspremier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</si>
  <si>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</si>
  <si>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</si>
  <si>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</si>
  <si>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</si>
  <si>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</si>
  <si>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</si>
  <si>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</si>
  <si>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</si>
  <si>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6.2 Endring i tilleggsavsetninger</t>
  </si>
  <si>
    <t xml:space="preserve">    6.3 Endring i kursreguleringsfond</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</si>
  <si>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</si>
  <si>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</si>
  <si>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</si>
  <si>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</si>
  <si>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</si>
  <si>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</si>
  <si>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</si>
  <si>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</si>
  <si>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</si>
  <si>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</si>
  <si>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</si>
  <si>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</si>
  <si>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</si>
  <si>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</si>
  <si>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</si>
  <si>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</si>
  <si>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</si>
  <si>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</si>
  <si>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</si>
  <si>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</si>
  <si>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</si>
  <si>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</si>
  <si>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</si>
  <si>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</si>
  <si>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</si>
  <si>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</si>
  <si>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</si>
  <si>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</si>
  <si>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</si>
  <si>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</si>
  <si>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</si>
  <si>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</si>
  <si>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</si>
  <si>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</si>
  <si>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</si>
  <si>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</si>
  <si>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</si>
  <si>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</si>
  <si>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</si>
  <si>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</si>
  <si>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</si>
  <si>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</si>
  <si>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</si>
  <si>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</si>
  <si>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</si>
  <si>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</si>
  <si>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</si>
  <si>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</si>
  <si>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</si>
  <si>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</si>
  <si>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31.12.</t>
  </si>
  <si>
    <t xml:space="preserve">Resultatanalyse - Individuell kapital og </t>
  </si>
  <si>
    <t>individuell pensjon</t>
  </si>
  <si>
    <t>Individuell kapital - gml. overskuddsmodell</t>
  </si>
  <si>
    <t>Avkastningresultat før fra/til tilleggsreserver</t>
  </si>
  <si>
    <t>Fra/til tilleggsreserver</t>
  </si>
  <si>
    <t>Administrasjonsresultat</t>
  </si>
  <si>
    <t>Fortjenesteelement for risiko</t>
  </si>
  <si>
    <t>Vederlag for rentegaranti</t>
  </si>
  <si>
    <t>Risikoresultat</t>
  </si>
  <si>
    <t xml:space="preserve">   -Herav til risikoutjevningsfond</t>
  </si>
  <si>
    <t>Annet</t>
  </si>
  <si>
    <t>Resultat til fordeling</t>
  </si>
  <si>
    <t>Herav kundetildeling</t>
  </si>
  <si>
    <t>Herav til selskap</t>
  </si>
  <si>
    <t>Individuell kapital - ny overskuddsmodell</t>
  </si>
  <si>
    <t>Individuell kapital - u. rett til andel overskudd</t>
  </si>
  <si>
    <t>Individuell kapital - med investeringsvalg</t>
  </si>
  <si>
    <t>Individuell pensjon - gml. overskuddsmodell</t>
  </si>
  <si>
    <t>Individuell pensjon - ny overskuddsmodell</t>
  </si>
  <si>
    <t>Individuell pensjon - u. rett til andel overskudd</t>
  </si>
  <si>
    <t>Individuell pensjon - med investeringsvalg</t>
  </si>
  <si>
    <t xml:space="preserve">Resultatanalyse - Kollektiv pensjon, </t>
  </si>
  <si>
    <t>privat og kommunal</t>
  </si>
  <si>
    <t>Privat - ytelsesbasert uten investeringsvalg</t>
  </si>
  <si>
    <t>Privat - ytelsesbasert med investeringsvalg</t>
  </si>
  <si>
    <t>Privat - innskuddsbasert uten investeringsvalg</t>
  </si>
  <si>
    <t>Privat - innskuddsbasert med investeringsvalg</t>
  </si>
  <si>
    <t>Privat - etter tjenestepensjonsloven uten investeringsvalg</t>
  </si>
  <si>
    <t>Privat - etter tjenestepensjonsloven med investeringsvalg</t>
  </si>
  <si>
    <t>Fripoliser (modifisert overskuddsdeling)</t>
  </si>
  <si>
    <t>Privat - u. rett til andel overskudd</t>
  </si>
  <si>
    <t>Pensjonsbevis med garanti</t>
  </si>
  <si>
    <t>Kommunal - ytelsesbaserte uten investeringsvalg</t>
  </si>
  <si>
    <t>Kommunal - ytelsesbaserte med investeringsvalg</t>
  </si>
  <si>
    <t xml:space="preserve">Resultatanalyse - Gruppeliv, ulykke o.a. </t>
  </si>
  <si>
    <t>skadebransjer og total</t>
  </si>
  <si>
    <t>Gruppeliv</t>
  </si>
  <si>
    <t>Ulykkesforsikring og andre skadebransjer</t>
  </si>
  <si>
    <t>Total</t>
  </si>
  <si>
    <t>Tabell 7.a</t>
  </si>
  <si>
    <t>Spesifikasjon av post 13. Forsikringsforpliktelser - KF</t>
  </si>
  <si>
    <t>Produkter uten</t>
  </si>
  <si>
    <t>Totalt produkter</t>
  </si>
  <si>
    <t>investeringsvalg</t>
  </si>
  <si>
    <t>uten investeringsvalg</t>
  </si>
  <si>
    <t>13. Forsikringsmessige avsetninger</t>
  </si>
  <si>
    <t>13.1 Premiereserve brutto</t>
  </si>
  <si>
    <t xml:space="preserve">         Individuell kapital</t>
  </si>
  <si>
    <t xml:space="preserve">         - Herav med gammel overskuddsmodell</t>
  </si>
  <si>
    <t xml:space="preserve">         - Herav med modifisert/ny overskuddsmodell</t>
  </si>
  <si>
    <t xml:space="preserve">         Individuell pensjon</t>
  </si>
  <si>
    <t xml:space="preserve">         Gruppeliv</t>
  </si>
  <si>
    <r>
      <t xml:space="preserve">         Privat kollektiv pensjon </t>
    </r>
    <r>
      <rPr>
        <vertAlign val="superscript"/>
        <sz val="14"/>
        <rFont val="Times New Roman"/>
        <family val="1"/>
      </rPr>
      <t>24)</t>
    </r>
  </si>
  <si>
    <t xml:space="preserve">         - Herav fripoliser med modifisert/ny overskuddsmodell</t>
  </si>
  <si>
    <r>
      <t xml:space="preserve">         Kommunal kollektiv pensjon </t>
    </r>
    <r>
      <rPr>
        <vertAlign val="superscript"/>
        <sz val="14"/>
        <rFont val="Times New Roman"/>
        <family val="1"/>
      </rPr>
      <t>25)</t>
    </r>
    <r>
      <rPr>
        <sz val="14"/>
        <rFont val="Times New Roman"/>
        <family val="1"/>
      </rPr>
      <t xml:space="preserve">            </t>
    </r>
  </si>
  <si>
    <t xml:space="preserve">         Ulykke/andre</t>
  </si>
  <si>
    <t xml:space="preserve">        Premiereserve for egen regning</t>
  </si>
  <si>
    <t xml:space="preserve">13.2 Tilleggsavsetninger </t>
  </si>
  <si>
    <t>13.3 Kursreguleringsfond</t>
  </si>
  <si>
    <t>Sum avsetning til forsikringsforpliktelser - KF</t>
  </si>
  <si>
    <t xml:space="preserve">         Annet (post 13.3 og 13.5)</t>
  </si>
  <si>
    <t>Tabell 7.b</t>
  </si>
  <si>
    <t>Produkter med</t>
  </si>
  <si>
    <t>med investeringsvalg</t>
  </si>
  <si>
    <t>alle produkter KF + SI</t>
  </si>
  <si>
    <t>14. Forsikringsmessige avsetninger</t>
  </si>
  <si>
    <t>14.1 Premiereserve brutto</t>
  </si>
  <si>
    <t>14.2 Supplerende avsetninger</t>
  </si>
  <si>
    <t>14.3 Tilleggsavsetninger</t>
  </si>
  <si>
    <t>14.4 Premie-, innskudds- og pensjonistenes overskuddsfond</t>
  </si>
  <si>
    <t>Sum avsetning til forsikringsforpliktelser - SI</t>
  </si>
  <si>
    <r>
      <t>Soliditetskapital</t>
    </r>
    <r>
      <rPr>
        <sz val="14"/>
        <rFont val="Times New Roman"/>
        <family val="1"/>
      </rPr>
      <t xml:space="preserve"> (%)</t>
    </r>
  </si>
  <si>
    <t>Avkastningstall</t>
  </si>
  <si>
    <r>
      <t xml:space="preserve">Kapitalavkastning I </t>
    </r>
    <r>
      <rPr>
        <b/>
        <sz val="14"/>
        <rFont val="Times New Roman"/>
        <family val="1"/>
      </rPr>
      <t>(%)</t>
    </r>
  </si>
  <si>
    <t>Gammel overskuddsmodell</t>
  </si>
  <si>
    <t>Modifisert/ny overskuddsmodell</t>
  </si>
  <si>
    <r>
      <t xml:space="preserve">Kapitalavkastning II </t>
    </r>
    <r>
      <rPr>
        <b/>
        <sz val="14"/>
        <rFont val="Times New Roman"/>
        <family val="1"/>
      </rPr>
      <t xml:space="preserve"> (%)</t>
    </r>
  </si>
  <si>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</si>
  <si>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</si>
  <si>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</si>
  <si>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</si>
  <si>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</si>
  <si>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</si>
  <si>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</si>
  <si>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</si>
  <si>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</si>
  <si>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</si>
  <si>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</si>
  <si>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</si>
  <si>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</si>
  <si>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</si>
  <si>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</si>
  <si>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</si>
  <si>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</si>
  <si>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</si>
  <si>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</si>
  <si>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</si>
  <si>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</si>
  <si>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</si>
  <si>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</si>
  <si>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</si>
  <si>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</si>
  <si>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</si>
  <si>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</si>
  <si>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</si>
  <si>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</si>
  <si>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</si>
  <si>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</si>
  <si>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</si>
  <si>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14.1 Premiekapital mv.</t>
  </si>
  <si>
    <t xml:space="preserve">    14.2 Tilleggsavsetninger</t>
  </si>
  <si>
    <t>Fremtind Livsforsikring</t>
  </si>
  <si>
    <t>WaterCircle Forsikring</t>
  </si>
  <si>
    <t>Fremtind</t>
  </si>
  <si>
    <t>Fremtind Livsfors</t>
  </si>
  <si>
    <t>Landkreditt Fors.</t>
  </si>
  <si>
    <t>Fremtind Liv</t>
  </si>
  <si>
    <t>Mer/mindre-verdier</t>
  </si>
  <si>
    <t>Landkreditt Forsikring</t>
  </si>
  <si>
    <t>WaterCircles Fors.</t>
  </si>
  <si>
    <t>WaterCicles Fors.</t>
  </si>
  <si>
    <t>WaterCircles Forsikring</t>
  </si>
  <si>
    <t>Landkreditt Fors</t>
  </si>
  <si>
    <t>Codan Forsikring</t>
  </si>
  <si>
    <t>Euro Accident</t>
  </si>
  <si>
    <t xml:space="preserve">   Innskuddsbasert (inkl. EPK)</t>
  </si>
  <si>
    <t>Forsikring</t>
  </si>
  <si>
    <t>SpareBank 1 Forsikring</t>
  </si>
  <si>
    <t>Ly Forsikring</t>
  </si>
  <si>
    <t>Youplus Livsforsikring</t>
  </si>
  <si>
    <t>Youplus</t>
  </si>
  <si>
    <t>Youplus Livsf</t>
  </si>
  <si>
    <t>Postene Herav pensjonskapitalbevis omfatter pensjonskapitalbevis innenfor og utenfor Egen pensjonskonto. Med pensjonskapitalbevis innenfor Egen pensjonskonto menes passiv kapital. Se for øvrig note 14.</t>
  </si>
  <si>
    <r>
      <t xml:space="preserve">  Herav pensjonskapitalbevis innenfor og utenfor EPK</t>
    </r>
    <r>
      <rPr>
        <vertAlign val="superscript"/>
        <sz val="10"/>
        <rFont val="Times New Roman"/>
        <family val="1"/>
      </rPr>
      <t>14) 18)</t>
    </r>
  </si>
  <si>
    <t xml:space="preserve">    1.3 Overføring av premiereserve og pensjonskapital mv. fra andre selskap/kasser</t>
  </si>
  <si>
    <t xml:space="preserve">    5.2 Overføring av premiereserve, pensjonskapital mv., tilleggsavsetninger og bufferfond til andre selskap/kasser</t>
  </si>
  <si>
    <t xml:space="preserve">    6.1 Endring i premiereserve mv.</t>
  </si>
  <si>
    <t xml:space="preserve">    6.4 Endring i bufferfond</t>
  </si>
  <si>
    <t xml:space="preserve">    6.5 Endring i premiefond, innskuddsfond og fond for regulering av pensjoner mv.</t>
  </si>
  <si>
    <t xml:space="preserve">    6.6 Endring i tekniske avsetninger for skadeforsikringsvirksomhet</t>
  </si>
  <si>
    <t xml:space="preserve">    6.7 Overføring av tilleggsavsetninger og bufferfond fra andre fors.selskap/pensj.kasser</t>
  </si>
  <si>
    <t>18. Resultat før andre inntekter og kostnader</t>
  </si>
  <si>
    <t>19. Andre inntekter og kostnader</t>
  </si>
  <si>
    <t xml:space="preserve">    13.4 Bufferfond</t>
  </si>
  <si>
    <t xml:space="preserve">    13.5 Premiefond, innskuddsfond og ford for regulering av pensjoner mv.</t>
  </si>
  <si>
    <t xml:space="preserve">    13.6 Andre tekniske avsetninger for skadeforsikringsvirksomheten</t>
  </si>
  <si>
    <t xml:space="preserve">    14.3 Bufferfond</t>
  </si>
  <si>
    <t xml:space="preserve">    14.4 Premiefond, innskuddsfond og fond for regulering av pensjoner mv.</t>
  </si>
  <si>
    <t>Bufferfond</t>
  </si>
  <si>
    <t>1. Premieinntekter</t>
  </si>
  <si>
    <t>Spesifikasjon av post 14. Forsikringsforpliktelser -SI</t>
  </si>
  <si>
    <t>Gjennomsnitt 2018 - 2022</t>
  </si>
  <si>
    <t>13.4 Bufferfond</t>
  </si>
  <si>
    <t>13.5 Premie-, innskudds- og pensjonistenes overskuddsfond</t>
  </si>
  <si>
    <t>13.6 Andre tekniske avsetninger for skadeforsikringsvirksomheten</t>
  </si>
  <si>
    <t xml:space="preserve">         Annet (post 13.3, 13.4 og 13.6)</t>
  </si>
  <si>
    <t>Storebrand Danica</t>
  </si>
  <si>
    <t>SpareBank 1 Fors</t>
  </si>
  <si>
    <t>Storebrand Liv</t>
  </si>
  <si>
    <t>31.12.2021</t>
  </si>
  <si>
    <t>31.12.2022</t>
  </si>
  <si>
    <t>Figur 3  Forsikringsforpliktelser i livsforsikring  -  produkter uten investeringsvalg pr. 31.12.</t>
  </si>
  <si>
    <t>Figur 4  Forsikringsforpliktelser i livsforsikring -  produkter med investeringsvalg pr. 31.12.</t>
  </si>
  <si>
    <t>Figur 5  Netto tilflytting livprodukter  -  produkter uten investeringsvalg pr. 31.12.</t>
  </si>
  <si>
    <t>Figur 6  Netto tilflytting livprodukter  -  produkter med investeringsvalg pr. 31.12.</t>
  </si>
  <si>
    <t>Figur 1  Brutto forfalt premie livprodukter  -  produkter uten investeringsvalg pr. 31.12.</t>
  </si>
  <si>
    <t>Figur 2  Brutto forfalt premie livprodukter  -  produkter med investeringsvalg pr. 31.12.</t>
  </si>
  <si>
    <t>Storebrand Danica Pensjon</t>
  </si>
  <si>
    <t>Storebrand Danica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</si>
</sst>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 numFmtId="173" formatCode="_-* #,##0_-;\-* #,##0_-;_-* &quot;-&quot;??_-;_-@_-"/>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
      <b/>
      <i/>
      <sz val="10"/>
      <name val="Times New Roman"/>
      <family val="1"/>
    </font>
    <font>
      <b/>
      <sz val="14"/>
      <color theme="1"/>
      <name val="Times New Roman"/>
      <family val="1"/>
    </font>
    <font>
      <sz val="10"/>
      <color indexed="10"/>
      <name val="Arial"/>
      <family val="2"/>
    </font>
    <font>
      <b/>
      <sz val="10"/>
      <color rgb="FFFF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2">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0" fontId="15" fillId="0" borderId="0"/>
    <xf numFmtId="164" fontId="20" fillId="0" borderId="0" applyFont="0" applyFill="0" applyBorder="0" applyAlignment="0" applyProtection="0"/>
    <xf numFmtId="164" fontId="20" fillId="0" borderId="0" applyFont="0" applyFill="0" applyBorder="0" applyAlignment="0" applyProtection="0"/>
    <xf numFmtId="0" fontId="1" fillId="0" borderId="0"/>
  </cellStyleXfs>
  <cellXfs count="1068">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7" fillId="0" borderId="7" xfId="1" applyNumberFormat="1" applyFont="1" applyBorder="1" applyAlignment="1">
      <alignment horizontal="center"/>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7" fillId="0" borderId="1" xfId="1" applyNumberFormat="1" applyFont="1" applyBorder="1" applyAlignment="1">
      <alignment horizontal="center"/>
    </xf>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7"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14" fontId="17" fillId="0" borderId="1" xfId="1" applyNumberFormat="1" applyFont="1" applyBorder="1" applyAlignment="1">
      <alignment horizontal="center"/>
    </xf>
    <xf numFmtId="14" fontId="17" fillId="0" borderId="7" xfId="1" applyNumberFormat="1" applyFont="1" applyBorder="1" applyAlignment="1">
      <alignment horizontal="center"/>
    </xf>
    <xf numFmtId="14" fontId="17" fillId="0" borderId="15" xfId="1" applyNumberFormat="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18" fillId="0" borderId="4"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9" fillId="2"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3"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4" xfId="846" applyFont="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9" fillId="2" borderId="2" xfId="846" applyFont="1" applyFill="1" applyBorder="1" applyAlignment="1">
      <alignment horizontal="right"/>
    </xf>
    <xf numFmtId="171" fontId="19" fillId="2"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31" fillId="0" borderId="3" xfId="845"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3" xfId="845" applyNumberFormat="1" applyFont="1" applyFill="1" applyBorder="1" applyAlignment="1" applyProtection="1">
      <alignment horizontal="right"/>
      <protection locked="0"/>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3" fontId="46" fillId="4" borderId="4" xfId="0" applyNumberFormat="1"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0" fontId="62" fillId="0" borderId="0" xfId="0" applyFont="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50" fillId="0" borderId="0" xfId="0" applyFont="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14" fontId="14" fillId="0" borderId="7" xfId="1" applyNumberFormat="1" applyFont="1" applyFill="1" applyBorder="1" applyAlignment="1" applyProtection="1">
      <alignment horizontal="left"/>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46" fillId="0" borderId="4" xfId="1" applyNumberFormat="1" applyFont="1" applyFill="1" applyBorder="1" applyProtection="1">
      <protection locked="0"/>
    </xf>
    <xf numFmtId="0" fontId="16" fillId="0" borderId="7" xfId="1" applyNumberFormat="1" applyFont="1" applyFill="1" applyBorder="1" applyAlignment="1" applyProtection="1">
      <alignment horizontal="center"/>
      <protection locked="0"/>
    </xf>
    <xf numFmtId="169" fontId="16" fillId="0" borderId="6" xfId="1" applyNumberFormat="1" applyFont="1" applyFill="1" applyBorder="1" applyAlignment="1" applyProtection="1">
      <alignment horizontal="center"/>
      <protection locked="0"/>
    </xf>
    <xf numFmtId="3" fontId="31" fillId="4" borderId="1" xfId="15" applyNumberFormat="1" applyFont="1" applyFill="1" applyBorder="1" applyAlignment="1" applyProtection="1">
      <alignment horizontal="right"/>
      <protection locked="0"/>
    </xf>
    <xf numFmtId="0" fontId="31" fillId="0" borderId="4" xfId="1" applyFont="1" applyFill="1" applyBorder="1" applyProtection="1">
      <protection locked="0"/>
    </xf>
    <xf numFmtId="3" fontId="31" fillId="4" borderId="3" xfId="1"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xf>
    <xf numFmtId="3" fontId="31" fillId="0" borderId="3" xfId="1" applyNumberFormat="1" applyFont="1" applyFill="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0" fontId="20" fillId="0" borderId="0" xfId="1" applyFont="1" applyFill="1" applyProtection="1">
      <protection locked="0"/>
    </xf>
    <xf numFmtId="0" fontId="46" fillId="0" borderId="4" xfId="1" applyFont="1" applyFill="1" applyBorder="1" applyProtection="1">
      <protection locked="0"/>
    </xf>
    <xf numFmtId="3" fontId="46" fillId="4" borderId="4" xfId="15" applyNumberFormat="1" applyFont="1" applyFill="1" applyBorder="1" applyAlignment="1" applyProtection="1">
      <alignment horizontal="right"/>
      <protection locked="0"/>
    </xf>
    <xf numFmtId="0" fontId="31" fillId="0" borderId="0" xfId="1" applyFont="1" applyProtection="1">
      <protection locked="0"/>
    </xf>
    <xf numFmtId="3" fontId="46" fillId="4" borderId="11" xfId="15" applyNumberFormat="1" applyFont="1" applyFill="1" applyBorder="1" applyAlignment="1" applyProtection="1">
      <alignment horizontal="right"/>
      <protection locked="0"/>
    </xf>
    <xf numFmtId="0" fontId="31" fillId="0" borderId="3" xfId="1" applyFont="1" applyFill="1" applyBorder="1" applyProtection="1">
      <protection locked="0"/>
    </xf>
    <xf numFmtId="0" fontId="31" fillId="0" borderId="0" xfId="1" applyFont="1" applyFill="1" applyProtection="1">
      <protection locked="0"/>
    </xf>
    <xf numFmtId="0" fontId="20" fillId="0" borderId="0" xfId="1" applyBorder="1" applyProtection="1">
      <protection locked="0"/>
    </xf>
    <xf numFmtId="0" fontId="42" fillId="0" borderId="0" xfId="7" applyFont="1" applyFill="1" applyProtection="1">
      <protection locked="0"/>
    </xf>
    <xf numFmtId="0" fontId="31" fillId="0" borderId="0" xfId="7" applyFont="1" applyFill="1" applyProtection="1">
      <protection locked="0"/>
    </xf>
    <xf numFmtId="0" fontId="20" fillId="0" borderId="0" xfId="7" applyFont="1" applyFill="1" applyProtection="1">
      <protection locked="0"/>
    </xf>
    <xf numFmtId="0" fontId="42" fillId="0" borderId="0" xfId="7" applyFont="1" applyFill="1" applyBorder="1" applyProtection="1">
      <protection locked="0"/>
    </xf>
    <xf numFmtId="0" fontId="46" fillId="0" borderId="0" xfId="7" applyFont="1" applyFill="1" applyBorder="1" applyProtection="1">
      <protection locked="0"/>
    </xf>
    <xf numFmtId="0" fontId="46" fillId="0" borderId="12" xfId="7" applyFont="1" applyFill="1" applyBorder="1" applyProtection="1">
      <protection locked="0"/>
    </xf>
    <xf numFmtId="14" fontId="14" fillId="0" borderId="3" xfId="7" applyNumberFormat="1" applyFont="1" applyFill="1" applyBorder="1" applyAlignment="1" applyProtection="1">
      <alignment horizontal="left"/>
      <protection locked="0"/>
    </xf>
    <xf numFmtId="0" fontId="18" fillId="0" borderId="8" xfId="7" applyFont="1" applyFill="1" applyBorder="1" applyProtection="1">
      <protection locked="0"/>
    </xf>
    <xf numFmtId="0" fontId="18" fillId="0" borderId="9" xfId="7" applyFont="1" applyFill="1" applyBorder="1" applyProtection="1">
      <protection locked="0"/>
    </xf>
    <xf numFmtId="0" fontId="18" fillId="0" borderId="10" xfId="7" applyFont="1" applyFill="1" applyBorder="1" applyProtection="1">
      <protection locked="0"/>
    </xf>
    <xf numFmtId="3" fontId="46" fillId="0" borderId="1" xfId="7" applyNumberFormat="1" applyFont="1" applyFill="1" applyBorder="1" applyProtection="1">
      <protection locked="0"/>
    </xf>
    <xf numFmtId="3" fontId="46" fillId="0" borderId="4" xfId="7" applyNumberFormat="1" applyFont="1" applyFill="1" applyBorder="1" applyProtection="1">
      <protection locked="0"/>
    </xf>
    <xf numFmtId="0" fontId="16" fillId="0" borderId="1" xfId="7" applyNumberFormat="1" applyFont="1" applyFill="1" applyBorder="1" applyAlignment="1" applyProtection="1">
      <alignment horizontal="center"/>
      <protection locked="0"/>
    </xf>
    <xf numFmtId="0" fontId="16" fillId="0" borderId="7" xfId="7" applyNumberFormat="1" applyFont="1" applyFill="1" applyBorder="1" applyAlignment="1" applyProtection="1">
      <alignment horizontal="center"/>
      <protection locked="0"/>
    </xf>
    <xf numFmtId="3" fontId="51" fillId="0" borderId="11" xfId="7" applyNumberFormat="1" applyFont="1" applyFill="1" applyBorder="1" applyProtection="1">
      <protection locked="0"/>
    </xf>
    <xf numFmtId="0" fontId="14" fillId="0" borderId="6" xfId="7" applyFont="1" applyFill="1" applyBorder="1" applyAlignment="1" applyProtection="1">
      <alignment horizontal="center"/>
      <protection locked="0"/>
    </xf>
    <xf numFmtId="169" fontId="16" fillId="0" borderId="6" xfId="7" applyNumberFormat="1" applyFont="1" applyFill="1" applyBorder="1" applyAlignment="1" applyProtection="1">
      <alignment horizontal="center"/>
      <protection locked="0"/>
    </xf>
    <xf numFmtId="3" fontId="51" fillId="0" borderId="7" xfId="7" applyNumberFormat="1" applyFont="1" applyFill="1" applyBorder="1" applyProtection="1">
      <protection locked="0"/>
    </xf>
    <xf numFmtId="169" fontId="16" fillId="0" borderId="4" xfId="7" applyNumberFormat="1" applyFont="1" applyFill="1" applyBorder="1" applyAlignment="1" applyProtection="1">
      <alignment horizontal="center"/>
      <protection locked="0"/>
    </xf>
    <xf numFmtId="169" fontId="16" fillId="0" borderId="3" xfId="7" applyNumberFormat="1" applyFont="1" applyFill="1" applyBorder="1" applyAlignment="1" applyProtection="1">
      <alignment horizontal="center"/>
      <protection locked="0"/>
    </xf>
    <xf numFmtId="0" fontId="14" fillId="0" borderId="4" xfId="7" applyFont="1" applyFill="1" applyBorder="1" applyAlignment="1" applyProtection="1">
      <alignment horizontal="center"/>
      <protection locked="0"/>
    </xf>
    <xf numFmtId="0" fontId="46" fillId="0" borderId="3" xfId="7" applyFont="1" applyFill="1" applyBorder="1" applyProtection="1">
      <protection locked="0"/>
    </xf>
    <xf numFmtId="169" fontId="46" fillId="0" borderId="4" xfId="7" applyNumberFormat="1" applyFont="1" applyFill="1" applyBorder="1" applyAlignment="1" applyProtection="1">
      <alignment horizontal="right"/>
      <protection locked="0"/>
    </xf>
    <xf numFmtId="169" fontId="46" fillId="0" borderId="3" xfId="7" applyNumberFormat="1" applyFont="1" applyFill="1" applyBorder="1" applyAlignment="1" applyProtection="1">
      <alignment horizontal="right"/>
      <protection locked="0"/>
    </xf>
    <xf numFmtId="1" fontId="46" fillId="0" borderId="3" xfId="7" applyNumberFormat="1" applyFont="1" applyFill="1" applyBorder="1" applyAlignment="1" applyProtection="1">
      <alignment horizontal="right"/>
      <protection locked="0"/>
    </xf>
    <xf numFmtId="0" fontId="46" fillId="0" borderId="4" xfId="7" applyNumberFormat="1" applyFont="1" applyFill="1" applyBorder="1" applyAlignment="1" applyProtection="1">
      <alignment horizontal="right"/>
      <protection locked="0"/>
    </xf>
    <xf numFmtId="0" fontId="31" fillId="0" borderId="3" xfId="7" applyFont="1" applyFill="1" applyBorder="1" applyProtection="1">
      <protection locked="0"/>
    </xf>
    <xf numFmtId="3" fontId="31" fillId="0" borderId="4" xfId="1" applyNumberFormat="1" applyFont="1" applyFill="1" applyBorder="1" applyAlignment="1" applyProtection="1">
      <alignment horizontal="right"/>
      <protection locked="0"/>
    </xf>
    <xf numFmtId="169" fontId="31" fillId="0" borderId="4" xfId="7" applyNumberFormat="1" applyFont="1" applyFill="1" applyBorder="1" applyAlignment="1" applyProtection="1">
      <alignment horizontal="right"/>
      <protection locked="0"/>
    </xf>
    <xf numFmtId="1" fontId="31" fillId="0" borderId="3" xfId="7" applyNumberFormat="1" applyFont="1" applyFill="1" applyBorder="1" applyAlignment="1" applyProtection="1">
      <alignment horizontal="right"/>
      <protection locked="0"/>
    </xf>
    <xf numFmtId="169" fontId="31" fillId="0" borderId="3" xfId="7" applyNumberFormat="1" applyFont="1" applyFill="1" applyBorder="1" applyAlignment="1" applyProtection="1">
      <alignment horizontal="right"/>
      <protection locked="0"/>
    </xf>
    <xf numFmtId="1" fontId="31" fillId="0" borderId="4" xfId="7" applyNumberFormat="1" applyFont="1" applyFill="1" applyBorder="1" applyAlignment="1" applyProtection="1">
      <alignment horizontal="right"/>
      <protection locked="0"/>
    </xf>
    <xf numFmtId="1" fontId="46" fillId="0" borderId="4" xfId="7" applyNumberFormat="1" applyFont="1" applyFill="1" applyBorder="1" applyAlignment="1" applyProtection="1">
      <alignment horizontal="right"/>
      <protection locked="0"/>
    </xf>
    <xf numFmtId="0" fontId="46" fillId="0" borderId="0" xfId="7" applyFont="1" applyFill="1" applyProtection="1">
      <protection locked="0"/>
    </xf>
    <xf numFmtId="3" fontId="31" fillId="0" borderId="4" xfId="7" applyNumberFormat="1" applyFont="1" applyFill="1" applyBorder="1" applyAlignment="1" applyProtection="1">
      <alignment horizontal="right"/>
      <protection locked="0"/>
    </xf>
    <xf numFmtId="3" fontId="31" fillId="0" borderId="3" xfId="7" applyNumberFormat="1" applyFont="1" applyFill="1" applyBorder="1" applyAlignment="1" applyProtection="1">
      <alignment horizontal="right"/>
      <protection locked="0"/>
    </xf>
    <xf numFmtId="3" fontId="46" fillId="0" borderId="4" xfId="7" applyNumberFormat="1" applyFont="1" applyFill="1" applyBorder="1" applyAlignment="1" applyProtection="1">
      <alignment horizontal="right"/>
      <protection locked="0"/>
    </xf>
    <xf numFmtId="3" fontId="46" fillId="0" borderId="3" xfId="7" applyNumberFormat="1" applyFont="1" applyFill="1" applyBorder="1" applyAlignment="1" applyProtection="1">
      <alignment horizontal="right"/>
      <protection locked="0"/>
    </xf>
    <xf numFmtId="0" fontId="31" fillId="0" borderId="6" xfId="7" applyFont="1" applyFill="1" applyBorder="1" applyProtection="1">
      <protection locked="0"/>
    </xf>
    <xf numFmtId="3" fontId="31" fillId="0" borderId="11" xfId="7" applyNumberFormat="1" applyFont="1" applyFill="1" applyBorder="1" applyAlignment="1" applyProtection="1">
      <alignment horizontal="right"/>
      <protection locked="0"/>
    </xf>
    <xf numFmtId="1" fontId="31" fillId="0" borderId="6" xfId="7" applyNumberFormat="1" applyFont="1" applyFill="1" applyBorder="1" applyAlignment="1" applyProtection="1">
      <alignment horizontal="right"/>
      <protection locked="0"/>
    </xf>
    <xf numFmtId="3" fontId="31" fillId="0" borderId="6" xfId="7" applyNumberFormat="1" applyFont="1" applyFill="1" applyBorder="1" applyAlignment="1" applyProtection="1">
      <alignment horizontal="right"/>
      <protection locked="0"/>
    </xf>
    <xf numFmtId="0" fontId="31" fillId="0" borderId="7" xfId="7" applyFont="1" applyFill="1" applyBorder="1" applyProtection="1">
      <protection locked="0"/>
    </xf>
    <xf numFmtId="3" fontId="31" fillId="0" borderId="1" xfId="7" applyNumberFormat="1" applyFont="1" applyFill="1" applyBorder="1" applyAlignment="1" applyProtection="1">
      <alignment horizontal="right"/>
      <protection locked="0"/>
    </xf>
    <xf numFmtId="1" fontId="31" fillId="0" borderId="7" xfId="7" applyNumberFormat="1" applyFont="1" applyFill="1" applyBorder="1" applyAlignment="1" applyProtection="1">
      <alignment horizontal="right"/>
      <protection locked="0"/>
    </xf>
    <xf numFmtId="3" fontId="31" fillId="0" borderId="7" xfId="7" applyNumberFormat="1" applyFont="1" applyFill="1" applyBorder="1" applyAlignment="1" applyProtection="1">
      <alignment horizontal="right"/>
      <protection locked="0"/>
    </xf>
    <xf numFmtId="0" fontId="31" fillId="0" borderId="4" xfId="7" applyFont="1" applyFill="1" applyBorder="1" applyAlignment="1" applyProtection="1">
      <alignment horizontal="right"/>
      <protection locked="0"/>
    </xf>
    <xf numFmtId="0" fontId="31" fillId="0" borderId="3" xfId="7" applyFont="1" applyFill="1" applyBorder="1" applyAlignment="1" applyProtection="1">
      <alignment horizontal="right"/>
      <protection locked="0"/>
    </xf>
    <xf numFmtId="3" fontId="46" fillId="0" borderId="4" xfId="1" applyNumberFormat="1" applyFont="1" applyFill="1" applyBorder="1" applyAlignment="1" applyProtection="1">
      <alignment horizontal="right"/>
    </xf>
    <xf numFmtId="0" fontId="47" fillId="0" borderId="0" xfId="7" applyFont="1" applyFill="1" applyProtection="1">
      <protection locked="0"/>
    </xf>
    <xf numFmtId="0" fontId="47" fillId="0" borderId="0" xfId="7" applyFont="1" applyFill="1" applyProtection="1"/>
    <xf numFmtId="0" fontId="47" fillId="0" borderId="0" xfId="1" applyFont="1" applyFill="1" applyProtection="1">
      <protection locked="0"/>
    </xf>
    <xf numFmtId="0" fontId="31" fillId="0" borderId="0" xfId="848" applyFont="1" applyFill="1" applyProtection="1">
      <protection locked="0"/>
    </xf>
    <xf numFmtId="0" fontId="15" fillId="0" borderId="0" xfId="848" applyFill="1" applyProtection="1">
      <protection locked="0"/>
    </xf>
    <xf numFmtId="0" fontId="42" fillId="0" borderId="0" xfId="848" applyFont="1" applyFill="1" applyBorder="1" applyProtection="1">
      <protection locked="0"/>
    </xf>
    <xf numFmtId="0" fontId="46" fillId="0" borderId="0" xfId="848" applyFont="1" applyFill="1" applyBorder="1" applyProtection="1">
      <protection locked="0"/>
    </xf>
    <xf numFmtId="0" fontId="46" fillId="0" borderId="12" xfId="848" applyFont="1" applyFill="1" applyBorder="1" applyProtection="1">
      <protection locked="0"/>
    </xf>
    <xf numFmtId="0" fontId="31" fillId="0" borderId="0" xfId="848" applyFont="1" applyFill="1" applyBorder="1" applyProtection="1">
      <protection locked="0"/>
    </xf>
    <xf numFmtId="14" fontId="14" fillId="0" borderId="3" xfId="848" applyNumberFormat="1" applyFont="1" applyFill="1" applyBorder="1" applyAlignment="1" applyProtection="1">
      <alignment horizontal="left"/>
      <protection locked="0"/>
    </xf>
    <xf numFmtId="0" fontId="18" fillId="0" borderId="8" xfId="848" applyFont="1" applyFill="1" applyBorder="1" applyProtection="1">
      <protection locked="0"/>
    </xf>
    <xf numFmtId="0" fontId="18" fillId="0" borderId="9" xfId="848" applyFont="1" applyFill="1" applyBorder="1" applyProtection="1">
      <protection locked="0"/>
    </xf>
    <xf numFmtId="0" fontId="18" fillId="0" borderId="10" xfId="848" applyFont="1" applyFill="1" applyBorder="1" applyProtection="1">
      <protection locked="0"/>
    </xf>
    <xf numFmtId="3" fontId="46" fillId="0" borderId="1" xfId="848" applyNumberFormat="1" applyFont="1" applyFill="1" applyBorder="1" applyProtection="1">
      <protection locked="0"/>
    </xf>
    <xf numFmtId="3" fontId="46" fillId="0" borderId="4" xfId="848" applyNumberFormat="1" applyFont="1" applyFill="1" applyBorder="1" applyProtection="1">
      <protection locked="0"/>
    </xf>
    <xf numFmtId="3" fontId="51" fillId="0" borderId="11" xfId="848" applyNumberFormat="1" applyFont="1" applyFill="1" applyBorder="1" applyProtection="1">
      <protection locked="0"/>
    </xf>
    <xf numFmtId="3" fontId="74" fillId="0" borderId="7" xfId="848" applyNumberFormat="1" applyFont="1" applyFill="1" applyBorder="1" applyProtection="1">
      <protection locked="0"/>
    </xf>
    <xf numFmtId="169" fontId="16" fillId="0" borderId="4" xfId="848" applyNumberFormat="1" applyFont="1" applyFill="1" applyBorder="1" applyAlignment="1" applyProtection="1">
      <alignment horizontal="right"/>
      <protection locked="0"/>
    </xf>
    <xf numFmtId="169" fontId="16" fillId="0" borderId="3" xfId="848" applyNumberFormat="1" applyFont="1" applyFill="1" applyBorder="1" applyAlignment="1" applyProtection="1">
      <alignment horizontal="right"/>
      <protection locked="0"/>
    </xf>
    <xf numFmtId="169" fontId="16" fillId="0" borderId="7" xfId="848" applyNumberFormat="1" applyFont="1" applyFill="1" applyBorder="1" applyAlignment="1" applyProtection="1">
      <alignment horizontal="right"/>
      <protection locked="0"/>
    </xf>
    <xf numFmtId="1" fontId="16" fillId="0" borderId="3" xfId="848" applyNumberFormat="1" applyFont="1" applyFill="1" applyBorder="1" applyAlignment="1" applyProtection="1">
      <alignment horizontal="right"/>
      <protection locked="0"/>
    </xf>
    <xf numFmtId="0" fontId="16" fillId="0" borderId="4" xfId="7" applyNumberFormat="1" applyFont="1" applyFill="1" applyBorder="1" applyAlignment="1" applyProtection="1">
      <alignment horizontal="right"/>
      <protection locked="0"/>
    </xf>
    <xf numFmtId="3" fontId="46" fillId="0" borderId="4" xfId="848" applyNumberFormat="1" applyFont="1" applyFill="1" applyBorder="1" applyAlignment="1" applyProtection="1">
      <alignment horizontal="right"/>
      <protection locked="0"/>
    </xf>
    <xf numFmtId="3" fontId="46" fillId="0" borderId="3" xfId="848" applyNumberFormat="1" applyFont="1" applyFill="1" applyBorder="1" applyAlignment="1" applyProtection="1">
      <alignment horizontal="right"/>
      <protection locked="0"/>
    </xf>
    <xf numFmtId="3" fontId="31" fillId="0" borderId="4" xfId="848" applyNumberFormat="1" applyFont="1" applyFill="1" applyBorder="1" applyAlignment="1" applyProtection="1">
      <alignment horizontal="right"/>
      <protection locked="0"/>
    </xf>
    <xf numFmtId="3" fontId="31" fillId="0" borderId="3" xfId="848" applyNumberFormat="1" applyFont="1" applyFill="1" applyBorder="1" applyAlignment="1" applyProtection="1">
      <alignment horizontal="right"/>
      <protection locked="0"/>
    </xf>
    <xf numFmtId="0" fontId="15" fillId="0" borderId="0" xfId="848" applyFont="1" applyFill="1" applyProtection="1">
      <protection locked="0"/>
    </xf>
    <xf numFmtId="0" fontId="46" fillId="0" borderId="0" xfId="848" applyFont="1" applyFill="1" applyProtection="1">
      <protection locked="0"/>
    </xf>
    <xf numFmtId="0" fontId="14" fillId="0" borderId="0" xfId="848" applyFont="1" applyFill="1" applyProtection="1">
      <protection locked="0"/>
    </xf>
    <xf numFmtId="0" fontId="75" fillId="0" borderId="3" xfId="7" applyFont="1" applyFill="1" applyBorder="1" applyProtection="1">
      <protection locked="0"/>
    </xf>
    <xf numFmtId="0" fontId="52" fillId="0" borderId="3" xfId="7" applyFont="1" applyFill="1" applyBorder="1" applyProtection="1">
      <protection locked="0"/>
    </xf>
    <xf numFmtId="0" fontId="47" fillId="0" borderId="0" xfId="848" applyFont="1" applyFill="1" applyProtection="1">
      <protection locked="0"/>
    </xf>
    <xf numFmtId="0" fontId="22" fillId="0" borderId="0" xfId="848" applyFont="1" applyFill="1" applyProtection="1">
      <protection locked="0"/>
    </xf>
    <xf numFmtId="0" fontId="70" fillId="0" borderId="0" xfId="848" applyFont="1" applyFill="1" applyProtection="1">
      <protection locked="0"/>
    </xf>
    <xf numFmtId="0" fontId="72" fillId="0" borderId="0" xfId="848" applyFont="1" applyFill="1" applyProtection="1">
      <protection locked="0"/>
    </xf>
    <xf numFmtId="3" fontId="31" fillId="0" borderId="11" xfId="848" applyNumberFormat="1" applyFont="1" applyFill="1" applyBorder="1" applyAlignment="1" applyProtection="1">
      <alignment horizontal="right"/>
      <protection locked="0"/>
    </xf>
    <xf numFmtId="3" fontId="31" fillId="0" borderId="6" xfId="848" applyNumberFormat="1" applyFont="1" applyFill="1" applyBorder="1" applyAlignment="1" applyProtection="1">
      <alignment horizontal="right"/>
      <protection locked="0"/>
    </xf>
    <xf numFmtId="3" fontId="31" fillId="0" borderId="0" xfId="848" applyNumberFormat="1" applyFont="1" applyFill="1" applyBorder="1" applyProtection="1">
      <protection locked="0"/>
    </xf>
    <xf numFmtId="0" fontId="76" fillId="0" borderId="0" xfId="848" applyFont="1" applyFill="1" applyProtection="1">
      <protection locked="0"/>
    </xf>
    <xf numFmtId="0" fontId="62" fillId="0" borderId="0" xfId="848" applyFont="1" applyFill="1" applyProtection="1">
      <protection locked="0"/>
    </xf>
    <xf numFmtId="0" fontId="62" fillId="0" borderId="0" xfId="848" applyFont="1" applyFill="1" applyBorder="1" applyProtection="1">
      <protection locked="0"/>
    </xf>
    <xf numFmtId="0" fontId="62" fillId="0" borderId="0" xfId="1" applyFont="1" applyFill="1" applyProtection="1">
      <protection locked="0"/>
    </xf>
    <xf numFmtId="0" fontId="62" fillId="0" borderId="0" xfId="1" applyFont="1" applyFill="1" applyBorder="1" applyProtection="1">
      <protection locked="0"/>
    </xf>
    <xf numFmtId="0" fontId="76" fillId="0" borderId="0" xfId="848" applyFont="1" applyFill="1" applyBorder="1" applyProtection="1">
      <protection locked="0"/>
    </xf>
    <xf numFmtId="49" fontId="61" fillId="0" borderId="12" xfId="7" applyNumberFormat="1" applyFont="1" applyFill="1" applyBorder="1" applyProtection="1">
      <protection locked="0"/>
    </xf>
    <xf numFmtId="14" fontId="14" fillId="0" borderId="13" xfId="848" applyNumberFormat="1" applyFont="1" applyFill="1" applyBorder="1" applyAlignment="1" applyProtection="1">
      <alignment horizontal="left"/>
      <protection locked="0"/>
    </xf>
    <xf numFmtId="0" fontId="14" fillId="0" borderId="6" xfId="7" applyFont="1" applyFill="1" applyBorder="1" applyAlignment="1" applyProtection="1">
      <alignment horizontal="center"/>
    </xf>
    <xf numFmtId="49" fontId="46" fillId="0" borderId="3" xfId="7" applyNumberFormat="1" applyFont="1" applyFill="1" applyBorder="1" applyProtection="1">
      <protection locked="0"/>
    </xf>
    <xf numFmtId="3" fontId="16" fillId="0" borderId="4" xfId="7" applyNumberFormat="1" applyFont="1" applyFill="1" applyBorder="1" applyAlignment="1" applyProtection="1">
      <alignment horizontal="right"/>
      <protection locked="0"/>
    </xf>
    <xf numFmtId="3" fontId="16" fillId="0" borderId="4" xfId="848" applyNumberFormat="1" applyFont="1" applyFill="1" applyBorder="1" applyAlignment="1" applyProtection="1">
      <alignment horizontal="right"/>
      <protection locked="0"/>
    </xf>
    <xf numFmtId="3" fontId="16" fillId="0" borderId="3" xfId="848" applyNumberFormat="1" applyFont="1" applyFill="1" applyBorder="1" applyAlignment="1" applyProtection="1">
      <alignment horizontal="right"/>
      <protection locked="0"/>
    </xf>
    <xf numFmtId="0" fontId="31" fillId="0" borderId="0" xfId="848" applyNumberFormat="1" applyFont="1" applyFill="1" applyBorder="1" applyProtection="1">
      <protection locked="0"/>
    </xf>
    <xf numFmtId="0" fontId="20" fillId="0" borderId="0" xfId="848" applyFont="1" applyFill="1" applyProtection="1">
      <protection locked="0"/>
    </xf>
    <xf numFmtId="0" fontId="42" fillId="0" borderId="0" xfId="1" applyFont="1" applyFill="1" applyProtection="1">
      <protection locked="0"/>
    </xf>
    <xf numFmtId="0" fontId="20" fillId="0" borderId="0" xfId="1" applyFill="1" applyProtection="1">
      <protection locked="0"/>
    </xf>
    <xf numFmtId="0" fontId="61" fillId="0" borderId="12" xfId="1" applyFont="1" applyFill="1" applyBorder="1" applyProtection="1">
      <protection locked="0"/>
    </xf>
    <xf numFmtId="14" fontId="14" fillId="0" borderId="4" xfId="1" applyNumberFormat="1" applyFont="1" applyFill="1" applyBorder="1" applyAlignment="1" applyProtection="1">
      <alignment horizontal="left"/>
      <protection locked="0"/>
    </xf>
    <xf numFmtId="0" fontId="18" fillId="0" borderId="10" xfId="1" applyFont="1" applyFill="1" applyBorder="1" applyProtection="1">
      <protection locked="0"/>
    </xf>
    <xf numFmtId="0" fontId="18" fillId="0" borderId="8" xfId="1" applyFont="1" applyFill="1" applyBorder="1" applyProtection="1">
      <protection locked="0"/>
    </xf>
    <xf numFmtId="0" fontId="18" fillId="0" borderId="9" xfId="1" applyFont="1" applyFill="1" applyBorder="1" applyProtection="1">
      <protection locked="0"/>
    </xf>
    <xf numFmtId="0" fontId="18" fillId="0" borderId="0" xfId="1" applyFont="1" applyFill="1" applyBorder="1" applyProtection="1">
      <protection locked="0"/>
    </xf>
    <xf numFmtId="0" fontId="46" fillId="0" borderId="0" xfId="1" applyNumberFormat="1" applyFont="1" applyFill="1" applyBorder="1" applyAlignment="1" applyProtection="1">
      <alignment horizontal="center"/>
      <protection locked="0"/>
    </xf>
    <xf numFmtId="0" fontId="16" fillId="0" borderId="1" xfId="1" applyNumberFormat="1" applyFont="1" applyFill="1" applyBorder="1" applyAlignment="1" applyProtection="1">
      <alignment horizontal="center"/>
      <protection locked="0"/>
    </xf>
    <xf numFmtId="3" fontId="51" fillId="0" borderId="11" xfId="1" applyNumberFormat="1" applyFont="1" applyFill="1" applyBorder="1" applyProtection="1">
      <protection locked="0"/>
    </xf>
    <xf numFmtId="0" fontId="14" fillId="0" borderId="6" xfId="1" applyFont="1" applyFill="1" applyBorder="1" applyAlignment="1" applyProtection="1">
      <alignment horizontal="center"/>
      <protection locked="0"/>
    </xf>
    <xf numFmtId="169" fontId="14" fillId="0" borderId="0" xfId="1" applyNumberFormat="1" applyFont="1" applyFill="1" applyBorder="1" applyAlignment="1" applyProtection="1">
      <alignment horizontal="center"/>
      <protection locked="0"/>
    </xf>
    <xf numFmtId="0" fontId="14" fillId="0" borderId="0" xfId="1" applyNumberFormat="1" applyFont="1" applyFill="1" applyBorder="1" applyAlignment="1" applyProtection="1">
      <alignment horizontal="center"/>
      <protection locked="0"/>
    </xf>
    <xf numFmtId="3" fontId="31" fillId="0" borderId="4" xfId="1" applyNumberFormat="1" applyFont="1" applyFill="1" applyBorder="1" applyAlignment="1" applyProtection="1">
      <alignment horizontal="right"/>
    </xf>
    <xf numFmtId="3" fontId="31" fillId="0" borderId="7" xfId="1" applyNumberFormat="1" applyFont="1" applyFill="1" applyBorder="1" applyAlignment="1" applyProtection="1">
      <alignment horizontal="right"/>
      <protection locked="0"/>
    </xf>
    <xf numFmtId="3" fontId="31" fillId="0" borderId="2" xfId="1" applyNumberFormat="1" applyFont="1" applyFill="1" applyBorder="1" applyAlignment="1" applyProtection="1">
      <alignment horizontal="right"/>
      <protection locked="0"/>
    </xf>
    <xf numFmtId="49" fontId="46" fillId="0" borderId="4" xfId="1" applyNumberFormat="1" applyFont="1" applyFill="1" applyBorder="1" applyProtection="1">
      <protection locked="0"/>
    </xf>
    <xf numFmtId="3" fontId="46" fillId="0" borderId="3" xfId="1" applyNumberFormat="1" applyFont="1" applyFill="1" applyBorder="1" applyAlignment="1" applyProtection="1">
      <alignment horizontal="right"/>
      <protection locked="0"/>
    </xf>
    <xf numFmtId="3" fontId="46" fillId="0" borderId="2" xfId="1" applyNumberFormat="1" applyFont="1" applyFill="1" applyBorder="1" applyAlignment="1" applyProtection="1">
      <alignment horizontal="right"/>
      <protection locked="0"/>
    </xf>
    <xf numFmtId="0" fontId="46" fillId="0" borderId="0" xfId="7" applyNumberFormat="1" applyFont="1" applyFill="1" applyProtection="1">
      <protection locked="0"/>
    </xf>
    <xf numFmtId="0" fontId="50" fillId="0" borderId="0" xfId="1" applyFont="1" applyFill="1" applyProtection="1">
      <protection locked="0"/>
    </xf>
    <xf numFmtId="0" fontId="31" fillId="0" borderId="11" xfId="1" applyFont="1" applyFill="1" applyBorder="1" applyProtection="1">
      <protection locked="0"/>
    </xf>
    <xf numFmtId="3" fontId="31" fillId="0" borderId="6" xfId="1" applyNumberFormat="1" applyFont="1" applyFill="1" applyBorder="1" applyAlignment="1" applyProtection="1">
      <alignment horizontal="right"/>
      <protection locked="0"/>
    </xf>
    <xf numFmtId="3" fontId="31" fillId="0" borderId="6" xfId="1" applyNumberFormat="1" applyFont="1" applyFill="1" applyBorder="1" applyAlignment="1" applyProtection="1">
      <alignment horizontal="right"/>
    </xf>
    <xf numFmtId="3" fontId="31" fillId="0" borderId="0" xfId="1" applyNumberFormat="1" applyFont="1" applyFill="1" applyBorder="1" applyAlignment="1" applyProtection="1">
      <alignment horizontal="right"/>
      <protection locked="0"/>
    </xf>
    <xf numFmtId="0" fontId="15" fillId="0" borderId="0" xfId="845" applyFill="1" applyProtection="1">
      <protection locked="0"/>
    </xf>
    <xf numFmtId="0" fontId="42" fillId="0" borderId="0" xfId="845" applyFont="1" applyFill="1" applyProtection="1">
      <protection locked="0"/>
    </xf>
    <xf numFmtId="0" fontId="15" fillId="0" borderId="0" xfId="845" applyFill="1" applyBorder="1" applyProtection="1">
      <protection locked="0"/>
    </xf>
    <xf numFmtId="14" fontId="14" fillId="0" borderId="13" xfId="845" applyNumberFormat="1" applyFont="1" applyFill="1" applyBorder="1" applyAlignment="1" applyProtection="1">
      <alignment horizontal="left"/>
      <protection locked="0"/>
    </xf>
    <xf numFmtId="0" fontId="18" fillId="0" borderId="10" xfId="845" applyFont="1" applyFill="1" applyBorder="1" applyProtection="1">
      <protection locked="0"/>
    </xf>
    <xf numFmtId="0" fontId="18" fillId="0" borderId="8" xfId="845" applyFont="1" applyFill="1" applyBorder="1" applyProtection="1">
      <protection locked="0"/>
    </xf>
    <xf numFmtId="0" fontId="18" fillId="0" borderId="9" xfId="845" applyFont="1" applyFill="1" applyBorder="1" applyProtection="1">
      <protection locked="0"/>
    </xf>
    <xf numFmtId="3" fontId="46" fillId="0" borderId="1" xfId="845" applyNumberFormat="1" applyFont="1" applyFill="1" applyBorder="1" applyProtection="1">
      <protection locked="0"/>
    </xf>
    <xf numFmtId="3" fontId="46" fillId="0" borderId="4" xfId="845" applyNumberFormat="1" applyFont="1" applyFill="1" applyBorder="1" applyProtection="1">
      <protection locked="0"/>
    </xf>
    <xf numFmtId="3" fontId="51" fillId="0" borderId="11" xfId="845" applyNumberFormat="1" applyFont="1" applyFill="1" applyBorder="1" applyProtection="1">
      <protection locked="0"/>
    </xf>
    <xf numFmtId="0" fontId="46" fillId="0" borderId="4" xfId="845" applyFont="1" applyFill="1" applyBorder="1" applyProtection="1">
      <protection locked="0"/>
    </xf>
    <xf numFmtId="3" fontId="31" fillId="0" borderId="3" xfId="845" applyNumberFormat="1" applyFont="1" applyFill="1" applyBorder="1" applyAlignment="1" applyProtection="1">
      <alignment horizontal="right"/>
    </xf>
    <xf numFmtId="3" fontId="31" fillId="0" borderId="4" xfId="845" applyNumberFormat="1" applyFont="1" applyFill="1" applyBorder="1" applyAlignment="1" applyProtection="1">
      <alignment horizontal="right"/>
    </xf>
    <xf numFmtId="3" fontId="31" fillId="0" borderId="4" xfId="845" applyNumberFormat="1" applyFont="1" applyFill="1" applyBorder="1" applyAlignment="1" applyProtection="1">
      <alignment horizontal="right"/>
      <protection locked="0"/>
    </xf>
    <xf numFmtId="0" fontId="31" fillId="0" borderId="3" xfId="845" applyFont="1" applyFill="1" applyBorder="1" applyAlignment="1" applyProtection="1">
      <alignment horizontal="right"/>
      <protection locked="0"/>
    </xf>
    <xf numFmtId="0" fontId="15" fillId="0" borderId="0" xfId="845" applyFont="1" applyFill="1" applyBorder="1" applyProtection="1">
      <protection locked="0"/>
    </xf>
    <xf numFmtId="0" fontId="15" fillId="0" borderId="0" xfId="845" applyFont="1" applyFill="1" applyProtection="1">
      <protection locked="0"/>
    </xf>
    <xf numFmtId="3" fontId="46" fillId="0" borderId="3" xfId="845" applyNumberFormat="1" applyFont="1" applyFill="1" applyBorder="1" applyAlignment="1" applyProtection="1">
      <alignment horizontal="right"/>
    </xf>
    <xf numFmtId="3" fontId="46" fillId="0" borderId="3" xfId="845" applyNumberFormat="1" applyFont="1" applyFill="1" applyBorder="1" applyAlignment="1" applyProtection="1">
      <alignment horizontal="right"/>
      <protection locked="0"/>
    </xf>
    <xf numFmtId="3" fontId="46" fillId="0" borderId="4" xfId="845" applyNumberFormat="1" applyFont="1" applyFill="1" applyBorder="1" applyAlignment="1" applyProtection="1">
      <alignment horizontal="right"/>
    </xf>
    <xf numFmtId="3" fontId="46" fillId="0" borderId="4" xfId="845" applyNumberFormat="1" applyFont="1" applyFill="1" applyBorder="1" applyAlignment="1" applyProtection="1">
      <alignment horizontal="right"/>
      <protection locked="0"/>
    </xf>
    <xf numFmtId="0" fontId="46" fillId="0" borderId="3" xfId="845" applyFont="1" applyFill="1" applyBorder="1" applyAlignment="1" applyProtection="1">
      <alignment horizontal="right"/>
      <protection locked="0"/>
    </xf>
    <xf numFmtId="0" fontId="46" fillId="0" borderId="0" xfId="845" applyFont="1" applyFill="1" applyBorder="1" applyProtection="1">
      <protection locked="0"/>
    </xf>
    <xf numFmtId="0" fontId="46" fillId="0" borderId="0" xfId="845" applyFont="1" applyFill="1" applyProtection="1">
      <protection locked="0"/>
    </xf>
    <xf numFmtId="1" fontId="46" fillId="0" borderId="3" xfId="845" applyNumberFormat="1" applyFont="1" applyFill="1" applyBorder="1" applyAlignment="1" applyProtection="1">
      <alignment horizontal="right"/>
      <protection locked="0"/>
    </xf>
    <xf numFmtId="3" fontId="46" fillId="2" borderId="3" xfId="845" applyNumberFormat="1" applyFont="1" applyFill="1" applyBorder="1" applyAlignment="1" applyProtection="1">
      <alignment horizontal="right"/>
      <protection locked="0"/>
    </xf>
    <xf numFmtId="1" fontId="31" fillId="0" borderId="3" xfId="845" applyNumberFormat="1" applyFont="1" applyFill="1" applyBorder="1" applyAlignment="1" applyProtection="1">
      <alignment horizontal="right"/>
      <protection locked="0"/>
    </xf>
    <xf numFmtId="3" fontId="31" fillId="2" borderId="3" xfId="845" applyNumberFormat="1" applyFont="1" applyFill="1" applyBorder="1" applyAlignment="1" applyProtection="1">
      <alignment horizontal="right"/>
      <protection locked="0"/>
    </xf>
    <xf numFmtId="0" fontId="31" fillId="0" borderId="0" xfId="845" applyFont="1" applyFill="1" applyBorder="1" applyProtection="1">
      <protection locked="0"/>
    </xf>
    <xf numFmtId="0" fontId="31" fillId="0" borderId="0" xfId="845" applyFont="1" applyFill="1" applyProtection="1">
      <protection locked="0"/>
    </xf>
    <xf numFmtId="49" fontId="46" fillId="0" borderId="3" xfId="1" applyNumberFormat="1" applyFont="1" applyFill="1" applyBorder="1" applyProtection="1">
      <protection locked="0"/>
    </xf>
    <xf numFmtId="3" fontId="31" fillId="2" borderId="3" xfId="845" applyNumberFormat="1" applyFont="1" applyFill="1" applyBorder="1" applyAlignment="1" applyProtection="1">
      <alignment horizontal="right"/>
    </xf>
    <xf numFmtId="3" fontId="31" fillId="0" borderId="6" xfId="845" applyNumberFormat="1" applyFont="1" applyFill="1" applyBorder="1" applyAlignment="1" applyProtection="1">
      <alignment horizontal="right"/>
    </xf>
    <xf numFmtId="3" fontId="31" fillId="0" borderId="6" xfId="845" applyNumberFormat="1" applyFont="1" applyFill="1" applyBorder="1" applyAlignment="1" applyProtection="1">
      <alignment horizontal="right"/>
      <protection locked="0"/>
    </xf>
    <xf numFmtId="0" fontId="62" fillId="0" borderId="0" xfId="845" applyFont="1" applyFill="1" applyProtection="1">
      <protection locked="0"/>
    </xf>
    <xf numFmtId="0" fontId="62" fillId="0" borderId="0" xfId="845" applyFont="1" applyFill="1" applyProtection="1"/>
    <xf numFmtId="0" fontId="37" fillId="0" borderId="0" xfId="1" applyFont="1" applyFill="1" applyProtection="1">
      <protection locked="0"/>
    </xf>
    <xf numFmtId="0" fontId="62" fillId="0" borderId="0" xfId="845" applyFont="1" applyFill="1" applyBorder="1" applyProtection="1">
      <protection locked="0"/>
    </xf>
    <xf numFmtId="0" fontId="37" fillId="0" borderId="0" xfId="1" applyFont="1" applyFill="1" applyBorder="1" applyProtection="1">
      <protection locked="0"/>
    </xf>
    <xf numFmtId="165" fontId="20" fillId="0" borderId="0" xfId="1" applyNumberFormat="1" applyProtection="1">
      <protection locked="0"/>
    </xf>
    <xf numFmtId="3" fontId="59" fillId="4" borderId="0" xfId="1" applyNumberFormat="1" applyFont="1" applyFill="1" applyProtection="1">
      <protection locked="0"/>
    </xf>
    <xf numFmtId="165" fontId="20" fillId="0" borderId="0" xfId="1" applyNumberFormat="1" applyBorder="1" applyProtection="1">
      <protection locked="0"/>
    </xf>
    <xf numFmtId="0" fontId="70" fillId="0" borderId="8" xfId="1" applyFont="1" applyBorder="1" applyAlignment="1" applyProtection="1">
      <alignment horizontal="center"/>
      <protection locked="0"/>
    </xf>
    <xf numFmtId="165" fontId="18" fillId="4" borderId="0" xfId="1" applyNumberFormat="1" applyFont="1" applyFill="1" applyBorder="1" applyProtection="1">
      <protection locked="0"/>
    </xf>
    <xf numFmtId="0" fontId="18" fillId="4" borderId="0" xfId="1" applyFont="1" applyFill="1" applyBorder="1" applyProtection="1">
      <protection locked="0"/>
    </xf>
    <xf numFmtId="0" fontId="46" fillId="4" borderId="0" xfId="1" applyNumberFormat="1" applyFont="1" applyFill="1" applyBorder="1" applyAlignment="1" applyProtection="1">
      <alignment horizontal="center"/>
      <protection locked="0"/>
    </xf>
    <xf numFmtId="3" fontId="51" fillId="4" borderId="11" xfId="1" applyNumberFormat="1" applyFont="1" applyFill="1" applyBorder="1" applyProtection="1">
      <protection locked="0"/>
    </xf>
    <xf numFmtId="169" fontId="14" fillId="4" borderId="0" xfId="1" applyNumberFormat="1" applyFont="1" applyFill="1" applyBorder="1" applyAlignment="1" applyProtection="1">
      <alignment horizontal="center"/>
      <protection locked="0"/>
    </xf>
    <xf numFmtId="0" fontId="14" fillId="4" borderId="0" xfId="1" applyNumberFormat="1" applyFont="1" applyFill="1" applyBorder="1" applyAlignment="1" applyProtection="1">
      <alignment horizontal="center"/>
      <protection locked="0"/>
    </xf>
    <xf numFmtId="0" fontId="46" fillId="0" borderId="3" xfId="1" applyFont="1" applyBorder="1" applyProtection="1">
      <protection locked="0"/>
    </xf>
    <xf numFmtId="4" fontId="31" fillId="4" borderId="3" xfId="1" applyNumberFormat="1" applyFont="1" applyFill="1" applyBorder="1" applyAlignment="1" applyProtection="1">
      <alignment horizontal="right"/>
    </xf>
    <xf numFmtId="4" fontId="31" fillId="4" borderId="3" xfId="1" applyNumberFormat="1" applyFont="1" applyFill="1" applyBorder="1" applyAlignment="1" applyProtection="1">
      <alignment horizontal="right"/>
      <protection locked="0"/>
    </xf>
    <xf numFmtId="4" fontId="31" fillId="4" borderId="7" xfId="1" applyNumberFormat="1" applyFont="1" applyFill="1" applyBorder="1" applyAlignment="1" applyProtection="1">
      <alignment horizontal="right"/>
      <protection locked="0"/>
    </xf>
    <xf numFmtId="0" fontId="37" fillId="0" borderId="0" xfId="1" applyFont="1" applyBorder="1" applyProtection="1">
      <protection locked="0"/>
    </xf>
    <xf numFmtId="0" fontId="37" fillId="0" borderId="0" xfId="1" applyFont="1" applyProtection="1">
      <protection locked="0"/>
    </xf>
    <xf numFmtId="4" fontId="31" fillId="0" borderId="3" xfId="1" applyNumberFormat="1" applyFont="1" applyFill="1" applyBorder="1" applyAlignment="1" applyProtection="1">
      <alignment horizontal="right"/>
    </xf>
    <xf numFmtId="4" fontId="31" fillId="0" borderId="3" xfId="1" applyNumberFormat="1" applyFont="1" applyFill="1" applyBorder="1" applyAlignment="1" applyProtection="1">
      <alignment horizontal="right"/>
      <protection locked="0"/>
    </xf>
    <xf numFmtId="0" fontId="54" fillId="0" borderId="0" xfId="1" applyFont="1" applyBorder="1" applyProtection="1">
      <protection locked="0"/>
    </xf>
    <xf numFmtId="0" fontId="54" fillId="0" borderId="0" xfId="1" applyFont="1" applyProtection="1">
      <protection locked="0"/>
    </xf>
    <xf numFmtId="3" fontId="31" fillId="4" borderId="6" xfId="1" applyNumberFormat="1" applyFont="1" applyFill="1" applyBorder="1" applyAlignment="1" applyProtection="1">
      <alignment horizontal="right"/>
    </xf>
    <xf numFmtId="3" fontId="31" fillId="4" borderId="6" xfId="1" applyNumberFormat="1" applyFont="1" applyFill="1" applyBorder="1" applyAlignment="1" applyProtection="1">
      <alignment horizontal="right"/>
      <protection locked="0"/>
    </xf>
    <xf numFmtId="4" fontId="31" fillId="0" borderId="2" xfId="1" applyNumberFormat="1" applyFont="1" applyFill="1" applyBorder="1" applyAlignment="1" applyProtection="1">
      <alignment horizontal="right"/>
      <protection locked="0"/>
    </xf>
    <xf numFmtId="4" fontId="31" fillId="0" borderId="4" xfId="1" applyNumberFormat="1" applyFont="1" applyFill="1" applyBorder="1" applyAlignment="1" applyProtection="1">
      <alignment horizontal="right"/>
      <protection locked="0"/>
    </xf>
    <xf numFmtId="4" fontId="46" fillId="0" borderId="3" xfId="1" applyNumberFormat="1" applyFont="1" applyFill="1" applyBorder="1" applyAlignment="1" applyProtection="1">
      <alignment horizontal="right"/>
      <protection locked="0"/>
    </xf>
    <xf numFmtId="4" fontId="46" fillId="0" borderId="2" xfId="1" applyNumberFormat="1" applyFont="1" applyFill="1" applyBorder="1" applyAlignment="1" applyProtection="1">
      <alignment horizontal="right"/>
      <protection locked="0"/>
    </xf>
    <xf numFmtId="4" fontId="31" fillId="0" borderId="2" xfId="1" applyNumberFormat="1" applyFont="1" applyFill="1" applyBorder="1" applyAlignment="1" applyProtection="1">
      <alignment horizontal="right"/>
    </xf>
    <xf numFmtId="4" fontId="31" fillId="0" borderId="0" xfId="1" applyNumberFormat="1" applyFont="1" applyFill="1" applyBorder="1" applyAlignment="1" applyProtection="1">
      <alignment horizontal="right"/>
      <protection locked="0"/>
    </xf>
    <xf numFmtId="4" fontId="31" fillId="0" borderId="0" xfId="1" applyNumberFormat="1" applyFont="1" applyFill="1" applyBorder="1" applyAlignment="1" applyProtection="1">
      <alignment horizontal="right"/>
    </xf>
    <xf numFmtId="4" fontId="31" fillId="0" borderId="4" xfId="1" applyNumberFormat="1" applyFont="1" applyFill="1" applyBorder="1" applyAlignment="1" applyProtection="1">
      <alignment horizontal="right"/>
    </xf>
    <xf numFmtId="4" fontId="31" fillId="0" borderId="6" xfId="1" applyNumberFormat="1" applyFont="1" applyFill="1" applyBorder="1" applyAlignment="1" applyProtection="1">
      <alignment horizontal="right"/>
      <protection locked="0"/>
    </xf>
    <xf numFmtId="4" fontId="31" fillId="0" borderId="6" xfId="1" applyNumberFormat="1" applyFont="1" applyFill="1" applyBorder="1" applyAlignment="1" applyProtection="1">
      <alignment horizontal="right"/>
    </xf>
    <xf numFmtId="4" fontId="31" fillId="0" borderId="5" xfId="1" applyNumberFormat="1" applyFont="1" applyFill="1" applyBorder="1" applyAlignment="1" applyProtection="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0" fontId="52" fillId="0" borderId="6" xfId="1" applyFont="1" applyFill="1" applyBorder="1" applyProtection="1">
      <protection locked="0"/>
    </xf>
    <xf numFmtId="171" fontId="16" fillId="0" borderId="3" xfId="846" applyFont="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31" fillId="0" borderId="4" xfId="0" applyNumberFormat="1" applyFont="1" applyBorder="1" applyAlignment="1" applyProtection="1">
      <alignment horizontal="right"/>
      <protection locked="0"/>
    </xf>
    <xf numFmtId="4" fontId="31" fillId="4" borderId="3" xfId="7" applyNumberFormat="1" applyFont="1" applyFill="1" applyBorder="1" applyAlignment="1">
      <alignment horizontal="right"/>
    </xf>
    <xf numFmtId="3" fontId="31" fillId="4" borderId="6" xfId="7" applyNumberFormat="1" applyFont="1" applyFill="1" applyBorder="1" applyAlignment="1">
      <alignment horizontal="right"/>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3" fontId="31" fillId="4" borderId="0" xfId="0" applyNumberFormat="1" applyFont="1" applyFill="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0" borderId="4" xfId="847" applyNumberFormat="1" applyFont="1" applyFill="1" applyBorder="1" applyAlignment="1" applyProtection="1">
      <alignment horizontal="right"/>
      <protection locked="0"/>
    </xf>
    <xf numFmtId="0" fontId="57" fillId="0" borderId="0" xfId="0" applyFont="1" applyFill="1"/>
    <xf numFmtId="0" fontId="14" fillId="0" borderId="4" xfId="7" applyFont="1" applyBorder="1" applyAlignment="1" applyProtection="1">
      <alignment horizontal="center"/>
      <protection locked="0"/>
    </xf>
    <xf numFmtId="3" fontId="46" fillId="0" borderId="4" xfId="7" applyNumberFormat="1" applyFont="1" applyBorder="1" applyAlignment="1">
      <alignment horizontal="right"/>
    </xf>
    <xf numFmtId="3" fontId="46" fillId="0" borderId="4" xfId="7" applyNumberFormat="1" applyFont="1" applyBorder="1" applyAlignment="1" applyProtection="1">
      <alignment horizontal="right"/>
      <protection locked="0"/>
    </xf>
    <xf numFmtId="3" fontId="31" fillId="0" borderId="4" xfId="7" applyNumberFormat="1" applyFont="1" applyBorder="1" applyAlignment="1">
      <alignment horizontal="right"/>
    </xf>
    <xf numFmtId="3" fontId="31" fillId="0" borderId="4" xfId="7" applyNumberFormat="1" applyFont="1" applyBorder="1" applyAlignment="1" applyProtection="1">
      <alignment horizontal="right"/>
      <protection locked="0"/>
    </xf>
    <xf numFmtId="3" fontId="31" fillId="0" borderId="11" xfId="7" applyNumberFormat="1" applyFont="1" applyBorder="1" applyAlignment="1" applyProtection="1">
      <alignment horizontal="right"/>
      <protection locked="0"/>
    </xf>
    <xf numFmtId="3" fontId="31" fillId="0" borderId="1" xfId="7" applyNumberFormat="1" applyFont="1" applyBorder="1" applyAlignment="1" applyProtection="1">
      <alignment horizontal="right"/>
      <protection locked="0"/>
    </xf>
    <xf numFmtId="0" fontId="16" fillId="0" borderId="4" xfId="7" applyFont="1" applyBorder="1" applyAlignment="1">
      <alignment horizontal="right"/>
    </xf>
    <xf numFmtId="0" fontId="16" fillId="0" borderId="4" xfId="7" applyFont="1" applyBorder="1" applyAlignment="1" applyProtection="1">
      <alignment horizontal="right"/>
      <protection locked="0"/>
    </xf>
    <xf numFmtId="3" fontId="31" fillId="0" borderId="4" xfId="848" applyNumberFormat="1" applyFont="1" applyBorder="1" applyAlignment="1">
      <alignment horizontal="right"/>
    </xf>
    <xf numFmtId="3" fontId="31" fillId="0" borderId="4" xfId="848" applyNumberFormat="1" applyFont="1" applyBorder="1" applyAlignment="1" applyProtection="1">
      <alignment horizontal="right"/>
      <protection locked="0"/>
    </xf>
    <xf numFmtId="3" fontId="46" fillId="0" borderId="4" xfId="848" applyNumberFormat="1" applyFont="1" applyBorder="1" applyAlignment="1">
      <alignment horizontal="right"/>
    </xf>
    <xf numFmtId="3" fontId="46" fillId="0" borderId="4" xfId="848" applyNumberFormat="1" applyFont="1" applyBorder="1" applyAlignment="1" applyProtection="1">
      <alignment horizontal="right"/>
      <protection locked="0"/>
    </xf>
    <xf numFmtId="3" fontId="31" fillId="0" borderId="11" xfId="848" applyNumberFormat="1" applyFont="1" applyBorder="1" applyAlignment="1">
      <alignment horizontal="right"/>
    </xf>
    <xf numFmtId="3" fontId="31" fillId="0" borderId="11" xfId="848" applyNumberFormat="1" applyFont="1" applyBorder="1" applyAlignment="1" applyProtection="1">
      <alignment horizontal="right"/>
      <protection locked="0"/>
    </xf>
    <xf numFmtId="3" fontId="16" fillId="0" borderId="4" xfId="7" applyNumberFormat="1" applyFont="1" applyBorder="1" applyAlignment="1">
      <alignment horizontal="right"/>
    </xf>
    <xf numFmtId="3" fontId="16" fillId="0" borderId="4" xfId="7" applyNumberFormat="1" applyFont="1" applyBorder="1" applyAlignment="1" applyProtection="1">
      <alignment horizontal="right"/>
      <protection locked="0"/>
    </xf>
    <xf numFmtId="3" fontId="31" fillId="0" borderId="6" xfId="848" applyNumberFormat="1" applyFont="1" applyBorder="1" applyAlignment="1" applyProtection="1">
      <alignment horizontal="right"/>
      <protection locked="0"/>
    </xf>
    <xf numFmtId="3" fontId="31" fillId="0" borderId="3" xfId="7" applyNumberFormat="1" applyFont="1" applyBorder="1" applyAlignment="1" applyProtection="1">
      <alignment horizontal="right"/>
      <protection locked="0"/>
    </xf>
    <xf numFmtId="3" fontId="46" fillId="0" borderId="3" xfId="7" applyNumberFormat="1" applyFont="1" applyBorder="1" applyAlignment="1" applyProtection="1">
      <alignment horizontal="right"/>
      <protection locked="0"/>
    </xf>
    <xf numFmtId="3" fontId="31" fillId="0" borderId="6" xfId="7" applyNumberFormat="1" applyFont="1" applyBorder="1" applyAlignment="1" applyProtection="1">
      <alignment horizontal="right"/>
      <protection locked="0"/>
    </xf>
    <xf numFmtId="3" fontId="31" fillId="0" borderId="3" xfId="848" applyNumberFormat="1" applyFont="1" applyBorder="1" applyAlignment="1" applyProtection="1">
      <alignment horizontal="right"/>
      <protection locked="0"/>
    </xf>
    <xf numFmtId="3" fontId="46" fillId="0" borderId="3" xfId="848" applyNumberFormat="1" applyFont="1" applyBorder="1" applyAlignment="1" applyProtection="1">
      <alignment horizontal="right"/>
      <protection locked="0"/>
    </xf>
    <xf numFmtId="4" fontId="31" fillId="0" borderId="4" xfId="7" applyNumberFormat="1" applyFont="1" applyBorder="1" applyAlignment="1" applyProtection="1">
      <alignment horizontal="right"/>
      <protection locked="0"/>
    </xf>
    <xf numFmtId="4" fontId="46" fillId="0" borderId="3" xfId="7" applyNumberFormat="1" applyFont="1" applyBorder="1" applyAlignment="1" applyProtection="1">
      <alignment horizontal="right"/>
      <protection locked="0"/>
    </xf>
    <xf numFmtId="4" fontId="31" fillId="0" borderId="3" xfId="7" applyNumberFormat="1" applyFont="1" applyBorder="1" applyAlignment="1" applyProtection="1">
      <alignment horizontal="right"/>
      <protection locked="0"/>
    </xf>
    <xf numFmtId="4" fontId="31" fillId="0" borderId="6" xfId="7" applyNumberFormat="1" applyFont="1" applyBorder="1" applyAlignment="1" applyProtection="1">
      <alignment horizontal="right"/>
      <protection locked="0"/>
    </xf>
    <xf numFmtId="3" fontId="31" fillId="4" borderId="0" xfId="7" applyNumberFormat="1" applyFont="1" applyFill="1" applyAlignment="1" applyProtection="1">
      <alignment horizontal="right"/>
      <protection locked="0"/>
    </xf>
    <xf numFmtId="4" fontId="46" fillId="0" borderId="4" xfId="7" applyNumberFormat="1" applyFont="1" applyBorder="1" applyAlignment="1" applyProtection="1">
      <alignment horizontal="right"/>
      <protection locked="0"/>
    </xf>
    <xf numFmtId="4" fontId="31" fillId="0" borderId="11" xfId="7" applyNumberFormat="1" applyFont="1" applyBorder="1" applyAlignment="1" applyProtection="1">
      <alignment horizontal="right"/>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77" fillId="0" borderId="0" xfId="1" applyFont="1" applyFill="1" applyProtection="1">
      <protection locked="0"/>
    </xf>
    <xf numFmtId="0" fontId="46" fillId="0" borderId="4" xfId="1" applyFont="1" applyBorder="1" applyProtection="1">
      <protection locked="0"/>
    </xf>
    <xf numFmtId="0" fontId="46" fillId="0" borderId="4" xfId="7" applyFont="1" applyBorder="1" applyProtection="1">
      <protection locked="0"/>
    </xf>
    <xf numFmtId="0" fontId="46" fillId="0" borderId="4" xfId="7" applyFont="1" applyBorder="1" applyAlignment="1" applyProtection="1">
      <alignment horizontal="center"/>
      <protection locked="0"/>
    </xf>
    <xf numFmtId="0" fontId="31" fillId="0" borderId="4" xfId="7" applyFont="1" applyBorder="1" applyAlignment="1" applyProtection="1">
      <alignment horizontal="center"/>
      <protection locked="0"/>
    </xf>
    <xf numFmtId="0" fontId="31" fillId="0" borderId="4" xfId="7" applyFont="1" applyBorder="1" applyAlignment="1" applyProtection="1">
      <alignment horizontal="left"/>
      <protection locked="0"/>
    </xf>
    <xf numFmtId="3" fontId="31" fillId="4" borderId="2" xfId="7" applyNumberFormat="1" applyFont="1" applyFill="1" applyBorder="1" applyAlignment="1" applyProtection="1">
      <alignment horizontal="right"/>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0" borderId="0" xfId="1" applyNumberFormat="1" applyFont="1" applyFill="1" applyBorder="1" applyAlignment="1" applyProtection="1">
      <alignment horizontal="center"/>
      <protection locked="0"/>
    </xf>
    <xf numFmtId="0" fontId="15" fillId="0" borderId="0" xfId="7" applyFont="1" applyAlignment="1">
      <alignment horizontal="right" vertical="top"/>
    </xf>
    <xf numFmtId="0" fontId="15" fillId="0" borderId="0" xfId="7" applyFont="1" applyAlignment="1">
      <alignment horizontal="right"/>
    </xf>
    <xf numFmtId="0" fontId="31" fillId="0" borderId="4" xfId="0" applyFont="1" applyBorder="1" applyProtection="1">
      <protection locked="0"/>
    </xf>
    <xf numFmtId="3" fontId="46" fillId="0" borderId="1" xfId="0" applyNumberFormat="1" applyFont="1" applyBorder="1" applyProtection="1">
      <protection locked="0"/>
    </xf>
    <xf numFmtId="3" fontId="46" fillId="0" borderId="4" xfId="0" applyNumberFormat="1" applyFont="1" applyBorder="1" applyProtection="1">
      <protection locked="0"/>
    </xf>
    <xf numFmtId="0" fontId="16" fillId="0" borderId="7" xfId="0" applyFont="1" applyBorder="1" applyAlignment="1" applyProtection="1">
      <alignment horizontal="center"/>
      <protection locked="0"/>
    </xf>
    <xf numFmtId="3" fontId="51" fillId="4" borderId="6" xfId="0" applyNumberFormat="1" applyFont="1" applyFill="1" applyBorder="1" applyProtection="1">
      <protection locked="0"/>
    </xf>
    <xf numFmtId="169" fontId="16" fillId="0" borderId="6" xfId="0" applyNumberFormat="1" applyFont="1" applyBorder="1" applyAlignment="1" applyProtection="1">
      <alignment horizontal="center"/>
      <protection locked="0"/>
    </xf>
    <xf numFmtId="3" fontId="31" fillId="4" borderId="1" xfId="0" applyNumberFormat="1" applyFont="1" applyFill="1" applyBorder="1" applyAlignment="1">
      <alignment horizontal="right"/>
    </xf>
    <xf numFmtId="3" fontId="31" fillId="4" borderId="1" xfId="15" applyNumberFormat="1" applyFont="1" applyFill="1" applyBorder="1" applyAlignment="1" applyProtection="1">
      <alignment horizontal="right"/>
    </xf>
    <xf numFmtId="0" fontId="31" fillId="4" borderId="7" xfId="0" applyFont="1" applyFill="1" applyBorder="1" applyAlignment="1" applyProtection="1">
      <alignment horizontal="right"/>
      <protection locked="0"/>
    </xf>
    <xf numFmtId="3" fontId="31" fillId="4" borderId="4" xfId="0" applyNumberFormat="1" applyFont="1" applyFill="1" applyBorder="1" applyAlignment="1">
      <alignment horizontal="right"/>
    </xf>
    <xf numFmtId="3" fontId="31" fillId="4" borderId="4" xfId="15" applyNumberFormat="1" applyFont="1" applyFill="1" applyBorder="1" applyAlignment="1" applyProtection="1">
      <alignment horizontal="right"/>
    </xf>
    <xf numFmtId="3" fontId="31" fillId="4" borderId="3" xfId="0" applyNumberFormat="1" applyFont="1" applyFill="1" applyBorder="1" applyAlignment="1">
      <alignment horizontal="right"/>
    </xf>
    <xf numFmtId="0" fontId="31" fillId="4" borderId="3" xfId="0" applyFont="1" applyFill="1" applyBorder="1" applyAlignment="1" applyProtection="1">
      <alignment horizontal="right"/>
      <protection locked="0"/>
    </xf>
    <xf numFmtId="3" fontId="31" fillId="4" borderId="0" xfId="0" applyNumberFormat="1" applyFont="1" applyFill="1" applyAlignment="1">
      <alignment horizontal="right"/>
    </xf>
    <xf numFmtId="166" fontId="31" fillId="0" borderId="3" xfId="847" applyNumberFormat="1" applyFont="1" applyBorder="1" applyAlignment="1" applyProtection="1">
      <alignment horizontal="right"/>
    </xf>
    <xf numFmtId="3" fontId="31" fillId="9" borderId="3" xfId="0" applyNumberFormat="1" applyFont="1" applyFill="1" applyBorder="1" applyAlignment="1" applyProtection="1">
      <alignment horizontal="right"/>
      <protection locked="0"/>
    </xf>
    <xf numFmtId="0" fontId="46" fillId="0" borderId="11" xfId="0" applyFont="1" applyBorder="1" applyProtection="1">
      <protection locked="0"/>
    </xf>
    <xf numFmtId="0" fontId="46" fillId="0" borderId="4" xfId="0" applyFont="1" applyBorder="1" applyProtection="1">
      <protection locked="0"/>
    </xf>
    <xf numFmtId="3" fontId="46" fillId="4" borderId="4" xfId="15" applyNumberFormat="1" applyFont="1" applyFill="1" applyBorder="1" applyAlignment="1" applyProtection="1">
      <alignment horizontal="right"/>
    </xf>
    <xf numFmtId="3" fontId="46" fillId="4" borderId="7" xfId="0" applyNumberFormat="1" applyFont="1" applyFill="1" applyBorder="1" applyAlignment="1" applyProtection="1">
      <alignment horizontal="right"/>
      <protection locked="0"/>
    </xf>
    <xf numFmtId="0" fontId="46" fillId="4" borderId="7" xfId="0" applyFont="1" applyFill="1" applyBorder="1" applyAlignment="1" applyProtection="1">
      <alignment horizontal="right"/>
      <protection locked="0"/>
    </xf>
    <xf numFmtId="0" fontId="46" fillId="4" borderId="15" xfId="0" applyFont="1" applyFill="1" applyBorder="1" applyAlignment="1" applyProtection="1">
      <alignment horizontal="right"/>
      <protection locked="0"/>
    </xf>
    <xf numFmtId="0" fontId="50" fillId="0" borderId="7" xfId="0" applyFont="1" applyBorder="1" applyAlignment="1" applyProtection="1">
      <alignment horizontal="right"/>
      <protection locked="0"/>
    </xf>
    <xf numFmtId="0" fontId="46" fillId="4" borderId="3" xfId="0" applyFont="1" applyFill="1" applyBorder="1" applyAlignment="1" applyProtection="1">
      <alignment horizontal="right"/>
      <protection locked="0"/>
    </xf>
    <xf numFmtId="0" fontId="46" fillId="4" borderId="2" xfId="0" applyFont="1" applyFill="1" applyBorder="1" applyAlignment="1" applyProtection="1">
      <alignment horizontal="right"/>
      <protection locked="0"/>
    </xf>
    <xf numFmtId="0" fontId="50" fillId="0" borderId="3" xfId="0" applyFont="1" applyBorder="1" applyAlignment="1" applyProtection="1">
      <alignment horizontal="right"/>
      <protection locked="0"/>
    </xf>
    <xf numFmtId="0" fontId="31" fillId="4" borderId="2" xfId="0" applyFont="1" applyFill="1" applyBorder="1" applyAlignment="1" applyProtection="1">
      <alignment horizontal="right"/>
      <protection locked="0"/>
    </xf>
    <xf numFmtId="3" fontId="31" fillId="4" borderId="2" xfId="0" applyNumberFormat="1" applyFont="1" applyFill="1" applyBorder="1" applyAlignment="1" applyProtection="1">
      <alignment horizontal="right"/>
      <protection locked="0"/>
    </xf>
    <xf numFmtId="3" fontId="46" fillId="4" borderId="2" xfId="0" applyNumberFormat="1" applyFont="1" applyFill="1" applyBorder="1" applyAlignment="1" applyProtection="1">
      <alignment horizontal="right"/>
      <protection locked="0"/>
    </xf>
    <xf numFmtId="0" fontId="46" fillId="0" borderId="0" xfId="0" applyFont="1" applyProtection="1">
      <protection locked="0"/>
    </xf>
    <xf numFmtId="3" fontId="46" fillId="4" borderId="11" xfId="15" applyNumberFormat="1" applyFont="1" applyFill="1" applyBorder="1" applyAlignment="1" applyProtection="1">
      <alignment horizontal="right"/>
    </xf>
    <xf numFmtId="0" fontId="46" fillId="4" borderId="6" xfId="0" applyFont="1" applyFill="1" applyBorder="1" applyAlignment="1" applyProtection="1">
      <alignment horizontal="right"/>
      <protection locked="0"/>
    </xf>
    <xf numFmtId="0" fontId="46" fillId="4" borderId="5" xfId="0" applyFont="1" applyFill="1" applyBorder="1" applyAlignment="1" applyProtection="1">
      <alignment horizontal="right"/>
      <protection locked="0"/>
    </xf>
    <xf numFmtId="0" fontId="46" fillId="0" borderId="6" xfId="0" applyFont="1" applyBorder="1" applyAlignment="1" applyProtection="1">
      <alignment horizontal="right"/>
      <protection locked="0"/>
    </xf>
    <xf numFmtId="0" fontId="46" fillId="0" borderId="7" xfId="0" applyFont="1" applyBorder="1" applyProtection="1">
      <protection locked="0"/>
    </xf>
    <xf numFmtId="3" fontId="46" fillId="4" borderId="1" xfId="15" applyNumberFormat="1" applyFont="1" applyFill="1" applyBorder="1" applyAlignment="1" applyProtection="1">
      <alignment horizontal="right"/>
      <protection locked="0"/>
    </xf>
    <xf numFmtId="3" fontId="46" fillId="4" borderId="1" xfId="0" applyNumberFormat="1" applyFont="1" applyFill="1" applyBorder="1" applyAlignment="1" applyProtection="1">
      <alignment horizontal="right"/>
      <protection locked="0"/>
    </xf>
    <xf numFmtId="0" fontId="46" fillId="4" borderId="1" xfId="0" applyFont="1" applyFill="1" applyBorder="1" applyAlignment="1" applyProtection="1">
      <alignment horizontal="right"/>
      <protection locked="0"/>
    </xf>
    <xf numFmtId="0" fontId="46" fillId="0" borderId="7" xfId="0" applyFont="1" applyBorder="1" applyAlignment="1" applyProtection="1">
      <alignment horizontal="right"/>
      <protection locked="0"/>
    </xf>
    <xf numFmtId="0" fontId="31" fillId="0" borderId="3" xfId="0" applyFont="1" applyBorder="1" applyProtection="1">
      <protection locked="0"/>
    </xf>
    <xf numFmtId="3" fontId="31" fillId="0" borderId="3" xfId="845" applyNumberFormat="1" applyFont="1" applyBorder="1" applyAlignment="1" applyProtection="1">
      <alignment horizontal="right"/>
      <protection locked="0"/>
    </xf>
    <xf numFmtId="0" fontId="20" fillId="0" borderId="3" xfId="0" applyFont="1" applyBorder="1" applyProtection="1">
      <protection locked="0"/>
    </xf>
    <xf numFmtId="3" fontId="46" fillId="0" borderId="4" xfId="0" applyNumberFormat="1" applyFont="1" applyBorder="1" applyAlignment="1" applyProtection="1">
      <alignment horizontal="right"/>
      <protection locked="0"/>
    </xf>
    <xf numFmtId="3" fontId="31" fillId="0" borderId="0" xfId="0" applyNumberFormat="1" applyFont="1" applyProtection="1">
      <protection locked="0"/>
    </xf>
    <xf numFmtId="3" fontId="63" fillId="0" borderId="0" xfId="0" applyNumberFormat="1" applyFont="1" applyProtection="1">
      <protection locked="0"/>
    </xf>
    <xf numFmtId="0" fontId="18" fillId="0" borderId="0" xfId="0" applyFont="1" applyFill="1" applyBorder="1" applyProtection="1">
      <protection locked="0"/>
    </xf>
    <xf numFmtId="0" fontId="46" fillId="0" borderId="0" xfId="0" applyNumberFormat="1" applyFont="1" applyFill="1" applyBorder="1" applyAlignment="1" applyProtection="1">
      <protection locked="0"/>
    </xf>
    <xf numFmtId="0" fontId="46" fillId="0" borderId="0" xfId="0" applyNumberFormat="1" applyFont="1" applyFill="1" applyBorder="1" applyAlignment="1" applyProtection="1">
      <alignment horizontal="center"/>
      <protection locked="0"/>
    </xf>
    <xf numFmtId="0" fontId="18" fillId="0" borderId="10" xfId="0" applyFont="1" applyFill="1" applyBorder="1" applyProtection="1">
      <protection locked="0"/>
    </xf>
    <xf numFmtId="0" fontId="18" fillId="0" borderId="8" xfId="0" applyFont="1" applyFill="1" applyBorder="1" applyProtection="1">
      <protection locked="0"/>
    </xf>
    <xf numFmtId="0" fontId="18" fillId="0" borderId="9" xfId="0" applyFont="1" applyFill="1" applyBorder="1" applyProtection="1">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3" fontId="31" fillId="4" borderId="1" xfId="10" applyNumberFormat="1" applyFont="1" applyFill="1" applyBorder="1" applyAlignment="1">
      <alignment horizontal="right"/>
    </xf>
    <xf numFmtId="3" fontId="31" fillId="4" borderId="4" xfId="10" applyNumberFormat="1" applyFont="1" applyFill="1" applyBorder="1" applyAlignment="1">
      <alignment horizontal="right"/>
    </xf>
    <xf numFmtId="3" fontId="31" fillId="4" borderId="3" xfId="10" applyNumberFormat="1" applyFont="1" applyFill="1" applyBorder="1" applyAlignment="1">
      <alignment horizontal="right"/>
    </xf>
    <xf numFmtId="3" fontId="31" fillId="0" borderId="3" xfId="10" applyNumberFormat="1" applyFont="1" applyBorder="1" applyAlignment="1">
      <alignment horizontal="right"/>
    </xf>
    <xf numFmtId="3" fontId="46" fillId="0" borderId="6" xfId="10" applyNumberFormat="1" applyFont="1" applyBorder="1" applyAlignment="1">
      <alignment horizontal="right"/>
    </xf>
    <xf numFmtId="3" fontId="46" fillId="4" borderId="1" xfId="15" applyNumberFormat="1" applyFont="1" applyFill="1" applyBorder="1" applyAlignment="1" applyProtection="1">
      <alignment horizontal="right"/>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14" fillId="0" borderId="4" xfId="7" applyFont="1" applyBorder="1" applyAlignment="1">
      <alignment horizontal="center"/>
    </xf>
    <xf numFmtId="3" fontId="31" fillId="0" borderId="11" xfId="7" applyNumberFormat="1" applyFont="1" applyBorder="1" applyAlignment="1">
      <alignment horizontal="right"/>
    </xf>
    <xf numFmtId="3" fontId="31" fillId="0" borderId="1" xfId="7" applyNumberFormat="1" applyFont="1" applyBorder="1" applyAlignment="1">
      <alignment horizontal="right"/>
    </xf>
    <xf numFmtId="3" fontId="61" fillId="4" borderId="3" xfId="10" applyNumberFormat="1" applyFont="1" applyFill="1" applyBorder="1" applyAlignment="1">
      <alignment horizontal="right"/>
    </xf>
    <xf numFmtId="3" fontId="46" fillId="4" borderId="3" xfId="10" applyNumberFormat="1" applyFont="1" applyFill="1" applyBorder="1" applyAlignment="1">
      <alignment horizontal="right"/>
    </xf>
    <xf numFmtId="3" fontId="46" fillId="0" borderId="3" xfId="10" applyNumberFormat="1" applyFont="1" applyBorder="1" applyAlignment="1">
      <alignment horizontal="right"/>
    </xf>
    <xf numFmtId="165" fontId="31" fillId="0" borderId="3" xfId="10" applyNumberFormat="1" applyFont="1" applyBorder="1" applyAlignment="1">
      <alignment horizontal="right"/>
    </xf>
    <xf numFmtId="3" fontId="31" fillId="0" borderId="3" xfId="7" applyNumberFormat="1" applyFont="1" applyBorder="1" applyAlignment="1">
      <alignment horizontal="right"/>
    </xf>
    <xf numFmtId="3" fontId="46" fillId="0" borderId="3" xfId="7" applyNumberFormat="1" applyFont="1" applyBorder="1" applyAlignment="1">
      <alignment horizontal="right"/>
    </xf>
    <xf numFmtId="3" fontId="31" fillId="0" borderId="3" xfId="848" applyNumberFormat="1" applyFont="1" applyBorder="1" applyAlignment="1">
      <alignment horizontal="right"/>
    </xf>
    <xf numFmtId="3" fontId="46" fillId="0" borderId="3" xfId="848" applyNumberFormat="1" applyFont="1" applyBorder="1" applyAlignment="1">
      <alignment horizontal="right"/>
    </xf>
    <xf numFmtId="0" fontId="31" fillId="0" borderId="3" xfId="10" applyFont="1" applyBorder="1" applyAlignment="1">
      <alignment horizontal="right"/>
    </xf>
    <xf numFmtId="0" fontId="31" fillId="0" borderId="6" xfId="7" applyFont="1" applyBorder="1" applyAlignment="1" applyProtection="1">
      <alignment horizontal="center"/>
      <protection locked="0"/>
    </xf>
    <xf numFmtId="4" fontId="31" fillId="4" borderId="3" xfId="10" applyNumberFormat="1" applyFont="1" applyFill="1" applyBorder="1" applyAlignment="1" applyProtection="1">
      <alignment horizontal="right"/>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3" fontId="31" fillId="4" borderId="1" xfId="10" applyNumberFormat="1" applyFont="1" applyFill="1" applyBorder="1" applyAlignment="1" applyProtection="1">
      <alignment horizontal="right"/>
      <protection locked="0"/>
    </xf>
    <xf numFmtId="3" fontId="31" fillId="4" borderId="4" xfId="10" applyNumberFormat="1" applyFont="1" applyFill="1" applyBorder="1" applyAlignment="1" applyProtection="1">
      <alignment horizontal="right"/>
      <protection locked="0"/>
    </xf>
    <xf numFmtId="3" fontId="31" fillId="4" borderId="3" xfId="10" applyNumberFormat="1" applyFont="1" applyFill="1" applyBorder="1" applyAlignment="1" applyProtection="1">
      <alignment horizontal="right"/>
      <protection locked="0"/>
    </xf>
    <xf numFmtId="3" fontId="31" fillId="0" borderId="3" xfId="10" applyNumberFormat="1" applyFont="1" applyBorder="1" applyAlignment="1" applyProtection="1">
      <alignment horizontal="right"/>
      <protection locked="0"/>
    </xf>
    <xf numFmtId="1" fontId="31" fillId="0" borderId="3" xfId="10" applyNumberFormat="1" applyFont="1" applyBorder="1" applyAlignment="1">
      <alignment horizontal="right"/>
    </xf>
    <xf numFmtId="3" fontId="46" fillId="0" borderId="6" xfId="10" applyNumberFormat="1" applyFont="1" applyBorder="1" applyAlignment="1" applyProtection="1">
      <alignment horizontal="right"/>
      <protection locked="0"/>
    </xf>
    <xf numFmtId="165" fontId="31" fillId="0" borderId="4" xfId="848" applyNumberFormat="1" applyFont="1" applyBorder="1" applyAlignment="1" applyProtection="1">
      <alignment horizontal="right"/>
      <protection locked="0"/>
    </xf>
    <xf numFmtId="3" fontId="31" fillId="0" borderId="4" xfId="10" applyNumberFormat="1" applyFont="1" applyBorder="1" applyAlignment="1" applyProtection="1">
      <alignment horizontal="right"/>
      <protection locked="0"/>
    </xf>
    <xf numFmtId="3" fontId="46" fillId="0" borderId="3" xfId="10" applyNumberFormat="1" applyFont="1" applyBorder="1" applyAlignment="1" applyProtection="1">
      <alignment horizontal="right"/>
      <protection locked="0"/>
    </xf>
    <xf numFmtId="3" fontId="31" fillId="0" borderId="3" xfId="10" applyNumberFormat="1" applyFont="1" applyFill="1" applyBorder="1" applyAlignment="1" applyProtection="1">
      <alignment horizontal="right"/>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31" fillId="0" borderId="3" xfId="10" applyFont="1" applyBorder="1" applyAlignment="1" applyProtection="1">
      <alignment horizontal="right"/>
      <protection locked="0"/>
    </xf>
    <xf numFmtId="4" fontId="31" fillId="0" borderId="4" xfId="7" applyNumberFormat="1" applyFont="1" applyBorder="1" applyAlignment="1">
      <alignment horizontal="right"/>
    </xf>
    <xf numFmtId="3" fontId="31" fillId="10" borderId="3" xfId="7" applyNumberFormat="1" applyFont="1" applyFill="1" applyBorder="1" applyAlignment="1" applyProtection="1">
      <alignment horizontal="right"/>
      <protection locked="0"/>
    </xf>
    <xf numFmtId="3" fontId="31" fillId="10" borderId="4" xfId="7" applyNumberFormat="1" applyFont="1" applyFill="1" applyBorder="1" applyAlignment="1" applyProtection="1">
      <alignment horizontal="right"/>
      <protection locked="0"/>
    </xf>
    <xf numFmtId="3" fontId="31" fillId="0" borderId="6" xfId="7" applyNumberFormat="1" applyFont="1" applyBorder="1" applyAlignment="1">
      <alignment horizontal="right"/>
    </xf>
    <xf numFmtId="3" fontId="31" fillId="0" borderId="6" xfId="848" applyNumberFormat="1" applyFont="1" applyBorder="1" applyAlignment="1">
      <alignment horizontal="right"/>
    </xf>
    <xf numFmtId="4" fontId="31" fillId="0" borderId="2" xfId="7" applyNumberFormat="1" applyFont="1" applyBorder="1" applyAlignment="1" applyProtection="1">
      <alignment horizontal="right"/>
      <protection locked="0"/>
    </xf>
    <xf numFmtId="4" fontId="46" fillId="0" borderId="2" xfId="7" applyNumberFormat="1" applyFont="1" applyBorder="1" applyAlignment="1" applyProtection="1">
      <alignment horizontal="right"/>
      <protection locked="0"/>
    </xf>
    <xf numFmtId="4" fontId="31" fillId="0" borderId="0" xfId="7" applyNumberFormat="1" applyFont="1" applyAlignment="1" applyProtection="1">
      <alignment horizontal="right"/>
      <protection locked="0"/>
    </xf>
    <xf numFmtId="4" fontId="46" fillId="0" borderId="0" xfId="7" applyNumberFormat="1" applyFont="1" applyAlignment="1" applyProtection="1">
      <alignment horizontal="right"/>
      <protection locked="0"/>
    </xf>
    <xf numFmtId="4" fontId="31" fillId="0" borderId="5" xfId="7" applyNumberFormat="1" applyFont="1" applyBorder="1" applyAlignment="1" applyProtection="1">
      <alignment horizontal="right"/>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2" xfId="845" applyNumberFormat="1" applyFont="1" applyFill="1" applyBorder="1" applyAlignment="1" applyProtection="1">
      <alignment horizontal="center"/>
      <protection locked="0"/>
    </xf>
    <xf numFmtId="0" fontId="46" fillId="0" borderId="5" xfId="845" applyNumberFormat="1" applyFont="1" applyFill="1" applyBorder="1" applyAlignment="1" applyProtection="1">
      <alignment horizontal="center"/>
      <protection locked="0"/>
    </xf>
    <xf numFmtId="0" fontId="46" fillId="0" borderId="14" xfId="845" applyNumberFormat="1" applyFont="1" applyFill="1" applyBorder="1" applyAlignment="1" applyProtection="1">
      <alignment horizontal="center"/>
      <protection locked="0"/>
    </xf>
    <xf numFmtId="0" fontId="46" fillId="0" borderId="15" xfId="845" applyNumberFormat="1" applyFont="1" applyFill="1" applyBorder="1" applyAlignment="1" applyProtection="1">
      <alignment horizontal="center"/>
      <protection locked="0"/>
    </xf>
    <xf numFmtId="165" fontId="46" fillId="0" borderId="4" xfId="7" applyNumberFormat="1" applyFont="1" applyBorder="1" applyAlignment="1" applyProtection="1">
      <alignment horizontal="right"/>
      <protection locked="0"/>
    </xf>
    <xf numFmtId="165" fontId="31" fillId="0" borderId="4" xfId="7" applyNumberFormat="1" applyFont="1" applyBorder="1" applyAlignment="1" applyProtection="1">
      <alignment horizontal="right"/>
      <protection locked="0"/>
    </xf>
    <xf numFmtId="3" fontId="46" fillId="0" borderId="3" xfId="7" applyNumberFormat="1" applyFont="1" applyFill="1" applyBorder="1" applyAlignment="1">
      <alignment horizontal="right"/>
    </xf>
    <xf numFmtId="173" fontId="31" fillId="0" borderId="3" xfId="847" applyNumberFormat="1" applyFont="1" applyBorder="1" applyAlignment="1" applyProtection="1">
      <alignment horizontal="right"/>
    </xf>
    <xf numFmtId="173" fontId="46" fillId="0" borderId="3" xfId="847" applyNumberFormat="1" applyFont="1" applyBorder="1" applyAlignment="1" applyProtection="1">
      <alignment horizontal="right"/>
    </xf>
    <xf numFmtId="173" fontId="31" fillId="0" borderId="4" xfId="847" applyNumberFormat="1" applyFont="1" applyBorder="1" applyAlignment="1" applyProtection="1">
      <alignment horizontal="right"/>
    </xf>
    <xf numFmtId="173" fontId="31" fillId="0" borderId="3" xfId="847" applyNumberFormat="1" applyFont="1" applyBorder="1" applyAlignment="1" applyProtection="1">
      <alignment horizontal="right"/>
      <protection locked="0"/>
    </xf>
    <xf numFmtId="0" fontId="46" fillId="0" borderId="3" xfId="0" applyFont="1" applyFill="1" applyBorder="1" applyProtection="1">
      <protection locked="0"/>
    </xf>
    <xf numFmtId="0" fontId="31" fillId="0" borderId="3" xfId="0" applyFont="1" applyFill="1" applyBorder="1" applyProtection="1">
      <protection locked="0"/>
    </xf>
    <xf numFmtId="3" fontId="31" fillId="0" borderId="3" xfId="10" applyNumberFormat="1" applyFont="1" applyFill="1" applyBorder="1"/>
    <xf numFmtId="0" fontId="31" fillId="0" borderId="3" xfId="10" applyFont="1" applyFill="1" applyBorder="1" applyProtection="1">
      <protection locked="0"/>
    </xf>
    <xf numFmtId="0" fontId="46" fillId="0" borderId="0" xfId="0" applyFont="1" applyFill="1" applyProtection="1">
      <protection locked="0"/>
    </xf>
    <xf numFmtId="0" fontId="31" fillId="0" borderId="0" xfId="0" applyFont="1" applyFill="1" applyProtection="1">
      <protection locked="0"/>
    </xf>
    <xf numFmtId="3" fontId="31" fillId="0" borderId="3" xfId="10" applyNumberFormat="1" applyFont="1" applyFill="1" applyBorder="1" applyProtection="1">
      <protection locked="0"/>
    </xf>
    <xf numFmtId="1" fontId="31" fillId="0" borderId="3" xfId="0" applyNumberFormat="1" applyFont="1" applyFill="1" applyBorder="1" applyProtection="1">
      <protection locked="0"/>
    </xf>
    <xf numFmtId="0" fontId="46" fillId="0" borderId="6" xfId="0" applyFont="1" applyFill="1" applyBorder="1" applyProtection="1">
      <protection locked="0"/>
    </xf>
    <xf numFmtId="0" fontId="31" fillId="0" borderId="6" xfId="0" applyFont="1" applyFill="1" applyBorder="1" applyProtection="1">
      <protection locked="0"/>
    </xf>
    <xf numFmtId="0" fontId="31" fillId="0" borderId="6" xfId="0" applyFont="1" applyFill="1" applyBorder="1"/>
    <xf numFmtId="3" fontId="31" fillId="0" borderId="6" xfId="10" applyNumberFormat="1" applyFont="1" applyFill="1" applyBorder="1"/>
    <xf numFmtId="1" fontId="31" fillId="0" borderId="6" xfId="0" applyNumberFormat="1" applyFont="1" applyFill="1" applyBorder="1" applyProtection="1">
      <protection locked="0"/>
    </xf>
    <xf numFmtId="3" fontId="31" fillId="0" borderId="6" xfId="10" applyNumberFormat="1" applyFont="1" applyFill="1" applyBorder="1" applyProtection="1">
      <protection locked="0"/>
    </xf>
    <xf numFmtId="0" fontId="31" fillId="0" borderId="6" xfId="10" applyFont="1" applyFill="1" applyBorder="1" applyProtection="1">
      <protection locked="0"/>
    </xf>
    <xf numFmtId="3" fontId="57" fillId="0" borderId="0" xfId="0" applyNumberFormat="1" applyFont="1" applyFill="1" applyBorder="1" applyProtection="1">
      <protection locked="0"/>
    </xf>
    <xf numFmtId="3" fontId="46" fillId="0" borderId="4" xfId="15" applyNumberFormat="1" applyFont="1" applyFill="1" applyBorder="1" applyAlignment="1" applyProtection="1">
      <alignment horizontal="right"/>
    </xf>
    <xf numFmtId="3" fontId="46" fillId="0" borderId="11" xfId="15" applyNumberFormat="1" applyFont="1" applyFill="1" applyBorder="1" applyAlignment="1" applyProtection="1">
      <alignment horizontal="right"/>
    </xf>
    <xf numFmtId="3" fontId="31" fillId="0" borderId="3" xfId="10" applyNumberFormat="1" applyFont="1" applyBorder="1"/>
    <xf numFmtId="3" fontId="31" fillId="0" borderId="6" xfId="10" applyNumberFormat="1" applyFont="1" applyBorder="1"/>
    <xf numFmtId="0" fontId="31" fillId="0" borderId="6" xfId="0" applyFont="1" applyBorder="1" applyProtection="1">
      <protection locked="0"/>
    </xf>
    <xf numFmtId="3" fontId="31" fillId="0" borderId="4" xfId="7" applyNumberFormat="1" applyFont="1" applyFill="1" applyBorder="1" applyAlignment="1">
      <alignment horizontal="right"/>
    </xf>
    <xf numFmtId="1" fontId="31" fillId="0" borderId="3" xfId="0" applyNumberFormat="1" applyFont="1" applyBorder="1"/>
    <xf numFmtId="1" fontId="31" fillId="0" borderId="3" xfId="0" applyNumberFormat="1" applyFont="1" applyBorder="1" applyProtection="1">
      <protection locked="0"/>
    </xf>
    <xf numFmtId="1" fontId="31" fillId="0" borderId="6" xfId="0" applyNumberFormat="1" applyFont="1" applyBorder="1"/>
    <xf numFmtId="1" fontId="31" fillId="0" borderId="6" xfId="0" applyNumberFormat="1" applyFont="1" applyBorder="1" applyProtection="1">
      <protection locked="0"/>
    </xf>
    <xf numFmtId="171" fontId="16" fillId="3" borderId="2" xfId="846" applyNumberFormat="1" applyFont="1" applyFill="1" applyBorder="1" applyAlignment="1">
      <alignment horizontal="right"/>
    </xf>
    <xf numFmtId="171" fontId="18" fillId="3" borderId="2" xfId="846" applyNumberFormat="1" applyFont="1" applyFill="1" applyBorder="1" applyAlignment="1">
      <alignment horizontal="right"/>
    </xf>
    <xf numFmtId="171" fontId="18" fillId="3" borderId="3" xfId="846" applyNumberFormat="1" applyFont="1" applyFill="1" applyBorder="1" applyAlignment="1">
      <alignment horizontal="right"/>
    </xf>
    <xf numFmtId="3" fontId="46" fillId="0" borderId="11" xfId="0" applyNumberFormat="1" applyFont="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0" fontId="46" fillId="0" borderId="0" xfId="1" applyFont="1" applyFill="1" applyBorder="1" applyProtection="1">
      <protection locked="0"/>
    </xf>
    <xf numFmtId="165" fontId="46" fillId="0" borderId="3" xfId="0" applyNumberFormat="1" applyFont="1" applyFill="1" applyBorder="1"/>
    <xf numFmtId="3" fontId="16" fillId="0" borderId="11" xfId="1" applyNumberFormat="1" applyFont="1" applyFill="1" applyBorder="1"/>
    <xf numFmtId="3" fontId="16" fillId="0" borderId="6" xfId="1" applyNumberFormat="1" applyFont="1" applyFill="1" applyBorder="1"/>
    <xf numFmtId="3" fontId="18" fillId="0" borderId="8" xfId="1" applyNumberFormat="1" applyFont="1" applyFill="1" applyBorder="1"/>
    <xf numFmtId="0" fontId="18" fillId="0" borderId="3" xfId="0" applyFont="1" applyBorder="1"/>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72" fillId="0" borderId="0" xfId="1" applyNumberFormat="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12"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5" xfId="0" applyFont="1" applyBorder="1" applyAlignment="1" applyProtection="1">
      <alignment horizontal="center"/>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1" xfId="0" applyFont="1" applyFill="1" applyBorder="1" applyAlignment="1" applyProtection="1">
      <alignment horizontal="center"/>
      <protection locked="0"/>
    </xf>
    <xf numFmtId="0" fontId="46" fillId="0" borderId="12" xfId="0" applyFont="1" applyFill="1" applyBorder="1" applyAlignment="1" applyProtection="1">
      <alignment horizontal="center"/>
      <protection locked="0"/>
    </xf>
    <xf numFmtId="0" fontId="46" fillId="0" borderId="5" xfId="0" applyFont="1" applyFill="1" applyBorder="1" applyAlignment="1" applyProtection="1">
      <alignment horizontal="center"/>
      <protection locked="0"/>
    </xf>
    <xf numFmtId="0" fontId="46" fillId="0" borderId="11" xfId="7" applyNumberFormat="1" applyFont="1" applyFill="1" applyBorder="1" applyAlignment="1" applyProtection="1">
      <alignment horizontal="center"/>
      <protection locked="0"/>
    </xf>
    <xf numFmtId="0" fontId="46" fillId="0" borderId="12" xfId="7" applyNumberFormat="1" applyFont="1" applyFill="1" applyBorder="1" applyAlignment="1" applyProtection="1">
      <alignment horizontal="center"/>
      <protection locked="0"/>
    </xf>
    <xf numFmtId="0" fontId="46" fillId="0" borderId="5" xfId="7" applyNumberFormat="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75" fillId="0" borderId="1" xfId="0" applyNumberFormat="1" applyFont="1" applyFill="1" applyBorder="1" applyAlignment="1" applyProtection="1">
      <alignment horizontal="center"/>
      <protection locked="0"/>
    </xf>
    <xf numFmtId="0" fontId="75" fillId="0" borderId="14" xfId="0" applyNumberFormat="1" applyFont="1" applyFill="1" applyBorder="1" applyAlignment="1" applyProtection="1">
      <alignment horizontal="center"/>
      <protection locked="0"/>
    </xf>
    <xf numFmtId="0" fontId="75" fillId="0" borderId="15" xfId="0" applyNumberFormat="1" applyFont="1" applyFill="1" applyBorder="1" applyAlignment="1" applyProtection="1">
      <alignment horizontal="center"/>
      <protection locked="0"/>
    </xf>
    <xf numFmtId="0" fontId="75" fillId="0" borderId="11" xfId="0" applyNumberFormat="1" applyFont="1" applyFill="1" applyBorder="1" applyAlignment="1" applyProtection="1">
      <alignment horizontal="center"/>
      <protection locked="0"/>
    </xf>
    <xf numFmtId="0" fontId="75" fillId="0" borderId="12" xfId="0" applyNumberFormat="1" applyFont="1" applyFill="1" applyBorder="1" applyAlignment="1" applyProtection="1">
      <alignment horizontal="center"/>
      <protection locked="0"/>
    </xf>
    <xf numFmtId="0" fontId="75" fillId="0" borderId="5" xfId="0" applyNumberFormat="1" applyFont="1" applyFill="1" applyBorder="1" applyAlignment="1" applyProtection="1">
      <alignment horizontal="center"/>
      <protection locked="0"/>
    </xf>
    <xf numFmtId="0" fontId="46" fillId="0" borderId="0" xfId="1" applyNumberFormat="1" applyFont="1" applyFill="1" applyBorder="1" applyAlignment="1" applyProtection="1">
      <alignment horizontal="center"/>
      <protection locked="0"/>
    </xf>
    <xf numFmtId="0" fontId="46" fillId="0" borderId="1" xfId="845" applyNumberFormat="1" applyFont="1" applyFill="1" applyBorder="1" applyAlignment="1" applyProtection="1">
      <alignment horizontal="center"/>
      <protection locked="0"/>
    </xf>
    <xf numFmtId="0" fontId="46" fillId="0" borderId="14" xfId="845" applyNumberFormat="1" applyFont="1" applyFill="1" applyBorder="1" applyAlignment="1" applyProtection="1">
      <alignment horizontal="center"/>
      <protection locked="0"/>
    </xf>
    <xf numFmtId="0" fontId="46" fillId="0" borderId="15" xfId="845" applyNumberFormat="1" applyFont="1" applyFill="1" applyBorder="1" applyAlignment="1" applyProtection="1">
      <alignment horizontal="center"/>
      <protection locked="0"/>
    </xf>
    <xf numFmtId="0" fontId="46" fillId="0" borderId="11" xfId="845" applyNumberFormat="1" applyFont="1" applyFill="1" applyBorder="1" applyAlignment="1" applyProtection="1">
      <alignment horizontal="center"/>
      <protection locked="0"/>
    </xf>
    <xf numFmtId="0" fontId="46" fillId="0" borderId="12" xfId="845" applyNumberFormat="1" applyFont="1" applyFill="1" applyBorder="1" applyAlignment="1" applyProtection="1">
      <alignment horizontal="center"/>
      <protection locked="0"/>
    </xf>
    <xf numFmtId="0" fontId="46" fillId="0" borderId="5" xfId="845" applyNumberFormat="1" applyFont="1" applyFill="1" applyBorder="1" applyAlignment="1" applyProtection="1">
      <alignment horizontal="center"/>
      <protection locked="0"/>
    </xf>
    <xf numFmtId="0" fontId="46" fillId="4" borderId="0" xfId="1" applyNumberFormat="1" applyFont="1" applyFill="1" applyBorder="1" applyAlignment="1" applyProtection="1">
      <alignment horizontal="center"/>
      <protection locked="0"/>
    </xf>
    <xf numFmtId="0" fontId="69" fillId="0" borderId="0" xfId="0" applyFont="1" applyAlignment="1">
      <alignment horizontal="left" vertical="top" wrapText="1" readingOrder="1"/>
    </xf>
  </cellXfs>
  <cellStyles count="852">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50"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1"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Normal_Forslag 2" xfId="848" xr:uid="{00000000-0005-0000-0000-00003B020000}"/>
    <cellStyle name="Tusenskille 2" xfId="14" xr:uid="{00000000-0005-0000-0000-00003C020000}"/>
    <cellStyle name="Tusenskille 2 2" xfId="15" xr:uid="{00000000-0005-0000-0000-00003D020000}"/>
    <cellStyle name="Tusenskille 2 2 2" xfId="751" xr:uid="{00000000-0005-0000-0000-00003E020000}"/>
    <cellStyle name="Tusenskille 2 2 3" xfId="849"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25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FFF99"/>
      <color rgb="FFF8E9D6"/>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3" Type="http://schemas.openxmlformats.org/officeDocument/2006/relationships/customXml" Target="../customXml/item4.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onnections" Target="connection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Figurer!$M$6</c:f>
              <c:strCache>
                <c:ptCount val="1"/>
                <c:pt idx="0">
                  <c:v>2021</c:v>
                </c:pt>
              </c:strCache>
            </c:strRef>
          </c:tx>
          <c:invertIfNegative val="0"/>
          <c:cat>
            <c:strRef>
              <c:f>Figurer!$L$7:$L$31</c:f>
              <c:strCache>
                <c:ptCount val="25"/>
                <c:pt idx="0">
                  <c:v>Codan Forsikring</c:v>
                </c:pt>
                <c:pt idx="1">
                  <c:v>Storebrand Danica 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Ly Forsikring</c:v>
                </c:pt>
                <c:pt idx="16">
                  <c:v>Nordea Liv</c:v>
                </c:pt>
                <c:pt idx="17">
                  <c:v>OPF</c:v>
                </c:pt>
                <c:pt idx="18">
                  <c:v>Protector Fors</c:v>
                </c:pt>
                <c:pt idx="19">
                  <c:v>SpareBank 1 Fors</c:v>
                </c:pt>
                <c:pt idx="20">
                  <c:v>Storebrand Liv</c:v>
                </c:pt>
                <c:pt idx="21">
                  <c:v>Telenor Fors</c:v>
                </c:pt>
                <c:pt idx="22">
                  <c:v>Tryg Fors</c:v>
                </c:pt>
                <c:pt idx="23">
                  <c:v>WaterCircles Fors.</c:v>
                </c:pt>
                <c:pt idx="24">
                  <c:v>Youplus Livsf</c:v>
                </c:pt>
              </c:strCache>
            </c:strRef>
          </c:cat>
          <c:val>
            <c:numRef>
              <c:f>Figurer!$M$7:$M$31</c:f>
              <c:numCache>
                <c:formatCode>#,##0</c:formatCode>
                <c:ptCount val="25"/>
                <c:pt idx="0">
                  <c:v>82704</c:v>
                </c:pt>
                <c:pt idx="1">
                  <c:v>434013.95000000007</c:v>
                </c:pt>
                <c:pt idx="2">
                  <c:v>3243248.1995000001</c:v>
                </c:pt>
                <c:pt idx="3">
                  <c:v>375779</c:v>
                </c:pt>
                <c:pt idx="4">
                  <c:v>10960</c:v>
                </c:pt>
                <c:pt idx="5">
                  <c:v>3074791.8314700001</c:v>
                </c:pt>
                <c:pt idx="6">
                  <c:v>458515</c:v>
                </c:pt>
                <c:pt idx="7">
                  <c:v>7999.02</c:v>
                </c:pt>
                <c:pt idx="8">
                  <c:v>1910669.1639999999</c:v>
                </c:pt>
                <c:pt idx="9">
                  <c:v>726294</c:v>
                </c:pt>
                <c:pt idx="10">
                  <c:v>34165.241999999998</c:v>
                </c:pt>
                <c:pt idx="11">
                  <c:v>535456.72047683294</c:v>
                </c:pt>
                <c:pt idx="12">
                  <c:v>50026045.50818</c:v>
                </c:pt>
                <c:pt idx="13">
                  <c:v>253776.878</c:v>
                </c:pt>
                <c:pt idx="14">
                  <c:v>112320</c:v>
                </c:pt>
                <c:pt idx="15">
                  <c:v>0</c:v>
                </c:pt>
                <c:pt idx="16">
                  <c:v>1552615</c:v>
                </c:pt>
                <c:pt idx="17">
                  <c:v>7476722</c:v>
                </c:pt>
                <c:pt idx="18">
                  <c:v>331132.55263506202</c:v>
                </c:pt>
                <c:pt idx="19">
                  <c:v>799976.18833000003</c:v>
                </c:pt>
                <c:pt idx="20">
                  <c:v>5938754.0609999998</c:v>
                </c:pt>
                <c:pt idx="21">
                  <c:v>1344</c:v>
                </c:pt>
                <c:pt idx="22">
                  <c:v>589319.00377000007</c:v>
                </c:pt>
                <c:pt idx="23">
                  <c:v>1909</c:v>
                </c:pt>
                <c:pt idx="24">
                  <c:v>0</c:v>
                </c:pt>
              </c:numCache>
            </c:numRef>
          </c:val>
          <c:extLst>
            <c:ext xmlns:c16="http://schemas.microsoft.com/office/drawing/2014/chart" uri="{C3380CC4-5D6E-409C-BE32-E72D297353CC}">
              <c16:uniqueId val="{00000002-93AE-4CD9-98AD-A52686D1F9FB}"/>
            </c:ext>
          </c:extLst>
        </c:ser>
        <c:ser>
          <c:idx val="1"/>
          <c:order val="1"/>
          <c:tx>
            <c:strRef>
              <c:f>Figurer!$N$6</c:f>
              <c:strCache>
                <c:ptCount val="1"/>
                <c:pt idx="0">
                  <c:v>2022</c:v>
                </c:pt>
              </c:strCache>
            </c:strRef>
          </c:tx>
          <c:invertIfNegative val="0"/>
          <c:cat>
            <c:strRef>
              <c:f>Figurer!$L$7:$L$31</c:f>
              <c:strCache>
                <c:ptCount val="25"/>
                <c:pt idx="0">
                  <c:v>Codan Forsikring</c:v>
                </c:pt>
                <c:pt idx="1">
                  <c:v>Storebrand Danica 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Ly Forsikring</c:v>
                </c:pt>
                <c:pt idx="16">
                  <c:v>Nordea Liv</c:v>
                </c:pt>
                <c:pt idx="17">
                  <c:v>OPF</c:v>
                </c:pt>
                <c:pt idx="18">
                  <c:v>Protector Fors</c:v>
                </c:pt>
                <c:pt idx="19">
                  <c:v>SpareBank 1 Fors</c:v>
                </c:pt>
                <c:pt idx="20">
                  <c:v>Storebrand Liv</c:v>
                </c:pt>
                <c:pt idx="21">
                  <c:v>Telenor Fors</c:v>
                </c:pt>
                <c:pt idx="22">
                  <c:v>Tryg Fors</c:v>
                </c:pt>
                <c:pt idx="23">
                  <c:v>WaterCircles Fors.</c:v>
                </c:pt>
                <c:pt idx="24">
                  <c:v>Youplus Livsf</c:v>
                </c:pt>
              </c:strCache>
            </c:strRef>
          </c:cat>
          <c:val>
            <c:numRef>
              <c:f>Figurer!$N$7:$N$31</c:f>
              <c:numCache>
                <c:formatCode>#,##0</c:formatCode>
                <c:ptCount val="25"/>
                <c:pt idx="0">
                  <c:v>0</c:v>
                </c:pt>
                <c:pt idx="1">
                  <c:v>446524.26718999993</c:v>
                </c:pt>
                <c:pt idx="2">
                  <c:v>3309302.7250000001</c:v>
                </c:pt>
                <c:pt idx="3">
                  <c:v>422091</c:v>
                </c:pt>
                <c:pt idx="4">
                  <c:v>32885</c:v>
                </c:pt>
                <c:pt idx="5">
                  <c:v>3294986.7741700001</c:v>
                </c:pt>
                <c:pt idx="6">
                  <c:v>505151</c:v>
                </c:pt>
                <c:pt idx="7">
                  <c:v>9115.4689999999991</c:v>
                </c:pt>
                <c:pt idx="8">
                  <c:v>2060959.4780000001</c:v>
                </c:pt>
                <c:pt idx="9">
                  <c:v>822113</c:v>
                </c:pt>
                <c:pt idx="10">
                  <c:v>37620.57</c:v>
                </c:pt>
                <c:pt idx="11">
                  <c:v>594471.87462945096</c:v>
                </c:pt>
                <c:pt idx="12">
                  <c:v>49973107.937069997</c:v>
                </c:pt>
                <c:pt idx="13">
                  <c:v>318629.58999999997</c:v>
                </c:pt>
                <c:pt idx="14">
                  <c:v>101798</c:v>
                </c:pt>
                <c:pt idx="15">
                  <c:v>22009</c:v>
                </c:pt>
                <c:pt idx="16">
                  <c:v>1622443.7601219299</c:v>
                </c:pt>
                <c:pt idx="17">
                  <c:v>8323811</c:v>
                </c:pt>
                <c:pt idx="18">
                  <c:v>356049.57687832625</c:v>
                </c:pt>
                <c:pt idx="19">
                  <c:v>803617.72874000005</c:v>
                </c:pt>
                <c:pt idx="20">
                  <c:v>6462440.2763999999</c:v>
                </c:pt>
                <c:pt idx="21">
                  <c:v>8426</c:v>
                </c:pt>
                <c:pt idx="22">
                  <c:v>683873</c:v>
                </c:pt>
                <c:pt idx="23">
                  <c:v>2052</c:v>
                </c:pt>
                <c:pt idx="24">
                  <c:v>2177</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2021</c:v>
                </c:pt>
              </c:strCache>
            </c:strRef>
          </c:tx>
          <c:invertIfNegative val="0"/>
          <c:cat>
            <c:strRef>
              <c:f>Figurer!$L$37:$L$45</c:f>
              <c:strCache>
                <c:ptCount val="9"/>
                <c:pt idx="0">
                  <c:v>Danica Pensjon</c:v>
                </c:pt>
                <c:pt idx="1">
                  <c:v>DNB Liv</c:v>
                </c:pt>
                <c:pt idx="2">
                  <c:v>Frende Livsfors</c:v>
                </c:pt>
                <c:pt idx="3">
                  <c:v>Gjensidige Pensj</c:v>
                </c:pt>
                <c:pt idx="4">
                  <c:v>KLP</c:v>
                </c:pt>
                <c:pt idx="5">
                  <c:v>Nordea Liv</c:v>
                </c:pt>
                <c:pt idx="6">
                  <c:v>SHB Liv</c:v>
                </c:pt>
                <c:pt idx="7">
                  <c:v>SpareBank 1 Fors</c:v>
                </c:pt>
                <c:pt idx="8">
                  <c:v>Storebrand Liv</c:v>
                </c:pt>
              </c:strCache>
            </c:strRef>
          </c:cat>
          <c:val>
            <c:numRef>
              <c:f>Figurer!$M$37:$M$45</c:f>
              <c:numCache>
                <c:formatCode>#,##0</c:formatCode>
                <c:ptCount val="9"/>
                <c:pt idx="0">
                  <c:v>2301876.503</c:v>
                </c:pt>
                <c:pt idx="1">
                  <c:v>11851242.041999999</c:v>
                </c:pt>
                <c:pt idx="2">
                  <c:v>0</c:v>
                </c:pt>
                <c:pt idx="3">
                  <c:v>3714294</c:v>
                </c:pt>
                <c:pt idx="4">
                  <c:v>135009.071</c:v>
                </c:pt>
                <c:pt idx="5">
                  <c:v>17865814</c:v>
                </c:pt>
                <c:pt idx="6">
                  <c:v>178297.44472</c:v>
                </c:pt>
                <c:pt idx="7">
                  <c:v>5555744.3693300001</c:v>
                </c:pt>
                <c:pt idx="8">
                  <c:v>13164375.305</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2022</c:v>
                </c:pt>
              </c:strCache>
            </c:strRef>
          </c:tx>
          <c:invertIfNegative val="0"/>
          <c:cat>
            <c:strRef>
              <c:f>Figurer!$L$37:$L$45</c:f>
              <c:strCache>
                <c:ptCount val="9"/>
                <c:pt idx="0">
                  <c:v>Danica Pensjon</c:v>
                </c:pt>
                <c:pt idx="1">
                  <c:v>DNB Liv</c:v>
                </c:pt>
                <c:pt idx="2">
                  <c:v>Frende Livsfors</c:v>
                </c:pt>
                <c:pt idx="3">
                  <c:v>Gjensidige Pensj</c:v>
                </c:pt>
                <c:pt idx="4">
                  <c:v>KLP</c:v>
                </c:pt>
                <c:pt idx="5">
                  <c:v>Nordea Liv</c:v>
                </c:pt>
                <c:pt idx="6">
                  <c:v>SHB Liv</c:v>
                </c:pt>
                <c:pt idx="7">
                  <c:v>SpareBank 1 Fors</c:v>
                </c:pt>
                <c:pt idx="8">
                  <c:v>Storebrand Liv</c:v>
                </c:pt>
              </c:strCache>
            </c:strRef>
          </c:cat>
          <c:val>
            <c:numRef>
              <c:f>Figurer!$N$37:$N$45</c:f>
              <c:numCache>
                <c:formatCode>#,##0</c:formatCode>
                <c:ptCount val="9"/>
                <c:pt idx="0">
                  <c:v>2459229.94924</c:v>
                </c:pt>
                <c:pt idx="1">
                  <c:v>13338462.421</c:v>
                </c:pt>
                <c:pt idx="2">
                  <c:v>0</c:v>
                </c:pt>
                <c:pt idx="3">
                  <c:v>4461954</c:v>
                </c:pt>
                <c:pt idx="4">
                  <c:v>163946.05499999999</c:v>
                </c:pt>
                <c:pt idx="5">
                  <c:v>13776102.835759997</c:v>
                </c:pt>
                <c:pt idx="6">
                  <c:v>95313</c:v>
                </c:pt>
                <c:pt idx="7">
                  <c:v>6297690.6937600002</c:v>
                </c:pt>
                <c:pt idx="8">
                  <c:v>13470646.969049999</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Figurer!$M$56</c:f>
              <c:strCache>
                <c:ptCount val="1"/>
                <c:pt idx="0">
                  <c:v>2021</c:v>
                </c:pt>
              </c:strCache>
            </c:strRef>
          </c:tx>
          <c:invertIfNegative val="0"/>
          <c:cat>
            <c:strRef>
              <c:f>Figurer!$L$57:$L$79</c:f>
              <c:strCache>
                <c:ptCount val="23"/>
                <c:pt idx="0">
                  <c:v>Codan Forsikring</c:v>
                </c:pt>
                <c:pt idx="1">
                  <c:v>Storebrand Danica 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SpareBank 1 Fors</c:v>
                </c:pt>
                <c:pt idx="18">
                  <c:v>Storebrand Liv</c:v>
                </c:pt>
                <c:pt idx="19">
                  <c:v>Telenor Forsikring</c:v>
                </c:pt>
                <c:pt idx="20">
                  <c:v>Tryg Forsikring</c:v>
                </c:pt>
                <c:pt idx="21">
                  <c:v>WaterCicles Fors.</c:v>
                </c:pt>
                <c:pt idx="22">
                  <c:v>Youplus Livsf</c:v>
                </c:pt>
              </c:strCache>
            </c:strRef>
          </c:cat>
          <c:val>
            <c:numRef>
              <c:f>Figurer!$M$57:$M$79</c:f>
              <c:numCache>
                <c:formatCode>#,##0</c:formatCode>
                <c:ptCount val="23"/>
                <c:pt idx="0">
                  <c:v>0</c:v>
                </c:pt>
                <c:pt idx="1">
                  <c:v>1398802.868</c:v>
                </c:pt>
                <c:pt idx="2">
                  <c:v>193517916</c:v>
                </c:pt>
                <c:pt idx="3">
                  <c:v>572507</c:v>
                </c:pt>
                <c:pt idx="4">
                  <c:v>0</c:v>
                </c:pt>
                <c:pt idx="5">
                  <c:v>4274504.1585400002</c:v>
                </c:pt>
                <c:pt idx="6">
                  <c:v>1050219</c:v>
                </c:pt>
                <c:pt idx="7">
                  <c:v>0</c:v>
                </c:pt>
                <c:pt idx="8">
                  <c:v>8230173</c:v>
                </c:pt>
                <c:pt idx="9">
                  <c:v>22010.537</c:v>
                </c:pt>
                <c:pt idx="10">
                  <c:v>556565.27800000005</c:v>
                </c:pt>
                <c:pt idx="11">
                  <c:v>574122994.44806004</c:v>
                </c:pt>
                <c:pt idx="12">
                  <c:v>72087.316999999995</c:v>
                </c:pt>
                <c:pt idx="13">
                  <c:v>0</c:v>
                </c:pt>
                <c:pt idx="14">
                  <c:v>0</c:v>
                </c:pt>
                <c:pt idx="15">
                  <c:v>55808862</c:v>
                </c:pt>
                <c:pt idx="16">
                  <c:v>102259830</c:v>
                </c:pt>
                <c:pt idx="17">
                  <c:v>20710069.296859998</c:v>
                </c:pt>
                <c:pt idx="18">
                  <c:v>196253398.08000004</c:v>
                </c:pt>
                <c:pt idx="19">
                  <c:v>0</c:v>
                </c:pt>
                <c:pt idx="20">
                  <c:v>0</c:v>
                </c:pt>
                <c:pt idx="21">
                  <c:v>0</c:v>
                </c:pt>
                <c:pt idx="22">
                  <c:v>0</c:v>
                </c:pt>
              </c:numCache>
            </c:numRef>
          </c:val>
          <c:extLst>
            <c:ext xmlns:c16="http://schemas.microsoft.com/office/drawing/2014/chart" uri="{C3380CC4-5D6E-409C-BE32-E72D297353CC}">
              <c16:uniqueId val="{00000000-F5D7-4882-A9B6-45C2F0317A05}"/>
            </c:ext>
          </c:extLst>
        </c:ser>
        <c:ser>
          <c:idx val="1"/>
          <c:order val="1"/>
          <c:tx>
            <c:strRef>
              <c:f>Figurer!$N$56</c:f>
              <c:strCache>
                <c:ptCount val="1"/>
                <c:pt idx="0">
                  <c:v>2022</c:v>
                </c:pt>
              </c:strCache>
            </c:strRef>
          </c:tx>
          <c:invertIfNegative val="0"/>
          <c:cat>
            <c:strRef>
              <c:f>Figurer!$L$57:$L$79</c:f>
              <c:strCache>
                <c:ptCount val="23"/>
                <c:pt idx="0">
                  <c:v>Codan Forsikring</c:v>
                </c:pt>
                <c:pt idx="1">
                  <c:v>Storebrand Danica 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SpareBank 1 Fors</c:v>
                </c:pt>
                <c:pt idx="18">
                  <c:v>Storebrand Liv</c:v>
                </c:pt>
                <c:pt idx="19">
                  <c:v>Telenor Forsikring</c:v>
                </c:pt>
                <c:pt idx="20">
                  <c:v>Tryg Forsikring</c:v>
                </c:pt>
                <c:pt idx="21">
                  <c:v>WaterCicles Fors.</c:v>
                </c:pt>
                <c:pt idx="22">
                  <c:v>Youplus Livsf</c:v>
                </c:pt>
              </c:strCache>
            </c:strRef>
          </c:cat>
          <c:val>
            <c:numRef>
              <c:f>Figurer!$N$57:$N$79</c:f>
              <c:numCache>
                <c:formatCode>#,##0</c:formatCode>
                <c:ptCount val="23"/>
                <c:pt idx="0">
                  <c:v>0</c:v>
                </c:pt>
                <c:pt idx="1">
                  <c:v>1474107.35818</c:v>
                </c:pt>
                <c:pt idx="2">
                  <c:v>187258081.98107001</c:v>
                </c:pt>
                <c:pt idx="3">
                  <c:v>620181</c:v>
                </c:pt>
                <c:pt idx="4">
                  <c:v>0</c:v>
                </c:pt>
                <c:pt idx="5">
                  <c:v>4825016.0006900001</c:v>
                </c:pt>
                <c:pt idx="6">
                  <c:v>1264588</c:v>
                </c:pt>
                <c:pt idx="7">
                  <c:v>0</c:v>
                </c:pt>
                <c:pt idx="8">
                  <c:v>8842879</c:v>
                </c:pt>
                <c:pt idx="9">
                  <c:v>15305</c:v>
                </c:pt>
                <c:pt idx="10">
                  <c:v>549814.80638066796</c:v>
                </c:pt>
                <c:pt idx="11">
                  <c:v>651711055.01066995</c:v>
                </c:pt>
                <c:pt idx="12">
                  <c:v>105413.077</c:v>
                </c:pt>
                <c:pt idx="13">
                  <c:v>0</c:v>
                </c:pt>
                <c:pt idx="14">
                  <c:v>0</c:v>
                </c:pt>
                <c:pt idx="15">
                  <c:v>54578179.999995381</c:v>
                </c:pt>
                <c:pt idx="16">
                  <c:v>106050686</c:v>
                </c:pt>
                <c:pt idx="17">
                  <c:v>20441957</c:v>
                </c:pt>
                <c:pt idx="18">
                  <c:v>197874814.02292997</c:v>
                </c:pt>
                <c:pt idx="19">
                  <c:v>0</c:v>
                </c:pt>
                <c:pt idx="20">
                  <c:v>0</c:v>
                </c:pt>
                <c:pt idx="21">
                  <c:v>0</c:v>
                </c:pt>
                <c:pt idx="22">
                  <c:v>5826</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Figurer!$M$83</c:f>
              <c:strCache>
                <c:ptCount val="1"/>
                <c:pt idx="0">
                  <c:v>2021</c:v>
                </c:pt>
              </c:strCache>
            </c:strRef>
          </c:tx>
          <c:invertIfNegative val="0"/>
          <c:cat>
            <c:strRef>
              <c:f>Figurer!$L$84:$L$92</c:f>
              <c:strCache>
                <c:ptCount val="9"/>
                <c:pt idx="0">
                  <c:v>Storebrand Danica P</c:v>
                </c:pt>
                <c:pt idx="1">
                  <c:v>DNB Liv</c:v>
                </c:pt>
                <c:pt idx="2">
                  <c:v>Frende Livsfors</c:v>
                </c:pt>
                <c:pt idx="3">
                  <c:v>Gjensidige Pensj</c:v>
                </c:pt>
                <c:pt idx="4">
                  <c:v>KLP</c:v>
                </c:pt>
                <c:pt idx="5">
                  <c:v>Nordea Liv</c:v>
                </c:pt>
                <c:pt idx="6">
                  <c:v>SHB Liv</c:v>
                </c:pt>
                <c:pt idx="7">
                  <c:v>SpareBank 1 Fors</c:v>
                </c:pt>
                <c:pt idx="8">
                  <c:v>Storebrand Liv</c:v>
                </c:pt>
              </c:strCache>
            </c:strRef>
          </c:cat>
          <c:val>
            <c:numRef>
              <c:f>Figurer!$M$84:$M$92</c:f>
              <c:numCache>
                <c:formatCode>#,##0</c:formatCode>
                <c:ptCount val="9"/>
                <c:pt idx="0">
                  <c:v>29361437.739999998</c:v>
                </c:pt>
                <c:pt idx="1">
                  <c:v>138747409.08115</c:v>
                </c:pt>
                <c:pt idx="2">
                  <c:v>0</c:v>
                </c:pt>
                <c:pt idx="3">
                  <c:v>43184431</c:v>
                </c:pt>
                <c:pt idx="4">
                  <c:v>2234333.4679299998</c:v>
                </c:pt>
                <c:pt idx="5">
                  <c:v>125405208.52</c:v>
                </c:pt>
                <c:pt idx="6">
                  <c:v>3211246.3059999999</c:v>
                </c:pt>
                <c:pt idx="7">
                  <c:v>56140255.507399999</c:v>
                </c:pt>
                <c:pt idx="8">
                  <c:v>157892391.24199998</c:v>
                </c:pt>
              </c:numCache>
            </c:numRef>
          </c:val>
          <c:extLst>
            <c:ext xmlns:c16="http://schemas.microsoft.com/office/drawing/2014/chart" uri="{C3380CC4-5D6E-409C-BE32-E72D297353CC}">
              <c16:uniqueId val="{00000000-62B1-4395-80F9-424B1553CC96}"/>
            </c:ext>
          </c:extLst>
        </c:ser>
        <c:ser>
          <c:idx val="1"/>
          <c:order val="1"/>
          <c:tx>
            <c:strRef>
              <c:f>Figurer!$N$83</c:f>
              <c:strCache>
                <c:ptCount val="1"/>
                <c:pt idx="0">
                  <c:v>2022</c:v>
                </c:pt>
              </c:strCache>
            </c:strRef>
          </c:tx>
          <c:invertIfNegative val="0"/>
          <c:cat>
            <c:strRef>
              <c:f>Figurer!$L$84:$L$92</c:f>
              <c:strCache>
                <c:ptCount val="9"/>
                <c:pt idx="0">
                  <c:v>Storebrand Danica P</c:v>
                </c:pt>
                <c:pt idx="1">
                  <c:v>DNB Liv</c:v>
                </c:pt>
                <c:pt idx="2">
                  <c:v>Frende Livsfors</c:v>
                </c:pt>
                <c:pt idx="3">
                  <c:v>Gjensidige Pensj</c:v>
                </c:pt>
                <c:pt idx="4">
                  <c:v>KLP</c:v>
                </c:pt>
                <c:pt idx="5">
                  <c:v>Nordea Liv</c:v>
                </c:pt>
                <c:pt idx="6">
                  <c:v>SHB Liv</c:v>
                </c:pt>
                <c:pt idx="7">
                  <c:v>SpareBank 1 Fors</c:v>
                </c:pt>
                <c:pt idx="8">
                  <c:v>Storebrand Liv</c:v>
                </c:pt>
              </c:strCache>
            </c:strRef>
          </c:cat>
          <c:val>
            <c:numRef>
              <c:f>Figurer!$N$84:$N$92</c:f>
              <c:numCache>
                <c:formatCode>#,##0</c:formatCode>
                <c:ptCount val="9"/>
                <c:pt idx="0">
                  <c:v>26879329.206100002</c:v>
                </c:pt>
                <c:pt idx="1">
                  <c:v>138259318.398</c:v>
                </c:pt>
                <c:pt idx="2">
                  <c:v>0</c:v>
                </c:pt>
                <c:pt idx="3">
                  <c:v>45973809</c:v>
                </c:pt>
                <c:pt idx="4">
                  <c:v>2551713.4049300002</c:v>
                </c:pt>
                <c:pt idx="5">
                  <c:v>118066460.00000003</c:v>
                </c:pt>
                <c:pt idx="6">
                  <c:v>59412</c:v>
                </c:pt>
                <c:pt idx="7">
                  <c:v>55379613</c:v>
                </c:pt>
                <c:pt idx="8">
                  <c:v>152581635.26245999</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Figurer!$M$108</c:f>
              <c:strCache>
                <c:ptCount val="1"/>
                <c:pt idx="0">
                  <c:v>2021</c:v>
                </c:pt>
              </c:strCache>
            </c:strRef>
          </c:tx>
          <c:invertIfNegative val="0"/>
          <c:cat>
            <c:strRef>
              <c:f>Figurer!$L$109:$L$115</c:f>
              <c:strCache>
                <c:ptCount val="7"/>
                <c:pt idx="0">
                  <c:v>Storebrand Danica P</c:v>
                </c:pt>
                <c:pt idx="1">
                  <c:v>DNB Liv</c:v>
                </c:pt>
                <c:pt idx="2">
                  <c:v>Gjensidige Pensj</c:v>
                </c:pt>
                <c:pt idx="3">
                  <c:v>KLP</c:v>
                </c:pt>
                <c:pt idx="4">
                  <c:v>Nordea Liv</c:v>
                </c:pt>
                <c:pt idx="5">
                  <c:v>SpareBank 1 Fors</c:v>
                </c:pt>
                <c:pt idx="6">
                  <c:v>Storebrand Liv</c:v>
                </c:pt>
              </c:strCache>
            </c:strRef>
          </c:cat>
          <c:val>
            <c:numRef>
              <c:f>Figurer!$M$109:$M$115</c:f>
              <c:numCache>
                <c:formatCode>#,##0</c:formatCode>
                <c:ptCount val="7"/>
                <c:pt idx="0">
                  <c:v>917.59400000000096</c:v>
                </c:pt>
                <c:pt idx="1">
                  <c:v>408944.98053999996</c:v>
                </c:pt>
                <c:pt idx="2">
                  <c:v>-1853</c:v>
                </c:pt>
                <c:pt idx="3">
                  <c:v>-8346122.3590000002</c:v>
                </c:pt>
                <c:pt idx="4">
                  <c:v>1913</c:v>
                </c:pt>
                <c:pt idx="5">
                  <c:v>-4756.5401499999971</c:v>
                </c:pt>
                <c:pt idx="6">
                  <c:v>6662972.6740000006</c:v>
                </c:pt>
              </c:numCache>
            </c:numRef>
          </c:val>
          <c:extLst>
            <c:ext xmlns:c16="http://schemas.microsoft.com/office/drawing/2014/chart" uri="{C3380CC4-5D6E-409C-BE32-E72D297353CC}">
              <c16:uniqueId val="{00000000-2BF8-4278-857F-91A0E7196849}"/>
            </c:ext>
          </c:extLst>
        </c:ser>
        <c:ser>
          <c:idx val="1"/>
          <c:order val="1"/>
          <c:tx>
            <c:strRef>
              <c:f>Figurer!$N$108</c:f>
              <c:strCache>
                <c:ptCount val="1"/>
                <c:pt idx="0">
                  <c:v>2022</c:v>
                </c:pt>
              </c:strCache>
            </c:strRef>
          </c:tx>
          <c:invertIfNegative val="0"/>
          <c:cat>
            <c:strRef>
              <c:f>Figurer!$L$109:$L$115</c:f>
              <c:strCache>
                <c:ptCount val="7"/>
                <c:pt idx="0">
                  <c:v>Storebrand Danica P</c:v>
                </c:pt>
                <c:pt idx="1">
                  <c:v>DNB Liv</c:v>
                </c:pt>
                <c:pt idx="2">
                  <c:v>Gjensidige Pensj</c:v>
                </c:pt>
                <c:pt idx="3">
                  <c:v>KLP</c:v>
                </c:pt>
                <c:pt idx="4">
                  <c:v>Nordea Liv</c:v>
                </c:pt>
                <c:pt idx="5">
                  <c:v>SpareBank 1 Fors</c:v>
                </c:pt>
                <c:pt idx="6">
                  <c:v>Storebrand Liv</c:v>
                </c:pt>
              </c:strCache>
            </c:strRef>
          </c:cat>
          <c:val>
            <c:numRef>
              <c:f>Figurer!$N$109:$N$115</c:f>
              <c:numCache>
                <c:formatCode>#,##0</c:formatCode>
                <c:ptCount val="7"/>
                <c:pt idx="0">
                  <c:v>-4997.0770400000001</c:v>
                </c:pt>
                <c:pt idx="1">
                  <c:v>253788</c:v>
                </c:pt>
                <c:pt idx="2">
                  <c:v>74640</c:v>
                </c:pt>
                <c:pt idx="3">
                  <c:v>-4649405.9929999998</c:v>
                </c:pt>
                <c:pt idx="4">
                  <c:v>-1634.9483999999202</c:v>
                </c:pt>
                <c:pt idx="5">
                  <c:v>-204154</c:v>
                </c:pt>
                <c:pt idx="6">
                  <c:v>3595002.9428700004</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Figurer!$M$131</c:f>
              <c:strCache>
                <c:ptCount val="1"/>
                <c:pt idx="0">
                  <c:v>2021</c:v>
                </c:pt>
              </c:strCache>
            </c:strRef>
          </c:tx>
          <c:invertIfNegative val="0"/>
          <c:cat>
            <c:strRef>
              <c:f>Figurer!$L$132:$L$140</c:f>
              <c:strCache>
                <c:ptCount val="9"/>
                <c:pt idx="0">
                  <c:v>Storebrand Danica P</c:v>
                </c:pt>
                <c:pt idx="1">
                  <c:v>DNB Liv</c:v>
                </c:pt>
                <c:pt idx="2">
                  <c:v>Frende Livsfors</c:v>
                </c:pt>
                <c:pt idx="3">
                  <c:v>Gjensidige Pensj</c:v>
                </c:pt>
                <c:pt idx="4">
                  <c:v>KLP</c:v>
                </c:pt>
                <c:pt idx="5">
                  <c:v>Nordea Liv</c:v>
                </c:pt>
                <c:pt idx="6">
                  <c:v>SHB Liv</c:v>
                </c:pt>
                <c:pt idx="7">
                  <c:v>SpareBank 1 Fors</c:v>
                </c:pt>
                <c:pt idx="8">
                  <c:v>Storebrand Liv</c:v>
                </c:pt>
              </c:strCache>
            </c:strRef>
          </c:cat>
          <c:val>
            <c:numRef>
              <c:f>Figurer!$M$132:$M$140</c:f>
              <c:numCache>
                <c:formatCode>#,##0</c:formatCode>
                <c:ptCount val="9"/>
                <c:pt idx="0">
                  <c:v>587775.53799999971</c:v>
                </c:pt>
                <c:pt idx="1">
                  <c:v>-1350455</c:v>
                </c:pt>
                <c:pt idx="2">
                  <c:v>0</c:v>
                </c:pt>
                <c:pt idx="3">
                  <c:v>671451</c:v>
                </c:pt>
                <c:pt idx="4">
                  <c:v>0</c:v>
                </c:pt>
                <c:pt idx="5">
                  <c:v>638296</c:v>
                </c:pt>
                <c:pt idx="6">
                  <c:v>-166180.45599999998</c:v>
                </c:pt>
                <c:pt idx="7">
                  <c:v>2226185.1658699987</c:v>
                </c:pt>
                <c:pt idx="8">
                  <c:v>-9298668.8359999992</c:v>
                </c:pt>
              </c:numCache>
            </c:numRef>
          </c:val>
          <c:extLst>
            <c:ext xmlns:c16="http://schemas.microsoft.com/office/drawing/2014/chart" uri="{C3380CC4-5D6E-409C-BE32-E72D297353CC}">
              <c16:uniqueId val="{00000000-B400-4C26-965B-0553A4A37873}"/>
            </c:ext>
          </c:extLst>
        </c:ser>
        <c:ser>
          <c:idx val="1"/>
          <c:order val="1"/>
          <c:tx>
            <c:strRef>
              <c:f>Figurer!$N$131</c:f>
              <c:strCache>
                <c:ptCount val="1"/>
                <c:pt idx="0">
                  <c:v>2022</c:v>
                </c:pt>
              </c:strCache>
            </c:strRef>
          </c:tx>
          <c:invertIfNegative val="0"/>
          <c:cat>
            <c:strRef>
              <c:f>Figurer!$L$132:$L$140</c:f>
              <c:strCache>
                <c:ptCount val="9"/>
                <c:pt idx="0">
                  <c:v>Storebrand Danica P</c:v>
                </c:pt>
                <c:pt idx="1">
                  <c:v>DNB Liv</c:v>
                </c:pt>
                <c:pt idx="2">
                  <c:v>Frende Livsfors</c:v>
                </c:pt>
                <c:pt idx="3">
                  <c:v>Gjensidige Pensj</c:v>
                </c:pt>
                <c:pt idx="4">
                  <c:v>KLP</c:v>
                </c:pt>
                <c:pt idx="5">
                  <c:v>Nordea Liv</c:v>
                </c:pt>
                <c:pt idx="6">
                  <c:v>SHB Liv</c:v>
                </c:pt>
                <c:pt idx="7">
                  <c:v>SpareBank 1 Fors</c:v>
                </c:pt>
                <c:pt idx="8">
                  <c:v>Storebrand Liv</c:v>
                </c:pt>
              </c:strCache>
            </c:strRef>
          </c:cat>
          <c:val>
            <c:numRef>
              <c:f>Figurer!$N$132:$N$140</c:f>
              <c:numCache>
                <c:formatCode>#,##0</c:formatCode>
                <c:ptCount val="9"/>
                <c:pt idx="0">
                  <c:v>-657818.0637099999</c:v>
                </c:pt>
                <c:pt idx="1">
                  <c:v>543730.58999999985</c:v>
                </c:pt>
                <c:pt idx="2">
                  <c:v>0</c:v>
                </c:pt>
                <c:pt idx="3">
                  <c:v>4386610</c:v>
                </c:pt>
                <c:pt idx="4">
                  <c:v>376337.44099999999</c:v>
                </c:pt>
                <c:pt idx="5">
                  <c:v>146328.8693599999</c:v>
                </c:pt>
                <c:pt idx="6">
                  <c:v>-1779753.4576900001</c:v>
                </c:pt>
                <c:pt idx="7">
                  <c:v>-840940</c:v>
                </c:pt>
                <c:pt idx="8">
                  <c:v>-3868648.2638300005</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2022 </a:t>
          </a:r>
          <a:r>
            <a:rPr lang="nb-NO" sz="1100" b="0">
              <a:effectLst/>
              <a:latin typeface="Arial"/>
              <a:ea typeface="ＭＳ 明朝"/>
              <a:cs typeface="Times New Roman"/>
            </a:rPr>
            <a:t>(28.02.2023)</a:t>
          </a:r>
          <a:r>
            <a:rPr lang="nb-NO" sz="1600" b="1">
              <a:effectLst/>
              <a:latin typeface="Arial"/>
              <a:ea typeface="ＭＳ 明朝"/>
              <a:cs typeface="Times New Roman"/>
            </a:rPr>
            <a:t> </a:t>
          </a:r>
        </a:p>
        <a:p>
          <a:pPr>
            <a:spcAft>
              <a:spcPts val="0"/>
            </a:spcAft>
          </a:pPr>
          <a:endParaRPr lang="nb-NO" sz="1000" b="0">
            <a:effectLst/>
            <a:latin typeface="Arial"/>
            <a:ea typeface="ＭＳ 明朝"/>
            <a:cs typeface="Times New Roman"/>
          </a:endParaRPr>
        </a:p>
        <a:p>
          <a:pPr>
            <a:spcAft>
              <a:spcPts val="0"/>
            </a:spcAft>
          </a:pPr>
          <a:endParaRPr lang="nb-NO" sz="1000" b="0">
            <a:effectLst/>
            <a:latin typeface="Arial"/>
            <a:ea typeface="ＭＳ 明朝"/>
            <a:cs typeface="Times New Roman"/>
          </a:endParaRPr>
        </a:p>
        <a:p>
          <a:pPr>
            <a:spcAft>
              <a:spcPts val="0"/>
            </a:spcAft>
          </a:pPr>
          <a:r>
            <a:rPr lang="nb-NO" sz="1000" b="0">
              <a:effectLst/>
              <a:latin typeface="Arial"/>
              <a:ea typeface="ＭＳ 明朝"/>
              <a:cs typeface="Times New Roman"/>
            </a:rPr>
            <a:t>(revidert 06.03.2023)</a:t>
          </a:r>
          <a:endParaRPr lang="nb-NO" sz="10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137583</xdr:rowOff>
    </xdr:from>
    <xdr:to>
      <xdr:col>0</xdr:col>
      <xdr:colOff>4064000</xdr:colOff>
      <xdr:row>40</xdr:row>
      <xdr:rowOff>84666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7258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Codan Forsikring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(skadeselskap)</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Storebrand Danica Pensjon</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p>
        <a:p>
          <a:pPr algn="l" rtl="0">
            <a:lnSpc>
              <a:spcPts val="1600"/>
            </a:lnSpc>
            <a:defRPr sz="1000"/>
          </a:pPr>
          <a:r>
            <a:rPr lang="nb-NO" sz="1200" b="0" i="0" strike="noStrike" baseline="0">
              <a:solidFill>
                <a:srgbClr val="000000"/>
              </a:solidFill>
              <a:latin typeface="Times New Roman"/>
              <a:cs typeface="Times New Roman"/>
            </a:rPr>
            <a:t>Euro Accident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Ly Forsikring (skadeselskap)</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 Forsikring</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WaterCircles Forsikring (Skadeforsikring)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Youplus Livsforsikring nuf</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 Forsikring</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pPr rtl="0" eaLnBrk="1" fontAlgn="auto" latinLnBrk="0" hangingPunct="1"/>
          <a:r>
            <a:rPr lang="nb-NO" sz="1100" u="sng">
              <a:solidFill>
                <a:schemeClr val="dk1"/>
              </a:solidFill>
              <a:effectLst/>
              <a:latin typeface="+mn-lt"/>
              <a:ea typeface="+mn-ea"/>
              <a:cs typeface="+mn-cs"/>
            </a:rPr>
            <a:t>Codan Forsikring:</a:t>
          </a:r>
          <a:endParaRPr lang="nb-NO">
            <a:effectLst/>
          </a:endParaRPr>
        </a:p>
        <a:p>
          <a:pPr rtl="0" eaLnBrk="1" fontAlgn="auto" latinLnBrk="0" hangingPunct="1"/>
          <a:r>
            <a:rPr lang="nb-NO" sz="1100">
              <a:solidFill>
                <a:schemeClr val="dk1"/>
              </a:solidFill>
              <a:effectLst/>
              <a:latin typeface="+mn-lt"/>
              <a:ea typeface="+mn-ea"/>
              <a:cs typeface="+mn-cs"/>
            </a:rPr>
            <a:t>I</a:t>
          </a:r>
          <a:r>
            <a:rPr lang="nb-NO" sz="1100" baseline="0">
              <a:solidFill>
                <a:schemeClr val="dk1"/>
              </a:solidFill>
              <a:effectLst/>
              <a:latin typeface="+mn-lt"/>
              <a:ea typeface="+mn-ea"/>
              <a:cs typeface="+mn-cs"/>
            </a:rPr>
            <a:t> statistikken inngår s</a:t>
          </a:r>
          <a:r>
            <a:rPr lang="nb-NO" sz="1100">
              <a:solidFill>
                <a:schemeClr val="dk1"/>
              </a:solidFill>
              <a:effectLst/>
              <a:latin typeface="+mn-lt"/>
              <a:ea typeface="+mn-ea"/>
              <a:cs typeface="+mn-cs"/>
            </a:rPr>
            <a:t>elskapet i Tryg Forsikring fra 2.kvartal 2022</a:t>
          </a:r>
          <a:r>
            <a:rPr lang="nb-NO" sz="1100" baseline="0">
              <a:solidFill>
                <a:schemeClr val="dk1"/>
              </a:solidFill>
              <a:effectLst/>
              <a:latin typeface="+mn-lt"/>
              <a:ea typeface="+mn-ea"/>
              <a:cs typeface="+mn-cs"/>
            </a:rPr>
            <a:t>.</a:t>
          </a:r>
          <a:br>
            <a:rPr lang="nb-NO" sz="1100" baseline="0">
              <a:solidFill>
                <a:schemeClr val="dk1"/>
              </a:solidFill>
              <a:effectLst/>
              <a:latin typeface="+mn-lt"/>
              <a:ea typeface="+mn-ea"/>
              <a:cs typeface="+mn-cs"/>
            </a:rPr>
          </a:br>
          <a:endParaRPr lang="nb-NO" sz="1100" baseline="0">
            <a:solidFill>
              <a:schemeClr val="dk1"/>
            </a:solidFill>
            <a:effectLst/>
            <a:latin typeface="+mn-lt"/>
            <a:ea typeface="+mn-ea"/>
            <a:cs typeface="+mn-cs"/>
          </a:endParaRPr>
        </a:p>
        <a:p>
          <a:pPr rtl="0" eaLnBrk="1" fontAlgn="auto" latinLnBrk="0" hangingPunct="1"/>
          <a:r>
            <a:rPr lang="nb-NO" sz="1100" u="sng">
              <a:solidFill>
                <a:schemeClr val="dk1"/>
              </a:solidFill>
              <a:effectLst/>
              <a:latin typeface="+mn-lt"/>
              <a:ea typeface="+mn-ea"/>
              <a:cs typeface="+mn-cs"/>
            </a:rPr>
            <a:t>Frende</a:t>
          </a:r>
          <a:r>
            <a:rPr lang="nb-NO" sz="1100" u="sng" baseline="0">
              <a:solidFill>
                <a:schemeClr val="dk1"/>
              </a:solidFill>
              <a:effectLst/>
              <a:latin typeface="+mn-lt"/>
              <a:ea typeface="+mn-ea"/>
              <a:cs typeface="+mn-cs"/>
            </a:rPr>
            <a:t> Livsf</a:t>
          </a:r>
          <a:r>
            <a:rPr lang="nb-NO" sz="1100" u="sng">
              <a:solidFill>
                <a:schemeClr val="dk1"/>
              </a:solidFill>
              <a:effectLst/>
              <a:latin typeface="+mn-lt"/>
              <a:ea typeface="+mn-ea"/>
              <a:cs typeface="+mn-cs"/>
            </a:rPr>
            <a:t>orsikring:</a:t>
          </a:r>
          <a:endParaRPr lang="nb-NO">
            <a:effectLst/>
          </a:endParaRPr>
        </a:p>
        <a:p>
          <a:r>
            <a:rPr lang="nb-NO" sz="1100">
              <a:solidFill>
                <a:schemeClr val="dk1"/>
              </a:solidFill>
              <a:effectLst/>
              <a:latin typeface="+mn-lt"/>
              <a:ea typeface="+mn-ea"/>
              <a:cs typeface="+mn-cs"/>
            </a:rPr>
            <a:t>Data ble innrapportert før endelig styrebehandling, og det må derfor tas forbehold om eventuelle endringer.</a:t>
          </a:r>
          <a:endParaRPr lang="nb-NO" sz="1100" baseline="0">
            <a:solidFill>
              <a:schemeClr val="dk1"/>
            </a:solidFill>
            <a:effectLst/>
            <a:latin typeface="+mn-lt"/>
            <a:ea typeface="+mn-ea"/>
            <a:cs typeface="+mn-cs"/>
          </a:endParaRPr>
        </a:p>
        <a:p>
          <a:pPr rtl="0" eaLnBrk="1" fontAlgn="auto" latinLnBrk="0" hangingPunct="1"/>
          <a:endParaRPr lang="nb-NO">
            <a:effectLst/>
          </a:endParaRPr>
        </a:p>
        <a:p>
          <a:r>
            <a:rPr lang="nb-NO" sz="1100" u="sng">
              <a:solidFill>
                <a:schemeClr val="dk1"/>
              </a:solidFill>
              <a:effectLst/>
              <a:latin typeface="+mn-lt"/>
              <a:ea typeface="+mn-ea"/>
              <a:cs typeface="+mn-cs"/>
            </a:rPr>
            <a:t>Ly</a:t>
          </a:r>
          <a:r>
            <a:rPr lang="nb-NO" sz="1100" u="sng" baseline="0">
              <a:solidFill>
                <a:schemeClr val="dk1"/>
              </a:solidFill>
              <a:effectLst/>
              <a:latin typeface="+mn-lt"/>
              <a:ea typeface="+mn-ea"/>
              <a:cs typeface="+mn-cs"/>
            </a:rPr>
            <a:t> Forsikring</a:t>
          </a:r>
          <a:endParaRPr lang="nb-NO">
            <a:effectLst/>
          </a:endParaRPr>
        </a:p>
        <a:p>
          <a:r>
            <a:rPr lang="nb-NO" sz="1100" baseline="0">
              <a:solidFill>
                <a:schemeClr val="dk1"/>
              </a:solidFill>
              <a:effectLst/>
              <a:latin typeface="+mn-lt"/>
              <a:ea typeface="+mn-ea"/>
              <a:cs typeface="+mn-cs"/>
            </a:rPr>
            <a:t>Selskapet inngår i statistikken fra 2.kvartal 2022.</a:t>
          </a:r>
          <a:endParaRPr lang="nb-NO">
            <a:effectLst/>
          </a:endParaRPr>
        </a:p>
        <a:p>
          <a:br>
            <a:rPr lang="nb-NO" sz="1100" u="sng">
              <a:solidFill>
                <a:schemeClr val="dk1"/>
              </a:solidFill>
              <a:effectLst/>
              <a:latin typeface="+mn-lt"/>
              <a:ea typeface="+mn-ea"/>
              <a:cs typeface="+mn-cs"/>
            </a:rPr>
          </a:br>
          <a:r>
            <a:rPr lang="nb-NO" sz="1100" u="sng">
              <a:solidFill>
                <a:schemeClr val="dk1"/>
              </a:solidFill>
              <a:effectLst/>
              <a:latin typeface="+mn-lt"/>
              <a:ea typeface="+mn-ea"/>
              <a:cs typeface="+mn-cs"/>
            </a:rPr>
            <a:t>Youplus Livsforsikring</a:t>
          </a:r>
          <a:endParaRPr lang="nb-NO">
            <a:effectLst/>
          </a:endParaRPr>
        </a:p>
        <a:p>
          <a:r>
            <a:rPr lang="nb-NO" sz="1100">
              <a:solidFill>
                <a:schemeClr val="dk1"/>
              </a:solidFill>
              <a:effectLst/>
              <a:latin typeface="+mn-lt"/>
              <a:ea typeface="+mn-ea"/>
              <a:cs typeface="+mn-cs"/>
            </a:rPr>
            <a:t>Selskapet inngår i statistikken fra 1. kvartal 2022.</a:t>
          </a:r>
          <a:endParaRPr lang="nb-NO">
            <a:effectLst/>
          </a:endParaRPr>
        </a:p>
        <a:p>
          <a:pPr marL="0" indent="0"/>
          <a:endParaRPr lang="nb-NO" sz="1100" u="none">
            <a:solidFill>
              <a:schemeClr val="dk1"/>
            </a:solidFill>
            <a:latin typeface="Times New Roman" panose="02020603050405020304" pitchFamily="18" charset="0"/>
            <a:ea typeface="+mn-ea"/>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2/Q4-22/Mottatte/SpareBank%201%20-%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5.1"/>
      <sheetName val="Tabell 5.2"/>
      <sheetName val="Tabell 5.3"/>
      <sheetName val="Tabell 6"/>
      <sheetName val="Tabell 7a"/>
      <sheetName val="Tabell 7b"/>
      <sheetName val="Tabell 8"/>
      <sheetName val="Noter og kommentar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8">
          <cell r="AG68">
            <v>4972.6959999999999</v>
          </cell>
        </row>
        <row r="74">
          <cell r="AG74">
            <v>1060.3019999999999</v>
          </cell>
        </row>
        <row r="75">
          <cell r="AG75">
            <v>2099.0129999999999</v>
          </cell>
        </row>
        <row r="80">
          <cell r="AG80">
            <v>22576.411</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9" workbookViewId="0">
      <selection activeCell="L42" sqref="L42"/>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986"/>
      <c r="C43" s="986"/>
      <c r="D43" s="986"/>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7" x14ac:dyDescent="0.2">
      <c r="A1" s="171" t="s">
        <v>131</v>
      </c>
      <c r="B1" s="981"/>
      <c r="C1" s="249" t="s">
        <v>121</v>
      </c>
      <c r="D1" s="26"/>
      <c r="E1" s="26"/>
      <c r="F1" s="26"/>
      <c r="G1" s="26"/>
      <c r="H1" s="26"/>
      <c r="I1" s="26"/>
      <c r="J1" s="26"/>
      <c r="K1" s="26"/>
      <c r="L1" s="26"/>
      <c r="M1" s="26"/>
    </row>
    <row r="2" spans="1:17" ht="15.75" x14ac:dyDescent="0.25">
      <c r="A2" s="164" t="s">
        <v>28</v>
      </c>
      <c r="B2" s="1008"/>
      <c r="C2" s="1008"/>
      <c r="D2" s="1008"/>
      <c r="E2" s="302"/>
      <c r="F2" s="1008"/>
      <c r="G2" s="1008"/>
      <c r="H2" s="1008"/>
      <c r="I2" s="302"/>
      <c r="J2" s="1008"/>
      <c r="K2" s="1008"/>
      <c r="L2" s="1008"/>
      <c r="M2" s="302"/>
    </row>
    <row r="3" spans="1:17" ht="15.75" x14ac:dyDescent="0.25">
      <c r="A3" s="162"/>
      <c r="B3" s="302"/>
      <c r="C3" s="302"/>
      <c r="D3" s="302"/>
      <c r="E3" s="302"/>
      <c r="F3" s="302"/>
      <c r="G3" s="302"/>
      <c r="H3" s="302"/>
      <c r="I3" s="302"/>
      <c r="J3" s="302"/>
      <c r="K3" s="302"/>
      <c r="L3" s="302"/>
      <c r="M3" s="302"/>
    </row>
    <row r="4" spans="1:17" x14ac:dyDescent="0.2">
      <c r="A4" s="143"/>
      <c r="B4" s="1010" t="s">
        <v>0</v>
      </c>
      <c r="C4" s="1011"/>
      <c r="D4" s="1011"/>
      <c r="E4" s="304"/>
      <c r="F4" s="1010" t="s">
        <v>1</v>
      </c>
      <c r="G4" s="1011"/>
      <c r="H4" s="1011"/>
      <c r="I4" s="307"/>
      <c r="J4" s="1010" t="s">
        <v>2</v>
      </c>
      <c r="K4" s="1011"/>
      <c r="L4" s="1011"/>
      <c r="M4" s="307"/>
    </row>
    <row r="5" spans="1:17"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7" x14ac:dyDescent="0.2">
      <c r="A6" s="980"/>
      <c r="B6" s="155"/>
      <c r="C6" s="155"/>
      <c r="D6" s="247" t="s">
        <v>4</v>
      </c>
      <c r="E6" s="155" t="s">
        <v>30</v>
      </c>
      <c r="F6" s="160"/>
      <c r="G6" s="160"/>
      <c r="H6" s="245" t="s">
        <v>4</v>
      </c>
      <c r="I6" s="155" t="s">
        <v>30</v>
      </c>
      <c r="J6" s="160"/>
      <c r="K6" s="160"/>
      <c r="L6" s="245" t="s">
        <v>4</v>
      </c>
      <c r="M6" s="155" t="s">
        <v>30</v>
      </c>
    </row>
    <row r="7" spans="1:17" ht="15.75" x14ac:dyDescent="0.2">
      <c r="A7" s="14" t="s">
        <v>23</v>
      </c>
      <c r="B7" s="309">
        <v>286134</v>
      </c>
      <c r="C7" s="310">
        <v>220699</v>
      </c>
      <c r="D7" s="351">
        <f>IF(B7=0, "    ---- ", IF(ABS(ROUND(100/B7*C7-100,1))&lt;999,ROUND(100/B7*C7-100,1),IF(ROUND(100/B7*C7-100,1)&gt;999,999,-999)))</f>
        <v>-22.9</v>
      </c>
      <c r="E7" s="11">
        <f>IFERROR(100/'Skjema total MA'!C7*C7,0)</f>
        <v>4.2858695693815845</v>
      </c>
      <c r="F7" s="309">
        <v>559786</v>
      </c>
      <c r="G7" s="310">
        <v>468870</v>
      </c>
      <c r="H7" s="351">
        <f>IF(F7=0, "    ---- ", IF(ABS(ROUND(100/F7*G7-100,1))&lt;999,ROUND(100/F7*G7-100,1),IF(ROUND(100/F7*G7-100,1)&gt;999,999,-999)))</f>
        <v>-16.2</v>
      </c>
      <c r="I7" s="159">
        <f>IFERROR(100/'Skjema total MA'!F7*G7,0)</f>
        <v>5.0827929575998274</v>
      </c>
      <c r="J7" s="311">
        <f t="shared" ref="J7:K12" si="0">SUM(B7,F7)</f>
        <v>845920</v>
      </c>
      <c r="K7" s="312">
        <f t="shared" si="0"/>
        <v>689569</v>
      </c>
      <c r="L7" s="425">
        <f>IF(J7=0, "    ---- ", IF(ABS(ROUND(100/J7*K7-100,1))&lt;999,ROUND(100/J7*K7-100,1),IF(ROUND(100/J7*K7-100,1)&gt;999,999,-999)))</f>
        <v>-18.5</v>
      </c>
      <c r="M7" s="11">
        <f>IFERROR(100/'Skjema total MA'!I7*K7,0)</f>
        <v>4.797298922330949</v>
      </c>
    </row>
    <row r="8" spans="1:17" ht="15.75" x14ac:dyDescent="0.2">
      <c r="A8" s="21" t="s">
        <v>25</v>
      </c>
      <c r="B8" s="284">
        <v>30252.177</v>
      </c>
      <c r="C8" s="285">
        <v>29311.365000000002</v>
      </c>
      <c r="D8" s="165">
        <f t="shared" ref="D8:D12" si="1">IF(B8=0, "    ---- ", IF(ABS(ROUND(100/B8*C8-100,1))&lt;999,ROUND(100/B8*C8-100,1),IF(ROUND(100/B8*C8-100,1)&gt;999,999,-999)))</f>
        <v>-3.1</v>
      </c>
      <c r="E8" s="27">
        <f>IFERROR(100/'Skjema total MA'!C8*C8,0)</f>
        <v>0.8770473625640598</v>
      </c>
      <c r="F8" s="288"/>
      <c r="G8" s="289"/>
      <c r="H8" s="165"/>
      <c r="I8" s="175"/>
      <c r="J8" s="233">
        <f t="shared" si="0"/>
        <v>30252.177</v>
      </c>
      <c r="K8" s="290">
        <f t="shared" si="0"/>
        <v>29311.365000000002</v>
      </c>
      <c r="L8" s="165">
        <f t="shared" ref="L8:L9" si="2">IF(J8=0, "    ---- ", IF(ABS(ROUND(100/J8*K8-100,1))&lt;999,ROUND(100/J8*K8-100,1),IF(ROUND(100/J8*K8-100,1)&gt;999,999,-999)))</f>
        <v>-3.1</v>
      </c>
      <c r="M8" s="27">
        <f>IFERROR(100/'Skjema total MA'!I8*K8,0)</f>
        <v>0.8770473625640598</v>
      </c>
    </row>
    <row r="9" spans="1:17" ht="15.75" x14ac:dyDescent="0.2">
      <c r="A9" s="21" t="s">
        <v>24</v>
      </c>
      <c r="B9" s="284">
        <v>19918.037</v>
      </c>
      <c r="C9" s="285">
        <v>21843.422999999999</v>
      </c>
      <c r="D9" s="165">
        <f t="shared" si="1"/>
        <v>9.6999999999999993</v>
      </c>
      <c r="E9" s="27">
        <f>IFERROR(100/'Skjema total MA'!C9*C9,0)</f>
        <v>2.0455933760203315</v>
      </c>
      <c r="F9" s="288"/>
      <c r="G9" s="289"/>
      <c r="H9" s="165"/>
      <c r="I9" s="175"/>
      <c r="J9" s="233">
        <f t="shared" si="0"/>
        <v>19918.037</v>
      </c>
      <c r="K9" s="290">
        <f t="shared" si="0"/>
        <v>21843.422999999999</v>
      </c>
      <c r="L9" s="165">
        <f t="shared" si="2"/>
        <v>9.6999999999999993</v>
      </c>
      <c r="M9" s="27">
        <f>IFERROR(100/'Skjema total MA'!I9*K9,0)</f>
        <v>2.0455933760203315</v>
      </c>
    </row>
    <row r="10" spans="1:17" ht="15.75" x14ac:dyDescent="0.2">
      <c r="A10" s="13" t="s">
        <v>426</v>
      </c>
      <c r="B10" s="313">
        <v>10311471</v>
      </c>
      <c r="C10" s="314">
        <v>8665213</v>
      </c>
      <c r="D10" s="170">
        <f t="shared" si="1"/>
        <v>-16</v>
      </c>
      <c r="E10" s="11">
        <f>IFERROR(100/'Skjema total MA'!C10*C10,0)</f>
        <v>49.659525616362977</v>
      </c>
      <c r="F10" s="313">
        <v>7736331.7800000003</v>
      </c>
      <c r="G10" s="314">
        <v>7059613</v>
      </c>
      <c r="H10" s="170">
        <f t="shared" ref="H10:H12" si="3">IF(F10=0, "    ---- ", IF(ABS(ROUND(100/F10*G10-100,1))&lt;999,ROUND(100/F10*G10-100,1),IF(ROUND(100/F10*G10-100,1)&gt;999,999,-999)))</f>
        <v>-8.6999999999999993</v>
      </c>
      <c r="I10" s="159">
        <f>IFERROR(100/'Skjema total MA'!F10*G10,0)</f>
        <v>9.973306082775494</v>
      </c>
      <c r="J10" s="311">
        <f t="shared" si="0"/>
        <v>18047802.780000001</v>
      </c>
      <c r="K10" s="312">
        <f t="shared" si="0"/>
        <v>15724826</v>
      </c>
      <c r="L10" s="426">
        <f t="shared" ref="L10:L12" si="4">IF(J10=0, "    ---- ", IF(ABS(ROUND(100/J10*K10-100,1))&lt;999,ROUND(100/J10*K10-100,1),IF(ROUND(100/J10*K10-100,1)&gt;999,999,-999)))</f>
        <v>-12.9</v>
      </c>
      <c r="M10" s="11">
        <f>IFERROR(100/'Skjema total MA'!I10*K10,0)</f>
        <v>17.82166429027674</v>
      </c>
      <c r="Q10" s="148"/>
    </row>
    <row r="11" spans="1:17" s="43" customFormat="1" ht="15.75" x14ac:dyDescent="0.2">
      <c r="A11" s="13" t="s">
        <v>427</v>
      </c>
      <c r="B11" s="313">
        <v>94145.505999999994</v>
      </c>
      <c r="C11" s="314">
        <v>36447</v>
      </c>
      <c r="D11" s="170">
        <f t="shared" si="1"/>
        <v>-61.3</v>
      </c>
      <c r="E11" s="11">
        <f>IFERROR(100/'Skjema total MA'!C11*C11,0)</f>
        <v>100</v>
      </c>
      <c r="F11" s="313">
        <v>51821</v>
      </c>
      <c r="G11" s="314">
        <v>27883.440999999999</v>
      </c>
      <c r="H11" s="170">
        <f t="shared" si="3"/>
        <v>-46.2</v>
      </c>
      <c r="I11" s="159">
        <f>IFERROR(100/'Skjema total MA'!F11*G11,0)</f>
        <v>2.0325056998591986</v>
      </c>
      <c r="J11" s="311">
        <f t="shared" si="0"/>
        <v>145966.50599999999</v>
      </c>
      <c r="K11" s="312">
        <f t="shared" si="0"/>
        <v>64330.440999999999</v>
      </c>
      <c r="L11" s="426">
        <f t="shared" si="4"/>
        <v>-55.9</v>
      </c>
      <c r="M11" s="11">
        <f>IFERROR(100/'Skjema total MA'!I11*K11,0)</f>
        <v>4.5678781763864222</v>
      </c>
      <c r="N11" s="142"/>
    </row>
    <row r="12" spans="1:17" s="43" customFormat="1" ht="15.75" x14ac:dyDescent="0.2">
      <c r="A12" s="41" t="s">
        <v>428</v>
      </c>
      <c r="B12" s="315">
        <v>7169</v>
      </c>
      <c r="C12" s="316">
        <v>2921</v>
      </c>
      <c r="D12" s="168">
        <f t="shared" si="1"/>
        <v>-59.3</v>
      </c>
      <c r="E12" s="36">
        <f>IFERROR(100/'Skjema total MA'!C12*C12,0)</f>
        <v>99.999999999999986</v>
      </c>
      <c r="F12" s="315">
        <v>40461</v>
      </c>
      <c r="G12" s="316">
        <v>22916</v>
      </c>
      <c r="H12" s="168">
        <f t="shared" si="3"/>
        <v>-43.4</v>
      </c>
      <c r="I12" s="168">
        <f>IFERROR(100/'Skjema total MA'!F12*G12,0)</f>
        <v>1.7045704039778979</v>
      </c>
      <c r="J12" s="317">
        <f t="shared" si="0"/>
        <v>47630</v>
      </c>
      <c r="K12" s="318">
        <f t="shared" si="0"/>
        <v>25837</v>
      </c>
      <c r="L12" s="427">
        <f t="shared" si="4"/>
        <v>-45.8</v>
      </c>
      <c r="M12" s="36">
        <f>IFERROR(100/'Skjema total MA'!I12*K12,0)</f>
        <v>1.9176777531215423</v>
      </c>
      <c r="N12" s="142"/>
      <c r="Q12" s="142"/>
    </row>
    <row r="13" spans="1:17" s="43" customFormat="1" x14ac:dyDescent="0.2">
      <c r="A13" s="167"/>
      <c r="B13" s="144"/>
      <c r="C13" s="33"/>
      <c r="D13" s="158"/>
      <c r="E13" s="158"/>
      <c r="F13" s="144"/>
      <c r="G13" s="33"/>
      <c r="H13" s="158"/>
      <c r="I13" s="158"/>
      <c r="J13" s="48"/>
      <c r="K13" s="48"/>
      <c r="L13" s="158"/>
      <c r="M13" s="158"/>
      <c r="N13" s="142"/>
    </row>
    <row r="14" spans="1:17" x14ac:dyDescent="0.2">
      <c r="A14" s="152" t="s">
        <v>268</v>
      </c>
      <c r="B14" s="26"/>
    </row>
    <row r="15" spans="1:17" x14ac:dyDescent="0.2">
      <c r="F15" s="145"/>
      <c r="G15" s="145"/>
      <c r="H15" s="145"/>
      <c r="I15" s="145"/>
      <c r="J15" s="145"/>
      <c r="K15" s="145"/>
      <c r="L15" s="145"/>
      <c r="M15" s="145"/>
    </row>
    <row r="16" spans="1:17"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v>346738</v>
      </c>
      <c r="C22" s="313">
        <v>320826</v>
      </c>
      <c r="D22" s="351">
        <f t="shared" ref="D22:D39" si="5">IF(B22=0, "    ---- ", IF(ABS(ROUND(100/B22*C22-100,1))&lt;999,ROUND(100/B22*C22-100,1),IF(ROUND(100/B22*C22-100,1)&gt;999,999,-999)))</f>
        <v>-7.5</v>
      </c>
      <c r="E22" s="11">
        <f>IFERROR(100/'Skjema total MA'!C22*C22,0)</f>
        <v>14.946945539071812</v>
      </c>
      <c r="F22" s="321">
        <v>137648.04199999999</v>
      </c>
      <c r="G22" s="321">
        <v>71534.421000000002</v>
      </c>
      <c r="H22" s="351">
        <f t="shared" ref="H22:H35" si="6">IF(F22=0, "    ---- ", IF(ABS(ROUND(100/F22*G22-100,1))&lt;999,ROUND(100/F22*G22-100,1),IF(ROUND(100/F22*G22-100,1)&gt;999,999,-999)))</f>
        <v>-48</v>
      </c>
      <c r="I22" s="11">
        <f>IFERROR(100/'Skjema total MA'!F22*G22,0)</f>
        <v>6.9832306452637267</v>
      </c>
      <c r="J22" s="319">
        <f t="shared" ref="J22:K35" si="7">SUM(B22,F22)</f>
        <v>484386.04200000002</v>
      </c>
      <c r="K22" s="319">
        <f t="shared" si="7"/>
        <v>392360.42099999997</v>
      </c>
      <c r="L22" s="425">
        <f t="shared" ref="L22:L35" si="8">IF(J22=0, "    ---- ", IF(ABS(ROUND(100/J22*K22-100,1))&lt;999,ROUND(100/J22*K22-100,1),IF(ROUND(100/J22*K22-100,1)&gt;999,999,-999)))</f>
        <v>-19</v>
      </c>
      <c r="M22" s="24">
        <f>IFERROR(100/'Skjema total MA'!I22*K22,0)</f>
        <v>12.374153462869684</v>
      </c>
    </row>
    <row r="23" spans="1:14" ht="15.75" x14ac:dyDescent="0.2">
      <c r="A23" s="723" t="s">
        <v>429</v>
      </c>
      <c r="B23" s="284">
        <v>290180</v>
      </c>
      <c r="C23" s="284">
        <v>279177</v>
      </c>
      <c r="D23" s="165">
        <f t="shared" si="5"/>
        <v>-3.8</v>
      </c>
      <c r="E23" s="11">
        <f>IFERROR(100/'Skjema total MA'!C23*C23,0)</f>
        <v>22.338387019878724</v>
      </c>
      <c r="F23" s="293">
        <v>127922</v>
      </c>
      <c r="G23" s="293">
        <v>62756.828999999998</v>
      </c>
      <c r="H23" s="165">
        <f t="shared" si="6"/>
        <v>-50.9</v>
      </c>
      <c r="I23" s="416">
        <f>IFERROR(100/'Skjema total MA'!F23*G23,0)</f>
        <v>42.2280427047709</v>
      </c>
      <c r="J23" s="293">
        <f t="shared" ref="J23:J25" si="9">SUM(B23,F23)</f>
        <v>418102</v>
      </c>
      <c r="K23" s="293">
        <f t="shared" ref="K23:K25" si="10">SUM(C23,G23)</f>
        <v>341933.82900000003</v>
      </c>
      <c r="L23" s="165">
        <f t="shared" si="8"/>
        <v>-18.2</v>
      </c>
      <c r="M23" s="23">
        <f>IFERROR(100/'Skjema total MA'!I23*K23,0)</f>
        <v>24.452181957743676</v>
      </c>
    </row>
    <row r="24" spans="1:14" ht="15.75" x14ac:dyDescent="0.2">
      <c r="A24" s="723" t="s">
        <v>430</v>
      </c>
      <c r="B24" s="284">
        <v>20563</v>
      </c>
      <c r="C24" s="284">
        <v>14722</v>
      </c>
      <c r="D24" s="165">
        <f t="shared" si="5"/>
        <v>-28.4</v>
      </c>
      <c r="E24" s="11">
        <f>IFERROR(100/'Skjema total MA'!C24*C24,0)</f>
        <v>70.035433120450364</v>
      </c>
      <c r="F24" s="293">
        <v>176.54900000000001</v>
      </c>
      <c r="G24" s="293">
        <v>352.78100000000001</v>
      </c>
      <c r="H24" s="165">
        <f t="shared" si="6"/>
        <v>99.8</v>
      </c>
      <c r="I24" s="416">
        <f>IFERROR(100/'Skjema total MA'!F24*G24,0)</f>
        <v>28.827134920381997</v>
      </c>
      <c r="J24" s="293">
        <f t="shared" si="9"/>
        <v>20739.548999999999</v>
      </c>
      <c r="K24" s="293">
        <f t="shared" si="10"/>
        <v>15074.781000000001</v>
      </c>
      <c r="L24" s="165">
        <f t="shared" si="8"/>
        <v>-27.3</v>
      </c>
      <c r="M24" s="23">
        <f>IFERROR(100/'Skjema total MA'!I24*K24,0)</f>
        <v>67.76836594894084</v>
      </c>
    </row>
    <row r="25" spans="1:14" ht="15.75" x14ac:dyDescent="0.2">
      <c r="A25" s="723" t="s">
        <v>431</v>
      </c>
      <c r="B25" s="284">
        <v>35995</v>
      </c>
      <c r="C25" s="284">
        <v>26927</v>
      </c>
      <c r="D25" s="165">
        <f t="shared" si="5"/>
        <v>-25.2</v>
      </c>
      <c r="E25" s="11">
        <f>IFERROR(100/'Skjema total MA'!C25*C25,0)</f>
        <v>100</v>
      </c>
      <c r="F25" s="293">
        <v>9549.4930000000004</v>
      </c>
      <c r="G25" s="293">
        <v>8424.8109999999997</v>
      </c>
      <c r="H25" s="165">
        <f t="shared" si="6"/>
        <v>-11.8</v>
      </c>
      <c r="I25" s="416">
        <f>IFERROR(100/'Skjema total MA'!F25*G25,0)</f>
        <v>45.620357576052356</v>
      </c>
      <c r="J25" s="293">
        <f t="shared" si="9"/>
        <v>45544.493000000002</v>
      </c>
      <c r="K25" s="293">
        <f t="shared" si="10"/>
        <v>35351.811000000002</v>
      </c>
      <c r="L25" s="165">
        <f t="shared" si="8"/>
        <v>-22.4</v>
      </c>
      <c r="M25" s="23">
        <f>IFERROR(100/'Skjema total MA'!I25*K25,0)</f>
        <v>77.877342892671123</v>
      </c>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v>106932.421</v>
      </c>
      <c r="C28" s="290">
        <v>117109.322</v>
      </c>
      <c r="D28" s="165">
        <f t="shared" si="5"/>
        <v>9.5</v>
      </c>
      <c r="E28" s="11">
        <f>IFERROR(100/'Skjema total MA'!C28*C28,0)</f>
        <v>4.8204472741639588</v>
      </c>
      <c r="F28" s="233"/>
      <c r="G28" s="290"/>
      <c r="H28" s="165"/>
      <c r="I28" s="27"/>
      <c r="J28" s="44">
        <f t="shared" si="7"/>
        <v>106932.421</v>
      </c>
      <c r="K28" s="44">
        <f t="shared" si="7"/>
        <v>117109.322</v>
      </c>
      <c r="L28" s="258">
        <f t="shared" si="8"/>
        <v>9.5</v>
      </c>
      <c r="M28" s="23">
        <f>IFERROR(100/'Skjema total MA'!I28*K28,0)</f>
        <v>4.8204472741639588</v>
      </c>
    </row>
    <row r="29" spans="1:14" s="3" customFormat="1" ht="15.75" x14ac:dyDescent="0.2">
      <c r="A29" s="13" t="s">
        <v>426</v>
      </c>
      <c r="B29" s="235">
        <v>22715954</v>
      </c>
      <c r="C29" s="235">
        <v>21329683</v>
      </c>
      <c r="D29" s="170">
        <f t="shared" si="5"/>
        <v>-6.1</v>
      </c>
      <c r="E29" s="11">
        <f>IFERROR(100/'Skjema total MA'!C29*C29,0)</f>
        <v>48.439007847187462</v>
      </c>
      <c r="F29" s="311">
        <v>5126853.28</v>
      </c>
      <c r="G29" s="311">
        <v>4257123.398</v>
      </c>
      <c r="H29" s="170">
        <f t="shared" si="6"/>
        <v>-17</v>
      </c>
      <c r="I29" s="11">
        <f>IFERROR(100/'Skjema total MA'!F29*G29,0)</f>
        <v>18.127921121477048</v>
      </c>
      <c r="J29" s="235">
        <f t="shared" si="7"/>
        <v>27842807.280000001</v>
      </c>
      <c r="K29" s="235">
        <f t="shared" si="7"/>
        <v>25586806.398000002</v>
      </c>
      <c r="L29" s="426">
        <f t="shared" si="8"/>
        <v>-8.1</v>
      </c>
      <c r="M29" s="24">
        <f>IFERROR(100/'Skjema total MA'!I29*K29,0)</f>
        <v>37.896332321128035</v>
      </c>
      <c r="N29" s="147"/>
    </row>
    <row r="30" spans="1:14" s="3" customFormat="1" ht="15.75" x14ac:dyDescent="0.2">
      <c r="A30" s="723" t="s">
        <v>429</v>
      </c>
      <c r="B30" s="284">
        <v>9028292.3113427609</v>
      </c>
      <c r="C30" s="284">
        <v>5433847.5945415003</v>
      </c>
      <c r="D30" s="165">
        <f t="shared" si="5"/>
        <v>-39.799999999999997</v>
      </c>
      <c r="E30" s="11">
        <f>IFERROR(100/'Skjema total MA'!C30*C30,0)</f>
        <v>42.841775489667334</v>
      </c>
      <c r="F30" s="293">
        <v>1604382.676</v>
      </c>
      <c r="G30" s="293">
        <v>1362105.327</v>
      </c>
      <c r="H30" s="165">
        <f t="shared" si="6"/>
        <v>-15.1</v>
      </c>
      <c r="I30" s="416">
        <f>IFERROR(100/'Skjema total MA'!F30*G30,0)</f>
        <v>40.03126186464992</v>
      </c>
      <c r="J30" s="293">
        <f t="shared" ref="J30:J32" si="11">SUM(B30,F30)</f>
        <v>10632674.98734276</v>
      </c>
      <c r="K30" s="293">
        <f t="shared" ref="K30:K32" si="12">SUM(C30,G30)</f>
        <v>6795952.9215415008</v>
      </c>
      <c r="L30" s="165">
        <f t="shared" si="8"/>
        <v>-36.1</v>
      </c>
      <c r="M30" s="23">
        <f>IFERROR(100/'Skjema total MA'!I30*K30,0)</f>
        <v>42.247284139191684</v>
      </c>
      <c r="N30" s="147"/>
    </row>
    <row r="31" spans="1:14" s="3" customFormat="1" ht="15.75" x14ac:dyDescent="0.2">
      <c r="A31" s="723" t="s">
        <v>430</v>
      </c>
      <c r="B31" s="284">
        <v>11356179.124783801</v>
      </c>
      <c r="C31" s="284">
        <v>14185614.037411099</v>
      </c>
      <c r="D31" s="165">
        <f t="shared" si="5"/>
        <v>24.9</v>
      </c>
      <c r="E31" s="11">
        <f>IFERROR(100/'Skjema total MA'!C31*C31,0)</f>
        <v>57.90636756496523</v>
      </c>
      <c r="F31" s="293">
        <v>2988603.344</v>
      </c>
      <c r="G31" s="293">
        <v>2417501.8420000002</v>
      </c>
      <c r="H31" s="165">
        <f t="shared" si="6"/>
        <v>-19.100000000000001</v>
      </c>
      <c r="I31" s="416">
        <f>IFERROR(100/'Skjema total MA'!F31*G31,0)</f>
        <v>32.974008079705634</v>
      </c>
      <c r="J31" s="293">
        <f t="shared" si="11"/>
        <v>14344782.468783801</v>
      </c>
      <c r="K31" s="293">
        <f t="shared" si="12"/>
        <v>16603115.879411099</v>
      </c>
      <c r="L31" s="165">
        <f t="shared" si="8"/>
        <v>15.7</v>
      </c>
      <c r="M31" s="23">
        <f>IFERROR(100/'Skjema total MA'!I31*K31,0)</f>
        <v>52.163419272484539</v>
      </c>
      <c r="N31" s="147"/>
    </row>
    <row r="32" spans="1:14" ht="15.75" x14ac:dyDescent="0.2">
      <c r="A32" s="723" t="s">
        <v>431</v>
      </c>
      <c r="B32" s="284">
        <v>2331482.5638734298</v>
      </c>
      <c r="C32" s="284">
        <v>1710221.36804744</v>
      </c>
      <c r="D32" s="165">
        <f t="shared" si="5"/>
        <v>-26.6</v>
      </c>
      <c r="E32" s="11">
        <f>IFERROR(100/'Skjema total MA'!C32*C32,0)</f>
        <v>70.278450610555339</v>
      </c>
      <c r="F32" s="293">
        <v>533867.26</v>
      </c>
      <c r="G32" s="293">
        <v>477516.22899999999</v>
      </c>
      <c r="H32" s="165">
        <f t="shared" si="6"/>
        <v>-10.6</v>
      </c>
      <c r="I32" s="416">
        <f>IFERROR(100/'Skjema total MA'!F32*G32,0)</f>
        <v>8.9389235696047304</v>
      </c>
      <c r="J32" s="293">
        <f t="shared" si="11"/>
        <v>2865349.8238734296</v>
      </c>
      <c r="K32" s="293">
        <f t="shared" si="12"/>
        <v>2187737.5970474398</v>
      </c>
      <c r="L32" s="165">
        <f t="shared" si="8"/>
        <v>-23.6</v>
      </c>
      <c r="M32" s="23">
        <f>IFERROR(100/'Skjema total MA'!I32*K32,0)</f>
        <v>28.136362313568075</v>
      </c>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v>8345.6181500000002</v>
      </c>
      <c r="C34" s="312">
        <v>17799</v>
      </c>
      <c r="D34" s="170">
        <f t="shared" si="5"/>
        <v>113.3</v>
      </c>
      <c r="E34" s="11">
        <f>IFERROR(100/'Skjema total MA'!C34*C34,0)</f>
        <v>59.543128933725605</v>
      </c>
      <c r="F34" s="311">
        <v>-64069</v>
      </c>
      <c r="G34" s="312">
        <v>-27488.937999999998</v>
      </c>
      <c r="H34" s="170">
        <f t="shared" si="6"/>
        <v>-57.1</v>
      </c>
      <c r="I34" s="11">
        <f>IFERROR(100/'Skjema total MA'!F34*G34,0)</f>
        <v>-3.5156638110319829</v>
      </c>
      <c r="J34" s="235">
        <f t="shared" si="7"/>
        <v>-55723.381849999998</v>
      </c>
      <c r="K34" s="235">
        <f t="shared" si="7"/>
        <v>-9689.9379999999983</v>
      </c>
      <c r="L34" s="426">
        <f t="shared" si="8"/>
        <v>-82.6</v>
      </c>
      <c r="M34" s="24">
        <f>IFERROR(100/'Skjema total MA'!I34*K34,0)</f>
        <v>-1.1936485333764584</v>
      </c>
    </row>
    <row r="35" spans="1:14" ht="15.75" x14ac:dyDescent="0.2">
      <c r="A35" s="13" t="s">
        <v>428</v>
      </c>
      <c r="B35" s="235">
        <v>-83611</v>
      </c>
      <c r="C35" s="312">
        <v>-38494</v>
      </c>
      <c r="D35" s="170">
        <f t="shared" si="5"/>
        <v>-54</v>
      </c>
      <c r="E35" s="11">
        <f>IFERROR(100/'Skjema total MA'!C35*C35,0)</f>
        <v>100.2300837632267</v>
      </c>
      <c r="F35" s="311">
        <v>22179</v>
      </c>
      <c r="G35" s="312">
        <v>14124</v>
      </c>
      <c r="H35" s="170">
        <f t="shared" si="6"/>
        <v>-36.299999999999997</v>
      </c>
      <c r="I35" s="11">
        <f>IFERROR(100/'Skjema total MA'!F35*G35,0)</f>
        <v>3.2879310477359152</v>
      </c>
      <c r="J35" s="235">
        <f t="shared" si="7"/>
        <v>-61432</v>
      </c>
      <c r="K35" s="235">
        <f t="shared" si="7"/>
        <v>-24370</v>
      </c>
      <c r="L35" s="426">
        <f t="shared" si="8"/>
        <v>-60.3</v>
      </c>
      <c r="M35" s="24">
        <f>IFERROR(100/'Skjema total MA'!I35*K35,0)</f>
        <v>-6.2301008512868066</v>
      </c>
    </row>
    <row r="36" spans="1:14" ht="15.75" x14ac:dyDescent="0.2">
      <c r="A36" s="12" t="s">
        <v>277</v>
      </c>
      <c r="B36" s="235">
        <v>9086.9405000000006</v>
      </c>
      <c r="C36" s="312">
        <v>8577</v>
      </c>
      <c r="D36" s="170">
        <f t="shared" si="5"/>
        <v>-5.6</v>
      </c>
      <c r="E36" s="11">
        <f>IFERROR(100/'Skjema total MA'!C36*C36,0)</f>
        <v>99.203113430207026</v>
      </c>
      <c r="F36" s="322"/>
      <c r="G36" s="323"/>
      <c r="H36" s="170"/>
      <c r="I36" s="432"/>
      <c r="J36" s="235">
        <f t="shared" ref="J36:J39" si="13">SUM(B36,F36)</f>
        <v>9086.9405000000006</v>
      </c>
      <c r="K36" s="235">
        <f t="shared" ref="K36:K39" si="14">SUM(C36,G36)</f>
        <v>8577</v>
      </c>
      <c r="L36" s="426"/>
      <c r="M36" s="24">
        <f>IFERROR(100/'Skjema total MA'!I36*K36,0)</f>
        <v>99.203113430207026</v>
      </c>
    </row>
    <row r="37" spans="1:14" ht="15.75" x14ac:dyDescent="0.2">
      <c r="A37" s="12" t="s">
        <v>434</v>
      </c>
      <c r="B37" s="235">
        <v>2705435</v>
      </c>
      <c r="C37" s="312">
        <v>2482987.4953100001</v>
      </c>
      <c r="D37" s="170">
        <f t="shared" si="5"/>
        <v>-8.1999999999999993</v>
      </c>
      <c r="E37" s="11">
        <f>IFERROR(100/'Skjema total MA'!C37*C37,0)</f>
        <v>85.55208622772372</v>
      </c>
      <c r="F37" s="322"/>
      <c r="G37" s="324"/>
      <c r="H37" s="170"/>
      <c r="I37" s="432"/>
      <c r="J37" s="235">
        <f t="shared" si="13"/>
        <v>2705435</v>
      </c>
      <c r="K37" s="235">
        <f t="shared" si="14"/>
        <v>2482987.4953100001</v>
      </c>
      <c r="L37" s="426"/>
      <c r="M37" s="24">
        <f>IFERROR(100/'Skjema total MA'!I37*K37,0)</f>
        <v>85.55208622772372</v>
      </c>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v>5</v>
      </c>
      <c r="C39" s="318">
        <v>12</v>
      </c>
      <c r="D39" s="168">
        <f t="shared" si="5"/>
        <v>140</v>
      </c>
      <c r="E39" s="36">
        <f>IFERROR(100/'Skjema total MA'!C38*C39,0)</f>
        <v>0</v>
      </c>
      <c r="F39" s="325"/>
      <c r="G39" s="326"/>
      <c r="H39" s="168"/>
      <c r="I39" s="36"/>
      <c r="J39" s="235">
        <f t="shared" si="13"/>
        <v>5</v>
      </c>
      <c r="K39" s="235">
        <f t="shared" si="14"/>
        <v>12</v>
      </c>
      <c r="L39" s="427"/>
      <c r="M39" s="36">
        <f>IFERROR(100/'Skjema total MA'!I39*K39,0)</f>
        <v>100</v>
      </c>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593924.25899999996</v>
      </c>
      <c r="C47" s="314">
        <v>572005</v>
      </c>
      <c r="D47" s="425">
        <f t="shared" ref="D47:D57" si="15">IF(B47=0, "    ---- ", IF(ABS(ROUND(100/B47*C47-100,1))&lt;999,ROUND(100/B47*C47-100,1),IF(ROUND(100/B47*C47-100,1)&gt;999,999,-999)))</f>
        <v>-3.7</v>
      </c>
      <c r="E47" s="11">
        <f>IFERROR(100/'Skjema total MA'!C47*C47,0)</f>
        <v>10.32185918187675</v>
      </c>
      <c r="F47" s="144"/>
      <c r="G47" s="33"/>
      <c r="H47" s="158"/>
      <c r="I47" s="158"/>
      <c r="J47" s="37"/>
      <c r="K47" s="37"/>
      <c r="L47" s="158"/>
      <c r="M47" s="158"/>
      <c r="N47" s="147"/>
    </row>
    <row r="48" spans="1:14" s="3" customFormat="1" ht="15.75" x14ac:dyDescent="0.2">
      <c r="A48" s="38" t="s">
        <v>437</v>
      </c>
      <c r="B48" s="284">
        <v>593924.25899999996</v>
      </c>
      <c r="C48" s="285">
        <v>572005</v>
      </c>
      <c r="D48" s="258">
        <f t="shared" si="15"/>
        <v>-3.7</v>
      </c>
      <c r="E48" s="27">
        <f>IFERROR(100/'Skjema total MA'!C48*C48,0)</f>
        <v>18.570596344241228</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v>39418</v>
      </c>
      <c r="C53" s="314">
        <v>19300</v>
      </c>
      <c r="D53" s="426">
        <f t="shared" si="15"/>
        <v>-51</v>
      </c>
      <c r="E53" s="11">
        <f>IFERROR(100/'Skjema total MA'!C53*C53,0)</f>
        <v>13.542856147241691</v>
      </c>
      <c r="F53" s="144"/>
      <c r="G53" s="33"/>
      <c r="H53" s="144"/>
      <c r="I53" s="144"/>
      <c r="J53" s="33"/>
      <c r="K53" s="33"/>
      <c r="L53" s="158"/>
      <c r="M53" s="158"/>
      <c r="N53" s="147"/>
    </row>
    <row r="54" spans="1:14" s="3" customFormat="1" ht="15.75" x14ac:dyDescent="0.2">
      <c r="A54" s="38" t="s">
        <v>437</v>
      </c>
      <c r="B54" s="284">
        <v>39418</v>
      </c>
      <c r="C54" s="285">
        <v>19300</v>
      </c>
      <c r="D54" s="258">
        <f t="shared" si="15"/>
        <v>-51</v>
      </c>
      <c r="E54" s="27">
        <f>IFERROR(100/'Skjema total MA'!C54*C54,0)</f>
        <v>13.633644710002098</v>
      </c>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v>30758</v>
      </c>
      <c r="C56" s="314">
        <v>31300</v>
      </c>
      <c r="D56" s="426">
        <f t="shared" si="15"/>
        <v>1.8</v>
      </c>
      <c r="E56" s="11">
        <f>IFERROR(100/'Skjema total MA'!C56*C56,0)</f>
        <v>28.794854033917101</v>
      </c>
      <c r="F56" s="144"/>
      <c r="G56" s="33"/>
      <c r="H56" s="144"/>
      <c r="I56" s="144"/>
      <c r="J56" s="33"/>
      <c r="K56" s="33"/>
      <c r="L56" s="158"/>
      <c r="M56" s="158"/>
      <c r="N56" s="147"/>
    </row>
    <row r="57" spans="1:14" s="3" customFormat="1" ht="15.75" x14ac:dyDescent="0.2">
      <c r="A57" s="38" t="s">
        <v>437</v>
      </c>
      <c r="B57" s="284">
        <v>30758</v>
      </c>
      <c r="C57" s="285">
        <v>31300</v>
      </c>
      <c r="D57" s="258">
        <f t="shared" si="15"/>
        <v>1.8</v>
      </c>
      <c r="E57" s="27">
        <f>IFERROR(100/'Skjema total MA'!C57*C57,0)</f>
        <v>28.794854033917101</v>
      </c>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v>2007365</v>
      </c>
      <c r="C66" s="354">
        <v>2187195.7250000001</v>
      </c>
      <c r="D66" s="351">
        <f t="shared" ref="D66:D111" si="16">IF(B66=0, "    ---- ", IF(ABS(ROUND(100/B66*C66-100,1))&lt;999,ROUND(100/B66*C66-100,1),IF(ROUND(100/B66*C66-100,1)&gt;999,999,-999)))</f>
        <v>9</v>
      </c>
      <c r="E66" s="11">
        <f>IFERROR(100/'Skjema total MA'!C66*C66,0)</f>
        <v>28.096941708622609</v>
      </c>
      <c r="F66" s="353">
        <v>11153808</v>
      </c>
      <c r="G66" s="353">
        <v>12798058</v>
      </c>
      <c r="H66" s="351">
        <f t="shared" ref="H66:H111" si="17">IF(F66=0, "    ---- ", IF(ABS(ROUND(100/F66*G66-100,1))&lt;999,ROUND(100/F66*G66-100,1),IF(ROUND(100/F66*G66-100,1)&gt;999,999,-999)))</f>
        <v>14.7</v>
      </c>
      <c r="I66" s="11">
        <f>IFERROR(100/'Skjema total MA'!F66*G66,0)</f>
        <v>29.319470088363058</v>
      </c>
      <c r="J66" s="312">
        <f t="shared" ref="J66:K86" si="18">SUM(B66,F66)</f>
        <v>13161173</v>
      </c>
      <c r="K66" s="319">
        <f t="shared" si="18"/>
        <v>14985253.725</v>
      </c>
      <c r="L66" s="426">
        <f t="shared" ref="L66:L111" si="19">IF(J66=0, "    ---- ", IF(ABS(ROUND(100/J66*K66-100,1))&lt;999,ROUND(100/J66*K66-100,1),IF(ROUND(100/J66*K66-100,1)&gt;999,999,-999)))</f>
        <v>13.9</v>
      </c>
      <c r="M66" s="11">
        <f>IFERROR(100/'Skjema total MA'!I66*K66,0)</f>
        <v>29.134445179528559</v>
      </c>
    </row>
    <row r="67" spans="1:14" x14ac:dyDescent="0.2">
      <c r="A67" s="21" t="s">
        <v>9</v>
      </c>
      <c r="B67" s="44">
        <v>1697347</v>
      </c>
      <c r="C67" s="144">
        <v>1822590</v>
      </c>
      <c r="D67" s="165">
        <f t="shared" si="16"/>
        <v>7.4</v>
      </c>
      <c r="E67" s="27">
        <f>IFERROR(100/'Skjema total MA'!C67*C67,0)</f>
        <v>37.659341636642672</v>
      </c>
      <c r="F67" s="233"/>
      <c r="G67" s="144"/>
      <c r="H67" s="165"/>
      <c r="I67" s="27"/>
      <c r="J67" s="290">
        <f t="shared" si="18"/>
        <v>1697347</v>
      </c>
      <c r="K67" s="44">
        <f t="shared" si="18"/>
        <v>1822590</v>
      </c>
      <c r="L67" s="258">
        <f t="shared" si="19"/>
        <v>7.4</v>
      </c>
      <c r="M67" s="27">
        <f>IFERROR(100/'Skjema total MA'!I67*K67,0)</f>
        <v>37.659341636642672</v>
      </c>
    </row>
    <row r="68" spans="1:14" x14ac:dyDescent="0.2">
      <c r="A68" s="21" t="s">
        <v>10</v>
      </c>
      <c r="B68" s="295"/>
      <c r="C68" s="296"/>
      <c r="D68" s="165"/>
      <c r="E68" s="27"/>
      <c r="F68" s="295">
        <v>11153808</v>
      </c>
      <c r="G68" s="296">
        <v>12798058</v>
      </c>
      <c r="H68" s="165">
        <f t="shared" si="17"/>
        <v>14.7</v>
      </c>
      <c r="I68" s="27">
        <f>IFERROR(100/'Skjema total MA'!F68*G68,0)</f>
        <v>30.452076829910162</v>
      </c>
      <c r="J68" s="290">
        <f t="shared" si="18"/>
        <v>11153808</v>
      </c>
      <c r="K68" s="44">
        <f t="shared" si="18"/>
        <v>12798058</v>
      </c>
      <c r="L68" s="258">
        <f t="shared" si="19"/>
        <v>14.7</v>
      </c>
      <c r="M68" s="27">
        <f>IFERROR(100/'Skjema total MA'!I68*K68,0)</f>
        <v>30.419537006388499</v>
      </c>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v>11153808</v>
      </c>
      <c r="G72" s="284">
        <v>12798058</v>
      </c>
      <c r="H72" s="165">
        <f t="shared" ref="H72" si="20">IF(F72=0, "    ---- ", IF(ABS(ROUND(100/F72*G72-100,1))&lt;999,ROUND(100/F72*G72-100,1),IF(ROUND(100/F72*G72-100,1)&gt;999,999,-999)))</f>
        <v>14.7</v>
      </c>
      <c r="I72" s="27">
        <f>IFERROR(100/'Skjema total MA'!F72*G72,0)</f>
        <v>30.453931585186968</v>
      </c>
      <c r="J72" s="290">
        <f t="shared" ref="J72:K72" si="21">SUM(B72,F72)</f>
        <v>11153808</v>
      </c>
      <c r="K72" s="44">
        <f t="shared" si="21"/>
        <v>12798058</v>
      </c>
      <c r="L72" s="258">
        <f t="shared" ref="L72" si="22">IF(J72=0, "    ---- ", IF(ABS(ROUND(100/J72*K72-100,1))&lt;999,ROUND(100/J72*K72-100,1),IF(ROUND(100/J72*K72-100,1)&gt;999,999,-999)))</f>
        <v>14.7</v>
      </c>
      <c r="M72" s="27">
        <f>IFERROR(100/'Skjema total MA'!I72*K72,0)</f>
        <v>30.424449100175245</v>
      </c>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v>11153808</v>
      </c>
      <c r="G74" s="284">
        <v>12798058</v>
      </c>
      <c r="H74" s="165">
        <f t="shared" ref="H74" si="23">IF(F74=0, "    ---- ", IF(ABS(ROUND(100/F74*G74-100,1))&lt;999,ROUND(100/F74*G74-100,1),IF(ROUND(100/F74*G74-100,1)&gt;999,999,-999)))</f>
        <v>14.7</v>
      </c>
      <c r="I74" s="27">
        <f>IFERROR(100/'Skjema total MA'!F74*G74,0)</f>
        <v>30.453939538442153</v>
      </c>
      <c r="J74" s="290">
        <f t="shared" ref="J74:K74" si="24">SUM(B74,F74)</f>
        <v>11153808</v>
      </c>
      <c r="K74" s="44">
        <f t="shared" si="24"/>
        <v>12798058</v>
      </c>
      <c r="L74" s="258">
        <f t="shared" ref="L74" si="25">IF(J74=0, "    ---- ", IF(ABS(ROUND(100/J74*K74-100,1))&lt;999,ROUND(100/J74*K74-100,1),IF(ROUND(100/J74*K74-100,1)&gt;999,999,-999)))</f>
        <v>14.7</v>
      </c>
      <c r="M74" s="27">
        <f>IFERROR(100/'Skjema total MA'!I74*K74,0)</f>
        <v>30.453939538442153</v>
      </c>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v>310018</v>
      </c>
      <c r="C76" s="144">
        <v>364605.72499999998</v>
      </c>
      <c r="D76" s="165">
        <f t="shared" ref="D76" si="26">IF(B76=0, "    ---- ", IF(ABS(ROUND(100/B76*C76-100,1))&lt;999,ROUND(100/B76*C76-100,1),IF(ROUND(100/B76*C76-100,1)&gt;999,999,-999)))</f>
        <v>17.600000000000001</v>
      </c>
      <c r="E76" s="27">
        <f>IFERROR(100/'Skjema total MA'!C77*C76,0)</f>
        <v>7.6035364136626837</v>
      </c>
      <c r="F76" s="233"/>
      <c r="G76" s="144"/>
      <c r="H76" s="165"/>
      <c r="I76" s="27"/>
      <c r="J76" s="290">
        <f t="shared" ref="J76" si="27">SUM(B76,F76)</f>
        <v>310018</v>
      </c>
      <c r="K76" s="44">
        <f t="shared" ref="K76" si="28">SUM(C76,G76)</f>
        <v>364605.72499999998</v>
      </c>
      <c r="L76" s="258">
        <f t="shared" ref="L76" si="29">IF(J76=0, "    ---- ", IF(ABS(ROUND(100/J76*K76-100,1))&lt;999,ROUND(100/J76*K76-100,1),IF(ROUND(100/J76*K76-100,1)&gt;999,999,-999)))</f>
        <v>17.600000000000001</v>
      </c>
      <c r="M76" s="27">
        <f>IFERROR(100/'Skjema total MA'!I77*K76,0)</f>
        <v>0.7789269793115674</v>
      </c>
      <c r="N76" s="147"/>
    </row>
    <row r="77" spans="1:14" ht="15.75" x14ac:dyDescent="0.2">
      <c r="A77" s="21" t="s">
        <v>443</v>
      </c>
      <c r="B77" s="233">
        <v>1676041</v>
      </c>
      <c r="C77" s="233">
        <v>1798051</v>
      </c>
      <c r="D77" s="165">
        <f t="shared" si="16"/>
        <v>7.3</v>
      </c>
      <c r="E77" s="27">
        <f>IFERROR(100/'Skjema total MA'!C77*C77,0)</f>
        <v>37.496795345499862</v>
      </c>
      <c r="F77" s="233">
        <v>11153808</v>
      </c>
      <c r="G77" s="144">
        <v>12798058</v>
      </c>
      <c r="H77" s="165">
        <f t="shared" si="17"/>
        <v>14.7</v>
      </c>
      <c r="I77" s="27">
        <f>IFERROR(100/'Skjema total MA'!F77*G77,0)</f>
        <v>30.46177212077184</v>
      </c>
      <c r="J77" s="290">
        <f t="shared" si="18"/>
        <v>12829849</v>
      </c>
      <c r="K77" s="44">
        <f t="shared" si="18"/>
        <v>14596109</v>
      </c>
      <c r="L77" s="258">
        <f t="shared" si="19"/>
        <v>13.8</v>
      </c>
      <c r="M77" s="27">
        <f>IFERROR(100/'Skjema total MA'!I77*K77,0)</f>
        <v>31.182459060598632</v>
      </c>
    </row>
    <row r="78" spans="1:14" x14ac:dyDescent="0.2">
      <c r="A78" s="21" t="s">
        <v>9</v>
      </c>
      <c r="B78" s="233">
        <v>1676041</v>
      </c>
      <c r="C78" s="144">
        <v>1798051</v>
      </c>
      <c r="D78" s="165">
        <f t="shared" si="16"/>
        <v>7.3</v>
      </c>
      <c r="E78" s="27">
        <f>IFERROR(100/'Skjema total MA'!C78*C78,0)</f>
        <v>37.831224490864003</v>
      </c>
      <c r="F78" s="233"/>
      <c r="G78" s="144"/>
      <c r="H78" s="165"/>
      <c r="I78" s="27"/>
      <c r="J78" s="290">
        <f t="shared" si="18"/>
        <v>1676041</v>
      </c>
      <c r="K78" s="44">
        <f t="shared" si="18"/>
        <v>1798051</v>
      </c>
      <c r="L78" s="258">
        <f t="shared" si="19"/>
        <v>7.3</v>
      </c>
      <c r="M78" s="27">
        <f>IFERROR(100/'Skjema total MA'!I78*K78,0)</f>
        <v>37.831224490864003</v>
      </c>
    </row>
    <row r="79" spans="1:14" x14ac:dyDescent="0.2">
      <c r="A79" s="38" t="s">
        <v>473</v>
      </c>
      <c r="B79" s="295"/>
      <c r="C79" s="296"/>
      <c r="D79" s="165"/>
      <c r="E79" s="27"/>
      <c r="F79" s="295">
        <v>11153808</v>
      </c>
      <c r="G79" s="296">
        <v>12798058</v>
      </c>
      <c r="H79" s="165">
        <f t="shared" si="17"/>
        <v>14.7</v>
      </c>
      <c r="I79" s="27">
        <f>IFERROR(100/'Skjema total MA'!F79*G79,0)</f>
        <v>30.46177212077184</v>
      </c>
      <c r="J79" s="290">
        <f t="shared" si="18"/>
        <v>11153808</v>
      </c>
      <c r="K79" s="44">
        <f t="shared" si="18"/>
        <v>12798058</v>
      </c>
      <c r="L79" s="258">
        <f t="shared" si="19"/>
        <v>14.7</v>
      </c>
      <c r="M79" s="27">
        <f>IFERROR(100/'Skjema total MA'!I79*K79,0)</f>
        <v>30.431068480701821</v>
      </c>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v>11153808</v>
      </c>
      <c r="G83" s="284">
        <v>12798058</v>
      </c>
      <c r="H83" s="165">
        <f t="shared" ref="H83" si="30">IF(F83=0, "    ---- ", IF(ABS(ROUND(100/F83*G83-100,1))&lt;999,ROUND(100/F83*G83-100,1),IF(ROUND(100/F83*G83-100,1)&gt;999,999,-999)))</f>
        <v>14.7</v>
      </c>
      <c r="I83" s="27">
        <f>IFERROR(100/'Skjema total MA'!F83*G83,0)</f>
        <v>30.46177212077184</v>
      </c>
      <c r="J83" s="290">
        <f t="shared" ref="J83:K83" si="31">SUM(B83,F83)</f>
        <v>11153808</v>
      </c>
      <c r="K83" s="44">
        <f t="shared" si="31"/>
        <v>12798058</v>
      </c>
      <c r="L83" s="258">
        <f t="shared" ref="L83" si="32">IF(J83=0, "    ---- ", IF(ABS(ROUND(100/J83*K83-100,1))&lt;999,ROUND(100/J83*K83-100,1),IF(ROUND(100/J83*K83-100,1)&gt;999,999,-999)))</f>
        <v>14.7</v>
      </c>
      <c r="M83" s="27">
        <f>IFERROR(100/'Skjema total MA'!I83*K83,0)</f>
        <v>30.431068480701821</v>
      </c>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v>11153808</v>
      </c>
      <c r="G85" s="284">
        <v>12798058</v>
      </c>
      <c r="H85" s="165">
        <f t="shared" ref="H85" si="33">IF(F85=0, "    ---- ", IF(ABS(ROUND(100/F85*G85-100,1))&lt;999,ROUND(100/F85*G85-100,1),IF(ROUND(100/F85*G85-100,1)&gt;999,999,-999)))</f>
        <v>14.7</v>
      </c>
      <c r="I85" s="27">
        <f>IFERROR(100/'Skjema total MA'!F85*G85,0)</f>
        <v>30.461780078122775</v>
      </c>
      <c r="J85" s="290">
        <f t="shared" ref="J85:K85" si="34">SUM(B85,F85)</f>
        <v>11153808</v>
      </c>
      <c r="K85" s="44">
        <f t="shared" si="34"/>
        <v>12798058</v>
      </c>
      <c r="L85" s="258">
        <f t="shared" ref="L85" si="35">IF(J85=0, "    ---- ", IF(ABS(ROUND(100/J85*K85-100,1))&lt;999,ROUND(100/J85*K85-100,1),IF(ROUND(100/J85*K85-100,1)&gt;999,999,-999)))</f>
        <v>14.7</v>
      </c>
      <c r="M85" s="27">
        <f>IFERROR(100/'Skjema total MA'!I85*K85,0)</f>
        <v>30.461780078122775</v>
      </c>
    </row>
    <row r="86" spans="1:13" ht="15.75" x14ac:dyDescent="0.2">
      <c r="A86" s="21" t="s">
        <v>444</v>
      </c>
      <c r="B86" s="233">
        <v>21306</v>
      </c>
      <c r="C86" s="144">
        <v>24539.440999999999</v>
      </c>
      <c r="D86" s="165">
        <f t="shared" si="16"/>
        <v>15.2</v>
      </c>
      <c r="E86" s="27">
        <f>IFERROR(100/'Skjema total MA'!C86*C86,0)</f>
        <v>27.442934171422802</v>
      </c>
      <c r="F86" s="233"/>
      <c r="G86" s="144"/>
      <c r="H86" s="165"/>
      <c r="I86" s="27"/>
      <c r="J86" s="290">
        <f t="shared" si="18"/>
        <v>21306</v>
      </c>
      <c r="K86" s="44">
        <f t="shared" si="18"/>
        <v>24539.440999999999</v>
      </c>
      <c r="L86" s="258">
        <f t="shared" si="19"/>
        <v>15.2</v>
      </c>
      <c r="M86" s="27">
        <f>IFERROR(100/'Skjema total MA'!I86*K86,0)</f>
        <v>23.871869423386276</v>
      </c>
    </row>
    <row r="87" spans="1:13" ht="15.75" x14ac:dyDescent="0.2">
      <c r="A87" s="13" t="s">
        <v>426</v>
      </c>
      <c r="B87" s="354">
        <v>157785056</v>
      </c>
      <c r="C87" s="354">
        <v>154780198.48576</v>
      </c>
      <c r="D87" s="170">
        <f t="shared" si="16"/>
        <v>-1.9</v>
      </c>
      <c r="E87" s="11">
        <f>IFERROR(100/'Skjema total MA'!C87*C87,0)</f>
        <v>38.861091683142291</v>
      </c>
      <c r="F87" s="353">
        <v>125884224.02114999</v>
      </c>
      <c r="G87" s="353">
        <v>126942582</v>
      </c>
      <c r="H87" s="170">
        <f t="shared" si="17"/>
        <v>0.8</v>
      </c>
      <c r="I87" s="11">
        <f>IFERROR(100/'Skjema total MA'!F87*G87,0)</f>
        <v>28.659693642502258</v>
      </c>
      <c r="J87" s="312">
        <f t="shared" ref="J87:K111" si="36">SUM(B87,F87)</f>
        <v>283669280.02114999</v>
      </c>
      <c r="K87" s="235">
        <f t="shared" si="36"/>
        <v>281722780.48575997</v>
      </c>
      <c r="L87" s="426">
        <f t="shared" si="19"/>
        <v>-0.7</v>
      </c>
      <c r="M87" s="11">
        <f>IFERROR(100/'Skjema total MA'!I87*K87,0)</f>
        <v>33.489721893664523</v>
      </c>
    </row>
    <row r="88" spans="1:13" x14ac:dyDescent="0.2">
      <c r="A88" s="21" t="s">
        <v>9</v>
      </c>
      <c r="B88" s="233">
        <v>157596680</v>
      </c>
      <c r="C88" s="144">
        <v>154637783</v>
      </c>
      <c r="D88" s="165">
        <f t="shared" si="16"/>
        <v>-1.9</v>
      </c>
      <c r="E88" s="27">
        <f>IFERROR(100/'Skjema total MA'!C88*C88,0)</f>
        <v>40.412658789430324</v>
      </c>
      <c r="F88" s="233"/>
      <c r="G88" s="144"/>
      <c r="H88" s="165"/>
      <c r="I88" s="27"/>
      <c r="J88" s="290">
        <f t="shared" si="36"/>
        <v>157596680</v>
      </c>
      <c r="K88" s="44">
        <f t="shared" si="36"/>
        <v>154637783</v>
      </c>
      <c r="L88" s="258">
        <f t="shared" si="19"/>
        <v>-1.9</v>
      </c>
      <c r="M88" s="27">
        <f>IFERROR(100/'Skjema total MA'!I88*K88,0)</f>
        <v>40.412658789430324</v>
      </c>
    </row>
    <row r="89" spans="1:13" x14ac:dyDescent="0.2">
      <c r="A89" s="21" t="s">
        <v>10</v>
      </c>
      <c r="B89" s="233">
        <v>138054</v>
      </c>
      <c r="C89" s="144">
        <v>89179.381760000004</v>
      </c>
      <c r="D89" s="165">
        <f t="shared" si="16"/>
        <v>-35.4</v>
      </c>
      <c r="E89" s="27">
        <f>IFERROR(100/'Skjema total MA'!C89*C89,0)</f>
        <v>2.6939553801440734</v>
      </c>
      <c r="F89" s="233">
        <v>125884224.02114999</v>
      </c>
      <c r="G89" s="144">
        <v>126942582</v>
      </c>
      <c r="H89" s="165">
        <f t="shared" si="17"/>
        <v>0.8</v>
      </c>
      <c r="I89" s="27">
        <f>IFERROR(100/'Skjema total MA'!F89*G89,0)</f>
        <v>29.018738037262906</v>
      </c>
      <c r="J89" s="290">
        <f t="shared" si="36"/>
        <v>126022278.02114999</v>
      </c>
      <c r="K89" s="44">
        <f t="shared" si="36"/>
        <v>127031761.38176</v>
      </c>
      <c r="L89" s="258">
        <f t="shared" si="19"/>
        <v>0.8</v>
      </c>
      <c r="M89" s="27">
        <f>IFERROR(100/'Skjema total MA'!I89*K89,0)</f>
        <v>28.821024707143703</v>
      </c>
    </row>
    <row r="90" spans="1:13" ht="15.75" x14ac:dyDescent="0.2">
      <c r="A90" s="299" t="s">
        <v>441</v>
      </c>
      <c r="B90" s="284"/>
      <c r="C90" s="284"/>
      <c r="D90" s="165"/>
      <c r="E90" s="416"/>
      <c r="F90" s="284">
        <v>101501</v>
      </c>
      <c r="G90" s="284">
        <v>88081</v>
      </c>
      <c r="H90" s="165">
        <f t="shared" si="17"/>
        <v>-13.2</v>
      </c>
      <c r="I90" s="27">
        <f>IFERROR(100/'Skjema total MA'!F90*G90,0)</f>
        <v>86.732169915096492</v>
      </c>
      <c r="J90" s="290">
        <f t="shared" si="36"/>
        <v>101501</v>
      </c>
      <c r="K90" s="44">
        <f t="shared" si="36"/>
        <v>88081</v>
      </c>
      <c r="L90" s="258">
        <f t="shared" si="19"/>
        <v>-13.2</v>
      </c>
      <c r="M90" s="27">
        <f>IFERROR(100/'Skjema total MA'!I90*K90,0)</f>
        <v>86.732169915096492</v>
      </c>
    </row>
    <row r="91" spans="1:13" x14ac:dyDescent="0.2">
      <c r="A91" s="299" t="s">
        <v>12</v>
      </c>
      <c r="B91" s="234"/>
      <c r="C91" s="292"/>
      <c r="D91" s="165"/>
      <c r="E91" s="416"/>
      <c r="F91" s="284">
        <v>101501</v>
      </c>
      <c r="G91" s="284">
        <v>88081</v>
      </c>
      <c r="H91" s="165">
        <f t="shared" si="17"/>
        <v>-13.2</v>
      </c>
      <c r="I91" s="27">
        <f>IFERROR(100/'Skjema total MA'!F91*G91,0)</f>
        <v>100</v>
      </c>
      <c r="J91" s="290">
        <f t="shared" si="36"/>
        <v>101501</v>
      </c>
      <c r="K91" s="44">
        <f t="shared" si="36"/>
        <v>88081</v>
      </c>
      <c r="L91" s="258">
        <f t="shared" si="19"/>
        <v>-13.2</v>
      </c>
      <c r="M91" s="27">
        <f>IFERROR(100/'Skjema total MA'!I91*K91,0)</f>
        <v>100</v>
      </c>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v>138054</v>
      </c>
      <c r="C93" s="284">
        <v>89179.381760000004</v>
      </c>
      <c r="D93" s="165">
        <f t="shared" ref="D93" si="37">IF(B93=0, "    ---- ", IF(ABS(ROUND(100/B93*C93-100,1))&lt;999,ROUND(100/B93*C93-100,1),IF(ROUND(100/B93*C93-100,1)&gt;999,999,-999)))</f>
        <v>-35.4</v>
      </c>
      <c r="E93" s="27">
        <f>IFERROR(100/'Skjema total MA'!C93*C93,0)</f>
        <v>2.6939553801440734</v>
      </c>
      <c r="F93" s="284">
        <v>125782723.02114999</v>
      </c>
      <c r="G93" s="284">
        <v>126854501</v>
      </c>
      <c r="H93" s="165">
        <f t="shared" ref="H93" si="38">IF(F93=0, "    ---- ", IF(ABS(ROUND(100/F93*G93-100,1))&lt;999,ROUND(100/F93*G93-100,1),IF(ROUND(100/F93*G93-100,1)&gt;999,999,-999)))</f>
        <v>0.9</v>
      </c>
      <c r="I93" s="27">
        <f>IFERROR(100/'Skjema total MA'!F93*G93,0)</f>
        <v>29.005336613093451</v>
      </c>
      <c r="J93" s="290">
        <f t="shared" ref="J93:K93" si="39">SUM(B93,F93)</f>
        <v>125920777.02114999</v>
      </c>
      <c r="K93" s="44">
        <f t="shared" si="39"/>
        <v>126943680.38176</v>
      </c>
      <c r="L93" s="258">
        <f t="shared" ref="L93" si="40">IF(J93=0, "    ---- ", IF(ABS(ROUND(100/J93*K93-100,1))&lt;999,ROUND(100/J93*K93-100,1),IF(ROUND(100/J93*K93-100,1)&gt;999,999,-999)))</f>
        <v>0.8</v>
      </c>
      <c r="M93" s="27">
        <f>IFERROR(100/'Skjema total MA'!I93*K93,0)</f>
        <v>28.807678392705288</v>
      </c>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v>125782723.02114999</v>
      </c>
      <c r="G95" s="284">
        <v>126854501</v>
      </c>
      <c r="H95" s="165">
        <f t="shared" ref="H95" si="41">IF(F95=0, "    ---- ", IF(ABS(ROUND(100/F95*G95-100,1))&lt;999,ROUND(100/F95*G95-100,1),IF(ROUND(100/F95*G95-100,1)&gt;999,999,-999)))</f>
        <v>0.9</v>
      </c>
      <c r="I95" s="27">
        <f>IFERROR(100/'Skjema total MA'!F95*G95,0)</f>
        <v>29.006756273770641</v>
      </c>
      <c r="J95" s="290">
        <f t="shared" ref="J95:K95" si="42">SUM(B95,F95)</f>
        <v>125782723.02114999</v>
      </c>
      <c r="K95" s="44">
        <f t="shared" si="42"/>
        <v>126854501</v>
      </c>
      <c r="L95" s="258">
        <f t="shared" ref="L95" si="43">IF(J95=0, "    ---- ", IF(ABS(ROUND(100/J95*K95-100,1))&lt;999,ROUND(100/J95*K95-100,1),IF(ROUND(100/J95*K95-100,1)&gt;999,999,-999)))</f>
        <v>0.9</v>
      </c>
      <c r="M95" s="27">
        <f>IFERROR(100/'Skjema total MA'!I95*K95,0)</f>
        <v>29.006756273770641</v>
      </c>
    </row>
    <row r="96" spans="1:13" x14ac:dyDescent="0.2">
      <c r="A96" s="21" t="s">
        <v>333</v>
      </c>
      <c r="B96" s="233"/>
      <c r="C96" s="144"/>
      <c r="D96" s="165"/>
      <c r="E96" s="27"/>
      <c r="F96" s="233"/>
      <c r="G96" s="144"/>
      <c r="H96" s="165"/>
      <c r="I96" s="27"/>
      <c r="J96" s="290"/>
      <c r="K96" s="44"/>
      <c r="L96" s="258"/>
      <c r="M96" s="27"/>
    </row>
    <row r="97" spans="1:15" x14ac:dyDescent="0.2">
      <c r="A97" s="21" t="s">
        <v>332</v>
      </c>
      <c r="B97" s="233">
        <v>50322</v>
      </c>
      <c r="C97" s="144">
        <v>53236.103999999999</v>
      </c>
      <c r="D97" s="165">
        <f t="shared" ref="D97" si="44">IF(B97=0, "    ---- ", IF(ABS(ROUND(100/B97*C97-100,1))&lt;999,ROUND(100/B97*C97-100,1),IF(ROUND(100/B97*C97-100,1)&gt;999,999,-999)))</f>
        <v>5.8</v>
      </c>
      <c r="E97" s="27">
        <f>IFERROR(100/'Skjema total MA'!C98*C97,0)</f>
        <v>1.3953939757844668E-2</v>
      </c>
      <c r="F97" s="233"/>
      <c r="G97" s="144"/>
      <c r="H97" s="165"/>
      <c r="I97" s="27"/>
      <c r="J97" s="290">
        <f t="shared" ref="J97" si="45">SUM(B97,F97)</f>
        <v>50322</v>
      </c>
      <c r="K97" s="44">
        <f t="shared" ref="K97" si="46">SUM(C97,G97)</f>
        <v>53236.103999999999</v>
      </c>
      <c r="L97" s="258">
        <f t="shared" ref="L97" si="47">IF(J97=0, "    ---- ", IF(ABS(ROUND(100/J97*K97-100,1))&lt;999,ROUND(100/J97*K97-100,1),IF(ROUND(100/J97*K97-100,1)&gt;999,999,-999)))</f>
        <v>5.8</v>
      </c>
      <c r="M97" s="27">
        <f>IFERROR(100/'Skjema total MA'!I98*K97,0)</f>
        <v>6.5020558688383915E-3</v>
      </c>
    </row>
    <row r="98" spans="1:15" ht="15.75" x14ac:dyDescent="0.2">
      <c r="A98" s="21" t="s">
        <v>443</v>
      </c>
      <c r="B98" s="233">
        <v>156603938</v>
      </c>
      <c r="C98" s="233">
        <v>153590806</v>
      </c>
      <c r="D98" s="165">
        <f t="shared" si="16"/>
        <v>-1.9</v>
      </c>
      <c r="E98" s="27">
        <f>IFERROR(100/'Skjema total MA'!C98*C98,0)</f>
        <v>40.258333973553121</v>
      </c>
      <c r="F98" s="295">
        <v>125782723.02114999</v>
      </c>
      <c r="G98" s="295">
        <v>126854501</v>
      </c>
      <c r="H98" s="165">
        <f t="shared" si="17"/>
        <v>0.9</v>
      </c>
      <c r="I98" s="27">
        <f>IFERROR(100/'Skjema total MA'!F98*G98,0)</f>
        <v>29.012227723815986</v>
      </c>
      <c r="J98" s="290">
        <f t="shared" si="36"/>
        <v>282386661.02114999</v>
      </c>
      <c r="K98" s="44">
        <f t="shared" si="36"/>
        <v>280445307</v>
      </c>
      <c r="L98" s="258">
        <f t="shared" si="19"/>
        <v>-0.7</v>
      </c>
      <c r="M98" s="27">
        <f>IFERROR(100/'Skjema total MA'!I98*K98,0)</f>
        <v>34.252526335652483</v>
      </c>
    </row>
    <row r="99" spans="1:15" x14ac:dyDescent="0.2">
      <c r="A99" s="21" t="s">
        <v>9</v>
      </c>
      <c r="B99" s="295">
        <v>156465884</v>
      </c>
      <c r="C99" s="296">
        <v>153501627</v>
      </c>
      <c r="D99" s="165">
        <f t="shared" si="16"/>
        <v>-1.9</v>
      </c>
      <c r="E99" s="27">
        <f>IFERROR(100/'Skjema total MA'!C99*C99,0)</f>
        <v>40.587129348738081</v>
      </c>
      <c r="F99" s="233"/>
      <c r="G99" s="144"/>
      <c r="H99" s="165"/>
      <c r="I99" s="27"/>
      <c r="J99" s="290">
        <f t="shared" si="36"/>
        <v>156465884</v>
      </c>
      <c r="K99" s="44">
        <f t="shared" si="36"/>
        <v>153501627</v>
      </c>
      <c r="L99" s="258">
        <f t="shared" si="19"/>
        <v>-1.9</v>
      </c>
      <c r="M99" s="27">
        <f>IFERROR(100/'Skjema total MA'!I99*K99,0)</f>
        <v>40.587129348738081</v>
      </c>
    </row>
    <row r="100" spans="1:15" x14ac:dyDescent="0.2">
      <c r="A100" s="38" t="s">
        <v>473</v>
      </c>
      <c r="B100" s="295">
        <v>138054</v>
      </c>
      <c r="C100" s="296">
        <v>89179</v>
      </c>
      <c r="D100" s="165">
        <f t="shared" si="16"/>
        <v>-35.4</v>
      </c>
      <c r="E100" s="27">
        <f>IFERROR(100/'Skjema total MA'!C100*C100,0)</f>
        <v>2.6939441585066479</v>
      </c>
      <c r="F100" s="233">
        <v>125782723.02114999</v>
      </c>
      <c r="G100" s="233">
        <v>126854501</v>
      </c>
      <c r="H100" s="165">
        <f t="shared" si="17"/>
        <v>0.9</v>
      </c>
      <c r="I100" s="27">
        <f>IFERROR(100/'Skjema total MA'!F100*G100,0)</f>
        <v>29.012227723815986</v>
      </c>
      <c r="J100" s="290">
        <f t="shared" si="36"/>
        <v>125920777.02114999</v>
      </c>
      <c r="K100" s="44">
        <f t="shared" si="36"/>
        <v>126943680</v>
      </c>
      <c r="L100" s="258">
        <f t="shared" si="19"/>
        <v>0.8</v>
      </c>
      <c r="M100" s="27">
        <f>IFERROR(100/'Skjema total MA'!I100*K100,0)</f>
        <v>28.814471054708335</v>
      </c>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v>138054</v>
      </c>
      <c r="C104" s="284">
        <v>89179</v>
      </c>
      <c r="D104" s="165">
        <f t="shared" ref="D104" si="48">IF(B104=0, "    ---- ", IF(ABS(ROUND(100/B104*C104-100,1))&lt;999,ROUND(100/B104*C104-100,1),IF(ROUND(100/B104*C104-100,1)&gt;999,999,-999)))</f>
        <v>-35.4</v>
      </c>
      <c r="E104" s="27">
        <f>IFERROR(100/'Skjema total MA'!C104*C104,0)</f>
        <v>2.6939441585066479</v>
      </c>
      <c r="F104" s="284">
        <v>125782723.02114999</v>
      </c>
      <c r="G104" s="284">
        <v>126854501</v>
      </c>
      <c r="H104" s="165">
        <f t="shared" ref="H104" si="49">IF(F104=0, "    ---- ", IF(ABS(ROUND(100/F104*G104-100,1))&lt;999,ROUND(100/F104*G104-100,1),IF(ROUND(100/F104*G104-100,1)&gt;999,999,-999)))</f>
        <v>0.9</v>
      </c>
      <c r="I104" s="27">
        <f>IFERROR(100/'Skjema total MA'!F104*G104,0)</f>
        <v>29.012227723815986</v>
      </c>
      <c r="J104" s="290">
        <f t="shared" ref="J104:K104" si="50">SUM(B104,F104)</f>
        <v>125920777.02114999</v>
      </c>
      <c r="K104" s="44">
        <f t="shared" si="50"/>
        <v>126943680</v>
      </c>
      <c r="L104" s="258">
        <f t="shared" ref="L104" si="51">IF(J104=0, "    ---- ", IF(ABS(ROUND(100/J104*K104-100,1))&lt;999,ROUND(100/J104*K104-100,1),IF(ROUND(100/J104*K104-100,1)&gt;999,999,-999)))</f>
        <v>0.8</v>
      </c>
      <c r="M104" s="27">
        <f>IFERROR(100/'Skjema total MA'!I104*K104,0)</f>
        <v>28.814471054708335</v>
      </c>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v>125782723.02114999</v>
      </c>
      <c r="G106" s="284">
        <v>126854501</v>
      </c>
      <c r="H106" s="165">
        <f t="shared" ref="H106" si="52">IF(F106=0, "    ---- ", IF(ABS(ROUND(100/F106*G106-100,1))&lt;999,ROUND(100/F106*G106-100,1),IF(ROUND(100/F106*G106-100,1)&gt;999,999,-999)))</f>
        <v>0.9</v>
      </c>
      <c r="I106" s="27">
        <f>IFERROR(100/'Skjema total MA'!F106*G106,0)</f>
        <v>29.012234883743918</v>
      </c>
      <c r="J106" s="290">
        <f t="shared" ref="J106:K106" si="53">SUM(B106,F106)</f>
        <v>125782723.02114999</v>
      </c>
      <c r="K106" s="44">
        <f t="shared" si="53"/>
        <v>126854501</v>
      </c>
      <c r="L106" s="258">
        <f t="shared" ref="L106" si="54">IF(J106=0, "    ---- ", IF(ABS(ROUND(100/J106*K106-100,1))&lt;999,ROUND(100/J106*K106-100,1),IF(ROUND(100/J106*K106-100,1)&gt;999,999,-999)))</f>
        <v>0.9</v>
      </c>
      <c r="M106" s="27">
        <f>IFERROR(100/'Skjema total MA'!I106*K106,0)</f>
        <v>29.012234883743918</v>
      </c>
    </row>
    <row r="107" spans="1:15" ht="15.75" x14ac:dyDescent="0.2">
      <c r="A107" s="21" t="s">
        <v>444</v>
      </c>
      <c r="B107" s="233">
        <v>1130795.58</v>
      </c>
      <c r="C107" s="144">
        <v>1136156</v>
      </c>
      <c r="D107" s="165">
        <f t="shared" si="16"/>
        <v>0.5</v>
      </c>
      <c r="E107" s="27">
        <f>IFERROR(100/'Skjema total MA'!C107*C107,0)</f>
        <v>25.565072387668661</v>
      </c>
      <c r="F107" s="233">
        <v>101501</v>
      </c>
      <c r="G107" s="144">
        <v>88081</v>
      </c>
      <c r="H107" s="165">
        <f t="shared" si="17"/>
        <v>-13.2</v>
      </c>
      <c r="I107" s="27">
        <f>IFERROR(100/'Skjema total MA'!F107*G107,0)</f>
        <v>47.828998371850531</v>
      </c>
      <c r="J107" s="290">
        <f t="shared" si="36"/>
        <v>1232296.58</v>
      </c>
      <c r="K107" s="44">
        <f t="shared" si="36"/>
        <v>1224237</v>
      </c>
      <c r="L107" s="258">
        <f t="shared" si="19"/>
        <v>-0.7</v>
      </c>
      <c r="M107" s="27">
        <f>IFERROR(100/'Skjema total MA'!I107*K107,0)</f>
        <v>26.450938914150633</v>
      </c>
    </row>
    <row r="108" spans="1:15" ht="15.75" x14ac:dyDescent="0.2">
      <c r="A108" s="21" t="s">
        <v>445</v>
      </c>
      <c r="B108" s="233">
        <v>140018824.312125</v>
      </c>
      <c r="C108" s="233">
        <v>135107431</v>
      </c>
      <c r="D108" s="165">
        <f t="shared" si="16"/>
        <v>-3.5</v>
      </c>
      <c r="E108" s="27">
        <f>IFERROR(100/'Skjema total MA'!C108*C108,0)</f>
        <v>41.117895960868161</v>
      </c>
      <c r="F108" s="233">
        <v>943605</v>
      </c>
      <c r="G108" s="233">
        <v>908545</v>
      </c>
      <c r="H108" s="165">
        <f t="shared" si="17"/>
        <v>-3.7</v>
      </c>
      <c r="I108" s="27">
        <f>IFERROR(100/'Skjema total MA'!F108*G108,0)</f>
        <v>4.7247156947108762</v>
      </c>
      <c r="J108" s="290">
        <f t="shared" si="36"/>
        <v>140962429.312125</v>
      </c>
      <c r="K108" s="44">
        <f t="shared" si="36"/>
        <v>136015976</v>
      </c>
      <c r="L108" s="258">
        <f t="shared" si="19"/>
        <v>-3.5</v>
      </c>
      <c r="M108" s="27">
        <f>IFERROR(100/'Skjema total MA'!I108*K108,0)</f>
        <v>39.10582937087792</v>
      </c>
    </row>
    <row r="109" spans="1:15" ht="15.75" x14ac:dyDescent="0.2">
      <c r="A109" s="38" t="s">
        <v>481</v>
      </c>
      <c r="B109" s="233">
        <v>138054</v>
      </c>
      <c r="C109" s="233">
        <v>89179</v>
      </c>
      <c r="D109" s="165">
        <f t="shared" si="16"/>
        <v>-35.4</v>
      </c>
      <c r="E109" s="27">
        <f>IFERROR(100/'Skjema total MA'!C109*C109,0)</f>
        <v>4.93818629462967</v>
      </c>
      <c r="F109" s="233">
        <v>43130019</v>
      </c>
      <c r="G109" s="233">
        <v>46728023</v>
      </c>
      <c r="H109" s="165">
        <f t="shared" si="17"/>
        <v>8.3000000000000007</v>
      </c>
      <c r="I109" s="27">
        <f>IFERROR(100/'Skjema total MA'!F109*G109,0)</f>
        <v>29.270712299954365</v>
      </c>
      <c r="J109" s="290">
        <f t="shared" si="36"/>
        <v>43268073</v>
      </c>
      <c r="K109" s="44">
        <f t="shared" si="36"/>
        <v>46817202</v>
      </c>
      <c r="L109" s="258">
        <f t="shared" si="19"/>
        <v>8.1999999999999993</v>
      </c>
      <c r="M109" s="27">
        <f>IFERROR(100/'Skjema total MA'!I109*K109,0)</f>
        <v>28.998534362839237</v>
      </c>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v>328205.85638999997</v>
      </c>
      <c r="C111" s="158">
        <v>294761</v>
      </c>
      <c r="D111" s="170">
        <f t="shared" si="16"/>
        <v>-10.199999999999999</v>
      </c>
      <c r="E111" s="11">
        <f>IFERROR(100/'Skjema total MA'!C111*C111,0)</f>
        <v>38.007471896199561</v>
      </c>
      <c r="F111" s="311">
        <v>30639878</v>
      </c>
      <c r="G111" s="158">
        <v>13790407.086999999</v>
      </c>
      <c r="H111" s="170">
        <f t="shared" si="17"/>
        <v>-55</v>
      </c>
      <c r="I111" s="11">
        <f>IFERROR(100/'Skjema total MA'!F111*G111,0)</f>
        <v>33.960709380466014</v>
      </c>
      <c r="J111" s="312">
        <f t="shared" si="36"/>
        <v>30968083.856389999</v>
      </c>
      <c r="K111" s="235">
        <f t="shared" si="36"/>
        <v>14085168.086999999</v>
      </c>
      <c r="L111" s="426">
        <f t="shared" si="19"/>
        <v>-54.5</v>
      </c>
      <c r="M111" s="11">
        <f>IFERROR(100/'Skjema total MA'!I111*K111,0)</f>
        <v>34.036548316943225</v>
      </c>
    </row>
    <row r="112" spans="1:15" x14ac:dyDescent="0.2">
      <c r="A112" s="21" t="s">
        <v>9</v>
      </c>
      <c r="B112" s="233">
        <v>328205.85638999997</v>
      </c>
      <c r="C112" s="144">
        <v>294761</v>
      </c>
      <c r="D112" s="165">
        <f t="shared" ref="D112:D124" si="55">IF(B112=0, "    ---- ", IF(ABS(ROUND(100/B112*C112-100,1))&lt;999,ROUND(100/B112*C112-100,1),IF(ROUND(100/B112*C112-100,1)&gt;999,999,-999)))</f>
        <v>-10.199999999999999</v>
      </c>
      <c r="E112" s="27">
        <f>IFERROR(100/'Skjema total MA'!C112*C112,0)</f>
        <v>61.38916805351969</v>
      </c>
      <c r="F112" s="233"/>
      <c r="G112" s="144"/>
      <c r="H112" s="165"/>
      <c r="I112" s="27"/>
      <c r="J112" s="290">
        <f t="shared" ref="J112:K125" si="56">SUM(B112,F112)</f>
        <v>328205.85638999997</v>
      </c>
      <c r="K112" s="44">
        <f t="shared" si="56"/>
        <v>294761</v>
      </c>
      <c r="L112" s="258">
        <f t="shared" ref="L112:L125" si="57">IF(J112=0, "    ---- ", IF(ABS(ROUND(100/J112*K112-100,1))&lt;999,ROUND(100/J112*K112-100,1),IF(ROUND(100/J112*K112-100,1)&gt;999,999,-999)))</f>
        <v>-10.199999999999999</v>
      </c>
      <c r="M112" s="27">
        <f>IFERROR(100/'Skjema total MA'!I112*K112,0)</f>
        <v>60.820894406891036</v>
      </c>
    </row>
    <row r="113" spans="1:14" x14ac:dyDescent="0.2">
      <c r="A113" s="21" t="s">
        <v>10</v>
      </c>
      <c r="B113" s="233"/>
      <c r="C113" s="144"/>
      <c r="D113" s="165"/>
      <c r="E113" s="27"/>
      <c r="F113" s="233">
        <v>30639878</v>
      </c>
      <c r="G113" s="144">
        <v>13790407.086999999</v>
      </c>
      <c r="H113" s="165">
        <f t="shared" ref="H113:H125" si="58">IF(F113=0, "    ---- ", IF(ABS(ROUND(100/F113*G113-100,1))&lt;999,ROUND(100/F113*G113-100,1),IF(ROUND(100/F113*G113-100,1)&gt;999,999,-999)))</f>
        <v>-55</v>
      </c>
      <c r="I113" s="27">
        <f>IFERROR(100/'Skjema total MA'!F113*G113,0)</f>
        <v>33.965348877416119</v>
      </c>
      <c r="J113" s="290">
        <f t="shared" si="56"/>
        <v>30639878</v>
      </c>
      <c r="K113" s="44">
        <f t="shared" si="56"/>
        <v>13790407.086999999</v>
      </c>
      <c r="L113" s="258">
        <f t="shared" si="57"/>
        <v>-55</v>
      </c>
      <c r="M113" s="27">
        <f>IFERROR(100/'Skjema total MA'!I113*K113,0)</f>
        <v>33.965197492388363</v>
      </c>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v>77244</v>
      </c>
      <c r="C116" s="233">
        <v>61150</v>
      </c>
      <c r="D116" s="165">
        <f t="shared" si="55"/>
        <v>-20.8</v>
      </c>
      <c r="E116" s="27">
        <f>IFERROR(100/'Skjema total MA'!C116*C116,0)</f>
        <v>53.138124747496143</v>
      </c>
      <c r="F116" s="233"/>
      <c r="G116" s="233"/>
      <c r="H116" s="165"/>
      <c r="I116" s="27"/>
      <c r="J116" s="290">
        <f t="shared" si="56"/>
        <v>77244</v>
      </c>
      <c r="K116" s="44">
        <f t="shared" si="56"/>
        <v>61150</v>
      </c>
      <c r="L116" s="258">
        <f t="shared" si="57"/>
        <v>-20.8</v>
      </c>
      <c r="M116" s="27">
        <f>IFERROR(100/'Skjema total MA'!I116*K116,0)</f>
        <v>51.144286714386226</v>
      </c>
    </row>
    <row r="117" spans="1:14" ht="15.75" x14ac:dyDescent="0.2">
      <c r="A117" s="38" t="s">
        <v>481</v>
      </c>
      <c r="B117" s="233"/>
      <c r="C117" s="233"/>
      <c r="D117" s="165"/>
      <c r="E117" s="27"/>
      <c r="F117" s="233">
        <v>25672480.656199999</v>
      </c>
      <c r="G117" s="233">
        <v>9213393</v>
      </c>
      <c r="H117" s="165">
        <f t="shared" si="58"/>
        <v>-64.099999999999994</v>
      </c>
      <c r="I117" s="27">
        <f>IFERROR(100/'Skjema total MA'!F117*G117,0)</f>
        <v>40.15926761405062</v>
      </c>
      <c r="J117" s="290">
        <f t="shared" si="56"/>
        <v>25672480.656199999</v>
      </c>
      <c r="K117" s="44">
        <f t="shared" si="56"/>
        <v>9213393</v>
      </c>
      <c r="L117" s="258">
        <f t="shared" si="57"/>
        <v>-64.099999999999994</v>
      </c>
      <c r="M117" s="27">
        <f>IFERROR(100/'Skjema total MA'!I117*K117,0)</f>
        <v>40.158950848216463</v>
      </c>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v>98189</v>
      </c>
      <c r="C119" s="158">
        <v>130780</v>
      </c>
      <c r="D119" s="170">
        <f t="shared" si="55"/>
        <v>33.200000000000003</v>
      </c>
      <c r="E119" s="11">
        <f>IFERROR(100/'Skjema total MA'!C119*C119,0)</f>
        <v>21.042063616466141</v>
      </c>
      <c r="F119" s="311">
        <v>31915445</v>
      </c>
      <c r="G119" s="158">
        <v>13210031</v>
      </c>
      <c r="H119" s="170">
        <f t="shared" si="58"/>
        <v>-58.6</v>
      </c>
      <c r="I119" s="11">
        <f>IFERROR(100/'Skjema total MA'!F119*G119,0)</f>
        <v>30.680151904233096</v>
      </c>
      <c r="J119" s="312">
        <f t="shared" si="56"/>
        <v>32013634</v>
      </c>
      <c r="K119" s="235">
        <f t="shared" si="56"/>
        <v>13340811</v>
      </c>
      <c r="L119" s="426">
        <f t="shared" si="57"/>
        <v>-58.3</v>
      </c>
      <c r="M119" s="11">
        <f>IFERROR(100/'Skjema total MA'!I119*K119,0)</f>
        <v>30.543008952699765</v>
      </c>
    </row>
    <row r="120" spans="1:14" x14ac:dyDescent="0.2">
      <c r="A120" s="21" t="s">
        <v>9</v>
      </c>
      <c r="B120" s="233">
        <v>98189</v>
      </c>
      <c r="C120" s="144">
        <v>130780</v>
      </c>
      <c r="D120" s="165">
        <f t="shared" si="55"/>
        <v>33.200000000000003</v>
      </c>
      <c r="E120" s="27">
        <f>IFERROR(100/'Skjema total MA'!C120*C120,0)</f>
        <v>59.961649397430222</v>
      </c>
      <c r="F120" s="233"/>
      <c r="G120" s="144"/>
      <c r="H120" s="165"/>
      <c r="I120" s="27"/>
      <c r="J120" s="290">
        <f t="shared" si="56"/>
        <v>98189</v>
      </c>
      <c r="K120" s="44">
        <f t="shared" si="56"/>
        <v>130780</v>
      </c>
      <c r="L120" s="258">
        <f t="shared" si="57"/>
        <v>33.200000000000003</v>
      </c>
      <c r="M120" s="27">
        <f>IFERROR(100/'Skjema total MA'!I120*K120,0)</f>
        <v>59.961649397430222</v>
      </c>
    </row>
    <row r="121" spans="1:14" x14ac:dyDescent="0.2">
      <c r="A121" s="21" t="s">
        <v>10</v>
      </c>
      <c r="B121" s="233"/>
      <c r="C121" s="144"/>
      <c r="D121" s="165"/>
      <c r="E121" s="27"/>
      <c r="F121" s="233">
        <v>31915445</v>
      </c>
      <c r="G121" s="144">
        <v>13210031</v>
      </c>
      <c r="H121" s="165">
        <f t="shared" si="58"/>
        <v>-58.6</v>
      </c>
      <c r="I121" s="27">
        <f>IFERROR(100/'Skjema total MA'!F121*G121,0)</f>
        <v>30.680151904233096</v>
      </c>
      <c r="J121" s="290">
        <f t="shared" si="56"/>
        <v>31915445</v>
      </c>
      <c r="K121" s="44">
        <f t="shared" si="56"/>
        <v>13210031</v>
      </c>
      <c r="L121" s="258">
        <f t="shared" si="57"/>
        <v>-58.6</v>
      </c>
      <c r="M121" s="27">
        <f>IFERROR(100/'Skjema total MA'!I121*K121,0)</f>
        <v>30.674332955576727</v>
      </c>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v>31897</v>
      </c>
      <c r="C124" s="233">
        <v>63292</v>
      </c>
      <c r="D124" s="165">
        <f t="shared" si="55"/>
        <v>98.4</v>
      </c>
      <c r="E124" s="27">
        <f>IFERROR(100/'Skjema total MA'!C124*C124,0)</f>
        <v>96.778090218366913</v>
      </c>
      <c r="F124" s="233"/>
      <c r="G124" s="233"/>
      <c r="H124" s="165"/>
      <c r="I124" s="27"/>
      <c r="J124" s="290">
        <f t="shared" si="56"/>
        <v>31897</v>
      </c>
      <c r="K124" s="44">
        <f t="shared" si="56"/>
        <v>63292</v>
      </c>
      <c r="L124" s="258">
        <f t="shared" si="57"/>
        <v>98.4</v>
      </c>
      <c r="M124" s="27">
        <f>IFERROR(100/'Skjema total MA'!I124*K124,0)</f>
        <v>79.836545735087768</v>
      </c>
    </row>
    <row r="125" spans="1:14" ht="15.75" x14ac:dyDescent="0.2">
      <c r="A125" s="38" t="s">
        <v>481</v>
      </c>
      <c r="B125" s="233"/>
      <c r="C125" s="233"/>
      <c r="D125" s="165"/>
      <c r="E125" s="27"/>
      <c r="F125" s="233">
        <v>26178536.009830002</v>
      </c>
      <c r="G125" s="233">
        <v>9419437</v>
      </c>
      <c r="H125" s="165">
        <f t="shared" si="58"/>
        <v>-64</v>
      </c>
      <c r="I125" s="27">
        <f>IFERROR(100/'Skjema total MA'!F125*G125,0)</f>
        <v>41.959573191999496</v>
      </c>
      <c r="J125" s="290">
        <f t="shared" si="56"/>
        <v>26178536.009830002</v>
      </c>
      <c r="K125" s="44">
        <f t="shared" si="56"/>
        <v>9419437</v>
      </c>
      <c r="L125" s="258">
        <f t="shared" si="57"/>
        <v>-64</v>
      </c>
      <c r="M125" s="27">
        <f>IFERROR(100/'Skjema total MA'!I125*K125,0)</f>
        <v>41.95796207244782</v>
      </c>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357" priority="132">
      <formula>kvartal &lt; 4</formula>
    </cfRule>
  </conditionalFormatting>
  <conditionalFormatting sqref="B69">
    <cfRule type="expression" dxfId="2356" priority="100">
      <formula>kvartal &lt; 4</formula>
    </cfRule>
  </conditionalFormatting>
  <conditionalFormatting sqref="C69">
    <cfRule type="expression" dxfId="2355" priority="99">
      <formula>kvartal &lt; 4</formula>
    </cfRule>
  </conditionalFormatting>
  <conditionalFormatting sqref="B72">
    <cfRule type="expression" dxfId="2354" priority="98">
      <formula>kvartal &lt; 4</formula>
    </cfRule>
  </conditionalFormatting>
  <conditionalFormatting sqref="C72">
    <cfRule type="expression" dxfId="2353" priority="97">
      <formula>kvartal &lt; 4</formula>
    </cfRule>
  </conditionalFormatting>
  <conditionalFormatting sqref="B80">
    <cfRule type="expression" dxfId="2352" priority="96">
      <formula>kvartal &lt; 4</formula>
    </cfRule>
  </conditionalFormatting>
  <conditionalFormatting sqref="C80">
    <cfRule type="expression" dxfId="2351" priority="95">
      <formula>kvartal &lt; 4</formula>
    </cfRule>
  </conditionalFormatting>
  <conditionalFormatting sqref="B83">
    <cfRule type="expression" dxfId="2350" priority="94">
      <formula>kvartal &lt; 4</formula>
    </cfRule>
  </conditionalFormatting>
  <conditionalFormatting sqref="C83">
    <cfRule type="expression" dxfId="2349" priority="93">
      <formula>kvartal &lt; 4</formula>
    </cfRule>
  </conditionalFormatting>
  <conditionalFormatting sqref="B90">
    <cfRule type="expression" dxfId="2348" priority="84">
      <formula>kvartal &lt; 4</formula>
    </cfRule>
  </conditionalFormatting>
  <conditionalFormatting sqref="C90">
    <cfRule type="expression" dxfId="2347" priority="83">
      <formula>kvartal &lt; 4</formula>
    </cfRule>
  </conditionalFormatting>
  <conditionalFormatting sqref="B93">
    <cfRule type="expression" dxfId="2346" priority="82">
      <formula>kvartal &lt; 4</formula>
    </cfRule>
  </conditionalFormatting>
  <conditionalFormatting sqref="C93">
    <cfRule type="expression" dxfId="2345" priority="81">
      <formula>kvartal &lt; 4</formula>
    </cfRule>
  </conditionalFormatting>
  <conditionalFormatting sqref="B101">
    <cfRule type="expression" dxfId="2344" priority="80">
      <formula>kvartal &lt; 4</formula>
    </cfRule>
  </conditionalFormatting>
  <conditionalFormatting sqref="C101">
    <cfRule type="expression" dxfId="2343" priority="79">
      <formula>kvartal &lt; 4</formula>
    </cfRule>
  </conditionalFormatting>
  <conditionalFormatting sqref="B104">
    <cfRule type="expression" dxfId="2342" priority="78">
      <formula>kvartal &lt; 4</formula>
    </cfRule>
  </conditionalFormatting>
  <conditionalFormatting sqref="C104">
    <cfRule type="expression" dxfId="2341" priority="77">
      <formula>kvartal &lt; 4</formula>
    </cfRule>
  </conditionalFormatting>
  <conditionalFormatting sqref="B115">
    <cfRule type="expression" dxfId="2340" priority="76">
      <formula>kvartal &lt; 4</formula>
    </cfRule>
  </conditionalFormatting>
  <conditionalFormatting sqref="C115">
    <cfRule type="expression" dxfId="2339" priority="75">
      <formula>kvartal &lt; 4</formula>
    </cfRule>
  </conditionalFormatting>
  <conditionalFormatting sqref="B123">
    <cfRule type="expression" dxfId="2338" priority="74">
      <formula>kvartal &lt; 4</formula>
    </cfRule>
  </conditionalFormatting>
  <conditionalFormatting sqref="C123">
    <cfRule type="expression" dxfId="2337" priority="73">
      <formula>kvartal &lt; 4</formula>
    </cfRule>
  </conditionalFormatting>
  <conditionalFormatting sqref="F70">
    <cfRule type="expression" dxfId="2336" priority="72">
      <formula>kvartal &lt; 4</formula>
    </cfRule>
  </conditionalFormatting>
  <conditionalFormatting sqref="G70">
    <cfRule type="expression" dxfId="2335" priority="71">
      <formula>kvartal &lt; 4</formula>
    </cfRule>
  </conditionalFormatting>
  <conditionalFormatting sqref="F71:G71">
    <cfRule type="expression" dxfId="2334" priority="70">
      <formula>kvartal &lt; 4</formula>
    </cfRule>
  </conditionalFormatting>
  <conditionalFormatting sqref="F73:G74">
    <cfRule type="expression" dxfId="2333" priority="69">
      <formula>kvartal &lt; 4</formula>
    </cfRule>
  </conditionalFormatting>
  <conditionalFormatting sqref="F81:G82">
    <cfRule type="expression" dxfId="2332" priority="68">
      <formula>kvartal &lt; 4</formula>
    </cfRule>
  </conditionalFormatting>
  <conditionalFormatting sqref="F84:G85">
    <cfRule type="expression" dxfId="2331" priority="67">
      <formula>kvartal &lt; 4</formula>
    </cfRule>
  </conditionalFormatting>
  <conditionalFormatting sqref="F91:G92">
    <cfRule type="expression" dxfId="2330" priority="62">
      <formula>kvartal &lt; 4</formula>
    </cfRule>
  </conditionalFormatting>
  <conditionalFormatting sqref="F94:G95">
    <cfRule type="expression" dxfId="2329" priority="61">
      <formula>kvartal &lt; 4</formula>
    </cfRule>
  </conditionalFormatting>
  <conditionalFormatting sqref="F102:G103">
    <cfRule type="expression" dxfId="2328" priority="60">
      <formula>kvartal &lt; 4</formula>
    </cfRule>
  </conditionalFormatting>
  <conditionalFormatting sqref="F105:G106">
    <cfRule type="expression" dxfId="2327" priority="59">
      <formula>kvartal &lt; 4</formula>
    </cfRule>
  </conditionalFormatting>
  <conditionalFormatting sqref="F115">
    <cfRule type="expression" dxfId="2326" priority="58">
      <formula>kvartal &lt; 4</formula>
    </cfRule>
  </conditionalFormatting>
  <conditionalFormatting sqref="G115">
    <cfRule type="expression" dxfId="2325" priority="57">
      <formula>kvartal &lt; 4</formula>
    </cfRule>
  </conditionalFormatting>
  <conditionalFormatting sqref="F123:G123">
    <cfRule type="expression" dxfId="2324" priority="56">
      <formula>kvartal &lt; 4</formula>
    </cfRule>
  </conditionalFormatting>
  <conditionalFormatting sqref="F69:G69">
    <cfRule type="expression" dxfId="2323" priority="55">
      <formula>kvartal &lt; 4</formula>
    </cfRule>
  </conditionalFormatting>
  <conditionalFormatting sqref="F72:G72">
    <cfRule type="expression" dxfId="2322" priority="54">
      <formula>kvartal &lt; 4</formula>
    </cfRule>
  </conditionalFormatting>
  <conditionalFormatting sqref="F80:G80">
    <cfRule type="expression" dxfId="2321" priority="53">
      <formula>kvartal &lt; 4</formula>
    </cfRule>
  </conditionalFormatting>
  <conditionalFormatting sqref="F83:G83">
    <cfRule type="expression" dxfId="2320" priority="52">
      <formula>kvartal &lt; 4</formula>
    </cfRule>
  </conditionalFormatting>
  <conditionalFormatting sqref="F90:G90">
    <cfRule type="expression" dxfId="2319" priority="46">
      <formula>kvartal &lt; 4</formula>
    </cfRule>
  </conditionalFormatting>
  <conditionalFormatting sqref="F93">
    <cfRule type="expression" dxfId="2318" priority="45">
      <formula>kvartal &lt; 4</formula>
    </cfRule>
  </conditionalFormatting>
  <conditionalFormatting sqref="G93">
    <cfRule type="expression" dxfId="2317" priority="44">
      <formula>kvartal &lt; 4</formula>
    </cfRule>
  </conditionalFormatting>
  <conditionalFormatting sqref="F101">
    <cfRule type="expression" dxfId="2316" priority="43">
      <formula>kvartal &lt; 4</formula>
    </cfRule>
  </conditionalFormatting>
  <conditionalFormatting sqref="G101">
    <cfRule type="expression" dxfId="2315" priority="42">
      <formula>kvartal &lt; 4</formula>
    </cfRule>
  </conditionalFormatting>
  <conditionalFormatting sqref="G104">
    <cfRule type="expression" dxfId="2314" priority="41">
      <formula>kvartal &lt; 4</formula>
    </cfRule>
  </conditionalFormatting>
  <conditionalFormatting sqref="F104">
    <cfRule type="expression" dxfId="2313" priority="40">
      <formula>kvartal &lt; 4</formula>
    </cfRule>
  </conditionalFormatting>
  <conditionalFormatting sqref="J69:K71 J73:K73">
    <cfRule type="expression" dxfId="2312" priority="39">
      <formula>kvartal &lt; 4</formula>
    </cfRule>
  </conditionalFormatting>
  <conditionalFormatting sqref="J80:K82 J84:K84">
    <cfRule type="expression" dxfId="2311" priority="37">
      <formula>kvartal &lt; 4</formula>
    </cfRule>
  </conditionalFormatting>
  <conditionalFormatting sqref="J92:K92 J94:K94">
    <cfRule type="expression" dxfId="2310" priority="34">
      <formula>kvartal &lt; 4</formula>
    </cfRule>
  </conditionalFormatting>
  <conditionalFormatting sqref="J101:K103 J105:K105">
    <cfRule type="expression" dxfId="2309" priority="33">
      <formula>kvartal &lt; 4</formula>
    </cfRule>
  </conditionalFormatting>
  <conditionalFormatting sqref="J115:K115">
    <cfRule type="expression" dxfId="2308" priority="32">
      <formula>kvartal &lt; 4</formula>
    </cfRule>
  </conditionalFormatting>
  <conditionalFormatting sqref="J123:K123">
    <cfRule type="expression" dxfId="2307" priority="31">
      <formula>kvartal &lt; 4</formula>
    </cfRule>
  </conditionalFormatting>
  <conditionalFormatting sqref="A50:A52">
    <cfRule type="expression" dxfId="2306" priority="12">
      <formula>kvartal &lt; 4</formula>
    </cfRule>
  </conditionalFormatting>
  <conditionalFormatting sqref="A69:A74">
    <cfRule type="expression" dxfId="2305" priority="10">
      <formula>kvartal &lt; 4</formula>
    </cfRule>
  </conditionalFormatting>
  <conditionalFormatting sqref="A80:A85">
    <cfRule type="expression" dxfId="2304" priority="9">
      <formula>kvartal &lt; 4</formula>
    </cfRule>
  </conditionalFormatting>
  <conditionalFormatting sqref="A90:A95">
    <cfRule type="expression" dxfId="2303" priority="6">
      <formula>kvartal &lt; 4</formula>
    </cfRule>
  </conditionalFormatting>
  <conditionalFormatting sqref="A101:A106">
    <cfRule type="expression" dxfId="2302" priority="5">
      <formula>kvartal &lt; 4</formula>
    </cfRule>
  </conditionalFormatting>
  <conditionalFormatting sqref="A115">
    <cfRule type="expression" dxfId="2301" priority="4">
      <formula>kvartal &lt; 4</formula>
    </cfRule>
  </conditionalFormatting>
  <conditionalFormatting sqref="A123">
    <cfRule type="expression" dxfId="2300"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122</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375779</v>
      </c>
      <c r="C7" s="310">
        <v>383268</v>
      </c>
      <c r="D7" s="351">
        <f>IF(B7=0, "    ---- ", IF(ABS(ROUND(100/B7*C7-100,1))&lt;999,ROUND(100/B7*C7-100,1),IF(ROUND(100/B7*C7-100,1)&gt;999,999,-999)))</f>
        <v>2</v>
      </c>
      <c r="E7" s="11">
        <f>IFERROR(100/'Skjema total MA'!C7*C7,0)</f>
        <v>7.4428821975529615</v>
      </c>
      <c r="F7" s="309"/>
      <c r="G7" s="310"/>
      <c r="H7" s="351"/>
      <c r="I7" s="159"/>
      <c r="J7" s="311">
        <f t="shared" ref="J7:K10" si="0">SUM(B7,F7)</f>
        <v>375779</v>
      </c>
      <c r="K7" s="312">
        <f t="shared" si="0"/>
        <v>383268</v>
      </c>
      <c r="L7" s="425">
        <f>IF(J7=0, "    ---- ", IF(ABS(ROUND(100/J7*K7-100,1))&lt;999,ROUND(100/J7*K7-100,1),IF(ROUND(100/J7*K7-100,1)&gt;999,999,-999)))</f>
        <v>2</v>
      </c>
      <c r="M7" s="11">
        <f>IFERROR(100/'Skjema total MA'!I7*K7,0)</f>
        <v>2.666377350727684</v>
      </c>
    </row>
    <row r="8" spans="1:14" ht="15.75" x14ac:dyDescent="0.2">
      <c r="A8" s="21" t="s">
        <v>25</v>
      </c>
      <c r="B8" s="284">
        <v>186135</v>
      </c>
      <c r="C8" s="285">
        <v>190547</v>
      </c>
      <c r="D8" s="165">
        <f t="shared" ref="D8:D10" si="1">IF(B8=0, "    ---- ", IF(ABS(ROUND(100/B8*C8-100,1))&lt;999,ROUND(100/B8*C8-100,1),IF(ROUND(100/B8*C8-100,1)&gt;999,999,-999)))</f>
        <v>2.4</v>
      </c>
      <c r="E8" s="27">
        <f>IFERROR(100/'Skjema total MA'!C8*C8,0)</f>
        <v>5.7014998719607188</v>
      </c>
      <c r="F8" s="288"/>
      <c r="G8" s="289"/>
      <c r="H8" s="165"/>
      <c r="I8" s="175"/>
      <c r="J8" s="233">
        <f t="shared" si="0"/>
        <v>186135</v>
      </c>
      <c r="K8" s="290">
        <f t="shared" si="0"/>
        <v>190547</v>
      </c>
      <c r="L8" s="165">
        <f t="shared" ref="L8:L9" si="2">IF(J8=0, "    ---- ", IF(ABS(ROUND(100/J8*K8-100,1))&lt;999,ROUND(100/J8*K8-100,1),IF(ROUND(100/J8*K8-100,1)&gt;999,999,-999)))</f>
        <v>2.4</v>
      </c>
      <c r="M8" s="27">
        <f>IFERROR(100/'Skjema total MA'!I8*K8,0)</f>
        <v>5.7014998719607188</v>
      </c>
    </row>
    <row r="9" spans="1:14" ht="15.75" x14ac:dyDescent="0.2">
      <c r="A9" s="21" t="s">
        <v>24</v>
      </c>
      <c r="B9" s="284">
        <v>189643</v>
      </c>
      <c r="C9" s="285">
        <v>192721</v>
      </c>
      <c r="D9" s="165">
        <f t="shared" si="1"/>
        <v>1.6</v>
      </c>
      <c r="E9" s="27">
        <f>IFERROR(100/'Skjema total MA'!C9*C9,0)</f>
        <v>18.047940609858369</v>
      </c>
      <c r="F9" s="288"/>
      <c r="G9" s="289"/>
      <c r="H9" s="165"/>
      <c r="I9" s="175"/>
      <c r="J9" s="233">
        <f t="shared" si="0"/>
        <v>189643</v>
      </c>
      <c r="K9" s="290">
        <f t="shared" si="0"/>
        <v>192721</v>
      </c>
      <c r="L9" s="165">
        <f t="shared" si="2"/>
        <v>1.6</v>
      </c>
      <c r="M9" s="27">
        <f>IFERROR(100/'Skjema total MA'!I9*K9,0)</f>
        <v>18.047940609858369</v>
      </c>
    </row>
    <row r="10" spans="1:14" ht="15.75" x14ac:dyDescent="0.2">
      <c r="A10" s="13" t="s">
        <v>426</v>
      </c>
      <c r="B10" s="313">
        <v>572507</v>
      </c>
      <c r="C10" s="314">
        <v>620181</v>
      </c>
      <c r="D10" s="170">
        <f t="shared" si="1"/>
        <v>8.3000000000000007</v>
      </c>
      <c r="E10" s="11">
        <f>IFERROR(100/'Skjema total MA'!C10*C10,0)</f>
        <v>3.5541993320050653</v>
      </c>
      <c r="F10" s="313"/>
      <c r="G10" s="314"/>
      <c r="H10" s="170"/>
      <c r="I10" s="159"/>
      <c r="J10" s="311">
        <f t="shared" si="0"/>
        <v>572507</v>
      </c>
      <c r="K10" s="312">
        <f t="shared" si="0"/>
        <v>620181</v>
      </c>
      <c r="L10" s="426">
        <f t="shared" ref="L10" si="3">IF(J10=0, "    ---- ", IF(ABS(ROUND(100/J10*K10-100,1))&lt;999,ROUND(100/J10*K10-100,1),IF(ROUND(100/J10*K10-100,1)&gt;999,999,-999)))</f>
        <v>8.3000000000000007</v>
      </c>
      <c r="M10" s="11">
        <f>IFERROR(100/'Skjema total MA'!I10*K10,0)</f>
        <v>0.70287948376714116</v>
      </c>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c r="C47" s="314">
        <v>38823</v>
      </c>
      <c r="D47" s="425" t="str">
        <f t="shared" ref="D47:D48" si="4">IF(B47=0, "    ---- ", IF(ABS(ROUND(100/B47*C47-100,1))&lt;999,ROUND(100/B47*C47-100,1),IF(ROUND(100/B47*C47-100,1)&gt;999,999,-999)))</f>
        <v xml:space="preserve">    ---- </v>
      </c>
      <c r="E47" s="11">
        <f>IFERROR(100/'Skjema total MA'!C47*C47,0)</f>
        <v>0.70056300035489383</v>
      </c>
      <c r="F47" s="144"/>
      <c r="G47" s="33"/>
      <c r="H47" s="158"/>
      <c r="I47" s="158"/>
      <c r="J47" s="37"/>
      <c r="K47" s="37"/>
      <c r="L47" s="158"/>
      <c r="M47" s="158"/>
      <c r="N47" s="147"/>
    </row>
    <row r="48" spans="1:14" s="3" customFormat="1" ht="15.75" x14ac:dyDescent="0.2">
      <c r="A48" s="38" t="s">
        <v>437</v>
      </c>
      <c r="B48" s="284"/>
      <c r="C48" s="285">
        <v>38823</v>
      </c>
      <c r="D48" s="258" t="str">
        <f t="shared" si="4"/>
        <v xml:space="preserve">    ---- </v>
      </c>
      <c r="E48" s="27">
        <f>IFERROR(100/'Skjema total MA'!C48*C48,0)</f>
        <v>1.2604195100960258</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299" priority="132">
      <formula>kvartal &lt; 4</formula>
    </cfRule>
  </conditionalFormatting>
  <conditionalFormatting sqref="B69">
    <cfRule type="expression" dxfId="2298" priority="100">
      <formula>kvartal &lt; 4</formula>
    </cfRule>
  </conditionalFormatting>
  <conditionalFormatting sqref="C69">
    <cfRule type="expression" dxfId="2297" priority="99">
      <formula>kvartal &lt; 4</formula>
    </cfRule>
  </conditionalFormatting>
  <conditionalFormatting sqref="B72">
    <cfRule type="expression" dxfId="2296" priority="98">
      <formula>kvartal &lt; 4</formula>
    </cfRule>
  </conditionalFormatting>
  <conditionalFormatting sqref="C72">
    <cfRule type="expression" dxfId="2295" priority="97">
      <formula>kvartal &lt; 4</formula>
    </cfRule>
  </conditionalFormatting>
  <conditionalFormatting sqref="B80">
    <cfRule type="expression" dxfId="2294" priority="96">
      <formula>kvartal &lt; 4</formula>
    </cfRule>
  </conditionalFormatting>
  <conditionalFormatting sqref="C80">
    <cfRule type="expression" dxfId="2293" priority="95">
      <formula>kvartal &lt; 4</formula>
    </cfRule>
  </conditionalFormatting>
  <conditionalFormatting sqref="B83">
    <cfRule type="expression" dxfId="2292" priority="94">
      <formula>kvartal &lt; 4</formula>
    </cfRule>
  </conditionalFormatting>
  <conditionalFormatting sqref="C83">
    <cfRule type="expression" dxfId="2291" priority="93">
      <formula>kvartal &lt; 4</formula>
    </cfRule>
  </conditionalFormatting>
  <conditionalFormatting sqref="B90">
    <cfRule type="expression" dxfId="2290" priority="84">
      <formula>kvartal &lt; 4</formula>
    </cfRule>
  </conditionalFormatting>
  <conditionalFormatting sqref="C90">
    <cfRule type="expression" dxfId="2289" priority="83">
      <formula>kvartal &lt; 4</formula>
    </cfRule>
  </conditionalFormatting>
  <conditionalFormatting sqref="B93">
    <cfRule type="expression" dxfId="2288" priority="82">
      <formula>kvartal &lt; 4</formula>
    </cfRule>
  </conditionalFormatting>
  <conditionalFormatting sqref="C93">
    <cfRule type="expression" dxfId="2287" priority="81">
      <formula>kvartal &lt; 4</formula>
    </cfRule>
  </conditionalFormatting>
  <conditionalFormatting sqref="B101">
    <cfRule type="expression" dxfId="2286" priority="80">
      <formula>kvartal &lt; 4</formula>
    </cfRule>
  </conditionalFormatting>
  <conditionalFormatting sqref="C101">
    <cfRule type="expression" dxfId="2285" priority="79">
      <formula>kvartal &lt; 4</formula>
    </cfRule>
  </conditionalFormatting>
  <conditionalFormatting sqref="B104">
    <cfRule type="expression" dxfId="2284" priority="78">
      <formula>kvartal &lt; 4</formula>
    </cfRule>
  </conditionalFormatting>
  <conditionalFormatting sqref="C104">
    <cfRule type="expression" dxfId="2283" priority="77">
      <formula>kvartal &lt; 4</formula>
    </cfRule>
  </conditionalFormatting>
  <conditionalFormatting sqref="B115">
    <cfRule type="expression" dxfId="2282" priority="76">
      <formula>kvartal &lt; 4</formula>
    </cfRule>
  </conditionalFormatting>
  <conditionalFormatting sqref="C115">
    <cfRule type="expression" dxfId="2281" priority="75">
      <formula>kvartal &lt; 4</formula>
    </cfRule>
  </conditionalFormatting>
  <conditionalFormatting sqref="B123">
    <cfRule type="expression" dxfId="2280" priority="74">
      <formula>kvartal &lt; 4</formula>
    </cfRule>
  </conditionalFormatting>
  <conditionalFormatting sqref="C123">
    <cfRule type="expression" dxfId="2279" priority="73">
      <formula>kvartal &lt; 4</formula>
    </cfRule>
  </conditionalFormatting>
  <conditionalFormatting sqref="F70">
    <cfRule type="expression" dxfId="2278" priority="72">
      <formula>kvartal &lt; 4</formula>
    </cfRule>
  </conditionalFormatting>
  <conditionalFormatting sqref="G70">
    <cfRule type="expression" dxfId="2277" priority="71">
      <formula>kvartal &lt; 4</formula>
    </cfRule>
  </conditionalFormatting>
  <conditionalFormatting sqref="F71:G71">
    <cfRule type="expression" dxfId="2276" priority="70">
      <formula>kvartal &lt; 4</formula>
    </cfRule>
  </conditionalFormatting>
  <conditionalFormatting sqref="F73:G74">
    <cfRule type="expression" dxfId="2275" priority="69">
      <formula>kvartal &lt; 4</formula>
    </cfRule>
  </conditionalFormatting>
  <conditionalFormatting sqref="F81:G82">
    <cfRule type="expression" dxfId="2274" priority="68">
      <formula>kvartal &lt; 4</formula>
    </cfRule>
  </conditionalFormatting>
  <conditionalFormatting sqref="F84:G85">
    <cfRule type="expression" dxfId="2273" priority="67">
      <formula>kvartal &lt; 4</formula>
    </cfRule>
  </conditionalFormatting>
  <conditionalFormatting sqref="F91:G92">
    <cfRule type="expression" dxfId="2272" priority="62">
      <formula>kvartal &lt; 4</formula>
    </cfRule>
  </conditionalFormatting>
  <conditionalFormatting sqref="F94:G95">
    <cfRule type="expression" dxfId="2271" priority="61">
      <formula>kvartal &lt; 4</formula>
    </cfRule>
  </conditionalFormatting>
  <conditionalFormatting sqref="F102:G103">
    <cfRule type="expression" dxfId="2270" priority="60">
      <formula>kvartal &lt; 4</formula>
    </cfRule>
  </conditionalFormatting>
  <conditionalFormatting sqref="F105:G106">
    <cfRule type="expression" dxfId="2269" priority="59">
      <formula>kvartal &lt; 4</formula>
    </cfRule>
  </conditionalFormatting>
  <conditionalFormatting sqref="F115">
    <cfRule type="expression" dxfId="2268" priority="58">
      <formula>kvartal &lt; 4</formula>
    </cfRule>
  </conditionalFormatting>
  <conditionalFormatting sqref="G115">
    <cfRule type="expression" dxfId="2267" priority="57">
      <formula>kvartal &lt; 4</formula>
    </cfRule>
  </conditionalFormatting>
  <conditionalFormatting sqref="F123:G123">
    <cfRule type="expression" dxfId="2266" priority="56">
      <formula>kvartal &lt; 4</formula>
    </cfRule>
  </conditionalFormatting>
  <conditionalFormatting sqref="F69:G69">
    <cfRule type="expression" dxfId="2265" priority="55">
      <formula>kvartal &lt; 4</formula>
    </cfRule>
  </conditionalFormatting>
  <conditionalFormatting sqref="F72:G72">
    <cfRule type="expression" dxfId="2264" priority="54">
      <formula>kvartal &lt; 4</formula>
    </cfRule>
  </conditionalFormatting>
  <conditionalFormatting sqref="F80:G80">
    <cfRule type="expression" dxfId="2263" priority="53">
      <formula>kvartal &lt; 4</formula>
    </cfRule>
  </conditionalFormatting>
  <conditionalFormatting sqref="F83:G83">
    <cfRule type="expression" dxfId="2262" priority="52">
      <formula>kvartal &lt; 4</formula>
    </cfRule>
  </conditionalFormatting>
  <conditionalFormatting sqref="F90:G90">
    <cfRule type="expression" dxfId="2261" priority="46">
      <formula>kvartal &lt; 4</formula>
    </cfRule>
  </conditionalFormatting>
  <conditionalFormatting sqref="F93">
    <cfRule type="expression" dxfId="2260" priority="45">
      <formula>kvartal &lt; 4</formula>
    </cfRule>
  </conditionalFormatting>
  <conditionalFormatting sqref="G93">
    <cfRule type="expression" dxfId="2259" priority="44">
      <formula>kvartal &lt; 4</formula>
    </cfRule>
  </conditionalFormatting>
  <conditionalFormatting sqref="F101">
    <cfRule type="expression" dxfId="2258" priority="43">
      <formula>kvartal &lt; 4</formula>
    </cfRule>
  </conditionalFormatting>
  <conditionalFormatting sqref="G101">
    <cfRule type="expression" dxfId="2257" priority="42">
      <formula>kvartal &lt; 4</formula>
    </cfRule>
  </conditionalFormatting>
  <conditionalFormatting sqref="G104">
    <cfRule type="expression" dxfId="2256" priority="41">
      <formula>kvartal &lt; 4</formula>
    </cfRule>
  </conditionalFormatting>
  <conditionalFormatting sqref="F104">
    <cfRule type="expression" dxfId="2255" priority="40">
      <formula>kvartal &lt; 4</formula>
    </cfRule>
  </conditionalFormatting>
  <conditionalFormatting sqref="J69:K73">
    <cfRule type="expression" dxfId="2254" priority="39">
      <formula>kvartal &lt; 4</formula>
    </cfRule>
  </conditionalFormatting>
  <conditionalFormatting sqref="J74:K74">
    <cfRule type="expression" dxfId="2253" priority="38">
      <formula>kvartal &lt; 4</formula>
    </cfRule>
  </conditionalFormatting>
  <conditionalFormatting sqref="J80:K85">
    <cfRule type="expression" dxfId="2252" priority="37">
      <formula>kvartal &lt; 4</formula>
    </cfRule>
  </conditionalFormatting>
  <conditionalFormatting sqref="J90:K95">
    <cfRule type="expression" dxfId="2251" priority="34">
      <formula>kvartal &lt; 4</formula>
    </cfRule>
  </conditionalFormatting>
  <conditionalFormatting sqref="J101:K106">
    <cfRule type="expression" dxfId="2250" priority="33">
      <formula>kvartal &lt; 4</formula>
    </cfRule>
  </conditionalFormatting>
  <conditionalFormatting sqref="J115:K115">
    <cfRule type="expression" dxfId="2249" priority="32">
      <formula>kvartal &lt; 4</formula>
    </cfRule>
  </conditionalFormatting>
  <conditionalFormatting sqref="J123:K123">
    <cfRule type="expression" dxfId="2248" priority="31">
      <formula>kvartal &lt; 4</formula>
    </cfRule>
  </conditionalFormatting>
  <conditionalFormatting sqref="A50:A52">
    <cfRule type="expression" dxfId="2247" priority="12">
      <formula>kvartal &lt; 4</formula>
    </cfRule>
  </conditionalFormatting>
  <conditionalFormatting sqref="A69:A74">
    <cfRule type="expression" dxfId="2246" priority="10">
      <formula>kvartal &lt; 4</formula>
    </cfRule>
  </conditionalFormatting>
  <conditionalFormatting sqref="A80:A85">
    <cfRule type="expression" dxfId="2245" priority="9">
      <formula>kvartal &lt; 4</formula>
    </cfRule>
  </conditionalFormatting>
  <conditionalFormatting sqref="A90:A95">
    <cfRule type="expression" dxfId="2244" priority="6">
      <formula>kvartal &lt; 4</formula>
    </cfRule>
  </conditionalFormatting>
  <conditionalFormatting sqref="A101:A106">
    <cfRule type="expression" dxfId="2243" priority="5">
      <formula>kvartal &lt; 4</formula>
    </cfRule>
  </conditionalFormatting>
  <conditionalFormatting sqref="A115">
    <cfRule type="expression" dxfId="2242" priority="4">
      <formula>kvartal &lt; 4</formula>
    </cfRule>
  </conditionalFormatting>
  <conditionalFormatting sqref="A123">
    <cfRule type="expression" dxfId="2241" priority="3">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472</v>
      </c>
      <c r="D1" s="26"/>
      <c r="E1" s="26"/>
      <c r="F1" s="26"/>
      <c r="G1" s="26"/>
      <c r="H1" s="26"/>
      <c r="I1" s="26"/>
      <c r="J1" s="26"/>
      <c r="K1" s="26"/>
      <c r="L1" s="26"/>
      <c r="M1" s="26"/>
    </row>
    <row r="2" spans="1:14" ht="15.75" x14ac:dyDescent="0.25">
      <c r="A2" s="164" t="s">
        <v>28</v>
      </c>
      <c r="B2" s="1008"/>
      <c r="C2" s="1008"/>
      <c r="D2" s="1008"/>
      <c r="E2" s="789"/>
      <c r="F2" s="1008"/>
      <c r="G2" s="1008"/>
      <c r="H2" s="1008"/>
      <c r="I2" s="789"/>
      <c r="J2" s="1008"/>
      <c r="K2" s="1008"/>
      <c r="L2" s="1008"/>
      <c r="M2" s="789"/>
    </row>
    <row r="3" spans="1:14" ht="15.75" x14ac:dyDescent="0.25">
      <c r="A3" s="162"/>
      <c r="B3" s="789"/>
      <c r="C3" s="789"/>
      <c r="D3" s="789"/>
      <c r="E3" s="789"/>
      <c r="F3" s="789"/>
      <c r="G3" s="789"/>
      <c r="H3" s="789"/>
      <c r="I3" s="789"/>
      <c r="J3" s="789"/>
      <c r="K3" s="789"/>
      <c r="L3" s="789"/>
      <c r="M3" s="789"/>
    </row>
    <row r="4" spans="1:14" x14ac:dyDescent="0.2">
      <c r="A4" s="143"/>
      <c r="B4" s="1010" t="s">
        <v>0</v>
      </c>
      <c r="C4" s="1011"/>
      <c r="D4" s="1011"/>
      <c r="E4" s="787"/>
      <c r="F4" s="1010" t="s">
        <v>1</v>
      </c>
      <c r="G4" s="1011"/>
      <c r="H4" s="1011"/>
      <c r="I4" s="788"/>
      <c r="J4" s="1010" t="s">
        <v>2</v>
      </c>
      <c r="K4" s="1011"/>
      <c r="L4" s="1011"/>
      <c r="M4" s="788"/>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c r="G7" s="310"/>
      <c r="H7" s="351"/>
      <c r="I7" s="159"/>
      <c r="J7" s="311"/>
      <c r="K7" s="312"/>
      <c r="L7" s="425"/>
      <c r="M7" s="11"/>
    </row>
    <row r="8" spans="1:14" ht="15.75" x14ac:dyDescent="0.2">
      <c r="A8" s="21" t="s">
        <v>25</v>
      </c>
      <c r="B8" s="284"/>
      <c r="C8" s="285"/>
      <c r="D8" s="165"/>
      <c r="E8" s="27"/>
      <c r="F8" s="288"/>
      <c r="G8" s="289"/>
      <c r="H8" s="165"/>
      <c r="I8" s="175"/>
      <c r="J8" s="233"/>
      <c r="K8" s="290"/>
      <c r="L8" s="165"/>
      <c r="M8" s="27"/>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789"/>
      <c r="F18" s="1012"/>
      <c r="G18" s="1012"/>
      <c r="H18" s="1012"/>
      <c r="I18" s="789"/>
      <c r="J18" s="1012"/>
      <c r="K18" s="1012"/>
      <c r="L18" s="1012"/>
      <c r="M18" s="789"/>
    </row>
    <row r="19" spans="1:14" x14ac:dyDescent="0.2">
      <c r="A19" s="143"/>
      <c r="B19" s="1010" t="s">
        <v>0</v>
      </c>
      <c r="C19" s="1011"/>
      <c r="D19" s="1011"/>
      <c r="E19" s="787"/>
      <c r="F19" s="1010" t="s">
        <v>1</v>
      </c>
      <c r="G19" s="1011"/>
      <c r="H19" s="1011"/>
      <c r="I19" s="788"/>
      <c r="J19" s="1010" t="s">
        <v>2</v>
      </c>
      <c r="K19" s="1011"/>
      <c r="L19" s="1011"/>
      <c r="M19" s="788"/>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41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59"/>
      <c r="J22" s="319"/>
      <c r="K22" s="319"/>
      <c r="L22" s="425"/>
      <c r="M22" s="24"/>
    </row>
    <row r="23" spans="1:14" ht="15.75" x14ac:dyDescent="0.2">
      <c r="A23" s="723" t="s">
        <v>429</v>
      </c>
      <c r="B23" s="284"/>
      <c r="C23" s="284"/>
      <c r="D23" s="165"/>
      <c r="E23" s="11"/>
      <c r="F23" s="293"/>
      <c r="G23" s="293"/>
      <c r="H23" s="165"/>
      <c r="I23" s="239"/>
      <c r="J23" s="293"/>
      <c r="K23" s="293"/>
      <c r="L23" s="165"/>
      <c r="M23" s="23"/>
    </row>
    <row r="24" spans="1:14" ht="15.75" x14ac:dyDescent="0.2">
      <c r="A24" s="723" t="s">
        <v>430</v>
      </c>
      <c r="B24" s="284"/>
      <c r="C24" s="284"/>
      <c r="D24" s="165"/>
      <c r="E24" s="11"/>
      <c r="F24" s="293"/>
      <c r="G24" s="293"/>
      <c r="H24" s="165"/>
      <c r="I24" s="239"/>
      <c r="J24" s="293"/>
      <c r="K24" s="293"/>
      <c r="L24" s="165"/>
      <c r="M24" s="23"/>
    </row>
    <row r="25" spans="1:14" ht="15.75" x14ac:dyDescent="0.2">
      <c r="A25" s="723" t="s">
        <v>431</v>
      </c>
      <c r="B25" s="284"/>
      <c r="C25" s="284"/>
      <c r="D25" s="165"/>
      <c r="E25" s="11"/>
      <c r="F25" s="293"/>
      <c r="G25" s="293"/>
      <c r="H25" s="165"/>
      <c r="I25" s="239"/>
      <c r="J25" s="293"/>
      <c r="K25" s="293"/>
      <c r="L25" s="165"/>
      <c r="M25" s="23"/>
    </row>
    <row r="26" spans="1:14" ht="15.75" x14ac:dyDescent="0.2">
      <c r="A26" s="723" t="s">
        <v>432</v>
      </c>
      <c r="B26" s="284"/>
      <c r="C26" s="284"/>
      <c r="D26" s="165"/>
      <c r="E26" s="11"/>
      <c r="F26" s="293"/>
      <c r="G26" s="293"/>
      <c r="H26" s="165"/>
      <c r="I26" s="239"/>
      <c r="J26" s="293"/>
      <c r="K26" s="293"/>
      <c r="L26" s="165"/>
      <c r="M26" s="23"/>
    </row>
    <row r="27" spans="1:14" x14ac:dyDescent="0.2">
      <c r="A27" s="723" t="s">
        <v>11</v>
      </c>
      <c r="B27" s="284"/>
      <c r="C27" s="284"/>
      <c r="D27" s="165"/>
      <c r="E27" s="11"/>
      <c r="F27" s="293"/>
      <c r="G27" s="293"/>
      <c r="H27" s="165"/>
      <c r="I27" s="239"/>
      <c r="J27" s="293"/>
      <c r="K27" s="293"/>
      <c r="L27" s="165"/>
      <c r="M27" s="23"/>
    </row>
    <row r="28" spans="1:14" ht="15.75" x14ac:dyDescent="0.2">
      <c r="A28" s="49" t="s">
        <v>269</v>
      </c>
      <c r="B28" s="44"/>
      <c r="C28" s="290"/>
      <c r="D28" s="165"/>
      <c r="E28" s="11"/>
      <c r="F28" s="233"/>
      <c r="G28" s="290"/>
      <c r="H28" s="165"/>
      <c r="I28" s="175"/>
      <c r="J28" s="44"/>
      <c r="K28" s="44"/>
      <c r="L28" s="258"/>
      <c r="M28" s="23"/>
    </row>
    <row r="29" spans="1:14" s="3" customFormat="1" ht="15.75" x14ac:dyDescent="0.2">
      <c r="A29" s="13" t="s">
        <v>426</v>
      </c>
      <c r="B29" s="235"/>
      <c r="C29" s="235"/>
      <c r="D29" s="170"/>
      <c r="E29" s="11"/>
      <c r="F29" s="311"/>
      <c r="G29" s="311"/>
      <c r="H29" s="170"/>
      <c r="I29" s="159"/>
      <c r="J29" s="235"/>
      <c r="K29" s="235"/>
      <c r="L29" s="426"/>
      <c r="M29" s="24"/>
      <c r="N29" s="147"/>
    </row>
    <row r="30" spans="1:14" s="3" customFormat="1" ht="15.75" x14ac:dyDescent="0.2">
      <c r="A30" s="723" t="s">
        <v>429</v>
      </c>
      <c r="B30" s="284"/>
      <c r="C30" s="284"/>
      <c r="D30" s="165"/>
      <c r="E30" s="11"/>
      <c r="F30" s="293"/>
      <c r="G30" s="293"/>
      <c r="H30" s="165"/>
      <c r="I30" s="239"/>
      <c r="J30" s="293"/>
      <c r="K30" s="293"/>
      <c r="L30" s="165"/>
      <c r="M30" s="23"/>
      <c r="N30" s="147"/>
    </row>
    <row r="31" spans="1:14" s="3" customFormat="1" ht="15.75" x14ac:dyDescent="0.2">
      <c r="A31" s="723" t="s">
        <v>430</v>
      </c>
      <c r="B31" s="284"/>
      <c r="C31" s="284"/>
      <c r="D31" s="165"/>
      <c r="E31" s="11"/>
      <c r="F31" s="293"/>
      <c r="G31" s="293"/>
      <c r="H31" s="165"/>
      <c r="I31" s="239"/>
      <c r="J31" s="293"/>
      <c r="K31" s="293"/>
      <c r="L31" s="165"/>
      <c r="M31" s="23"/>
      <c r="N31" s="147"/>
    </row>
    <row r="32" spans="1:14" ht="15.75" x14ac:dyDescent="0.2">
      <c r="A32" s="723" t="s">
        <v>431</v>
      </c>
      <c r="B32" s="284"/>
      <c r="C32" s="284"/>
      <c r="D32" s="165"/>
      <c r="E32" s="11"/>
      <c r="F32" s="293"/>
      <c r="G32" s="293"/>
      <c r="H32" s="165"/>
      <c r="I32" s="239"/>
      <c r="J32" s="293"/>
      <c r="K32" s="293"/>
      <c r="L32" s="165"/>
      <c r="M32" s="23"/>
    </row>
    <row r="33" spans="1:14" ht="15.75" x14ac:dyDescent="0.2">
      <c r="A33" s="723" t="s">
        <v>432</v>
      </c>
      <c r="B33" s="284"/>
      <c r="C33" s="284"/>
      <c r="D33" s="165"/>
      <c r="E33" s="11"/>
      <c r="F33" s="293"/>
      <c r="G33" s="293"/>
      <c r="H33" s="165"/>
      <c r="I33" s="239"/>
      <c r="J33" s="293"/>
      <c r="K33" s="293"/>
      <c r="L33" s="165"/>
      <c r="M33" s="23"/>
    </row>
    <row r="34" spans="1:14" ht="15.75" x14ac:dyDescent="0.2">
      <c r="A34" s="13" t="s">
        <v>427</v>
      </c>
      <c r="B34" s="235"/>
      <c r="C34" s="312"/>
      <c r="D34" s="170"/>
      <c r="E34" s="11"/>
      <c r="F34" s="311"/>
      <c r="G34" s="312"/>
      <c r="H34" s="170"/>
      <c r="I34" s="159"/>
      <c r="J34" s="235"/>
      <c r="K34" s="235"/>
      <c r="L34" s="426"/>
      <c r="M34" s="24"/>
    </row>
    <row r="35" spans="1:14" ht="15.75" x14ac:dyDescent="0.2">
      <c r="A35" s="13" t="s">
        <v>428</v>
      </c>
      <c r="B35" s="235"/>
      <c r="C35" s="312"/>
      <c r="D35" s="170"/>
      <c r="E35" s="11"/>
      <c r="F35" s="311"/>
      <c r="G35" s="312"/>
      <c r="H35" s="170"/>
      <c r="I35" s="159"/>
      <c r="J35" s="235"/>
      <c r="K35" s="235"/>
      <c r="L35" s="426"/>
      <c r="M35" s="24"/>
    </row>
    <row r="36" spans="1:14" ht="15.75" x14ac:dyDescent="0.2">
      <c r="A36" s="12" t="s">
        <v>277</v>
      </c>
      <c r="B36" s="235"/>
      <c r="C36" s="312"/>
      <c r="D36" s="170"/>
      <c r="E36" s="11"/>
      <c r="F36" s="322"/>
      <c r="G36" s="323"/>
      <c r="H36" s="170"/>
      <c r="I36" s="428"/>
      <c r="J36" s="235"/>
      <c r="K36" s="235"/>
      <c r="L36" s="426"/>
      <c r="M36" s="24"/>
    </row>
    <row r="37" spans="1:14" ht="15.75" x14ac:dyDescent="0.2">
      <c r="A37" s="12" t="s">
        <v>434</v>
      </c>
      <c r="B37" s="235"/>
      <c r="C37" s="312"/>
      <c r="D37" s="170"/>
      <c r="E37" s="11"/>
      <c r="F37" s="322"/>
      <c r="G37" s="324"/>
      <c r="H37" s="170"/>
      <c r="I37" s="428"/>
      <c r="J37" s="235"/>
      <c r="K37" s="235"/>
      <c r="L37" s="426"/>
      <c r="M37" s="24"/>
    </row>
    <row r="38" spans="1:14" ht="15.75" x14ac:dyDescent="0.2">
      <c r="A38" s="12" t="s">
        <v>435</v>
      </c>
      <c r="B38" s="235"/>
      <c r="C38" s="312"/>
      <c r="D38" s="170"/>
      <c r="E38" s="24"/>
      <c r="F38" s="322"/>
      <c r="G38" s="323"/>
      <c r="H38" s="170"/>
      <c r="I38" s="428"/>
      <c r="J38" s="235"/>
      <c r="K38" s="235"/>
      <c r="L38" s="426"/>
      <c r="M38" s="24"/>
    </row>
    <row r="39" spans="1:14" ht="15.75" x14ac:dyDescent="0.2">
      <c r="A39" s="18" t="s">
        <v>436</v>
      </c>
      <c r="B39" s="279"/>
      <c r="C39" s="318"/>
      <c r="D39" s="168"/>
      <c r="E39" s="36"/>
      <c r="F39" s="325"/>
      <c r="G39" s="326"/>
      <c r="H39" s="168"/>
      <c r="I39" s="168"/>
      <c r="J39" s="235"/>
      <c r="K39" s="235"/>
      <c r="L39" s="427"/>
      <c r="M39" s="36"/>
    </row>
    <row r="40" spans="1:14" ht="15.75" x14ac:dyDescent="0.25">
      <c r="A40" s="47"/>
      <c r="B40" s="257"/>
      <c r="C40" s="257"/>
      <c r="D40" s="1013"/>
      <c r="E40" s="1013"/>
      <c r="F40" s="1013"/>
      <c r="G40" s="1013"/>
      <c r="H40" s="1013"/>
      <c r="I40" s="1013"/>
      <c r="J40" s="1013"/>
      <c r="K40" s="1013"/>
      <c r="L40" s="1013"/>
      <c r="M40" s="790"/>
    </row>
    <row r="41" spans="1:14" x14ac:dyDescent="0.2">
      <c r="A41" s="154"/>
    </row>
    <row r="42" spans="1:14" ht="15.75" x14ac:dyDescent="0.25">
      <c r="A42" s="146" t="s">
        <v>266</v>
      </c>
      <c r="B42" s="1008"/>
      <c r="C42" s="1008"/>
      <c r="D42" s="1008"/>
      <c r="E42" s="789"/>
      <c r="F42" s="1014"/>
      <c r="G42" s="1014"/>
      <c r="H42" s="1014"/>
      <c r="I42" s="790"/>
      <c r="J42" s="1014"/>
      <c r="K42" s="1014"/>
      <c r="L42" s="1014"/>
      <c r="M42" s="790"/>
    </row>
    <row r="43" spans="1:14" ht="15.75" x14ac:dyDescent="0.25">
      <c r="A43" s="162"/>
      <c r="B43" s="785"/>
      <c r="C43" s="785"/>
      <c r="D43" s="785"/>
      <c r="E43" s="785"/>
      <c r="F43" s="790"/>
      <c r="G43" s="790"/>
      <c r="H43" s="790"/>
      <c r="I43" s="790"/>
      <c r="J43" s="790"/>
      <c r="K43" s="790"/>
      <c r="L43" s="790"/>
      <c r="M43" s="790"/>
    </row>
    <row r="44" spans="1:14" ht="15.75" x14ac:dyDescent="0.25">
      <c r="A44" s="248"/>
      <c r="B44" s="1010" t="s">
        <v>0</v>
      </c>
      <c r="C44" s="1011"/>
      <c r="D44" s="1011"/>
      <c r="E44" s="243"/>
      <c r="F44" s="790"/>
      <c r="G44" s="790"/>
      <c r="H44" s="790"/>
      <c r="I44" s="790"/>
      <c r="J44" s="790"/>
      <c r="K44" s="790"/>
      <c r="L44" s="790"/>
      <c r="M44" s="790"/>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10960</v>
      </c>
      <c r="C47" s="314">
        <v>32885</v>
      </c>
      <c r="D47" s="425">
        <f t="shared" ref="D47:D55" si="0">IF(B47=0, "    ---- ", IF(ABS(ROUND(100/B47*C47-100,1))&lt;999,ROUND(100/B47*C47-100,1),IF(ROUND(100/B47*C47-100,1)&gt;999,999,-999)))</f>
        <v>200</v>
      </c>
      <c r="E47" s="11">
        <f>IFERROR(100/'Skjema total MA'!C47*C47,0)</f>
        <v>0.59341148975274149</v>
      </c>
      <c r="F47" s="144"/>
      <c r="G47" s="33"/>
      <c r="H47" s="158"/>
      <c r="I47" s="158"/>
      <c r="J47" s="37"/>
      <c r="K47" s="37"/>
      <c r="L47" s="158"/>
      <c r="M47" s="158"/>
      <c r="N47" s="147"/>
    </row>
    <row r="48" spans="1:14" s="3" customFormat="1" ht="15.75" x14ac:dyDescent="0.2">
      <c r="A48" s="38" t="s">
        <v>437</v>
      </c>
      <c r="B48" s="284">
        <v>10018</v>
      </c>
      <c r="C48" s="285">
        <v>31936</v>
      </c>
      <c r="D48" s="258">
        <f t="shared" si="0"/>
        <v>218.8</v>
      </c>
      <c r="E48" s="27">
        <f>IFERROR(100/'Skjema total MA'!C48*C48,0)</f>
        <v>1.0368275886568961</v>
      </c>
      <c r="F48" s="144"/>
      <c r="G48" s="33"/>
      <c r="H48" s="144"/>
      <c r="I48" s="144"/>
      <c r="J48" s="33"/>
      <c r="K48" s="33"/>
      <c r="L48" s="158"/>
      <c r="M48" s="158"/>
      <c r="N48" s="147"/>
    </row>
    <row r="49" spans="1:14" s="3" customFormat="1" ht="15.75" x14ac:dyDescent="0.2">
      <c r="A49" s="38" t="s">
        <v>438</v>
      </c>
      <c r="B49" s="44">
        <v>942</v>
      </c>
      <c r="C49" s="290">
        <v>949</v>
      </c>
      <c r="D49" s="258">
        <f>IF(B49=0, "    ---- ", IF(ABS(ROUND(100/B49*C49-100,1))&lt;999,ROUND(100/B49*C49-100,1),IF(ROUND(100/B49*C49-100,1)&gt;999,999,-999)))</f>
        <v>0.7</v>
      </c>
      <c r="E49" s="27">
        <f>IFERROR(100/'Skjema total MA'!C49*C49,0)</f>
        <v>3.8553401565838114E-2</v>
      </c>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v>942</v>
      </c>
      <c r="C51" s="294">
        <v>949</v>
      </c>
      <c r="D51" s="258">
        <f t="shared" si="0"/>
        <v>0.7</v>
      </c>
      <c r="E51" s="23" t="e">
        <f>IF(kvartal=4,IFERROR(100/'Skjema total MA'!B51*C51,0),"")</f>
        <v>#REF!</v>
      </c>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v>10960</v>
      </c>
      <c r="C53" s="314">
        <v>32885</v>
      </c>
      <c r="D53" s="426">
        <f t="shared" si="0"/>
        <v>200</v>
      </c>
      <c r="E53" s="11">
        <f>IFERROR(100/'Skjema total MA'!C53*C53,0)</f>
        <v>23.075483129639537</v>
      </c>
      <c r="F53" s="144"/>
      <c r="G53" s="33"/>
      <c r="H53" s="144"/>
      <c r="I53" s="144"/>
      <c r="J53" s="33"/>
      <c r="K53" s="33"/>
      <c r="L53" s="158"/>
      <c r="M53" s="158"/>
      <c r="N53" s="147"/>
    </row>
    <row r="54" spans="1:14" s="3" customFormat="1" ht="15.75" x14ac:dyDescent="0.2">
      <c r="A54" s="38" t="s">
        <v>437</v>
      </c>
      <c r="B54" s="284">
        <v>10018</v>
      </c>
      <c r="C54" s="285">
        <v>31936</v>
      </c>
      <c r="D54" s="258">
        <f t="shared" si="0"/>
        <v>218.8</v>
      </c>
      <c r="E54" s="27">
        <f>IFERROR(100/'Skjema total MA'!C54*C54,0)</f>
        <v>22.559796759514352</v>
      </c>
      <c r="F54" s="144"/>
      <c r="G54" s="33"/>
      <c r="H54" s="144"/>
      <c r="I54" s="144"/>
      <c r="J54" s="33"/>
      <c r="K54" s="33"/>
      <c r="L54" s="158"/>
      <c r="M54" s="158"/>
      <c r="N54" s="147"/>
    </row>
    <row r="55" spans="1:14" s="3" customFormat="1" ht="15.75" x14ac:dyDescent="0.2">
      <c r="A55" s="38" t="s">
        <v>438</v>
      </c>
      <c r="B55" s="284">
        <v>942</v>
      </c>
      <c r="C55" s="285">
        <v>949</v>
      </c>
      <c r="D55" s="258">
        <f t="shared" si="0"/>
        <v>0.7</v>
      </c>
      <c r="E55" s="27">
        <f>IFERROR(100/'Skjema total MA'!C55*C55,0)</f>
        <v>100</v>
      </c>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789"/>
      <c r="F62" s="1012"/>
      <c r="G62" s="1012"/>
      <c r="H62" s="1012"/>
      <c r="I62" s="789"/>
      <c r="J62" s="1012"/>
      <c r="K62" s="1012"/>
      <c r="L62" s="1012"/>
      <c r="M62" s="789"/>
    </row>
    <row r="63" spans="1:14" x14ac:dyDescent="0.2">
      <c r="A63" s="143"/>
      <c r="B63" s="1010" t="s">
        <v>0</v>
      </c>
      <c r="C63" s="1011"/>
      <c r="D63" s="1015"/>
      <c r="E63" s="786"/>
      <c r="F63" s="1011" t="s">
        <v>1</v>
      </c>
      <c r="G63" s="1011"/>
      <c r="H63" s="1011"/>
      <c r="I63" s="788"/>
      <c r="J63" s="1010" t="s">
        <v>2</v>
      </c>
      <c r="K63" s="1011"/>
      <c r="L63" s="1011"/>
      <c r="M63" s="788"/>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21"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789"/>
      <c r="F130" s="1012"/>
      <c r="G130" s="1012"/>
      <c r="H130" s="1012"/>
      <c r="I130" s="789"/>
      <c r="J130" s="1012"/>
      <c r="K130" s="1012"/>
      <c r="L130" s="1012"/>
      <c r="M130" s="789"/>
    </row>
    <row r="131" spans="1:14" s="3" customFormat="1" x14ac:dyDescent="0.2">
      <c r="A131" s="143"/>
      <c r="B131" s="1010" t="s">
        <v>0</v>
      </c>
      <c r="C131" s="1011"/>
      <c r="D131" s="1011"/>
      <c r="E131" s="787"/>
      <c r="F131" s="1010" t="s">
        <v>1</v>
      </c>
      <c r="G131" s="1011"/>
      <c r="H131" s="1011"/>
      <c r="I131" s="788"/>
      <c r="J131" s="1010" t="s">
        <v>2</v>
      </c>
      <c r="K131" s="1011"/>
      <c r="L131" s="1011"/>
      <c r="M131" s="788"/>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2240" priority="59">
      <formula>kvartal &lt; 4</formula>
    </cfRule>
  </conditionalFormatting>
  <conditionalFormatting sqref="B69">
    <cfRule type="expression" dxfId="2239" priority="58">
      <formula>kvartal &lt; 4</formula>
    </cfRule>
  </conditionalFormatting>
  <conditionalFormatting sqref="C69">
    <cfRule type="expression" dxfId="2238" priority="57">
      <formula>kvartal &lt; 4</formula>
    </cfRule>
  </conditionalFormatting>
  <conditionalFormatting sqref="B72">
    <cfRule type="expression" dxfId="2237" priority="56">
      <formula>kvartal &lt; 4</formula>
    </cfRule>
  </conditionalFormatting>
  <conditionalFormatting sqref="C72">
    <cfRule type="expression" dxfId="2236" priority="55">
      <formula>kvartal &lt; 4</formula>
    </cfRule>
  </conditionalFormatting>
  <conditionalFormatting sqref="B80">
    <cfRule type="expression" dxfId="2235" priority="54">
      <formula>kvartal &lt; 4</formula>
    </cfRule>
  </conditionalFormatting>
  <conditionalFormatting sqref="C80">
    <cfRule type="expression" dxfId="2234" priority="53">
      <formula>kvartal &lt; 4</formula>
    </cfRule>
  </conditionalFormatting>
  <conditionalFormatting sqref="B83">
    <cfRule type="expression" dxfId="2233" priority="52">
      <formula>kvartal &lt; 4</formula>
    </cfRule>
  </conditionalFormatting>
  <conditionalFormatting sqref="C83">
    <cfRule type="expression" dxfId="2232" priority="51">
      <formula>kvartal &lt; 4</formula>
    </cfRule>
  </conditionalFormatting>
  <conditionalFormatting sqref="B90">
    <cfRule type="expression" dxfId="2231" priority="50">
      <formula>kvartal &lt; 4</formula>
    </cfRule>
  </conditionalFormatting>
  <conditionalFormatting sqref="C90">
    <cfRule type="expression" dxfId="2230" priority="49">
      <formula>kvartal &lt; 4</formula>
    </cfRule>
  </conditionalFormatting>
  <conditionalFormatting sqref="B93">
    <cfRule type="expression" dxfId="2229" priority="48">
      <formula>kvartal &lt; 4</formula>
    </cfRule>
  </conditionalFormatting>
  <conditionalFormatting sqref="C93">
    <cfRule type="expression" dxfId="2228" priority="47">
      <formula>kvartal &lt; 4</formula>
    </cfRule>
  </conditionalFormatting>
  <conditionalFormatting sqref="B101">
    <cfRule type="expression" dxfId="2227" priority="46">
      <formula>kvartal &lt; 4</formula>
    </cfRule>
  </conditionalFormatting>
  <conditionalFormatting sqref="C101">
    <cfRule type="expression" dxfId="2226" priority="45">
      <formula>kvartal &lt; 4</formula>
    </cfRule>
  </conditionalFormatting>
  <conditionalFormatting sqref="B104">
    <cfRule type="expression" dxfId="2225" priority="44">
      <formula>kvartal &lt; 4</formula>
    </cfRule>
  </conditionalFormatting>
  <conditionalFormatting sqref="C104">
    <cfRule type="expression" dxfId="2224" priority="43">
      <formula>kvartal &lt; 4</formula>
    </cfRule>
  </conditionalFormatting>
  <conditionalFormatting sqref="B115">
    <cfRule type="expression" dxfId="2223" priority="42">
      <formula>kvartal &lt; 4</formula>
    </cfRule>
  </conditionalFormatting>
  <conditionalFormatting sqref="C115">
    <cfRule type="expression" dxfId="2222" priority="41">
      <formula>kvartal &lt; 4</formula>
    </cfRule>
  </conditionalFormatting>
  <conditionalFormatting sqref="B123">
    <cfRule type="expression" dxfId="2221" priority="40">
      <formula>kvartal &lt; 4</formula>
    </cfRule>
  </conditionalFormatting>
  <conditionalFormatting sqref="C123">
    <cfRule type="expression" dxfId="2220" priority="39">
      <formula>kvartal &lt; 4</formula>
    </cfRule>
  </conditionalFormatting>
  <conditionalFormatting sqref="F70">
    <cfRule type="expression" dxfId="2219" priority="38">
      <formula>kvartal &lt; 4</formula>
    </cfRule>
  </conditionalFormatting>
  <conditionalFormatting sqref="G70">
    <cfRule type="expression" dxfId="2218" priority="37">
      <formula>kvartal &lt; 4</formula>
    </cfRule>
  </conditionalFormatting>
  <conditionalFormatting sqref="F71:G71">
    <cfRule type="expression" dxfId="2217" priority="36">
      <formula>kvartal &lt; 4</formula>
    </cfRule>
  </conditionalFormatting>
  <conditionalFormatting sqref="F73:G74">
    <cfRule type="expression" dxfId="2216" priority="35">
      <formula>kvartal &lt; 4</formula>
    </cfRule>
  </conditionalFormatting>
  <conditionalFormatting sqref="F81:G82">
    <cfRule type="expression" dxfId="2215" priority="34">
      <formula>kvartal &lt; 4</formula>
    </cfRule>
  </conditionalFormatting>
  <conditionalFormatting sqref="F84:G85">
    <cfRule type="expression" dxfId="2214" priority="33">
      <formula>kvartal &lt; 4</formula>
    </cfRule>
  </conditionalFormatting>
  <conditionalFormatting sqref="F91:G92">
    <cfRule type="expression" dxfId="2213" priority="32">
      <formula>kvartal &lt; 4</formula>
    </cfRule>
  </conditionalFormatting>
  <conditionalFormatting sqref="F94:G95">
    <cfRule type="expression" dxfId="2212" priority="31">
      <formula>kvartal &lt; 4</formula>
    </cfRule>
  </conditionalFormatting>
  <conditionalFormatting sqref="F102:G103">
    <cfRule type="expression" dxfId="2211" priority="30">
      <formula>kvartal &lt; 4</formula>
    </cfRule>
  </conditionalFormatting>
  <conditionalFormatting sqref="F105:G106">
    <cfRule type="expression" dxfId="2210" priority="29">
      <formula>kvartal &lt; 4</formula>
    </cfRule>
  </conditionalFormatting>
  <conditionalFormatting sqref="F115">
    <cfRule type="expression" dxfId="2209" priority="28">
      <formula>kvartal &lt; 4</formula>
    </cfRule>
  </conditionalFormatting>
  <conditionalFormatting sqref="G115">
    <cfRule type="expression" dxfId="2208" priority="27">
      <formula>kvartal &lt; 4</formula>
    </cfRule>
  </conditionalFormatting>
  <conditionalFormatting sqref="F123:G123">
    <cfRule type="expression" dxfId="2207" priority="26">
      <formula>kvartal &lt; 4</formula>
    </cfRule>
  </conditionalFormatting>
  <conditionalFormatting sqref="F69:G69">
    <cfRule type="expression" dxfId="2206" priority="25">
      <formula>kvartal &lt; 4</formula>
    </cfRule>
  </conditionalFormatting>
  <conditionalFormatting sqref="F72:G72">
    <cfRule type="expression" dxfId="2205" priority="24">
      <formula>kvartal &lt; 4</formula>
    </cfRule>
  </conditionalFormatting>
  <conditionalFormatting sqref="F80:G80">
    <cfRule type="expression" dxfId="2204" priority="23">
      <formula>kvartal &lt; 4</formula>
    </cfRule>
  </conditionalFormatting>
  <conditionalFormatting sqref="F83:G83">
    <cfRule type="expression" dxfId="2203" priority="22">
      <formula>kvartal &lt; 4</formula>
    </cfRule>
  </conditionalFormatting>
  <conditionalFormatting sqref="F90:G90">
    <cfRule type="expression" dxfId="2202" priority="21">
      <formula>kvartal &lt; 4</formula>
    </cfRule>
  </conditionalFormatting>
  <conditionalFormatting sqref="F93">
    <cfRule type="expression" dxfId="2201" priority="20">
      <formula>kvartal &lt; 4</formula>
    </cfRule>
  </conditionalFormatting>
  <conditionalFormatting sqref="G93">
    <cfRule type="expression" dxfId="2200" priority="19">
      <formula>kvartal &lt; 4</formula>
    </cfRule>
  </conditionalFormatting>
  <conditionalFormatting sqref="F101">
    <cfRule type="expression" dxfId="2199" priority="18">
      <formula>kvartal &lt; 4</formula>
    </cfRule>
  </conditionalFormatting>
  <conditionalFormatting sqref="G101">
    <cfRule type="expression" dxfId="2198" priority="17">
      <formula>kvartal &lt; 4</formula>
    </cfRule>
  </conditionalFormatting>
  <conditionalFormatting sqref="G104">
    <cfRule type="expression" dxfId="2197" priority="16">
      <formula>kvartal &lt; 4</formula>
    </cfRule>
  </conditionalFormatting>
  <conditionalFormatting sqref="F104">
    <cfRule type="expression" dxfId="2196" priority="15">
      <formula>kvartal &lt; 4</formula>
    </cfRule>
  </conditionalFormatting>
  <conditionalFormatting sqref="J69:K73">
    <cfRule type="expression" dxfId="2195" priority="14">
      <formula>kvartal &lt; 4</formula>
    </cfRule>
  </conditionalFormatting>
  <conditionalFormatting sqref="J74:K74">
    <cfRule type="expression" dxfId="2194" priority="13">
      <formula>kvartal &lt; 4</formula>
    </cfRule>
  </conditionalFormatting>
  <conditionalFormatting sqref="J80:K85">
    <cfRule type="expression" dxfId="2193" priority="12">
      <formula>kvartal &lt; 4</formula>
    </cfRule>
  </conditionalFormatting>
  <conditionalFormatting sqref="J90:K95">
    <cfRule type="expression" dxfId="2192" priority="11">
      <formula>kvartal &lt; 4</formula>
    </cfRule>
  </conditionalFormatting>
  <conditionalFormatting sqref="J101:K106">
    <cfRule type="expression" dxfId="2191" priority="10">
      <formula>kvartal &lt; 4</formula>
    </cfRule>
  </conditionalFormatting>
  <conditionalFormatting sqref="J115:K115">
    <cfRule type="expression" dxfId="2190" priority="9">
      <formula>kvartal &lt; 4</formula>
    </cfRule>
  </conditionalFormatting>
  <conditionalFormatting sqref="J123:K123">
    <cfRule type="expression" dxfId="2189" priority="8">
      <formula>kvartal &lt; 4</formula>
    </cfRule>
  </conditionalFormatting>
  <conditionalFormatting sqref="A50:A52">
    <cfRule type="expression" dxfId="2188" priority="7">
      <formula>kvartal &lt; 4</formula>
    </cfRule>
  </conditionalFormatting>
  <conditionalFormatting sqref="A69:A74">
    <cfRule type="expression" dxfId="2187" priority="6">
      <formula>kvartal &lt; 4</formula>
    </cfRule>
  </conditionalFormatting>
  <conditionalFormatting sqref="A80:A85">
    <cfRule type="expression" dxfId="2186" priority="5">
      <formula>kvartal &lt; 4</formula>
    </cfRule>
  </conditionalFormatting>
  <conditionalFormatting sqref="A90:A95">
    <cfRule type="expression" dxfId="2185" priority="4">
      <formula>kvartal &lt; 4</formula>
    </cfRule>
  </conditionalFormatting>
  <conditionalFormatting sqref="A101:A106">
    <cfRule type="expression" dxfId="2184" priority="3">
      <formula>kvartal &lt; 4</formula>
    </cfRule>
  </conditionalFormatting>
  <conditionalFormatting sqref="A115">
    <cfRule type="expression" dxfId="2183" priority="2">
      <formula>kvartal &lt; 4</formula>
    </cfRule>
  </conditionalFormatting>
  <conditionalFormatting sqref="A123">
    <cfRule type="expression" dxfId="2182" priority="1">
      <formula>kvartal &lt; 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O144"/>
  <sheetViews>
    <sheetView showGridLines="0" zoomScale="90" zoomScaleNormal="90" workbookViewId="0">
      <pane xSplit="1" topLeftCell="B1" activePane="topRight" state="frozen"/>
      <selection activeCell="B110" sqref="B110"/>
      <selection pane="topRight" activeCell="C57" sqref="C57"/>
    </sheetView>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459</v>
      </c>
      <c r="D1" s="26"/>
      <c r="E1" s="26"/>
      <c r="F1" s="26"/>
      <c r="G1" s="26"/>
      <c r="H1" s="26"/>
      <c r="I1" s="26"/>
      <c r="J1" s="26"/>
      <c r="K1" s="26"/>
      <c r="L1" s="26"/>
      <c r="M1" s="26"/>
    </row>
    <row r="2" spans="1:14" ht="15.75" x14ac:dyDescent="0.25">
      <c r="A2" s="164" t="s">
        <v>28</v>
      </c>
      <c r="B2" s="359"/>
      <c r="C2" s="359"/>
      <c r="D2" s="359"/>
      <c r="E2" s="359"/>
      <c r="F2" s="359"/>
      <c r="G2" s="359"/>
      <c r="H2" s="359"/>
      <c r="I2" s="359"/>
      <c r="J2" s="359"/>
      <c r="K2" s="359"/>
      <c r="L2" s="359"/>
      <c r="M2" s="359"/>
    </row>
    <row r="3" spans="1:14" ht="15.75" x14ac:dyDescent="0.25">
      <c r="A3" s="162"/>
      <c r="B3" s="359"/>
      <c r="C3" s="359"/>
      <c r="D3" s="359"/>
      <c r="E3" s="359"/>
      <c r="F3" s="359"/>
      <c r="G3" s="359"/>
      <c r="H3" s="359"/>
      <c r="I3" s="359"/>
      <c r="J3" s="359"/>
      <c r="K3" s="359"/>
      <c r="L3" s="359"/>
      <c r="M3" s="359"/>
    </row>
    <row r="4" spans="1:14" x14ac:dyDescent="0.2">
      <c r="A4" s="143"/>
      <c r="B4" s="1010" t="s">
        <v>0</v>
      </c>
      <c r="C4" s="1011"/>
      <c r="D4" s="1011"/>
      <c r="E4" s="356"/>
      <c r="F4" s="1010" t="s">
        <v>1</v>
      </c>
      <c r="G4" s="1011"/>
      <c r="H4" s="1011"/>
      <c r="I4" s="357"/>
      <c r="J4" s="1010" t="s">
        <v>2</v>
      </c>
      <c r="K4" s="1011"/>
      <c r="L4" s="1011"/>
      <c r="M4" s="357"/>
    </row>
    <row r="5" spans="1:14" x14ac:dyDescent="0.2">
      <c r="A5" s="157"/>
      <c r="B5" s="151" t="s">
        <v>507</v>
      </c>
      <c r="C5" s="151" t="s">
        <v>508</v>
      </c>
      <c r="D5" s="245" t="s">
        <v>3</v>
      </c>
      <c r="E5" s="308" t="s">
        <v>29</v>
      </c>
      <c r="F5" s="151" t="s">
        <v>507</v>
      </c>
      <c r="G5" s="151" t="s">
        <v>508</v>
      </c>
      <c r="H5" s="245" t="s">
        <v>3</v>
      </c>
      <c r="I5" s="308"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62">
        <v>1200711.3584</v>
      </c>
      <c r="C7" s="363">
        <v>1283577.4146700001</v>
      </c>
      <c r="D7" s="371">
        <f t="shared" ref="D7:D10" si="0">IF(AND(_xlfn.NUMBERVALUE(B7)=0,_xlfn.NUMBERVALUE(C7)=0),,IF(B7=0, "    ---- ", IF(ABS(ROUND(100/B7*C7-100,1))&lt;999,IF(ROUND(100/B7*C7-100,1)=0,"    ---- ",ROUND(100/B7*C7-100,1)),IF(ROUND(100/B7*C7-100,1)&gt;999,999,-999))))</f>
        <v>6.9</v>
      </c>
      <c r="E7" s="372">
        <f>IFERROR(100/'Skjema total MA'!C7*C7,0)</f>
        <v>24.926462654926578</v>
      </c>
      <c r="F7" s="362"/>
      <c r="G7" s="363"/>
      <c r="H7" s="371"/>
      <c r="I7" s="372"/>
      <c r="J7" s="373">
        <f t="shared" ref="J7:K10" si="1">SUM(B7,F7)</f>
        <v>1200711.3584</v>
      </c>
      <c r="K7" s="368">
        <f t="shared" si="1"/>
        <v>1283577.4146700001</v>
      </c>
      <c r="L7" s="371">
        <f t="shared" ref="L7:L10" si="2">IF(AND(_xlfn.NUMBERVALUE(J7)=0,_xlfn.NUMBERVALUE(K7)=0),,IF(J7=0, "    ---- ", IF(ABS(ROUND(100/J7*K7-100,1))&lt;999,IF(ROUND(100/J7*K7-100,1)=0,"    ---- ",ROUND(100/J7*K7-100,1)),IF(ROUND(100/J7*K7-100,1)&gt;999,999,-999))))</f>
        <v>6.9</v>
      </c>
      <c r="M7" s="372">
        <f>IFERROR(100/'Skjema total MA'!I7*K7,0)</f>
        <v>8.9297873717129654</v>
      </c>
    </row>
    <row r="8" spans="1:14" ht="15.75" x14ac:dyDescent="0.2">
      <c r="A8" s="21" t="s">
        <v>25</v>
      </c>
      <c r="B8" s="365">
        <v>1066375.9057100001</v>
      </c>
      <c r="C8" s="366">
        <v>1140841.42343</v>
      </c>
      <c r="D8" s="374">
        <f t="shared" si="0"/>
        <v>7</v>
      </c>
      <c r="E8" s="372">
        <f>IFERROR(100/'Skjema total MA'!C8*C8,0)</f>
        <v>34.13597290754317</v>
      </c>
      <c r="F8" s="375"/>
      <c r="G8" s="376"/>
      <c r="H8" s="374"/>
      <c r="I8" s="372"/>
      <c r="J8" s="377">
        <f t="shared" si="1"/>
        <v>1066375.9057100001</v>
      </c>
      <c r="K8" s="366">
        <f t="shared" si="1"/>
        <v>1140841.42343</v>
      </c>
      <c r="L8" s="374">
        <f t="shared" si="2"/>
        <v>7</v>
      </c>
      <c r="M8" s="372">
        <f>IFERROR(100/'Skjema total MA'!I8*K8,0)</f>
        <v>34.13597290754317</v>
      </c>
    </row>
    <row r="9" spans="1:14" ht="15.75" x14ac:dyDescent="0.2">
      <c r="A9" s="21" t="s">
        <v>24</v>
      </c>
      <c r="B9" s="365">
        <v>134335.45269000001</v>
      </c>
      <c r="C9" s="366">
        <v>142735.99124</v>
      </c>
      <c r="D9" s="374">
        <f t="shared" si="0"/>
        <v>6.3</v>
      </c>
      <c r="E9" s="372">
        <f>IFERROR(100/'Skjema total MA'!C9*C9,0)</f>
        <v>13.366943367815571</v>
      </c>
      <c r="F9" s="375"/>
      <c r="G9" s="376"/>
      <c r="H9" s="374"/>
      <c r="I9" s="372"/>
      <c r="J9" s="377">
        <f t="shared" si="1"/>
        <v>134335.45269000001</v>
      </c>
      <c r="K9" s="366">
        <f t="shared" si="1"/>
        <v>142735.99124</v>
      </c>
      <c r="L9" s="374">
        <f t="shared" si="2"/>
        <v>6.3</v>
      </c>
      <c r="M9" s="372">
        <f>IFERROR(100/'Skjema total MA'!I9*K9,0)</f>
        <v>13.366943367815571</v>
      </c>
    </row>
    <row r="10" spans="1:14" ht="15.75" x14ac:dyDescent="0.2">
      <c r="A10" s="13" t="s">
        <v>426</v>
      </c>
      <c r="B10" s="367">
        <v>608896.41105999995</v>
      </c>
      <c r="C10" s="368">
        <v>657304.80996999994</v>
      </c>
      <c r="D10" s="374">
        <f t="shared" si="0"/>
        <v>8</v>
      </c>
      <c r="E10" s="372">
        <f>IFERROR(100/'Skjema total MA'!C10*C10,0)</f>
        <v>3.7669524163415042</v>
      </c>
      <c r="F10" s="367"/>
      <c r="G10" s="368"/>
      <c r="H10" s="374"/>
      <c r="I10" s="372"/>
      <c r="J10" s="373">
        <f t="shared" si="1"/>
        <v>608896.41105999995</v>
      </c>
      <c r="K10" s="368">
        <f t="shared" si="1"/>
        <v>657304.80996999994</v>
      </c>
      <c r="L10" s="374">
        <f t="shared" si="2"/>
        <v>8</v>
      </c>
      <c r="M10" s="372">
        <f>IFERROR(100/'Skjema total MA'!I10*K10,0)</f>
        <v>0.74495359501399172</v>
      </c>
    </row>
    <row r="11" spans="1:14" s="43" customFormat="1" ht="15.75" x14ac:dyDescent="0.2">
      <c r="A11" s="13" t="s">
        <v>427</v>
      </c>
      <c r="B11" s="367"/>
      <c r="C11" s="368"/>
      <c r="D11" s="374"/>
      <c r="E11" s="372"/>
      <c r="F11" s="367"/>
      <c r="G11" s="368"/>
      <c r="H11" s="374"/>
      <c r="I11" s="372"/>
      <c r="J11" s="373"/>
      <c r="K11" s="368"/>
      <c r="L11" s="374"/>
      <c r="M11" s="372"/>
      <c r="N11" s="142"/>
    </row>
    <row r="12" spans="1:14" s="43" customFormat="1" ht="15.75" x14ac:dyDescent="0.2">
      <c r="A12" s="41" t="s">
        <v>428</v>
      </c>
      <c r="B12" s="369"/>
      <c r="C12" s="370"/>
      <c r="D12" s="378"/>
      <c r="E12" s="378"/>
      <c r="F12" s="369"/>
      <c r="G12" s="370"/>
      <c r="H12" s="378"/>
      <c r="I12" s="378"/>
      <c r="J12" s="379"/>
      <c r="K12" s="370"/>
      <c r="L12" s="378"/>
      <c r="M12" s="378"/>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358"/>
      <c r="C18" s="358"/>
      <c r="D18" s="358"/>
      <c r="E18" s="359"/>
      <c r="F18" s="358"/>
      <c r="G18" s="358"/>
      <c r="H18" s="358"/>
      <c r="I18" s="359"/>
      <c r="J18" s="358"/>
      <c r="K18" s="358"/>
      <c r="L18" s="358"/>
      <c r="M18" s="359"/>
    </row>
    <row r="19" spans="1:14" x14ac:dyDescent="0.2">
      <c r="A19" s="143"/>
      <c r="B19" s="1010" t="s">
        <v>0</v>
      </c>
      <c r="C19" s="1011"/>
      <c r="D19" s="1011"/>
      <c r="E19" s="356"/>
      <c r="F19" s="1010" t="s">
        <v>1</v>
      </c>
      <c r="G19" s="1011"/>
      <c r="H19" s="1011"/>
      <c r="I19" s="357"/>
      <c r="J19" s="1010" t="s">
        <v>2</v>
      </c>
      <c r="K19" s="1011"/>
      <c r="L19" s="1011"/>
      <c r="M19" s="357"/>
    </row>
    <row r="20" spans="1:14" x14ac:dyDescent="0.2">
      <c r="A20" s="139" t="s">
        <v>5</v>
      </c>
      <c r="B20" s="242" t="s">
        <v>507</v>
      </c>
      <c r="C20" s="242" t="s">
        <v>508</v>
      </c>
      <c r="D20" s="161" t="s">
        <v>3</v>
      </c>
      <c r="E20" s="308" t="s">
        <v>29</v>
      </c>
      <c r="F20" s="242" t="s">
        <v>507</v>
      </c>
      <c r="G20" s="242" t="s">
        <v>508</v>
      </c>
      <c r="H20" s="161" t="s">
        <v>3</v>
      </c>
      <c r="I20" s="308"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737">
        <v>733035.74184999999</v>
      </c>
      <c r="C22" s="737">
        <v>808451</v>
      </c>
      <c r="D22" s="371">
        <f t="shared" ref="D22:D29" si="3">IF(AND(_xlfn.NUMBERVALUE(B22)=0,_xlfn.NUMBERVALUE(C22)=0),,IF(B22=0, "    ---- ", IF(ABS(ROUND(100/B22*C22-100,1))&lt;999,IF(ROUND(100/B22*C22-100,1)=0,"    ---- ",ROUND(100/B22*C22-100,1)),IF(ROUND(100/B22*C22-100,1)&gt;999,999,-999))))</f>
        <v>10.3</v>
      </c>
      <c r="E22" s="372">
        <f>IFERROR(100/'Skjema total MA'!C22*C22,0)</f>
        <v>37.664880863795787</v>
      </c>
      <c r="F22" s="380"/>
      <c r="G22" s="380"/>
      <c r="H22" s="371"/>
      <c r="I22" s="372"/>
      <c r="J22" s="362">
        <f t="shared" ref="J22:K29" si="4">SUM(B22,F22)</f>
        <v>733035.74184999999</v>
      </c>
      <c r="K22" s="362">
        <f t="shared" si="4"/>
        <v>808451</v>
      </c>
      <c r="L22" s="371">
        <f t="shared" ref="L22:L29" si="5">IF(AND(_xlfn.NUMBERVALUE(J22)=0,_xlfn.NUMBERVALUE(K22)=0),,IF(J22=0, "    ---- ", IF(ABS(ROUND(100/J22*K22-100,1))&lt;999,IF(ROUND(100/J22*K22-100,1)=0,"    ---- ",ROUND(100/J22*K22-100,1)),IF(ROUND(100/J22*K22-100,1)&gt;999,999,-999))))</f>
        <v>10.3</v>
      </c>
      <c r="M22" s="372">
        <f>IFERROR(100/'Skjema total MA'!I22*K22,0)</f>
        <v>25.49670202645251</v>
      </c>
    </row>
    <row r="23" spans="1:14" ht="15.75" x14ac:dyDescent="0.2">
      <c r="A23" s="723" t="s">
        <v>429</v>
      </c>
      <c r="B23" s="364"/>
      <c r="C23" s="364"/>
      <c r="D23" s="374"/>
      <c r="E23" s="372"/>
      <c r="F23" s="364"/>
      <c r="G23" s="364"/>
      <c r="H23" s="374"/>
      <c r="I23" s="372"/>
      <c r="J23" s="364"/>
      <c r="K23" s="364"/>
      <c r="L23" s="374"/>
      <c r="M23" s="372"/>
    </row>
    <row r="24" spans="1:14" ht="15.75" x14ac:dyDescent="0.2">
      <c r="A24" s="723" t="s">
        <v>430</v>
      </c>
      <c r="B24" s="364"/>
      <c r="C24" s="364"/>
      <c r="D24" s="374"/>
      <c r="E24" s="372"/>
      <c r="F24" s="364"/>
      <c r="G24" s="364"/>
      <c r="H24" s="374"/>
      <c r="I24" s="372"/>
      <c r="J24" s="364"/>
      <c r="K24" s="364"/>
      <c r="L24" s="374"/>
      <c r="M24" s="372"/>
    </row>
    <row r="25" spans="1:14" ht="15.75" x14ac:dyDescent="0.2">
      <c r="A25" s="723" t="s">
        <v>431</v>
      </c>
      <c r="B25" s="364"/>
      <c r="C25" s="364"/>
      <c r="D25" s="374"/>
      <c r="E25" s="372"/>
      <c r="F25" s="364"/>
      <c r="G25" s="364"/>
      <c r="H25" s="374"/>
      <c r="I25" s="372"/>
      <c r="J25" s="364"/>
      <c r="K25" s="364"/>
      <c r="L25" s="374"/>
      <c r="M25" s="372"/>
    </row>
    <row r="26" spans="1:14" ht="15.75" x14ac:dyDescent="0.2">
      <c r="A26" s="723" t="s">
        <v>432</v>
      </c>
      <c r="B26" s="364"/>
      <c r="C26" s="364"/>
      <c r="D26" s="374"/>
      <c r="E26" s="372"/>
      <c r="F26" s="364"/>
      <c r="G26" s="364"/>
      <c r="H26" s="374"/>
      <c r="I26" s="372"/>
      <c r="J26" s="364"/>
      <c r="K26" s="364"/>
      <c r="L26" s="374"/>
      <c r="M26" s="372"/>
    </row>
    <row r="27" spans="1:14" x14ac:dyDescent="0.2">
      <c r="A27" s="723" t="s">
        <v>11</v>
      </c>
      <c r="B27" s="364"/>
      <c r="C27" s="364"/>
      <c r="D27" s="374"/>
      <c r="E27" s="372"/>
      <c r="F27" s="364"/>
      <c r="G27" s="364"/>
      <c r="H27" s="374"/>
      <c r="I27" s="372"/>
      <c r="J27" s="364"/>
      <c r="K27" s="364"/>
      <c r="L27" s="374"/>
      <c r="M27" s="372"/>
    </row>
    <row r="28" spans="1:14" ht="15.75" x14ac:dyDescent="0.2">
      <c r="A28" s="49" t="s">
        <v>269</v>
      </c>
      <c r="B28" s="364">
        <v>733035.74184999999</v>
      </c>
      <c r="C28" s="364">
        <v>808450.85335999995</v>
      </c>
      <c r="D28" s="374">
        <f t="shared" si="3"/>
        <v>10.3</v>
      </c>
      <c r="E28" s="372">
        <f>IFERROR(100/'Skjema total MA'!C28*C28,0)</f>
        <v>33.277408201327802</v>
      </c>
      <c r="F28" s="377"/>
      <c r="G28" s="366"/>
      <c r="H28" s="374"/>
      <c r="I28" s="372"/>
      <c r="J28" s="365">
        <f t="shared" si="4"/>
        <v>733035.74184999999</v>
      </c>
      <c r="K28" s="365">
        <f t="shared" si="4"/>
        <v>808450.85335999995</v>
      </c>
      <c r="L28" s="374">
        <f t="shared" si="5"/>
        <v>10.3</v>
      </c>
      <c r="M28" s="372">
        <f>IFERROR(100/'Skjema total MA'!I28*K28,0)</f>
        <v>33.277408201327802</v>
      </c>
    </row>
    <row r="29" spans="1:14" s="3" customFormat="1" ht="15.75" x14ac:dyDescent="0.2">
      <c r="A29" s="13" t="s">
        <v>426</v>
      </c>
      <c r="B29" s="367">
        <v>3665607.7474799999</v>
      </c>
      <c r="C29" s="367">
        <v>4167711.1907199998</v>
      </c>
      <c r="D29" s="374">
        <f t="shared" si="3"/>
        <v>13.7</v>
      </c>
      <c r="E29" s="372">
        <f>IFERROR(100/'Skjema total MA'!C29*C29,0)</f>
        <v>9.4647348988776372</v>
      </c>
      <c r="F29" s="373"/>
      <c r="G29" s="373"/>
      <c r="H29" s="374"/>
      <c r="I29" s="372"/>
      <c r="J29" s="367">
        <f t="shared" si="4"/>
        <v>3665607.7474799999</v>
      </c>
      <c r="K29" s="367">
        <f t="shared" si="4"/>
        <v>4167711.1907199998</v>
      </c>
      <c r="L29" s="374">
        <f t="shared" si="5"/>
        <v>13.7</v>
      </c>
      <c r="M29" s="372">
        <f>IFERROR(100/'Skjema total MA'!I29*K29,0)</f>
        <v>6.1727503559942054</v>
      </c>
      <c r="N29" s="147"/>
    </row>
    <row r="30" spans="1:14" s="3" customFormat="1" ht="15.75" x14ac:dyDescent="0.2">
      <c r="A30" s="723" t="s">
        <v>429</v>
      </c>
      <c r="B30" s="364"/>
      <c r="C30" s="364"/>
      <c r="D30" s="374"/>
      <c r="E30" s="372"/>
      <c r="F30" s="364"/>
      <c r="G30" s="364"/>
      <c r="H30" s="374"/>
      <c r="I30" s="372"/>
      <c r="J30" s="364"/>
      <c r="K30" s="364"/>
      <c r="L30" s="374"/>
      <c r="M30" s="372"/>
      <c r="N30" s="147"/>
    </row>
    <row r="31" spans="1:14" s="3" customFormat="1" ht="15.75" x14ac:dyDescent="0.2">
      <c r="A31" s="723" t="s">
        <v>430</v>
      </c>
      <c r="B31" s="364"/>
      <c r="C31" s="364"/>
      <c r="D31" s="374"/>
      <c r="E31" s="372"/>
      <c r="F31" s="364"/>
      <c r="G31" s="364"/>
      <c r="H31" s="374"/>
      <c r="I31" s="372"/>
      <c r="J31" s="364"/>
      <c r="K31" s="364"/>
      <c r="L31" s="374"/>
      <c r="M31" s="372"/>
      <c r="N31" s="147"/>
    </row>
    <row r="32" spans="1:14" ht="15.75" x14ac:dyDescent="0.2">
      <c r="A32" s="723" t="s">
        <v>431</v>
      </c>
      <c r="B32" s="364"/>
      <c r="C32" s="364"/>
      <c r="D32" s="374"/>
      <c r="E32" s="372"/>
      <c r="F32" s="364"/>
      <c r="G32" s="364"/>
      <c r="H32" s="374"/>
      <c r="I32" s="372"/>
      <c r="J32" s="364"/>
      <c r="K32" s="364"/>
      <c r="L32" s="374"/>
      <c r="M32" s="372"/>
    </row>
    <row r="33" spans="1:14" ht="15.75" x14ac:dyDescent="0.2">
      <c r="A33" s="723" t="s">
        <v>432</v>
      </c>
      <c r="B33" s="364"/>
      <c r="C33" s="364"/>
      <c r="D33" s="374"/>
      <c r="E33" s="372"/>
      <c r="F33" s="364"/>
      <c r="G33" s="364"/>
      <c r="H33" s="374"/>
      <c r="I33" s="372"/>
      <c r="J33" s="364"/>
      <c r="K33" s="364"/>
      <c r="L33" s="374"/>
      <c r="M33" s="372"/>
    </row>
    <row r="34" spans="1:14" ht="15.75" x14ac:dyDescent="0.2">
      <c r="A34" s="13" t="s">
        <v>427</v>
      </c>
      <c r="B34" s="367"/>
      <c r="C34" s="368"/>
      <c r="D34" s="374"/>
      <c r="E34" s="372"/>
      <c r="F34" s="373"/>
      <c r="G34" s="368"/>
      <c r="H34" s="374"/>
      <c r="I34" s="372"/>
      <c r="J34" s="367"/>
      <c r="K34" s="367"/>
      <c r="L34" s="374"/>
      <c r="M34" s="372"/>
    </row>
    <row r="35" spans="1:14" ht="15.75" x14ac:dyDescent="0.2">
      <c r="A35" s="13" t="s">
        <v>428</v>
      </c>
      <c r="B35" s="367"/>
      <c r="C35" s="368"/>
      <c r="D35" s="374"/>
      <c r="E35" s="372"/>
      <c r="F35" s="373"/>
      <c r="G35" s="368"/>
      <c r="H35" s="374"/>
      <c r="I35" s="372"/>
      <c r="J35" s="367"/>
      <c r="K35" s="367"/>
      <c r="L35" s="374"/>
      <c r="M35" s="372"/>
    </row>
    <row r="36" spans="1:14" ht="15.75" x14ac:dyDescent="0.2">
      <c r="A36" s="12" t="s">
        <v>277</v>
      </c>
      <c r="B36" s="367"/>
      <c r="C36" s="368"/>
      <c r="D36" s="374"/>
      <c r="E36" s="372"/>
      <c r="F36" s="381"/>
      <c r="G36" s="382"/>
      <c r="H36" s="374"/>
      <c r="I36" s="372"/>
      <c r="J36" s="367"/>
      <c r="K36" s="367"/>
      <c r="L36" s="374"/>
      <c r="M36" s="372"/>
    </row>
    <row r="37" spans="1:14" ht="15.75" x14ac:dyDescent="0.2">
      <c r="A37" s="12" t="s">
        <v>434</v>
      </c>
      <c r="B37" s="367"/>
      <c r="C37" s="368"/>
      <c r="D37" s="374"/>
      <c r="E37" s="372"/>
      <c r="F37" s="381"/>
      <c r="G37" s="383"/>
      <c r="H37" s="374"/>
      <c r="I37" s="372"/>
      <c r="J37" s="367"/>
      <c r="K37" s="367"/>
      <c r="L37" s="374"/>
      <c r="M37" s="372"/>
    </row>
    <row r="38" spans="1:14" ht="15.75" x14ac:dyDescent="0.2">
      <c r="A38" s="12" t="s">
        <v>435</v>
      </c>
      <c r="B38" s="367"/>
      <c r="C38" s="368"/>
      <c r="D38" s="374"/>
      <c r="E38" s="165"/>
      <c r="F38" s="381"/>
      <c r="G38" s="382"/>
      <c r="H38" s="374"/>
      <c r="I38" s="372"/>
      <c r="J38" s="367"/>
      <c r="K38" s="367"/>
      <c r="L38" s="374"/>
      <c r="M38" s="372"/>
    </row>
    <row r="39" spans="1:14" ht="15.75" x14ac:dyDescent="0.2">
      <c r="A39" s="18" t="s">
        <v>436</v>
      </c>
      <c r="B39" s="369"/>
      <c r="C39" s="370"/>
      <c r="D39" s="378"/>
      <c r="E39" s="166"/>
      <c r="F39" s="384"/>
      <c r="G39" s="385"/>
      <c r="H39" s="378"/>
      <c r="I39" s="372"/>
      <c r="J39" s="367"/>
      <c r="K39" s="367"/>
      <c r="L39" s="378"/>
      <c r="M39" s="378"/>
    </row>
    <row r="40" spans="1:14" ht="15.75" x14ac:dyDescent="0.25">
      <c r="A40" s="47"/>
      <c r="B40" s="257"/>
      <c r="C40" s="257"/>
      <c r="D40" s="361"/>
      <c r="E40" s="361"/>
      <c r="F40" s="361"/>
      <c r="G40" s="361"/>
      <c r="H40" s="361"/>
      <c r="I40" s="361"/>
      <c r="J40" s="361"/>
      <c r="K40" s="361"/>
      <c r="L40" s="361"/>
      <c r="M40" s="360"/>
    </row>
    <row r="41" spans="1:14" x14ac:dyDescent="0.2">
      <c r="A41" s="154"/>
    </row>
    <row r="42" spans="1:14" ht="15.75" x14ac:dyDescent="0.25">
      <c r="A42" s="146" t="s">
        <v>266</v>
      </c>
      <c r="B42" s="359"/>
      <c r="C42" s="359"/>
      <c r="D42" s="359"/>
      <c r="E42" s="359"/>
      <c r="F42" s="360"/>
      <c r="G42" s="360"/>
      <c r="H42" s="360"/>
      <c r="I42" s="360"/>
      <c r="J42" s="360"/>
      <c r="K42" s="360"/>
      <c r="L42" s="360"/>
      <c r="M42" s="360"/>
    </row>
    <row r="43" spans="1:14" ht="15.75" x14ac:dyDescent="0.25">
      <c r="A43" s="162"/>
      <c r="B43" s="358"/>
      <c r="C43" s="358"/>
      <c r="D43" s="358"/>
      <c r="E43" s="358"/>
      <c r="F43" s="360"/>
      <c r="G43" s="360"/>
      <c r="H43" s="360"/>
      <c r="I43" s="360"/>
      <c r="J43" s="360"/>
      <c r="K43" s="360"/>
      <c r="L43" s="360"/>
      <c r="M43" s="360"/>
    </row>
    <row r="44" spans="1:14" ht="15.75" x14ac:dyDescent="0.25">
      <c r="A44" s="248"/>
      <c r="B44" s="1010" t="s">
        <v>0</v>
      </c>
      <c r="C44" s="1011"/>
      <c r="D44" s="1011"/>
      <c r="E44" s="243"/>
      <c r="F44" s="360"/>
      <c r="G44" s="360"/>
      <c r="H44" s="360"/>
      <c r="I44" s="360"/>
      <c r="J44" s="360"/>
      <c r="K44" s="360"/>
      <c r="L44" s="360"/>
      <c r="M44" s="360"/>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419" customFormat="1" ht="15.75" x14ac:dyDescent="0.2">
      <c r="A47" s="14" t="s">
        <v>23</v>
      </c>
      <c r="B47" s="367">
        <v>1141044.73122</v>
      </c>
      <c r="C47" s="368">
        <v>1202958.3595000003</v>
      </c>
      <c r="D47" s="423">
        <f>IF(AND(_xlfn.NUMBERVALUE(B47)=0,_xlfn.NUMBERVALUE(C47)=0),,IF(B47=0, "    ---- ", IF(ABS(ROUND(100/B47*C47-100,1))&lt;999,IF(ROUND(100/B47*C47-100,1)=0,"    ---- ",ROUND(100/B47*C47-100,1)),IF(ROUND(100/B47*C47-100,1)&gt;999,999,-999))))</f>
        <v>5.4</v>
      </c>
      <c r="E47" s="972">
        <f>IFERROR(100/'Skjema total MA'!C47*C47,0)</f>
        <v>21.707444495101388</v>
      </c>
      <c r="F47" s="158"/>
      <c r="G47" s="173"/>
      <c r="H47" s="158"/>
      <c r="I47" s="158"/>
      <c r="J47" s="422"/>
      <c r="K47" s="422"/>
      <c r="L47" s="158"/>
      <c r="M47" s="158"/>
      <c r="N47" s="424"/>
    </row>
    <row r="48" spans="1:14" s="3" customFormat="1" ht="15.75" x14ac:dyDescent="0.2">
      <c r="A48" s="38" t="s">
        <v>437</v>
      </c>
      <c r="B48" s="365">
        <v>108097.37389</v>
      </c>
      <c r="C48" s="366">
        <v>115200.45346999999</v>
      </c>
      <c r="D48" s="374">
        <f t="shared" ref="D48:D57" si="6">IF(AND(_xlfn.NUMBERVALUE(B48)=0,_xlfn.NUMBERVALUE(C48)=0),,IF(B48=0, "    ---- ", IF(ABS(ROUND(100/B48*C48-100,1))&lt;999,IF(ROUND(100/B48*C48-100,1)=0,"    ---- ",ROUND(100/B48*C48-100,1)),IF(ROUND(100/B48*C48-100,1)&gt;999,999,-999))))</f>
        <v>6.6</v>
      </c>
      <c r="E48" s="973">
        <f>IFERROR(100/'Skjema total MA'!C48*C48,0)</f>
        <v>3.7400741603043919</v>
      </c>
      <c r="F48" s="144"/>
      <c r="G48" s="33"/>
      <c r="H48" s="144"/>
      <c r="I48" s="144"/>
      <c r="J48" s="33"/>
      <c r="K48" s="33"/>
      <c r="L48" s="158"/>
      <c r="M48" s="158"/>
      <c r="N48" s="147"/>
    </row>
    <row r="49" spans="1:14" s="3" customFormat="1" ht="15.75" x14ac:dyDescent="0.2">
      <c r="A49" s="38" t="s">
        <v>438</v>
      </c>
      <c r="B49" s="365">
        <v>1032947.35733</v>
      </c>
      <c r="C49" s="366">
        <v>1087757.9060300002</v>
      </c>
      <c r="D49" s="374">
        <f t="shared" si="6"/>
        <v>5.3</v>
      </c>
      <c r="E49" s="973">
        <f>IFERROR(100/'Skjema total MA'!C49*C49,0)</f>
        <v>44.190481936343303</v>
      </c>
      <c r="F49" s="144"/>
      <c r="G49" s="33"/>
      <c r="H49" s="144"/>
      <c r="I49" s="144"/>
      <c r="J49" s="37"/>
      <c r="K49" s="37"/>
      <c r="L49" s="158"/>
      <c r="M49" s="158"/>
      <c r="N49" s="147"/>
    </row>
    <row r="50" spans="1:14" s="3" customFormat="1" x14ac:dyDescent="0.2">
      <c r="A50" s="299" t="s">
        <v>6</v>
      </c>
      <c r="B50" s="364"/>
      <c r="C50" s="386"/>
      <c r="D50" s="374"/>
      <c r="E50" s="974"/>
      <c r="F50" s="144"/>
      <c r="G50" s="33"/>
      <c r="H50" s="144"/>
      <c r="I50" s="144"/>
      <c r="J50" s="33"/>
      <c r="K50" s="33"/>
      <c r="L50" s="158"/>
      <c r="M50" s="158"/>
      <c r="N50" s="147"/>
    </row>
    <row r="51" spans="1:14" s="3" customFormat="1" x14ac:dyDescent="0.2">
      <c r="A51" s="299" t="s">
        <v>7</v>
      </c>
      <c r="B51" s="364">
        <v>1024293.72947</v>
      </c>
      <c r="C51" s="386">
        <v>1079845.3384100001</v>
      </c>
      <c r="D51" s="374">
        <f t="shared" si="6"/>
        <v>5.4</v>
      </c>
      <c r="E51" s="973">
        <f>IFERROR(100/'Skjema total MA'!C51*C51,0)</f>
        <v>45.13380019594063</v>
      </c>
      <c r="F51" s="144"/>
      <c r="G51" s="33"/>
      <c r="H51" s="144"/>
      <c r="I51" s="144"/>
      <c r="J51" s="33"/>
      <c r="K51" s="33"/>
      <c r="L51" s="158"/>
      <c r="M51" s="158"/>
      <c r="N51" s="147"/>
    </row>
    <row r="52" spans="1:14" s="3" customFormat="1" x14ac:dyDescent="0.2">
      <c r="A52" s="299" t="s">
        <v>8</v>
      </c>
      <c r="B52" s="364">
        <v>8653.6278600000005</v>
      </c>
      <c r="C52" s="386">
        <v>7912.5676199999998</v>
      </c>
      <c r="D52" s="374">
        <f t="shared" si="6"/>
        <v>-8.6</v>
      </c>
      <c r="E52" s="973">
        <f>IFERROR(100/'Skjema total MA'!C52*C52,0)</f>
        <v>11.471091456487009</v>
      </c>
      <c r="F52" s="144"/>
      <c r="G52" s="33"/>
      <c r="H52" s="144"/>
      <c r="I52" s="144"/>
      <c r="J52" s="33"/>
      <c r="K52" s="33"/>
      <c r="L52" s="158"/>
      <c r="M52" s="158"/>
      <c r="N52" s="147"/>
    </row>
    <row r="53" spans="1:14" s="3" customFormat="1" ht="15.75" x14ac:dyDescent="0.2">
      <c r="A53" s="39" t="s">
        <v>439</v>
      </c>
      <c r="B53" s="367">
        <v>1153</v>
      </c>
      <c r="C53" s="368">
        <v>950</v>
      </c>
      <c r="D53" s="374">
        <f t="shared" si="6"/>
        <v>-17.600000000000001</v>
      </c>
      <c r="E53" s="413">
        <f>IFERROR(100/'Skjema total MA'!C53*C53,0)</f>
        <v>0.66661727149635275</v>
      </c>
      <c r="F53" s="144"/>
      <c r="G53" s="33"/>
      <c r="H53" s="144"/>
      <c r="I53" s="144"/>
      <c r="J53" s="33"/>
      <c r="K53" s="33"/>
      <c r="L53" s="158"/>
      <c r="M53" s="158"/>
      <c r="N53" s="147"/>
    </row>
    <row r="54" spans="1:14" s="3" customFormat="1" ht="15.75" x14ac:dyDescent="0.2">
      <c r="A54" s="38" t="s">
        <v>437</v>
      </c>
      <c r="B54" s="365">
        <v>1153</v>
      </c>
      <c r="C54" s="366">
        <v>950</v>
      </c>
      <c r="D54" s="374">
        <f t="shared" si="6"/>
        <v>-17.600000000000001</v>
      </c>
      <c r="E54" s="413">
        <f>IFERROR(100/'Skjema total MA'!C54*C54,0)</f>
        <v>0.6710861385752328</v>
      </c>
      <c r="F54" s="144"/>
      <c r="G54" s="33"/>
      <c r="H54" s="144"/>
      <c r="I54" s="144"/>
      <c r="J54" s="33"/>
      <c r="K54" s="33"/>
      <c r="L54" s="158"/>
      <c r="M54" s="158"/>
      <c r="N54" s="147"/>
    </row>
    <row r="55" spans="1:14" s="3" customFormat="1" ht="15.75" x14ac:dyDescent="0.2">
      <c r="A55" s="38" t="s">
        <v>438</v>
      </c>
      <c r="B55" s="365"/>
      <c r="C55" s="366"/>
      <c r="D55" s="374"/>
      <c r="E55" s="413"/>
      <c r="F55" s="144"/>
      <c r="G55" s="33"/>
      <c r="H55" s="144"/>
      <c r="I55" s="144"/>
      <c r="J55" s="33"/>
      <c r="K55" s="33"/>
      <c r="L55" s="158"/>
      <c r="M55" s="158"/>
      <c r="N55" s="147"/>
    </row>
    <row r="56" spans="1:14" s="3" customFormat="1" ht="15.75" x14ac:dyDescent="0.2">
      <c r="A56" s="39" t="s">
        <v>440</v>
      </c>
      <c r="B56" s="367">
        <v>2628</v>
      </c>
      <c r="C56" s="368">
        <v>5292</v>
      </c>
      <c r="D56" s="374">
        <f t="shared" si="6"/>
        <v>101.4</v>
      </c>
      <c r="E56" s="413">
        <f>IFERROR(100/'Skjema total MA'!C56*C56,0)</f>
        <v>4.8684462475236199</v>
      </c>
      <c r="F56" s="144"/>
      <c r="G56" s="33"/>
      <c r="H56" s="144"/>
      <c r="I56" s="144"/>
      <c r="J56" s="33"/>
      <c r="K56" s="33"/>
      <c r="L56" s="158"/>
      <c r="M56" s="158"/>
      <c r="N56" s="147"/>
    </row>
    <row r="57" spans="1:14" s="3" customFormat="1" ht="15.75" x14ac:dyDescent="0.2">
      <c r="A57" s="38" t="s">
        <v>437</v>
      </c>
      <c r="B57" s="365">
        <v>2628</v>
      </c>
      <c r="C57" s="366">
        <v>5292</v>
      </c>
      <c r="D57" s="374">
        <f t="shared" si="6"/>
        <v>101.4</v>
      </c>
      <c r="E57" s="413">
        <f>IFERROR(100/'Skjema total MA'!C57*C57,0)</f>
        <v>4.8684462475236199</v>
      </c>
      <c r="F57" s="144"/>
      <c r="G57" s="33"/>
      <c r="H57" s="144"/>
      <c r="I57" s="144"/>
      <c r="J57" s="33"/>
      <c r="K57" s="33"/>
      <c r="L57" s="158"/>
      <c r="M57" s="158"/>
      <c r="N57" s="147"/>
    </row>
    <row r="58" spans="1:14" s="3" customFormat="1" ht="15.75" x14ac:dyDescent="0.2">
      <c r="A58" s="46" t="s">
        <v>438</v>
      </c>
      <c r="B58" s="387"/>
      <c r="C58" s="388"/>
      <c r="D58" s="378"/>
      <c r="E58" s="414"/>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358"/>
      <c r="C62" s="358"/>
      <c r="D62" s="358"/>
      <c r="E62" s="359"/>
      <c r="F62" s="358"/>
      <c r="G62" s="358"/>
      <c r="H62" s="358"/>
      <c r="I62" s="359"/>
      <c r="J62" s="358"/>
      <c r="K62" s="358"/>
      <c r="L62" s="358"/>
      <c r="M62" s="359"/>
    </row>
    <row r="63" spans="1:14" x14ac:dyDescent="0.2">
      <c r="A63" s="143"/>
      <c r="B63" s="1010" t="s">
        <v>0</v>
      </c>
      <c r="C63" s="1011"/>
      <c r="D63" s="1015"/>
      <c r="E63" s="355"/>
      <c r="F63" s="1011" t="s">
        <v>1</v>
      </c>
      <c r="G63" s="1011"/>
      <c r="H63" s="1011"/>
      <c r="I63" s="357"/>
      <c r="J63" s="1010" t="s">
        <v>2</v>
      </c>
      <c r="K63" s="1011"/>
      <c r="L63" s="1011"/>
      <c r="M63" s="35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89"/>
      <c r="C66" s="389"/>
      <c r="D66" s="371"/>
      <c r="E66" s="372"/>
      <c r="F66" s="389"/>
      <c r="G66" s="389"/>
      <c r="H66" s="371"/>
      <c r="I66" s="372"/>
      <c r="J66" s="368"/>
      <c r="K66" s="362"/>
      <c r="L66" s="374"/>
      <c r="M66" s="372"/>
    </row>
    <row r="67" spans="1:14" x14ac:dyDescent="0.2">
      <c r="A67" s="21" t="s">
        <v>9</v>
      </c>
      <c r="B67" s="365"/>
      <c r="C67" s="390"/>
      <c r="D67" s="374"/>
      <c r="E67" s="372"/>
      <c r="F67" s="377"/>
      <c r="G67" s="390"/>
      <c r="H67" s="374"/>
      <c r="I67" s="372"/>
      <c r="J67" s="366"/>
      <c r="K67" s="365"/>
      <c r="L67" s="374"/>
      <c r="M67" s="372"/>
    </row>
    <row r="68" spans="1:14" x14ac:dyDescent="0.2">
      <c r="A68" s="21" t="s">
        <v>10</v>
      </c>
      <c r="B68" s="391"/>
      <c r="C68" s="392"/>
      <c r="D68" s="374"/>
      <c r="E68" s="372"/>
      <c r="F68" s="391"/>
      <c r="G68" s="392"/>
      <c r="H68" s="374"/>
      <c r="I68" s="372"/>
      <c r="J68" s="366"/>
      <c r="K68" s="365"/>
      <c r="L68" s="374"/>
      <c r="M68" s="372"/>
    </row>
    <row r="69" spans="1:14" ht="15.75" x14ac:dyDescent="0.2">
      <c r="A69" s="299" t="s">
        <v>441</v>
      </c>
      <c r="B69" s="365"/>
      <c r="C69" s="365"/>
      <c r="D69" s="374"/>
      <c r="E69" s="399"/>
      <c r="F69" s="365"/>
      <c r="G69" s="365"/>
      <c r="H69" s="374"/>
      <c r="I69" s="372"/>
      <c r="J69" s="364"/>
      <c r="K69" s="364"/>
      <c r="L69" s="374"/>
      <c r="M69" s="372"/>
    </row>
    <row r="70" spans="1:14" x14ac:dyDescent="0.2">
      <c r="A70" s="299" t="s">
        <v>12</v>
      </c>
      <c r="B70" s="393"/>
      <c r="C70" s="394"/>
      <c r="D70" s="374"/>
      <c r="E70" s="399"/>
      <c r="F70" s="365"/>
      <c r="G70" s="365"/>
      <c r="H70" s="374"/>
      <c r="I70" s="372"/>
      <c r="J70" s="364"/>
      <c r="K70" s="364"/>
      <c r="L70" s="374"/>
      <c r="M70" s="372"/>
    </row>
    <row r="71" spans="1:14" x14ac:dyDescent="0.2">
      <c r="A71" s="299" t="s">
        <v>13</v>
      </c>
      <c r="B71" s="395"/>
      <c r="C71" s="396"/>
      <c r="D71" s="374"/>
      <c r="E71" s="399"/>
      <c r="F71" s="365"/>
      <c r="G71" s="365"/>
      <c r="H71" s="374"/>
      <c r="I71" s="372"/>
      <c r="J71" s="364"/>
      <c r="K71" s="364"/>
      <c r="L71" s="374"/>
      <c r="M71" s="372"/>
    </row>
    <row r="72" spans="1:14" ht="15.75" x14ac:dyDescent="0.2">
      <c r="A72" s="299" t="s">
        <v>442</v>
      </c>
      <c r="B72" s="365"/>
      <c r="C72" s="365"/>
      <c r="D72" s="374"/>
      <c r="E72" s="399"/>
      <c r="F72" s="365"/>
      <c r="G72" s="365"/>
      <c r="H72" s="374"/>
      <c r="I72" s="372"/>
      <c r="J72" s="364"/>
      <c r="K72" s="364"/>
      <c r="L72" s="374"/>
      <c r="M72" s="372"/>
    </row>
    <row r="73" spans="1:14" x14ac:dyDescent="0.2">
      <c r="A73" s="299" t="s">
        <v>12</v>
      </c>
      <c r="B73" s="395"/>
      <c r="C73" s="396"/>
      <c r="D73" s="374"/>
      <c r="E73" s="399"/>
      <c r="F73" s="365"/>
      <c r="G73" s="365"/>
      <c r="H73" s="374"/>
      <c r="I73" s="372"/>
      <c r="J73" s="364"/>
      <c r="K73" s="364"/>
      <c r="L73" s="374"/>
      <c r="M73" s="372"/>
    </row>
    <row r="74" spans="1:14" s="3" customFormat="1" x14ac:dyDescent="0.2">
      <c r="A74" s="299" t="s">
        <v>13</v>
      </c>
      <c r="B74" s="395"/>
      <c r="C74" s="396"/>
      <c r="D74" s="374"/>
      <c r="E74" s="399"/>
      <c r="F74" s="365"/>
      <c r="G74" s="365"/>
      <c r="H74" s="374"/>
      <c r="I74" s="372"/>
      <c r="J74" s="364"/>
      <c r="K74" s="364"/>
      <c r="L74" s="374"/>
      <c r="M74" s="372"/>
      <c r="N74" s="147"/>
    </row>
    <row r="75" spans="1:14" s="3" customFormat="1" x14ac:dyDescent="0.2">
      <c r="A75" s="21" t="s">
        <v>335</v>
      </c>
      <c r="B75" s="377"/>
      <c r="C75" s="390"/>
      <c r="D75" s="374"/>
      <c r="E75" s="372"/>
      <c r="F75" s="377"/>
      <c r="G75" s="390"/>
      <c r="H75" s="374"/>
      <c r="I75" s="372"/>
      <c r="J75" s="366"/>
      <c r="K75" s="365"/>
      <c r="L75" s="374"/>
      <c r="M75" s="372"/>
      <c r="N75" s="147"/>
    </row>
    <row r="76" spans="1:14" s="3" customFormat="1" x14ac:dyDescent="0.2">
      <c r="A76" s="21" t="s">
        <v>334</v>
      </c>
      <c r="B76" s="377"/>
      <c r="C76" s="390"/>
      <c r="D76" s="374"/>
      <c r="E76" s="372"/>
      <c r="F76" s="377"/>
      <c r="G76" s="390"/>
      <c r="H76" s="374"/>
      <c r="I76" s="372"/>
      <c r="J76" s="366"/>
      <c r="K76" s="365"/>
      <c r="L76" s="374"/>
      <c r="M76" s="372"/>
      <c r="N76" s="147"/>
    </row>
    <row r="77" spans="1:14" ht="15.75" x14ac:dyDescent="0.2">
      <c r="A77" s="21" t="s">
        <v>443</v>
      </c>
      <c r="B77" s="377"/>
      <c r="C77" s="377"/>
      <c r="D77" s="374"/>
      <c r="E77" s="372"/>
      <c r="F77" s="377"/>
      <c r="G77" s="390"/>
      <c r="H77" s="374"/>
      <c r="I77" s="372"/>
      <c r="J77" s="366"/>
      <c r="K77" s="365"/>
      <c r="L77" s="374"/>
      <c r="M77" s="372"/>
    </row>
    <row r="78" spans="1:14" x14ac:dyDescent="0.2">
      <c r="A78" s="21" t="s">
        <v>9</v>
      </c>
      <c r="B78" s="377"/>
      <c r="C78" s="390"/>
      <c r="D78" s="374"/>
      <c r="E78" s="372"/>
      <c r="F78" s="377"/>
      <c r="G78" s="390"/>
      <c r="H78" s="374"/>
      <c r="I78" s="372"/>
      <c r="J78" s="366"/>
      <c r="K78" s="365"/>
      <c r="L78" s="374"/>
      <c r="M78" s="372"/>
    </row>
    <row r="79" spans="1:14" x14ac:dyDescent="0.2">
      <c r="A79" s="38" t="s">
        <v>473</v>
      </c>
      <c r="B79" s="391"/>
      <c r="C79" s="392"/>
      <c r="D79" s="374"/>
      <c r="E79" s="372"/>
      <c r="F79" s="391"/>
      <c r="G79" s="392"/>
      <c r="H79" s="374"/>
      <c r="I79" s="372"/>
      <c r="J79" s="366"/>
      <c r="K79" s="365"/>
      <c r="L79" s="374"/>
      <c r="M79" s="372"/>
    </row>
    <row r="80" spans="1:14" ht="15.75" x14ac:dyDescent="0.2">
      <c r="A80" s="299" t="s">
        <v>441</v>
      </c>
      <c r="B80" s="365"/>
      <c r="C80" s="365"/>
      <c r="D80" s="374"/>
      <c r="E80" s="399"/>
      <c r="F80" s="365"/>
      <c r="G80" s="365"/>
      <c r="H80" s="374"/>
      <c r="I80" s="372"/>
      <c r="J80" s="364"/>
      <c r="K80" s="364"/>
      <c r="L80" s="374"/>
      <c r="M80" s="372"/>
    </row>
    <row r="81" spans="1:13" x14ac:dyDescent="0.2">
      <c r="A81" s="299" t="s">
        <v>12</v>
      </c>
      <c r="B81" s="395"/>
      <c r="C81" s="396"/>
      <c r="D81" s="374"/>
      <c r="E81" s="399"/>
      <c r="F81" s="365"/>
      <c r="G81" s="365"/>
      <c r="H81" s="374"/>
      <c r="I81" s="372"/>
      <c r="J81" s="364"/>
      <c r="K81" s="364"/>
      <c r="L81" s="374"/>
      <c r="M81" s="372"/>
    </row>
    <row r="82" spans="1:13" x14ac:dyDescent="0.2">
      <c r="A82" s="299" t="s">
        <v>13</v>
      </c>
      <c r="B82" s="395"/>
      <c r="C82" s="396"/>
      <c r="D82" s="374"/>
      <c r="E82" s="399"/>
      <c r="F82" s="365"/>
      <c r="G82" s="365"/>
      <c r="H82" s="374"/>
      <c r="I82" s="372"/>
      <c r="J82" s="364"/>
      <c r="K82" s="364"/>
      <c r="L82" s="374"/>
      <c r="M82" s="372"/>
    </row>
    <row r="83" spans="1:13" ht="15.75" x14ac:dyDescent="0.2">
      <c r="A83" s="299" t="s">
        <v>442</v>
      </c>
      <c r="B83" s="365"/>
      <c r="C83" s="365"/>
      <c r="D83" s="374"/>
      <c r="E83" s="399"/>
      <c r="F83" s="365"/>
      <c r="G83" s="365"/>
      <c r="H83" s="374"/>
      <c r="I83" s="372"/>
      <c r="J83" s="364"/>
      <c r="K83" s="364"/>
      <c r="L83" s="374"/>
      <c r="M83" s="372"/>
    </row>
    <row r="84" spans="1:13" x14ac:dyDescent="0.2">
      <c r="A84" s="299" t="s">
        <v>12</v>
      </c>
      <c r="B84" s="395"/>
      <c r="C84" s="396"/>
      <c r="D84" s="374"/>
      <c r="E84" s="399"/>
      <c r="F84" s="365"/>
      <c r="G84" s="365"/>
      <c r="H84" s="374"/>
      <c r="I84" s="372"/>
      <c r="J84" s="364"/>
      <c r="K84" s="364"/>
      <c r="L84" s="374"/>
      <c r="M84" s="372"/>
    </row>
    <row r="85" spans="1:13" x14ac:dyDescent="0.2">
      <c r="A85" s="299" t="s">
        <v>13</v>
      </c>
      <c r="B85" s="395"/>
      <c r="C85" s="396"/>
      <c r="D85" s="374"/>
      <c r="E85" s="399"/>
      <c r="F85" s="365"/>
      <c r="G85" s="365"/>
      <c r="H85" s="374"/>
      <c r="I85" s="372"/>
      <c r="J85" s="364"/>
      <c r="K85" s="364"/>
      <c r="L85" s="374"/>
      <c r="M85" s="372"/>
    </row>
    <row r="86" spans="1:13" ht="15.75" x14ac:dyDescent="0.2">
      <c r="A86" s="21" t="s">
        <v>444</v>
      </c>
      <c r="B86" s="377"/>
      <c r="C86" s="390"/>
      <c r="D86" s="374"/>
      <c r="E86" s="372"/>
      <c r="F86" s="377"/>
      <c r="G86" s="390"/>
      <c r="H86" s="374"/>
      <c r="I86" s="372"/>
      <c r="J86" s="366"/>
      <c r="K86" s="365"/>
      <c r="L86" s="374"/>
      <c r="M86" s="372"/>
    </row>
    <row r="87" spans="1:13" ht="15.75" x14ac:dyDescent="0.2">
      <c r="A87" s="13" t="s">
        <v>426</v>
      </c>
      <c r="B87" s="389"/>
      <c r="C87" s="389"/>
      <c r="D87" s="374"/>
      <c r="E87" s="372"/>
      <c r="F87" s="389"/>
      <c r="G87" s="389"/>
      <c r="H87" s="374"/>
      <c r="I87" s="372"/>
      <c r="J87" s="368"/>
      <c r="K87" s="367"/>
      <c r="L87" s="374"/>
      <c r="M87" s="372"/>
    </row>
    <row r="88" spans="1:13" x14ac:dyDescent="0.2">
      <c r="A88" s="21" t="s">
        <v>9</v>
      </c>
      <c r="B88" s="377"/>
      <c r="C88" s="390"/>
      <c r="D88" s="374"/>
      <c r="E88" s="372"/>
      <c r="F88" s="377"/>
      <c r="G88" s="390"/>
      <c r="H88" s="374"/>
      <c r="I88" s="372"/>
      <c r="J88" s="366"/>
      <c r="K88" s="365"/>
      <c r="L88" s="374"/>
      <c r="M88" s="372"/>
    </row>
    <row r="89" spans="1:13" x14ac:dyDescent="0.2">
      <c r="A89" s="21" t="s">
        <v>10</v>
      </c>
      <c r="B89" s="377"/>
      <c r="C89" s="390"/>
      <c r="D89" s="374"/>
      <c r="E89" s="372"/>
      <c r="F89" s="377"/>
      <c r="G89" s="390"/>
      <c r="H89" s="374"/>
      <c r="I89" s="372"/>
      <c r="J89" s="366"/>
      <c r="K89" s="365"/>
      <c r="L89" s="374"/>
      <c r="M89" s="372"/>
    </row>
    <row r="90" spans="1:13" ht="15.75" x14ac:dyDescent="0.2">
      <c r="A90" s="299" t="s">
        <v>441</v>
      </c>
      <c r="B90" s="365"/>
      <c r="C90" s="365"/>
      <c r="D90" s="374"/>
      <c r="E90" s="399"/>
      <c r="F90" s="365"/>
      <c r="G90" s="365"/>
      <c r="H90" s="374"/>
      <c r="I90" s="372"/>
      <c r="J90" s="364"/>
      <c r="K90" s="364"/>
      <c r="L90" s="374"/>
      <c r="M90" s="372"/>
    </row>
    <row r="91" spans="1:13" x14ac:dyDescent="0.2">
      <c r="A91" s="299" t="s">
        <v>12</v>
      </c>
      <c r="B91" s="395"/>
      <c r="C91" s="396"/>
      <c r="D91" s="374"/>
      <c r="E91" s="399"/>
      <c r="F91" s="365"/>
      <c r="G91" s="365"/>
      <c r="H91" s="374"/>
      <c r="I91" s="372"/>
      <c r="J91" s="364"/>
      <c r="K91" s="364"/>
      <c r="L91" s="374"/>
      <c r="M91" s="372"/>
    </row>
    <row r="92" spans="1:13" x14ac:dyDescent="0.2">
      <c r="A92" s="299" t="s">
        <v>13</v>
      </c>
      <c r="B92" s="395"/>
      <c r="C92" s="396"/>
      <c r="D92" s="374"/>
      <c r="E92" s="399"/>
      <c r="F92" s="365"/>
      <c r="G92" s="365"/>
      <c r="H92" s="374"/>
      <c r="I92" s="372"/>
      <c r="J92" s="364"/>
      <c r="K92" s="364"/>
      <c r="L92" s="374"/>
      <c r="M92" s="372"/>
    </row>
    <row r="93" spans="1:13" ht="15.75" x14ac:dyDescent="0.2">
      <c r="A93" s="299" t="s">
        <v>442</v>
      </c>
      <c r="B93" s="365"/>
      <c r="C93" s="365"/>
      <c r="D93" s="374"/>
      <c r="E93" s="399"/>
      <c r="F93" s="365"/>
      <c r="G93" s="365"/>
      <c r="H93" s="374"/>
      <c r="I93" s="372"/>
      <c r="J93" s="364"/>
      <c r="K93" s="364"/>
      <c r="L93" s="374"/>
      <c r="M93" s="372"/>
    </row>
    <row r="94" spans="1:13" x14ac:dyDescent="0.2">
      <c r="A94" s="299" t="s">
        <v>12</v>
      </c>
      <c r="B94" s="395"/>
      <c r="C94" s="396"/>
      <c r="D94" s="374"/>
      <c r="E94" s="399"/>
      <c r="F94" s="365"/>
      <c r="G94" s="365"/>
      <c r="H94" s="374"/>
      <c r="I94" s="372"/>
      <c r="J94" s="364"/>
      <c r="K94" s="364"/>
      <c r="L94" s="374"/>
      <c r="M94" s="372"/>
    </row>
    <row r="95" spans="1:13" x14ac:dyDescent="0.2">
      <c r="A95" s="299" t="s">
        <v>13</v>
      </c>
      <c r="B95" s="395"/>
      <c r="C95" s="396"/>
      <c r="D95" s="374"/>
      <c r="E95" s="399"/>
      <c r="F95" s="365"/>
      <c r="G95" s="365"/>
      <c r="H95" s="374"/>
      <c r="I95" s="372"/>
      <c r="J95" s="364"/>
      <c r="K95" s="364"/>
      <c r="L95" s="374"/>
      <c r="M95" s="372"/>
    </row>
    <row r="96" spans="1:13" x14ac:dyDescent="0.2">
      <c r="A96" s="21" t="s">
        <v>333</v>
      </c>
      <c r="B96" s="377"/>
      <c r="C96" s="390"/>
      <c r="D96" s="374"/>
      <c r="E96" s="372"/>
      <c r="F96" s="377"/>
      <c r="G96" s="390"/>
      <c r="H96" s="374"/>
      <c r="I96" s="372"/>
      <c r="J96" s="366"/>
      <c r="K96" s="365"/>
      <c r="L96" s="374"/>
      <c r="M96" s="372"/>
    </row>
    <row r="97" spans="1:15" x14ac:dyDescent="0.2">
      <c r="A97" s="21" t="s">
        <v>332</v>
      </c>
      <c r="B97" s="377"/>
      <c r="C97" s="390"/>
      <c r="D97" s="374"/>
      <c r="E97" s="372"/>
      <c r="F97" s="377"/>
      <c r="G97" s="390"/>
      <c r="H97" s="374"/>
      <c r="I97" s="372"/>
      <c r="J97" s="366"/>
      <c r="K97" s="365"/>
      <c r="L97" s="374"/>
      <c r="M97" s="372"/>
    </row>
    <row r="98" spans="1:15" ht="15.75" x14ac:dyDescent="0.2">
      <c r="A98" s="21" t="s">
        <v>443</v>
      </c>
      <c r="B98" s="377"/>
      <c r="C98" s="377"/>
      <c r="D98" s="374"/>
      <c r="E98" s="372"/>
      <c r="F98" s="391"/>
      <c r="G98" s="391"/>
      <c r="H98" s="374"/>
      <c r="I98" s="372"/>
      <c r="J98" s="366"/>
      <c r="K98" s="365"/>
      <c r="L98" s="374"/>
      <c r="M98" s="372"/>
    </row>
    <row r="99" spans="1:15" x14ac:dyDescent="0.2">
      <c r="A99" s="21" t="s">
        <v>9</v>
      </c>
      <c r="B99" s="391"/>
      <c r="C99" s="392"/>
      <c r="D99" s="374"/>
      <c r="E99" s="372"/>
      <c r="F99" s="377"/>
      <c r="G99" s="390"/>
      <c r="H99" s="374"/>
      <c r="I99" s="372"/>
      <c r="J99" s="366"/>
      <c r="K99" s="365"/>
      <c r="L99" s="374"/>
      <c r="M99" s="372"/>
    </row>
    <row r="100" spans="1:15" x14ac:dyDescent="0.2">
      <c r="A100" s="38" t="s">
        <v>473</v>
      </c>
      <c r="B100" s="391"/>
      <c r="C100" s="392"/>
      <c r="D100" s="374"/>
      <c r="E100" s="372"/>
      <c r="F100" s="377"/>
      <c r="G100" s="377"/>
      <c r="H100" s="374"/>
      <c r="I100" s="372"/>
      <c r="J100" s="366"/>
      <c r="K100" s="365"/>
      <c r="L100" s="374"/>
      <c r="M100" s="372"/>
    </row>
    <row r="101" spans="1:15" ht="15.75" x14ac:dyDescent="0.2">
      <c r="A101" s="299" t="s">
        <v>441</v>
      </c>
      <c r="B101" s="365"/>
      <c r="C101" s="365"/>
      <c r="D101" s="374"/>
      <c r="E101" s="399"/>
      <c r="F101" s="365"/>
      <c r="G101" s="365"/>
      <c r="H101" s="374"/>
      <c r="I101" s="372"/>
      <c r="J101" s="364"/>
      <c r="K101" s="364"/>
      <c r="L101" s="374"/>
      <c r="M101" s="372"/>
    </row>
    <row r="102" spans="1:15" x14ac:dyDescent="0.2">
      <c r="A102" s="299" t="s">
        <v>12</v>
      </c>
      <c r="B102" s="395"/>
      <c r="C102" s="396"/>
      <c r="D102" s="374"/>
      <c r="E102" s="399"/>
      <c r="F102" s="365"/>
      <c r="G102" s="365"/>
      <c r="H102" s="374"/>
      <c r="I102" s="372"/>
      <c r="J102" s="364"/>
      <c r="K102" s="364"/>
      <c r="L102" s="374"/>
      <c r="M102" s="372"/>
    </row>
    <row r="103" spans="1:15" x14ac:dyDescent="0.2">
      <c r="A103" s="299" t="s">
        <v>13</v>
      </c>
      <c r="B103" s="395"/>
      <c r="C103" s="396"/>
      <c r="D103" s="374"/>
      <c r="E103" s="399"/>
      <c r="F103" s="365"/>
      <c r="G103" s="365"/>
      <c r="H103" s="374"/>
      <c r="I103" s="372"/>
      <c r="J103" s="364"/>
      <c r="K103" s="364"/>
      <c r="L103" s="374"/>
      <c r="M103" s="372"/>
    </row>
    <row r="104" spans="1:15" ht="15.75" x14ac:dyDescent="0.2">
      <c r="A104" s="299" t="s">
        <v>442</v>
      </c>
      <c r="B104" s="365"/>
      <c r="C104" s="365"/>
      <c r="D104" s="374"/>
      <c r="E104" s="399"/>
      <c r="F104" s="365"/>
      <c r="G104" s="365"/>
      <c r="H104" s="374"/>
      <c r="I104" s="372"/>
      <c r="J104" s="364"/>
      <c r="K104" s="364"/>
      <c r="L104" s="374"/>
      <c r="M104" s="372"/>
    </row>
    <row r="105" spans="1:15" x14ac:dyDescent="0.2">
      <c r="A105" s="299" t="s">
        <v>12</v>
      </c>
      <c r="B105" s="395"/>
      <c r="C105" s="396"/>
      <c r="D105" s="374"/>
      <c r="E105" s="399"/>
      <c r="F105" s="365"/>
      <c r="G105" s="365"/>
      <c r="H105" s="374"/>
      <c r="I105" s="372"/>
      <c r="J105" s="364"/>
      <c r="K105" s="364"/>
      <c r="L105" s="374"/>
      <c r="M105" s="372"/>
    </row>
    <row r="106" spans="1:15" x14ac:dyDescent="0.2">
      <c r="A106" s="299" t="s">
        <v>13</v>
      </c>
      <c r="B106" s="395"/>
      <c r="C106" s="396"/>
      <c r="D106" s="374"/>
      <c r="E106" s="399"/>
      <c r="F106" s="365"/>
      <c r="G106" s="365"/>
      <c r="H106" s="374"/>
      <c r="I106" s="372"/>
      <c r="J106" s="364"/>
      <c r="K106" s="364"/>
      <c r="L106" s="374"/>
      <c r="M106" s="372"/>
    </row>
    <row r="107" spans="1:15" ht="15.75" x14ac:dyDescent="0.2">
      <c r="A107" s="21" t="s">
        <v>444</v>
      </c>
      <c r="B107" s="377"/>
      <c r="C107" s="390"/>
      <c r="D107" s="374"/>
      <c r="E107" s="372"/>
      <c r="F107" s="377"/>
      <c r="G107" s="390"/>
      <c r="H107" s="374"/>
      <c r="I107" s="372"/>
      <c r="J107" s="366"/>
      <c r="K107" s="365"/>
      <c r="L107" s="374"/>
      <c r="M107" s="372"/>
    </row>
    <row r="108" spans="1:15" ht="15.75" x14ac:dyDescent="0.2">
      <c r="A108" s="21" t="s">
        <v>445</v>
      </c>
      <c r="B108" s="377"/>
      <c r="C108" s="377"/>
      <c r="D108" s="374"/>
      <c r="E108" s="372"/>
      <c r="F108" s="377"/>
      <c r="G108" s="377"/>
      <c r="H108" s="374"/>
      <c r="I108" s="372"/>
      <c r="J108" s="366"/>
      <c r="K108" s="365"/>
      <c r="L108" s="374"/>
      <c r="M108" s="372"/>
    </row>
    <row r="109" spans="1:15" ht="15.75" x14ac:dyDescent="0.2">
      <c r="A109" s="38" t="s">
        <v>481</v>
      </c>
      <c r="B109" s="377"/>
      <c r="C109" s="377"/>
      <c r="D109" s="374"/>
      <c r="E109" s="372"/>
      <c r="F109" s="377"/>
      <c r="G109" s="377"/>
      <c r="H109" s="374"/>
      <c r="I109" s="372"/>
      <c r="J109" s="366"/>
      <c r="K109" s="365"/>
      <c r="L109" s="374"/>
      <c r="M109" s="372"/>
      <c r="O109" s="3"/>
    </row>
    <row r="110" spans="1:15" ht="15.75" x14ac:dyDescent="0.2">
      <c r="A110" s="21" t="s">
        <v>446</v>
      </c>
      <c r="B110" s="377"/>
      <c r="C110" s="377"/>
      <c r="D110" s="374"/>
      <c r="E110" s="372"/>
      <c r="F110" s="377"/>
      <c r="G110" s="377"/>
      <c r="H110" s="374"/>
      <c r="I110" s="372"/>
      <c r="J110" s="366"/>
      <c r="K110" s="365"/>
      <c r="L110" s="374"/>
      <c r="M110" s="372"/>
    </row>
    <row r="111" spans="1:15" ht="15.75" x14ac:dyDescent="0.2">
      <c r="A111" s="13" t="s">
        <v>427</v>
      </c>
      <c r="B111" s="373"/>
      <c r="C111" s="397"/>
      <c r="D111" s="374"/>
      <c r="E111" s="372"/>
      <c r="F111" s="373"/>
      <c r="G111" s="397"/>
      <c r="H111" s="374"/>
      <c r="I111" s="372"/>
      <c r="J111" s="368"/>
      <c r="K111" s="367"/>
      <c r="L111" s="374"/>
      <c r="M111" s="372"/>
    </row>
    <row r="112" spans="1:15" x14ac:dyDescent="0.2">
      <c r="A112" s="21" t="s">
        <v>9</v>
      </c>
      <c r="B112" s="377"/>
      <c r="C112" s="390"/>
      <c r="D112" s="374"/>
      <c r="E112" s="372"/>
      <c r="F112" s="377"/>
      <c r="G112" s="390"/>
      <c r="H112" s="374"/>
      <c r="I112" s="372"/>
      <c r="J112" s="366"/>
      <c r="K112" s="365"/>
      <c r="L112" s="374"/>
      <c r="M112" s="372"/>
    </row>
    <row r="113" spans="1:14" x14ac:dyDescent="0.2">
      <c r="A113" s="21" t="s">
        <v>10</v>
      </c>
      <c r="B113" s="377"/>
      <c r="C113" s="390"/>
      <c r="D113" s="374"/>
      <c r="E113" s="372"/>
      <c r="F113" s="377"/>
      <c r="G113" s="390"/>
      <c r="H113" s="374"/>
      <c r="I113" s="372"/>
      <c r="J113" s="366"/>
      <c r="K113" s="365"/>
      <c r="L113" s="374"/>
      <c r="M113" s="372"/>
    </row>
    <row r="114" spans="1:14" x14ac:dyDescent="0.2">
      <c r="A114" s="21" t="s">
        <v>26</v>
      </c>
      <c r="B114" s="377"/>
      <c r="C114" s="390"/>
      <c r="D114" s="374"/>
      <c r="E114" s="372"/>
      <c r="F114" s="377"/>
      <c r="G114" s="390"/>
      <c r="H114" s="374"/>
      <c r="I114" s="372"/>
      <c r="J114" s="366"/>
      <c r="K114" s="365"/>
      <c r="L114" s="374"/>
      <c r="M114" s="372"/>
    </row>
    <row r="115" spans="1:14" x14ac:dyDescent="0.2">
      <c r="A115" s="299" t="s">
        <v>15</v>
      </c>
      <c r="B115" s="365"/>
      <c r="C115" s="365"/>
      <c r="D115" s="374"/>
      <c r="E115" s="399"/>
      <c r="F115" s="365"/>
      <c r="G115" s="365"/>
      <c r="H115" s="374"/>
      <c r="I115" s="372"/>
      <c r="J115" s="364"/>
      <c r="K115" s="364"/>
      <c r="L115" s="374"/>
      <c r="M115" s="372"/>
    </row>
    <row r="116" spans="1:14" ht="15.75" x14ac:dyDescent="0.2">
      <c r="A116" s="21" t="s">
        <v>447</v>
      </c>
      <c r="B116" s="377"/>
      <c r="C116" s="377"/>
      <c r="D116" s="374"/>
      <c r="E116" s="372"/>
      <c r="F116" s="377"/>
      <c r="G116" s="377"/>
      <c r="H116" s="374"/>
      <c r="I116" s="372"/>
      <c r="J116" s="366"/>
      <c r="K116" s="365"/>
      <c r="L116" s="374"/>
      <c r="M116" s="372"/>
    </row>
    <row r="117" spans="1:14" ht="15.75" x14ac:dyDescent="0.2">
      <c r="A117" s="38" t="s">
        <v>481</v>
      </c>
      <c r="B117" s="377"/>
      <c r="C117" s="377"/>
      <c r="D117" s="374"/>
      <c r="E117" s="372"/>
      <c r="F117" s="377"/>
      <c r="G117" s="377"/>
      <c r="H117" s="374"/>
      <c r="I117" s="372"/>
      <c r="J117" s="366"/>
      <c r="K117" s="365"/>
      <c r="L117" s="374"/>
      <c r="M117" s="372"/>
    </row>
    <row r="118" spans="1:14" ht="15.75" x14ac:dyDescent="0.2">
      <c r="A118" s="21" t="s">
        <v>446</v>
      </c>
      <c r="B118" s="377"/>
      <c r="C118" s="377"/>
      <c r="D118" s="374"/>
      <c r="E118" s="372"/>
      <c r="F118" s="377"/>
      <c r="G118" s="377"/>
      <c r="H118" s="374"/>
      <c r="I118" s="372"/>
      <c r="J118" s="366"/>
      <c r="K118" s="365"/>
      <c r="L118" s="374"/>
      <c r="M118" s="372"/>
    </row>
    <row r="119" spans="1:14" ht="15.75" x14ac:dyDescent="0.2">
      <c r="A119" s="13" t="s">
        <v>428</v>
      </c>
      <c r="B119" s="373"/>
      <c r="C119" s="397"/>
      <c r="D119" s="374"/>
      <c r="E119" s="372"/>
      <c r="F119" s="373"/>
      <c r="G119" s="397"/>
      <c r="H119" s="374"/>
      <c r="I119" s="372"/>
      <c r="J119" s="368"/>
      <c r="K119" s="367"/>
      <c r="L119" s="374"/>
      <c r="M119" s="372"/>
    </row>
    <row r="120" spans="1:14" x14ac:dyDescent="0.2">
      <c r="A120" s="21" t="s">
        <v>9</v>
      </c>
      <c r="B120" s="377"/>
      <c r="C120" s="390"/>
      <c r="D120" s="374"/>
      <c r="E120" s="372"/>
      <c r="F120" s="377"/>
      <c r="G120" s="390"/>
      <c r="H120" s="374"/>
      <c r="I120" s="372"/>
      <c r="J120" s="366"/>
      <c r="K120" s="365"/>
      <c r="L120" s="374"/>
      <c r="M120" s="372"/>
    </row>
    <row r="121" spans="1:14" x14ac:dyDescent="0.2">
      <c r="A121" s="21" t="s">
        <v>10</v>
      </c>
      <c r="B121" s="377"/>
      <c r="C121" s="390"/>
      <c r="D121" s="374"/>
      <c r="E121" s="372"/>
      <c r="F121" s="377"/>
      <c r="G121" s="390"/>
      <c r="H121" s="374"/>
      <c r="I121" s="372"/>
      <c r="J121" s="366"/>
      <c r="K121" s="365"/>
      <c r="L121" s="374"/>
      <c r="M121" s="372"/>
    </row>
    <row r="122" spans="1:14" x14ac:dyDescent="0.2">
      <c r="A122" s="21" t="s">
        <v>26</v>
      </c>
      <c r="B122" s="377"/>
      <c r="C122" s="390"/>
      <c r="D122" s="374"/>
      <c r="E122" s="372"/>
      <c r="F122" s="377"/>
      <c r="G122" s="390"/>
      <c r="H122" s="374"/>
      <c r="I122" s="372"/>
      <c r="J122" s="366"/>
      <c r="K122" s="365"/>
      <c r="L122" s="374"/>
      <c r="M122" s="372"/>
    </row>
    <row r="123" spans="1:14" x14ac:dyDescent="0.2">
      <c r="A123" s="299" t="s">
        <v>14</v>
      </c>
      <c r="B123" s="365"/>
      <c r="C123" s="365"/>
      <c r="D123" s="374"/>
      <c r="E123" s="399"/>
      <c r="F123" s="365"/>
      <c r="G123" s="365"/>
      <c r="H123" s="374"/>
      <c r="I123" s="372"/>
      <c r="J123" s="364"/>
      <c r="K123" s="364"/>
      <c r="L123" s="374"/>
      <c r="M123" s="372"/>
    </row>
    <row r="124" spans="1:14" ht="15.75" x14ac:dyDescent="0.2">
      <c r="A124" s="21" t="s">
        <v>452</v>
      </c>
      <c r="B124" s="377"/>
      <c r="C124" s="377"/>
      <c r="D124" s="374"/>
      <c r="E124" s="372"/>
      <c r="F124" s="377"/>
      <c r="G124" s="377"/>
      <c r="H124" s="374"/>
      <c r="I124" s="372"/>
      <c r="J124" s="366"/>
      <c r="K124" s="365"/>
      <c r="L124" s="374"/>
      <c r="M124" s="372"/>
    </row>
    <row r="125" spans="1:14" ht="15.75" x14ac:dyDescent="0.2">
      <c r="A125" s="38" t="s">
        <v>481</v>
      </c>
      <c r="B125" s="377"/>
      <c r="C125" s="377"/>
      <c r="D125" s="374"/>
      <c r="E125" s="372"/>
      <c r="F125" s="377"/>
      <c r="G125" s="377"/>
      <c r="H125" s="374"/>
      <c r="I125" s="372"/>
      <c r="J125" s="366"/>
      <c r="K125" s="365"/>
      <c r="L125" s="374"/>
      <c r="M125" s="372"/>
    </row>
    <row r="126" spans="1:14" ht="15.75" x14ac:dyDescent="0.2">
      <c r="A126" s="10" t="s">
        <v>446</v>
      </c>
      <c r="B126" s="387"/>
      <c r="C126" s="387"/>
      <c r="D126" s="378"/>
      <c r="E126" s="398"/>
      <c r="F126" s="387"/>
      <c r="G126" s="387"/>
      <c r="H126" s="378"/>
      <c r="I126" s="378"/>
      <c r="J126" s="388"/>
      <c r="K126" s="387"/>
      <c r="L126" s="378"/>
      <c r="M126" s="378"/>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358"/>
      <c r="C130" s="358"/>
      <c r="D130" s="358"/>
      <c r="E130" s="359"/>
      <c r="F130" s="358"/>
      <c r="G130" s="358"/>
      <c r="H130" s="358"/>
      <c r="I130" s="359"/>
      <c r="J130" s="358"/>
      <c r="K130" s="358"/>
      <c r="L130" s="358"/>
      <c r="M130" s="359"/>
    </row>
    <row r="131" spans="1:14" s="3" customFormat="1" x14ac:dyDescent="0.2">
      <c r="A131" s="143"/>
      <c r="B131" s="1010" t="s">
        <v>0</v>
      </c>
      <c r="C131" s="1011"/>
      <c r="D131" s="1011"/>
      <c r="E131" s="356"/>
      <c r="F131" s="1010" t="s">
        <v>1</v>
      </c>
      <c r="G131" s="1011"/>
      <c r="H131" s="1011"/>
      <c r="I131" s="357"/>
      <c r="J131" s="1010" t="s">
        <v>2</v>
      </c>
      <c r="K131" s="1011"/>
      <c r="L131" s="1011"/>
      <c r="M131" s="357"/>
      <c r="N131" s="147"/>
    </row>
    <row r="132" spans="1:14" s="3" customFormat="1" x14ac:dyDescent="0.2">
      <c r="A132" s="139"/>
      <c r="B132" s="151" t="s">
        <v>507</v>
      </c>
      <c r="C132" s="151" t="s">
        <v>508</v>
      </c>
      <c r="D132" s="245" t="s">
        <v>3</v>
      </c>
      <c r="E132" s="308" t="s">
        <v>29</v>
      </c>
      <c r="F132" s="151" t="s">
        <v>507</v>
      </c>
      <c r="G132" s="151" t="s">
        <v>508</v>
      </c>
      <c r="H132" s="205" t="s">
        <v>3</v>
      </c>
      <c r="I132" s="308"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367"/>
      <c r="C134" s="368"/>
      <c r="D134" s="371"/>
      <c r="E134" s="372"/>
      <c r="F134" s="362"/>
      <c r="G134" s="363"/>
      <c r="H134" s="400"/>
      <c r="I134" s="372"/>
      <c r="J134" s="380"/>
      <c r="K134" s="380"/>
      <c r="L134" s="371"/>
      <c r="M134" s="372"/>
      <c r="N134" s="147"/>
    </row>
    <row r="135" spans="1:14" s="3" customFormat="1" ht="15.75" x14ac:dyDescent="0.2">
      <c r="A135" s="13" t="s">
        <v>453</v>
      </c>
      <c r="B135" s="367"/>
      <c r="C135" s="368"/>
      <c r="D135" s="374"/>
      <c r="E135" s="372"/>
      <c r="F135" s="367"/>
      <c r="G135" s="368"/>
      <c r="H135" s="401"/>
      <c r="I135" s="372"/>
      <c r="J135" s="373"/>
      <c r="K135" s="373"/>
      <c r="L135" s="374"/>
      <c r="M135" s="372"/>
      <c r="N135" s="147"/>
    </row>
    <row r="136" spans="1:14" s="3" customFormat="1" ht="15.75" x14ac:dyDescent="0.2">
      <c r="A136" s="13" t="s">
        <v>450</v>
      </c>
      <c r="B136" s="367"/>
      <c r="C136" s="368"/>
      <c r="D136" s="374"/>
      <c r="E136" s="372"/>
      <c r="F136" s="367"/>
      <c r="G136" s="368"/>
      <c r="H136" s="401"/>
      <c r="I136" s="372"/>
      <c r="J136" s="373"/>
      <c r="K136" s="373"/>
      <c r="L136" s="374"/>
      <c r="M136" s="372"/>
      <c r="N136" s="147"/>
    </row>
    <row r="137" spans="1:14" s="3" customFormat="1" ht="15.75" x14ac:dyDescent="0.2">
      <c r="A137" s="41" t="s">
        <v>451</v>
      </c>
      <c r="B137" s="369"/>
      <c r="C137" s="370"/>
      <c r="D137" s="378"/>
      <c r="E137" s="398"/>
      <c r="F137" s="369"/>
      <c r="G137" s="370"/>
      <c r="H137" s="402"/>
      <c r="I137" s="398"/>
      <c r="J137" s="379"/>
      <c r="K137" s="379"/>
      <c r="L137" s="378"/>
      <c r="M137" s="378"/>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B50:C52">
    <cfRule type="expression" dxfId="2181" priority="132">
      <formula>kvartal &lt; 4</formula>
    </cfRule>
  </conditionalFormatting>
  <conditionalFormatting sqref="B69">
    <cfRule type="expression" dxfId="2180" priority="100">
      <formula>kvartal &lt; 4</formula>
    </cfRule>
  </conditionalFormatting>
  <conditionalFormatting sqref="C69">
    <cfRule type="expression" dxfId="2179" priority="99">
      <formula>kvartal &lt; 4</formula>
    </cfRule>
  </conditionalFormatting>
  <conditionalFormatting sqref="B72">
    <cfRule type="expression" dxfId="2178" priority="98">
      <formula>kvartal &lt; 4</formula>
    </cfRule>
  </conditionalFormatting>
  <conditionalFormatting sqref="C72">
    <cfRule type="expression" dxfId="2177" priority="97">
      <formula>kvartal &lt; 4</formula>
    </cfRule>
  </conditionalFormatting>
  <conditionalFormatting sqref="B80">
    <cfRule type="expression" dxfId="2176" priority="96">
      <formula>kvartal &lt; 4</formula>
    </cfRule>
  </conditionalFormatting>
  <conditionalFormatting sqref="C80">
    <cfRule type="expression" dxfId="2175" priority="95">
      <formula>kvartal &lt; 4</formula>
    </cfRule>
  </conditionalFormatting>
  <conditionalFormatting sqref="B83">
    <cfRule type="expression" dxfId="2174" priority="94">
      <formula>kvartal &lt; 4</formula>
    </cfRule>
  </conditionalFormatting>
  <conditionalFormatting sqref="C83">
    <cfRule type="expression" dxfId="2173" priority="93">
      <formula>kvartal &lt; 4</formula>
    </cfRule>
  </conditionalFormatting>
  <conditionalFormatting sqref="B90">
    <cfRule type="expression" dxfId="2172" priority="84">
      <formula>kvartal &lt; 4</formula>
    </cfRule>
  </conditionalFormatting>
  <conditionalFormatting sqref="C90">
    <cfRule type="expression" dxfId="2171" priority="83">
      <formula>kvartal &lt; 4</formula>
    </cfRule>
  </conditionalFormatting>
  <conditionalFormatting sqref="B93">
    <cfRule type="expression" dxfId="2170" priority="82">
      <formula>kvartal &lt; 4</formula>
    </cfRule>
  </conditionalFormatting>
  <conditionalFormatting sqref="C93">
    <cfRule type="expression" dxfId="2169" priority="81">
      <formula>kvartal &lt; 4</formula>
    </cfRule>
  </conditionalFormatting>
  <conditionalFormatting sqref="B101">
    <cfRule type="expression" dxfId="2168" priority="80">
      <formula>kvartal &lt; 4</formula>
    </cfRule>
  </conditionalFormatting>
  <conditionalFormatting sqref="C101">
    <cfRule type="expression" dxfId="2167" priority="79">
      <formula>kvartal &lt; 4</formula>
    </cfRule>
  </conditionalFormatting>
  <conditionalFormatting sqref="B104">
    <cfRule type="expression" dxfId="2166" priority="78">
      <formula>kvartal &lt; 4</formula>
    </cfRule>
  </conditionalFormatting>
  <conditionalFormatting sqref="C104">
    <cfRule type="expression" dxfId="2165" priority="77">
      <formula>kvartal &lt; 4</formula>
    </cfRule>
  </conditionalFormatting>
  <conditionalFormatting sqref="B115">
    <cfRule type="expression" dxfId="2164" priority="76">
      <formula>kvartal &lt; 4</formula>
    </cfRule>
  </conditionalFormatting>
  <conditionalFormatting sqref="C115">
    <cfRule type="expression" dxfId="2163" priority="75">
      <formula>kvartal &lt; 4</formula>
    </cfRule>
  </conditionalFormatting>
  <conditionalFormatting sqref="B123">
    <cfRule type="expression" dxfId="2162" priority="74">
      <formula>kvartal &lt; 4</formula>
    </cfRule>
  </conditionalFormatting>
  <conditionalFormatting sqref="C123">
    <cfRule type="expression" dxfId="2161" priority="73">
      <formula>kvartal &lt; 4</formula>
    </cfRule>
  </conditionalFormatting>
  <conditionalFormatting sqref="F70">
    <cfRule type="expression" dxfId="2160" priority="72">
      <formula>kvartal &lt; 4</formula>
    </cfRule>
  </conditionalFormatting>
  <conditionalFormatting sqref="G70">
    <cfRule type="expression" dxfId="2159" priority="71">
      <formula>kvartal &lt; 4</formula>
    </cfRule>
  </conditionalFormatting>
  <conditionalFormatting sqref="F71:G71">
    <cfRule type="expression" dxfId="2158" priority="70">
      <formula>kvartal &lt; 4</formula>
    </cfRule>
  </conditionalFormatting>
  <conditionalFormatting sqref="F73:G74">
    <cfRule type="expression" dxfId="2157" priority="69">
      <formula>kvartal &lt; 4</formula>
    </cfRule>
  </conditionalFormatting>
  <conditionalFormatting sqref="F81:G82">
    <cfRule type="expression" dxfId="2156" priority="68">
      <formula>kvartal &lt; 4</formula>
    </cfRule>
  </conditionalFormatting>
  <conditionalFormatting sqref="F84:G85">
    <cfRule type="expression" dxfId="2155" priority="67">
      <formula>kvartal &lt; 4</formula>
    </cfRule>
  </conditionalFormatting>
  <conditionalFormatting sqref="F91:G92">
    <cfRule type="expression" dxfId="2154" priority="62">
      <formula>kvartal &lt; 4</formula>
    </cfRule>
  </conditionalFormatting>
  <conditionalFormatting sqref="F94:G95">
    <cfRule type="expression" dxfId="2153" priority="61">
      <formula>kvartal &lt; 4</formula>
    </cfRule>
  </conditionalFormatting>
  <conditionalFormatting sqref="F102:G103">
    <cfRule type="expression" dxfId="2152" priority="60">
      <formula>kvartal &lt; 4</formula>
    </cfRule>
  </conditionalFormatting>
  <conditionalFormatting sqref="F105:G106">
    <cfRule type="expression" dxfId="2151" priority="59">
      <formula>kvartal &lt; 4</formula>
    </cfRule>
  </conditionalFormatting>
  <conditionalFormatting sqref="F115">
    <cfRule type="expression" dxfId="2150" priority="58">
      <formula>kvartal &lt; 4</formula>
    </cfRule>
  </conditionalFormatting>
  <conditionalFormatting sqref="G115">
    <cfRule type="expression" dxfId="2149" priority="57">
      <formula>kvartal &lt; 4</formula>
    </cfRule>
  </conditionalFormatting>
  <conditionalFormatting sqref="F123:G123">
    <cfRule type="expression" dxfId="2148" priority="56">
      <formula>kvartal &lt; 4</formula>
    </cfRule>
  </conditionalFormatting>
  <conditionalFormatting sqref="F69:G69">
    <cfRule type="expression" dxfId="2147" priority="55">
      <formula>kvartal &lt; 4</formula>
    </cfRule>
  </conditionalFormatting>
  <conditionalFormatting sqref="F72:G72">
    <cfRule type="expression" dxfId="2146" priority="54">
      <formula>kvartal &lt; 4</formula>
    </cfRule>
  </conditionalFormatting>
  <conditionalFormatting sqref="F80:G80">
    <cfRule type="expression" dxfId="2145" priority="53">
      <formula>kvartal &lt; 4</formula>
    </cfRule>
  </conditionalFormatting>
  <conditionalFormatting sqref="F83:G83">
    <cfRule type="expression" dxfId="2144" priority="52">
      <formula>kvartal &lt; 4</formula>
    </cfRule>
  </conditionalFormatting>
  <conditionalFormatting sqref="F90:G90">
    <cfRule type="expression" dxfId="2143" priority="46">
      <formula>kvartal &lt; 4</formula>
    </cfRule>
  </conditionalFormatting>
  <conditionalFormatting sqref="F93">
    <cfRule type="expression" dxfId="2142" priority="45">
      <formula>kvartal &lt; 4</formula>
    </cfRule>
  </conditionalFormatting>
  <conditionalFormatting sqref="G93">
    <cfRule type="expression" dxfId="2141" priority="44">
      <formula>kvartal &lt; 4</formula>
    </cfRule>
  </conditionalFormatting>
  <conditionalFormatting sqref="F101">
    <cfRule type="expression" dxfId="2140" priority="43">
      <formula>kvartal &lt; 4</formula>
    </cfRule>
  </conditionalFormatting>
  <conditionalFormatting sqref="G101">
    <cfRule type="expression" dxfId="2139" priority="42">
      <formula>kvartal &lt; 4</formula>
    </cfRule>
  </conditionalFormatting>
  <conditionalFormatting sqref="G104">
    <cfRule type="expression" dxfId="2138" priority="41">
      <formula>kvartal &lt; 4</formula>
    </cfRule>
  </conditionalFormatting>
  <conditionalFormatting sqref="F104">
    <cfRule type="expression" dxfId="2137" priority="40">
      <formula>kvartal &lt; 4</formula>
    </cfRule>
  </conditionalFormatting>
  <conditionalFormatting sqref="J69:K73">
    <cfRule type="expression" dxfId="2136" priority="39">
      <formula>kvartal &lt; 4</formula>
    </cfRule>
  </conditionalFormatting>
  <conditionalFormatting sqref="J74:K74">
    <cfRule type="expression" dxfId="2135" priority="38">
      <formula>kvartal &lt; 4</formula>
    </cfRule>
  </conditionalFormatting>
  <conditionalFormatting sqref="J80:K85">
    <cfRule type="expression" dxfId="2134" priority="37">
      <formula>kvartal &lt; 4</formula>
    </cfRule>
  </conditionalFormatting>
  <conditionalFormatting sqref="J90:K95">
    <cfRule type="expression" dxfId="2133" priority="34">
      <formula>kvartal &lt; 4</formula>
    </cfRule>
  </conditionalFormatting>
  <conditionalFormatting sqref="J101:K106">
    <cfRule type="expression" dxfId="2132" priority="33">
      <formula>kvartal &lt; 4</formula>
    </cfRule>
  </conditionalFormatting>
  <conditionalFormatting sqref="J115:K115">
    <cfRule type="expression" dxfId="2131" priority="32">
      <formula>kvartal &lt; 4</formula>
    </cfRule>
  </conditionalFormatting>
  <conditionalFormatting sqref="J123:K123">
    <cfRule type="expression" dxfId="2130" priority="31">
      <formula>kvartal &lt; 4</formula>
    </cfRule>
  </conditionalFormatting>
  <conditionalFormatting sqref="A50:A52">
    <cfRule type="expression" dxfId="2129" priority="12">
      <formula>kvartal &lt; 4</formula>
    </cfRule>
  </conditionalFormatting>
  <conditionalFormatting sqref="A69:A74">
    <cfRule type="expression" dxfId="2128" priority="10">
      <formula>kvartal &lt; 4</formula>
    </cfRule>
  </conditionalFormatting>
  <conditionalFormatting sqref="A80:A85">
    <cfRule type="expression" dxfId="2127" priority="9">
      <formula>kvartal &lt; 4</formula>
    </cfRule>
  </conditionalFormatting>
  <conditionalFormatting sqref="A90:A95">
    <cfRule type="expression" dxfId="2126" priority="6">
      <formula>kvartal &lt; 4</formula>
    </cfRule>
  </conditionalFormatting>
  <conditionalFormatting sqref="A101:A106">
    <cfRule type="expression" dxfId="2125" priority="5">
      <formula>kvartal &lt; 4</formula>
    </cfRule>
  </conditionalFormatting>
  <conditionalFormatting sqref="A115">
    <cfRule type="expression" dxfId="2124" priority="4">
      <formula>kvartal &lt; 4</formula>
    </cfRule>
  </conditionalFormatting>
  <conditionalFormatting sqref="A123">
    <cfRule type="expression" dxfId="2123"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7" x14ac:dyDescent="0.2">
      <c r="A1" s="171" t="s">
        <v>131</v>
      </c>
      <c r="B1" s="981"/>
      <c r="C1" s="249" t="s">
        <v>123</v>
      </c>
      <c r="D1" s="26"/>
      <c r="E1" s="26"/>
      <c r="F1" s="26"/>
      <c r="G1" s="26"/>
      <c r="H1" s="26"/>
      <c r="I1" s="26"/>
      <c r="J1" s="26"/>
      <c r="K1" s="26"/>
      <c r="L1" s="26"/>
      <c r="M1" s="26"/>
    </row>
    <row r="2" spans="1:17" ht="15.75" x14ac:dyDescent="0.25">
      <c r="A2" s="164" t="s">
        <v>28</v>
      </c>
      <c r="B2" s="1008"/>
      <c r="C2" s="1008"/>
      <c r="D2" s="1008"/>
      <c r="E2" s="302"/>
      <c r="F2" s="1008"/>
      <c r="G2" s="1008"/>
      <c r="H2" s="1008"/>
      <c r="I2" s="302"/>
      <c r="J2" s="1008"/>
      <c r="K2" s="1008"/>
      <c r="L2" s="1008"/>
      <c r="M2" s="302"/>
    </row>
    <row r="3" spans="1:17" ht="15.75" x14ac:dyDescent="0.25">
      <c r="A3" s="162"/>
      <c r="B3" s="302"/>
      <c r="C3" s="302"/>
      <c r="D3" s="302"/>
      <c r="E3" s="302"/>
      <c r="F3" s="302"/>
      <c r="G3" s="302"/>
      <c r="H3" s="302"/>
      <c r="I3" s="302"/>
      <c r="J3" s="302"/>
      <c r="K3" s="302"/>
      <c r="L3" s="302"/>
      <c r="M3" s="302"/>
    </row>
    <row r="4" spans="1:17" x14ac:dyDescent="0.2">
      <c r="A4" s="143"/>
      <c r="B4" s="1010" t="s">
        <v>0</v>
      </c>
      <c r="C4" s="1011"/>
      <c r="D4" s="1011"/>
      <c r="E4" s="304"/>
      <c r="F4" s="1010" t="s">
        <v>1</v>
      </c>
      <c r="G4" s="1011"/>
      <c r="H4" s="1011"/>
      <c r="I4" s="307"/>
      <c r="J4" s="1010" t="s">
        <v>2</v>
      </c>
      <c r="K4" s="1011"/>
      <c r="L4" s="1011"/>
      <c r="M4" s="307"/>
    </row>
    <row r="5" spans="1:17"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7" x14ac:dyDescent="0.2">
      <c r="A6" s="980"/>
      <c r="B6" s="155"/>
      <c r="C6" s="155"/>
      <c r="D6" s="247" t="s">
        <v>4</v>
      </c>
      <c r="E6" s="155" t="s">
        <v>30</v>
      </c>
      <c r="F6" s="160"/>
      <c r="G6" s="160"/>
      <c r="H6" s="245" t="s">
        <v>4</v>
      </c>
      <c r="I6" s="155" t="s">
        <v>30</v>
      </c>
      <c r="J6" s="160"/>
      <c r="K6" s="160"/>
      <c r="L6" s="245" t="s">
        <v>4</v>
      </c>
      <c r="M6" s="155" t="s">
        <v>30</v>
      </c>
    </row>
    <row r="7" spans="1:17" ht="15.75" x14ac:dyDescent="0.2">
      <c r="A7" s="14" t="s">
        <v>23</v>
      </c>
      <c r="B7" s="309">
        <v>217430</v>
      </c>
      <c r="C7" s="310">
        <v>234990</v>
      </c>
      <c r="D7" s="351">
        <f>IF(B7=0, "    ---- ", IF(ABS(ROUND(100/B7*C7-100,1))&lt;999,ROUND(100/B7*C7-100,1),IF(ROUND(100/B7*C7-100,1)&gt;999,999,-999)))</f>
        <v>8.1</v>
      </c>
      <c r="E7" s="11">
        <f>IFERROR(100/'Skjema total MA'!C7*C7,0)</f>
        <v>4.5633939895920621</v>
      </c>
      <c r="F7" s="309"/>
      <c r="G7" s="310"/>
      <c r="H7" s="351"/>
      <c r="I7" s="159"/>
      <c r="J7" s="311">
        <f t="shared" ref="J7:K10" si="0">SUM(B7,F7)</f>
        <v>217430</v>
      </c>
      <c r="K7" s="312">
        <f t="shared" si="0"/>
        <v>234990</v>
      </c>
      <c r="L7" s="425">
        <f>IF(J7=0, "    ---- ", IF(ABS(ROUND(100/J7*K7-100,1))&lt;999,ROUND(100/J7*K7-100,1),IF(ROUND(100/J7*K7-100,1)&gt;999,999,-999)))</f>
        <v>8.1</v>
      </c>
      <c r="M7" s="11">
        <f>IFERROR(100/'Skjema total MA'!I7*K7,0)</f>
        <v>1.6348143169988063</v>
      </c>
    </row>
    <row r="8" spans="1:17" ht="15.75" x14ac:dyDescent="0.2">
      <c r="A8" s="21" t="s">
        <v>25</v>
      </c>
      <c r="B8" s="284">
        <v>188944</v>
      </c>
      <c r="C8" s="285">
        <v>205023</v>
      </c>
      <c r="D8" s="165">
        <f t="shared" ref="D8:D10" si="1">IF(B8=0, "    ---- ", IF(ABS(ROUND(100/B8*C8-100,1))&lt;999,ROUND(100/B8*C8-100,1),IF(ROUND(100/B8*C8-100,1)&gt;999,999,-999)))</f>
        <v>8.5</v>
      </c>
      <c r="E8" s="27">
        <f>IFERROR(100/'Skjema total MA'!C8*C8,0)</f>
        <v>6.1346471382336247</v>
      </c>
      <c r="F8" s="288"/>
      <c r="G8" s="289"/>
      <c r="H8" s="165"/>
      <c r="I8" s="175"/>
      <c r="J8" s="233">
        <f t="shared" si="0"/>
        <v>188944</v>
      </c>
      <c r="K8" s="290">
        <f t="shared" si="0"/>
        <v>205023</v>
      </c>
      <c r="L8" s="165">
        <f t="shared" ref="L8:L9" si="2">IF(J8=0, "    ---- ", IF(ABS(ROUND(100/J8*K8-100,1))&lt;999,ROUND(100/J8*K8-100,1),IF(ROUND(100/J8*K8-100,1)&gt;999,999,-999)))</f>
        <v>8.5</v>
      </c>
      <c r="M8" s="27">
        <f>IFERROR(100/'Skjema total MA'!I8*K8,0)</f>
        <v>6.1346471382336247</v>
      </c>
    </row>
    <row r="9" spans="1:17" ht="15.75" x14ac:dyDescent="0.2">
      <c r="A9" s="21" t="s">
        <v>24</v>
      </c>
      <c r="B9" s="284">
        <v>28486</v>
      </c>
      <c r="C9" s="285">
        <v>29967</v>
      </c>
      <c r="D9" s="165">
        <f t="shared" si="1"/>
        <v>5.2</v>
      </c>
      <c r="E9" s="27">
        <f>IFERROR(100/'Skjema total MA'!C9*C9,0)</f>
        <v>2.8063503004634978</v>
      </c>
      <c r="F9" s="288"/>
      <c r="G9" s="289"/>
      <c r="H9" s="165"/>
      <c r="I9" s="175"/>
      <c r="J9" s="233">
        <f t="shared" si="0"/>
        <v>28486</v>
      </c>
      <c r="K9" s="290">
        <f t="shared" si="0"/>
        <v>29967</v>
      </c>
      <c r="L9" s="165">
        <f t="shared" si="2"/>
        <v>5.2</v>
      </c>
      <c r="M9" s="27">
        <f>IFERROR(100/'Skjema total MA'!I9*K9,0)</f>
        <v>2.8063503004634978</v>
      </c>
    </row>
    <row r="10" spans="1:17" ht="15.75" x14ac:dyDescent="0.2">
      <c r="A10" s="13" t="s">
        <v>426</v>
      </c>
      <c r="B10" s="313">
        <v>67115</v>
      </c>
      <c r="C10" s="314">
        <v>62527</v>
      </c>
      <c r="D10" s="170">
        <f t="shared" si="1"/>
        <v>-6.8</v>
      </c>
      <c r="E10" s="11">
        <f>IFERROR(100/'Skjema total MA'!C10*C10,0)</f>
        <v>0.35833639152486246</v>
      </c>
      <c r="F10" s="313"/>
      <c r="G10" s="314"/>
      <c r="H10" s="170"/>
      <c r="I10" s="159"/>
      <c r="J10" s="311">
        <f t="shared" si="0"/>
        <v>67115</v>
      </c>
      <c r="K10" s="312">
        <f t="shared" si="0"/>
        <v>62527</v>
      </c>
      <c r="L10" s="426">
        <f t="shared" ref="L10" si="3">IF(J10=0, "    ---- ", IF(ABS(ROUND(100/J10*K10-100,1))&lt;999,ROUND(100/J10*K10-100,1),IF(ROUND(100/J10*K10-100,1)&gt;999,999,-999)))</f>
        <v>-6.8</v>
      </c>
      <c r="M10" s="11">
        <f>IFERROR(100/'Skjema total MA'!I10*K10,0)</f>
        <v>7.0864708015092426E-2</v>
      </c>
    </row>
    <row r="11" spans="1:17" s="43" customFormat="1" ht="15.75" x14ac:dyDescent="0.2">
      <c r="A11" s="13" t="s">
        <v>427</v>
      </c>
      <c r="B11" s="313"/>
      <c r="C11" s="314"/>
      <c r="D11" s="170"/>
      <c r="E11" s="11"/>
      <c r="F11" s="313"/>
      <c r="G11" s="314"/>
      <c r="H11" s="170"/>
      <c r="I11" s="159"/>
      <c r="J11" s="311"/>
      <c r="K11" s="312"/>
      <c r="L11" s="426"/>
      <c r="M11" s="11"/>
      <c r="N11" s="142"/>
      <c r="Q11" s="142"/>
    </row>
    <row r="12" spans="1:17" s="43" customFormat="1" ht="15.75" x14ac:dyDescent="0.2">
      <c r="A12" s="41" t="s">
        <v>428</v>
      </c>
      <c r="B12" s="315"/>
      <c r="C12" s="316"/>
      <c r="D12" s="168"/>
      <c r="E12" s="36"/>
      <c r="F12" s="315"/>
      <c r="G12" s="316"/>
      <c r="H12" s="168"/>
      <c r="I12" s="168"/>
      <c r="J12" s="317"/>
      <c r="K12" s="318"/>
      <c r="L12" s="427"/>
      <c r="M12" s="36"/>
      <c r="N12" s="142"/>
    </row>
    <row r="13" spans="1:17" s="43" customFormat="1" x14ac:dyDescent="0.2">
      <c r="A13" s="167"/>
      <c r="B13" s="144"/>
      <c r="C13" s="33"/>
      <c r="D13" s="158"/>
      <c r="E13" s="158"/>
      <c r="F13" s="144"/>
      <c r="G13" s="33"/>
      <c r="H13" s="158"/>
      <c r="I13" s="158"/>
      <c r="J13" s="48"/>
      <c r="K13" s="48"/>
      <c r="L13" s="158"/>
      <c r="M13" s="158"/>
      <c r="N13" s="142"/>
    </row>
    <row r="14" spans="1:17" x14ac:dyDescent="0.2">
      <c r="A14" s="152" t="s">
        <v>268</v>
      </c>
      <c r="B14" s="26"/>
    </row>
    <row r="15" spans="1:17" x14ac:dyDescent="0.2">
      <c r="F15" s="145"/>
      <c r="G15" s="145"/>
      <c r="H15" s="145"/>
      <c r="I15" s="145"/>
      <c r="J15" s="145"/>
      <c r="K15" s="145"/>
      <c r="L15" s="145"/>
      <c r="M15" s="145"/>
    </row>
    <row r="16" spans="1:17"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v>206616</v>
      </c>
      <c r="C22" s="313">
        <v>235419</v>
      </c>
      <c r="D22" s="351">
        <f t="shared" ref="D22:D30" si="4">IF(B22=0, "    ---- ", IF(ABS(ROUND(100/B22*C22-100,1))&lt;999,ROUND(100/B22*C22-100,1),IF(ROUND(100/B22*C22-100,1)&gt;999,999,-999)))</f>
        <v>13.9</v>
      </c>
      <c r="E22" s="11">
        <f>IFERROR(100/'Skjema total MA'!C22*C22,0)</f>
        <v>10.967923334962713</v>
      </c>
      <c r="F22" s="321"/>
      <c r="G22" s="321"/>
      <c r="H22" s="351"/>
      <c r="I22" s="11"/>
      <c r="J22" s="319">
        <f t="shared" ref="J22:K29" si="5">SUM(B22,F22)</f>
        <v>206616</v>
      </c>
      <c r="K22" s="319">
        <f t="shared" si="5"/>
        <v>235419</v>
      </c>
      <c r="L22" s="425">
        <f t="shared" ref="L22:L30" si="6">IF(J22=0, "    ---- ", IF(ABS(ROUND(100/J22*K22-100,1))&lt;999,ROUND(100/J22*K22-100,1),IF(ROUND(100/J22*K22-100,1)&gt;999,999,-999)))</f>
        <v>13.9</v>
      </c>
      <c r="M22" s="24">
        <f>IFERROR(100/'Skjema total MA'!I22*K22,0)</f>
        <v>7.4245787244563042</v>
      </c>
    </row>
    <row r="23" spans="1:14" ht="15.75" x14ac:dyDescent="0.2">
      <c r="A23" s="723" t="s">
        <v>429</v>
      </c>
      <c r="B23" s="284">
        <v>206616</v>
      </c>
      <c r="C23" s="284">
        <v>235419</v>
      </c>
      <c r="D23" s="165">
        <f t="shared" si="4"/>
        <v>13.9</v>
      </c>
      <c r="E23" s="11">
        <f>IFERROR(100/'Skjema total MA'!C23*C23,0)</f>
        <v>18.837084479856255</v>
      </c>
      <c r="F23" s="293"/>
      <c r="G23" s="293"/>
      <c r="H23" s="165"/>
      <c r="I23" s="416"/>
      <c r="J23" s="293">
        <f t="shared" ref="J23" si="7">SUM(B23,F23)</f>
        <v>206616</v>
      </c>
      <c r="K23" s="293">
        <f t="shared" ref="K23" si="8">SUM(C23,G23)</f>
        <v>235419</v>
      </c>
      <c r="L23" s="165">
        <f t="shared" si="6"/>
        <v>13.9</v>
      </c>
      <c r="M23" s="23">
        <f>IFERROR(100/'Skjema total MA'!I23*K23,0)</f>
        <v>16.835152699413246</v>
      </c>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v>206616</v>
      </c>
      <c r="C28" s="290">
        <v>235419</v>
      </c>
      <c r="D28" s="165">
        <f t="shared" si="4"/>
        <v>13.9</v>
      </c>
      <c r="E28" s="11">
        <f>IFERROR(100/'Skjema total MA'!C28*C28,0)</f>
        <v>9.6903035339612433</v>
      </c>
      <c r="F28" s="233"/>
      <c r="G28" s="290"/>
      <c r="H28" s="165"/>
      <c r="I28" s="27"/>
      <c r="J28" s="44">
        <f t="shared" si="5"/>
        <v>206616</v>
      </c>
      <c r="K28" s="44">
        <f t="shared" si="5"/>
        <v>235419</v>
      </c>
      <c r="L28" s="258">
        <f t="shared" si="6"/>
        <v>13.9</v>
      </c>
      <c r="M28" s="23">
        <f>IFERROR(100/'Skjema total MA'!I28*K28,0)</f>
        <v>9.6903035339612433</v>
      </c>
    </row>
    <row r="29" spans="1:14" s="3" customFormat="1" ht="15.75" x14ac:dyDescent="0.2">
      <c r="A29" s="13" t="s">
        <v>426</v>
      </c>
      <c r="B29" s="235">
        <v>983104</v>
      </c>
      <c r="C29" s="235">
        <v>1202061</v>
      </c>
      <c r="D29" s="170">
        <f t="shared" si="4"/>
        <v>22.3</v>
      </c>
      <c r="E29" s="11">
        <f>IFERROR(100/'Skjema total MA'!C29*C29,0)</f>
        <v>2.7298409550577012</v>
      </c>
      <c r="F29" s="311"/>
      <c r="G29" s="311"/>
      <c r="H29" s="170"/>
      <c r="I29" s="11"/>
      <c r="J29" s="235">
        <f t="shared" si="5"/>
        <v>983104</v>
      </c>
      <c r="K29" s="235">
        <f t="shared" si="5"/>
        <v>1202061</v>
      </c>
      <c r="L29" s="426">
        <f t="shared" si="6"/>
        <v>22.3</v>
      </c>
      <c r="M29" s="24">
        <f>IFERROR(100/'Skjema total MA'!I29*K29,0)</f>
        <v>1.7803590810703207</v>
      </c>
      <c r="N29" s="147"/>
    </row>
    <row r="30" spans="1:14" s="3" customFormat="1" ht="15.75" x14ac:dyDescent="0.2">
      <c r="A30" s="723" t="s">
        <v>429</v>
      </c>
      <c r="B30" s="284">
        <v>983104</v>
      </c>
      <c r="C30" s="284">
        <v>1202061</v>
      </c>
      <c r="D30" s="165">
        <f t="shared" si="4"/>
        <v>22.3</v>
      </c>
      <c r="E30" s="11">
        <f>IFERROR(100/'Skjema total MA'!C30*C30,0)</f>
        <v>9.477341164043148</v>
      </c>
      <c r="F30" s="293"/>
      <c r="G30" s="293"/>
      <c r="H30" s="165"/>
      <c r="I30" s="416"/>
      <c r="J30" s="293">
        <f t="shared" ref="J30" si="9">SUM(B30,F30)</f>
        <v>983104</v>
      </c>
      <c r="K30" s="293">
        <f t="shared" ref="K30" si="10">SUM(C30,G30)</f>
        <v>1202061</v>
      </c>
      <c r="L30" s="165">
        <f t="shared" si="6"/>
        <v>22.3</v>
      </c>
      <c r="M30" s="23">
        <f>IFERROR(100/'Skjema total MA'!I30*K30,0)</f>
        <v>7.4726551531380814</v>
      </c>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34469</v>
      </c>
      <c r="C47" s="314">
        <v>34742</v>
      </c>
      <c r="D47" s="425">
        <f t="shared" ref="D47:D48" si="11">IF(B47=0, "    ---- ", IF(ABS(ROUND(100/B47*C47-100,1))&lt;999,ROUND(100/B47*C47-100,1),IF(ROUND(100/B47*C47-100,1)&gt;999,999,-999)))</f>
        <v>0.8</v>
      </c>
      <c r="E47" s="11">
        <f>IFERROR(100/'Skjema total MA'!C47*C47,0)</f>
        <v>0.62692114876052141</v>
      </c>
      <c r="F47" s="144"/>
      <c r="G47" s="33"/>
      <c r="H47" s="158"/>
      <c r="I47" s="158"/>
      <c r="J47" s="37"/>
      <c r="K47" s="37"/>
      <c r="L47" s="158"/>
      <c r="M47" s="158"/>
      <c r="N47" s="147"/>
    </row>
    <row r="48" spans="1:14" s="3" customFormat="1" ht="15.75" x14ac:dyDescent="0.2">
      <c r="A48" s="38" t="s">
        <v>437</v>
      </c>
      <c r="B48" s="284">
        <v>34469</v>
      </c>
      <c r="C48" s="285">
        <v>34742</v>
      </c>
      <c r="D48" s="258">
        <f t="shared" si="11"/>
        <v>0.8</v>
      </c>
      <c r="E48" s="27">
        <f>IFERROR(100/'Skjema total MA'!C48*C48,0)</f>
        <v>1.1279266058716773</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122" priority="132">
      <formula>kvartal &lt; 4</formula>
    </cfRule>
  </conditionalFormatting>
  <conditionalFormatting sqref="B69">
    <cfRule type="expression" dxfId="2121" priority="100">
      <formula>kvartal &lt; 4</formula>
    </cfRule>
  </conditionalFormatting>
  <conditionalFormatting sqref="C69">
    <cfRule type="expression" dxfId="2120" priority="99">
      <formula>kvartal &lt; 4</formula>
    </cfRule>
  </conditionalFormatting>
  <conditionalFormatting sqref="B72">
    <cfRule type="expression" dxfId="2119" priority="98">
      <formula>kvartal &lt; 4</formula>
    </cfRule>
  </conditionalFormatting>
  <conditionalFormatting sqref="C72">
    <cfRule type="expression" dxfId="2118" priority="97">
      <formula>kvartal &lt; 4</formula>
    </cfRule>
  </conditionalFormatting>
  <conditionalFormatting sqref="B80">
    <cfRule type="expression" dxfId="2117" priority="96">
      <formula>kvartal &lt; 4</formula>
    </cfRule>
  </conditionalFormatting>
  <conditionalFormatting sqref="C80">
    <cfRule type="expression" dxfId="2116" priority="95">
      <formula>kvartal &lt; 4</formula>
    </cfRule>
  </conditionalFormatting>
  <conditionalFormatting sqref="B83">
    <cfRule type="expression" dxfId="2115" priority="94">
      <formula>kvartal &lt; 4</formula>
    </cfRule>
  </conditionalFormatting>
  <conditionalFormatting sqref="C83">
    <cfRule type="expression" dxfId="2114" priority="93">
      <formula>kvartal &lt; 4</formula>
    </cfRule>
  </conditionalFormatting>
  <conditionalFormatting sqref="B90">
    <cfRule type="expression" dxfId="2113" priority="84">
      <formula>kvartal &lt; 4</formula>
    </cfRule>
  </conditionalFormatting>
  <conditionalFormatting sqref="C90">
    <cfRule type="expression" dxfId="2112" priority="83">
      <formula>kvartal &lt; 4</formula>
    </cfRule>
  </conditionalFormatting>
  <conditionalFormatting sqref="B93">
    <cfRule type="expression" dxfId="2111" priority="82">
      <formula>kvartal &lt; 4</formula>
    </cfRule>
  </conditionalFormatting>
  <conditionalFormatting sqref="C93">
    <cfRule type="expression" dxfId="2110" priority="81">
      <formula>kvartal &lt; 4</formula>
    </cfRule>
  </conditionalFormatting>
  <conditionalFormatting sqref="B101">
    <cfRule type="expression" dxfId="2109" priority="80">
      <formula>kvartal &lt; 4</formula>
    </cfRule>
  </conditionalFormatting>
  <conditionalFormatting sqref="C101">
    <cfRule type="expression" dxfId="2108" priority="79">
      <formula>kvartal &lt; 4</formula>
    </cfRule>
  </conditionalFormatting>
  <conditionalFormatting sqref="B104">
    <cfRule type="expression" dxfId="2107" priority="78">
      <formula>kvartal &lt; 4</formula>
    </cfRule>
  </conditionalFormatting>
  <conditionalFormatting sqref="C104">
    <cfRule type="expression" dxfId="2106" priority="77">
      <formula>kvartal &lt; 4</formula>
    </cfRule>
  </conditionalFormatting>
  <conditionalFormatting sqref="B115">
    <cfRule type="expression" dxfId="2105" priority="76">
      <formula>kvartal &lt; 4</formula>
    </cfRule>
  </conditionalFormatting>
  <conditionalFormatting sqref="C115">
    <cfRule type="expression" dxfId="2104" priority="75">
      <formula>kvartal &lt; 4</formula>
    </cfRule>
  </conditionalFormatting>
  <conditionalFormatting sqref="B123">
    <cfRule type="expression" dxfId="2103" priority="74">
      <formula>kvartal &lt; 4</formula>
    </cfRule>
  </conditionalFormatting>
  <conditionalFormatting sqref="C123">
    <cfRule type="expression" dxfId="2102" priority="73">
      <formula>kvartal &lt; 4</formula>
    </cfRule>
  </conditionalFormatting>
  <conditionalFormatting sqref="F70">
    <cfRule type="expression" dxfId="2101" priority="72">
      <formula>kvartal &lt; 4</formula>
    </cfRule>
  </conditionalFormatting>
  <conditionalFormatting sqref="G70">
    <cfRule type="expression" dxfId="2100" priority="71">
      <formula>kvartal &lt; 4</formula>
    </cfRule>
  </conditionalFormatting>
  <conditionalFormatting sqref="F71:G71">
    <cfRule type="expression" dxfId="2099" priority="70">
      <formula>kvartal &lt; 4</formula>
    </cfRule>
  </conditionalFormatting>
  <conditionalFormatting sqref="F73:G74">
    <cfRule type="expression" dxfId="2098" priority="69">
      <formula>kvartal &lt; 4</formula>
    </cfRule>
  </conditionalFormatting>
  <conditionalFormatting sqref="F81:G82">
    <cfRule type="expression" dxfId="2097" priority="68">
      <formula>kvartal &lt; 4</formula>
    </cfRule>
  </conditionalFormatting>
  <conditionalFormatting sqref="F84:G85">
    <cfRule type="expression" dxfId="2096" priority="67">
      <formula>kvartal &lt; 4</formula>
    </cfRule>
  </conditionalFormatting>
  <conditionalFormatting sqref="F91:G92">
    <cfRule type="expression" dxfId="2095" priority="62">
      <formula>kvartal &lt; 4</formula>
    </cfRule>
  </conditionalFormatting>
  <conditionalFormatting sqref="F94:G95">
    <cfRule type="expression" dxfId="2094" priority="61">
      <formula>kvartal &lt; 4</formula>
    </cfRule>
  </conditionalFormatting>
  <conditionalFormatting sqref="F102:G103">
    <cfRule type="expression" dxfId="2093" priority="60">
      <formula>kvartal &lt; 4</formula>
    </cfRule>
  </conditionalFormatting>
  <conditionalFormatting sqref="F105:G106">
    <cfRule type="expression" dxfId="2092" priority="59">
      <formula>kvartal &lt; 4</formula>
    </cfRule>
  </conditionalFormatting>
  <conditionalFormatting sqref="F115">
    <cfRule type="expression" dxfId="2091" priority="58">
      <formula>kvartal &lt; 4</formula>
    </cfRule>
  </conditionalFormatting>
  <conditionalFormatting sqref="G115">
    <cfRule type="expression" dxfId="2090" priority="57">
      <formula>kvartal &lt; 4</formula>
    </cfRule>
  </conditionalFormatting>
  <conditionalFormatting sqref="F123:G123">
    <cfRule type="expression" dxfId="2089" priority="56">
      <formula>kvartal &lt; 4</formula>
    </cfRule>
  </conditionalFormatting>
  <conditionalFormatting sqref="F69:G69">
    <cfRule type="expression" dxfId="2088" priority="55">
      <formula>kvartal &lt; 4</formula>
    </cfRule>
  </conditionalFormatting>
  <conditionalFormatting sqref="F72:G72">
    <cfRule type="expression" dxfId="2087" priority="54">
      <formula>kvartal &lt; 4</formula>
    </cfRule>
  </conditionalFormatting>
  <conditionalFormatting sqref="F80:G80">
    <cfRule type="expression" dxfId="2086" priority="53">
      <formula>kvartal &lt; 4</formula>
    </cfRule>
  </conditionalFormatting>
  <conditionalFormatting sqref="F83:G83">
    <cfRule type="expression" dxfId="2085" priority="52">
      <formula>kvartal &lt; 4</formula>
    </cfRule>
  </conditionalFormatting>
  <conditionalFormatting sqref="F90:G90">
    <cfRule type="expression" dxfId="2084" priority="46">
      <formula>kvartal &lt; 4</formula>
    </cfRule>
  </conditionalFormatting>
  <conditionalFormatting sqref="F93">
    <cfRule type="expression" dxfId="2083" priority="45">
      <formula>kvartal &lt; 4</formula>
    </cfRule>
  </conditionalFormatting>
  <conditionalFormatting sqref="G93">
    <cfRule type="expression" dxfId="2082" priority="44">
      <formula>kvartal &lt; 4</formula>
    </cfRule>
  </conditionalFormatting>
  <conditionalFormatting sqref="F101">
    <cfRule type="expression" dxfId="2081" priority="43">
      <formula>kvartal &lt; 4</formula>
    </cfRule>
  </conditionalFormatting>
  <conditionalFormatting sqref="G101">
    <cfRule type="expression" dxfId="2080" priority="42">
      <formula>kvartal &lt; 4</formula>
    </cfRule>
  </conditionalFormatting>
  <conditionalFormatting sqref="G104">
    <cfRule type="expression" dxfId="2079" priority="41">
      <formula>kvartal &lt; 4</formula>
    </cfRule>
  </conditionalFormatting>
  <conditionalFormatting sqref="F104">
    <cfRule type="expression" dxfId="2078" priority="40">
      <formula>kvartal &lt; 4</formula>
    </cfRule>
  </conditionalFormatting>
  <conditionalFormatting sqref="J69:K73">
    <cfRule type="expression" dxfId="2077" priority="39">
      <formula>kvartal &lt; 4</formula>
    </cfRule>
  </conditionalFormatting>
  <conditionalFormatting sqref="J74:K74">
    <cfRule type="expression" dxfId="2076" priority="38">
      <formula>kvartal &lt; 4</formula>
    </cfRule>
  </conditionalFormatting>
  <conditionalFormatting sqref="J80:K85">
    <cfRule type="expression" dxfId="2075" priority="37">
      <formula>kvartal &lt; 4</formula>
    </cfRule>
  </conditionalFormatting>
  <conditionalFormatting sqref="J90:K95">
    <cfRule type="expression" dxfId="2074" priority="34">
      <formula>kvartal &lt; 4</formula>
    </cfRule>
  </conditionalFormatting>
  <conditionalFormatting sqref="J101:K106">
    <cfRule type="expression" dxfId="2073" priority="33">
      <formula>kvartal &lt; 4</formula>
    </cfRule>
  </conditionalFormatting>
  <conditionalFormatting sqref="J115:K115">
    <cfRule type="expression" dxfId="2072" priority="32">
      <formula>kvartal &lt; 4</formula>
    </cfRule>
  </conditionalFormatting>
  <conditionalFormatting sqref="J123:K123">
    <cfRule type="expression" dxfId="2071" priority="31">
      <formula>kvartal &lt; 4</formula>
    </cfRule>
  </conditionalFormatting>
  <conditionalFormatting sqref="A50:A52">
    <cfRule type="expression" dxfId="2070" priority="12">
      <formula>kvartal &lt; 4</formula>
    </cfRule>
  </conditionalFormatting>
  <conditionalFormatting sqref="A69:A74">
    <cfRule type="expression" dxfId="2069" priority="10">
      <formula>kvartal &lt; 4</formula>
    </cfRule>
  </conditionalFormatting>
  <conditionalFormatting sqref="A80:A85">
    <cfRule type="expression" dxfId="2068" priority="9">
      <formula>kvartal &lt; 4</formula>
    </cfRule>
  </conditionalFormatting>
  <conditionalFormatting sqref="A90:A95">
    <cfRule type="expression" dxfId="2067" priority="6">
      <formula>kvartal &lt; 4</formula>
    </cfRule>
  </conditionalFormatting>
  <conditionalFormatting sqref="A101:A106">
    <cfRule type="expression" dxfId="2066" priority="5">
      <formula>kvartal &lt; 4</formula>
    </cfRule>
  </conditionalFormatting>
  <conditionalFormatting sqref="A115">
    <cfRule type="expression" dxfId="2065" priority="4">
      <formula>kvartal &lt; 4</formula>
    </cfRule>
  </conditionalFormatting>
  <conditionalFormatting sqref="A123">
    <cfRule type="expression" dxfId="2064"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124</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c r="G7" s="310"/>
      <c r="H7" s="351"/>
      <c r="I7" s="159"/>
      <c r="J7" s="311"/>
      <c r="K7" s="312"/>
      <c r="L7" s="425"/>
      <c r="M7" s="11"/>
    </row>
    <row r="8" spans="1:14" ht="15.75" x14ac:dyDescent="0.2">
      <c r="A8" s="21" t="s">
        <v>25</v>
      </c>
      <c r="B8" s="284"/>
      <c r="C8" s="285"/>
      <c r="D8" s="165"/>
      <c r="E8" s="27"/>
      <c r="F8" s="288"/>
      <c r="G8" s="289"/>
      <c r="H8" s="165"/>
      <c r="I8" s="175"/>
      <c r="J8" s="233"/>
      <c r="K8" s="290"/>
      <c r="L8" s="165"/>
      <c r="M8" s="27"/>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7999.02</v>
      </c>
      <c r="C47" s="314">
        <v>9115.4689999999991</v>
      </c>
      <c r="D47" s="425">
        <f t="shared" ref="D47:D57" si="0">IF(B47=0, "    ---- ", IF(ABS(ROUND(100/B47*C47-100,1))&lt;999,ROUND(100/B47*C47-100,1),IF(ROUND(100/B47*C47-100,1)&gt;999,999,-999)))</f>
        <v>14</v>
      </c>
      <c r="E47" s="11">
        <f>IFERROR(100/'Skjema total MA'!C47*C47,0)</f>
        <v>0.1644890995616522</v>
      </c>
      <c r="F47" s="144"/>
      <c r="G47" s="33"/>
      <c r="H47" s="158"/>
      <c r="I47" s="158"/>
      <c r="J47" s="37"/>
      <c r="K47" s="37"/>
      <c r="L47" s="158"/>
      <c r="M47" s="158"/>
      <c r="N47" s="147"/>
    </row>
    <row r="48" spans="1:14" s="3" customFormat="1" ht="15.75" x14ac:dyDescent="0.2">
      <c r="A48" s="38" t="s">
        <v>437</v>
      </c>
      <c r="B48" s="284">
        <v>7999.02</v>
      </c>
      <c r="C48" s="285">
        <v>9115.4689999999991</v>
      </c>
      <c r="D48" s="258">
        <f t="shared" si="0"/>
        <v>14</v>
      </c>
      <c r="E48" s="27">
        <f>IFERROR(100/'Skjema total MA'!C48*C48,0)</f>
        <v>0.29594093633350099</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v>376.346</v>
      </c>
      <c r="C53" s="314">
        <v>215.715</v>
      </c>
      <c r="D53" s="426">
        <f t="shared" si="0"/>
        <v>-42.7</v>
      </c>
      <c r="E53" s="11">
        <f>IFERROR(100/'Skjema total MA'!C53*C53,0)</f>
        <v>0.15136773128509023</v>
      </c>
      <c r="F53" s="144"/>
      <c r="G53" s="33"/>
      <c r="H53" s="144"/>
      <c r="I53" s="144"/>
      <c r="J53" s="33"/>
      <c r="K53" s="33"/>
      <c r="L53" s="158"/>
      <c r="M53" s="158"/>
      <c r="N53" s="147"/>
    </row>
    <row r="54" spans="1:14" s="3" customFormat="1" ht="15.75" x14ac:dyDescent="0.2">
      <c r="A54" s="38" t="s">
        <v>437</v>
      </c>
      <c r="B54" s="284">
        <v>376.346</v>
      </c>
      <c r="C54" s="285">
        <v>215.715</v>
      </c>
      <c r="D54" s="258">
        <f t="shared" si="0"/>
        <v>-42.7</v>
      </c>
      <c r="E54" s="27">
        <f>IFERROR(100/'Skjema total MA'!C54*C54,0)</f>
        <v>0.15238246987658563</v>
      </c>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v>137.988</v>
      </c>
      <c r="C56" s="314">
        <v>0</v>
      </c>
      <c r="D56" s="426">
        <f t="shared" si="0"/>
        <v>-100</v>
      </c>
      <c r="E56" s="11">
        <f>IFERROR(100/'Skjema total MA'!C56*C56,0)</f>
        <v>0</v>
      </c>
      <c r="F56" s="144"/>
      <c r="G56" s="33"/>
      <c r="H56" s="144"/>
      <c r="I56" s="144"/>
      <c r="J56" s="33"/>
      <c r="K56" s="33"/>
      <c r="L56" s="158"/>
      <c r="M56" s="158"/>
      <c r="N56" s="147"/>
    </row>
    <row r="57" spans="1:14" s="3" customFormat="1" ht="15.75" x14ac:dyDescent="0.2">
      <c r="A57" s="38" t="s">
        <v>437</v>
      </c>
      <c r="B57" s="284">
        <v>137.988</v>
      </c>
      <c r="C57" s="285">
        <v>0</v>
      </c>
      <c r="D57" s="258">
        <f t="shared" si="0"/>
        <v>-100</v>
      </c>
      <c r="E57" s="27">
        <f>IFERROR(100/'Skjema total MA'!C57*C57,0)</f>
        <v>0</v>
      </c>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063" priority="132">
      <formula>kvartal &lt; 4</formula>
    </cfRule>
  </conditionalFormatting>
  <conditionalFormatting sqref="B69">
    <cfRule type="expression" dxfId="2062" priority="100">
      <formula>kvartal &lt; 4</formula>
    </cfRule>
  </conditionalFormatting>
  <conditionalFormatting sqref="C69">
    <cfRule type="expression" dxfId="2061" priority="99">
      <formula>kvartal &lt; 4</formula>
    </cfRule>
  </conditionalFormatting>
  <conditionalFormatting sqref="B72">
    <cfRule type="expression" dxfId="2060" priority="98">
      <formula>kvartal &lt; 4</formula>
    </cfRule>
  </conditionalFormatting>
  <conditionalFormatting sqref="C72">
    <cfRule type="expression" dxfId="2059" priority="97">
      <formula>kvartal &lt; 4</formula>
    </cfRule>
  </conditionalFormatting>
  <conditionalFormatting sqref="B80">
    <cfRule type="expression" dxfId="2058" priority="96">
      <formula>kvartal &lt; 4</formula>
    </cfRule>
  </conditionalFormatting>
  <conditionalFormatting sqref="C80">
    <cfRule type="expression" dxfId="2057" priority="95">
      <formula>kvartal &lt; 4</formula>
    </cfRule>
  </conditionalFormatting>
  <conditionalFormatting sqref="B83">
    <cfRule type="expression" dxfId="2056" priority="94">
      <formula>kvartal &lt; 4</formula>
    </cfRule>
  </conditionalFormatting>
  <conditionalFormatting sqref="C83">
    <cfRule type="expression" dxfId="2055" priority="93">
      <formula>kvartal &lt; 4</formula>
    </cfRule>
  </conditionalFormatting>
  <conditionalFormatting sqref="B90">
    <cfRule type="expression" dxfId="2054" priority="84">
      <formula>kvartal &lt; 4</formula>
    </cfRule>
  </conditionalFormatting>
  <conditionalFormatting sqref="C90">
    <cfRule type="expression" dxfId="2053" priority="83">
      <formula>kvartal &lt; 4</formula>
    </cfRule>
  </conditionalFormatting>
  <conditionalFormatting sqref="B93">
    <cfRule type="expression" dxfId="2052" priority="82">
      <formula>kvartal &lt; 4</formula>
    </cfRule>
  </conditionalFormatting>
  <conditionalFormatting sqref="C93">
    <cfRule type="expression" dxfId="2051" priority="81">
      <formula>kvartal &lt; 4</formula>
    </cfRule>
  </conditionalFormatting>
  <conditionalFormatting sqref="B101">
    <cfRule type="expression" dxfId="2050" priority="80">
      <formula>kvartal &lt; 4</formula>
    </cfRule>
  </conditionalFormatting>
  <conditionalFormatting sqref="C101">
    <cfRule type="expression" dxfId="2049" priority="79">
      <formula>kvartal &lt; 4</formula>
    </cfRule>
  </conditionalFormatting>
  <conditionalFormatting sqref="B104">
    <cfRule type="expression" dxfId="2048" priority="78">
      <formula>kvartal &lt; 4</formula>
    </cfRule>
  </conditionalFormatting>
  <conditionalFormatting sqref="C104">
    <cfRule type="expression" dxfId="2047" priority="77">
      <formula>kvartal &lt; 4</formula>
    </cfRule>
  </conditionalFormatting>
  <conditionalFormatting sqref="B115">
    <cfRule type="expression" dxfId="2046" priority="76">
      <formula>kvartal &lt; 4</formula>
    </cfRule>
  </conditionalFormatting>
  <conditionalFormatting sqref="C115">
    <cfRule type="expression" dxfId="2045" priority="75">
      <formula>kvartal &lt; 4</formula>
    </cfRule>
  </conditionalFormatting>
  <conditionalFormatting sqref="B123">
    <cfRule type="expression" dxfId="2044" priority="74">
      <formula>kvartal &lt; 4</formula>
    </cfRule>
  </conditionalFormatting>
  <conditionalFormatting sqref="C123">
    <cfRule type="expression" dxfId="2043" priority="73">
      <formula>kvartal &lt; 4</formula>
    </cfRule>
  </conditionalFormatting>
  <conditionalFormatting sqref="F70">
    <cfRule type="expression" dxfId="2042" priority="72">
      <formula>kvartal &lt; 4</formula>
    </cfRule>
  </conditionalFormatting>
  <conditionalFormatting sqref="G70">
    <cfRule type="expression" dxfId="2041" priority="71">
      <formula>kvartal &lt; 4</formula>
    </cfRule>
  </conditionalFormatting>
  <conditionalFormatting sqref="F71:G71">
    <cfRule type="expression" dxfId="2040" priority="70">
      <formula>kvartal &lt; 4</formula>
    </cfRule>
  </conditionalFormatting>
  <conditionalFormatting sqref="F73:G74">
    <cfRule type="expression" dxfId="2039" priority="69">
      <formula>kvartal &lt; 4</formula>
    </cfRule>
  </conditionalFormatting>
  <conditionalFormatting sqref="F81:G82">
    <cfRule type="expression" dxfId="2038" priority="68">
      <formula>kvartal &lt; 4</formula>
    </cfRule>
  </conditionalFormatting>
  <conditionalFormatting sqref="F84:G85">
    <cfRule type="expression" dxfId="2037" priority="67">
      <formula>kvartal &lt; 4</formula>
    </cfRule>
  </conditionalFormatting>
  <conditionalFormatting sqref="F91:G92">
    <cfRule type="expression" dxfId="2036" priority="62">
      <formula>kvartal &lt; 4</formula>
    </cfRule>
  </conditionalFormatting>
  <conditionalFormatting sqref="F94:G95">
    <cfRule type="expression" dxfId="2035" priority="61">
      <formula>kvartal &lt; 4</formula>
    </cfRule>
  </conditionalFormatting>
  <conditionalFormatting sqref="F102:G103">
    <cfRule type="expression" dxfId="2034" priority="60">
      <formula>kvartal &lt; 4</formula>
    </cfRule>
  </conditionalFormatting>
  <conditionalFormatting sqref="F105:G106">
    <cfRule type="expression" dxfId="2033" priority="59">
      <formula>kvartal &lt; 4</formula>
    </cfRule>
  </conditionalFormatting>
  <conditionalFormatting sqref="F115">
    <cfRule type="expression" dxfId="2032" priority="58">
      <formula>kvartal &lt; 4</formula>
    </cfRule>
  </conditionalFormatting>
  <conditionalFormatting sqref="G115">
    <cfRule type="expression" dxfId="2031" priority="57">
      <formula>kvartal &lt; 4</formula>
    </cfRule>
  </conditionalFormatting>
  <conditionalFormatting sqref="F123:G123">
    <cfRule type="expression" dxfId="2030" priority="56">
      <formula>kvartal &lt; 4</formula>
    </cfRule>
  </conditionalFormatting>
  <conditionalFormatting sqref="F69:G69">
    <cfRule type="expression" dxfId="2029" priority="55">
      <formula>kvartal &lt; 4</formula>
    </cfRule>
  </conditionalFormatting>
  <conditionalFormatting sqref="F72:G72">
    <cfRule type="expression" dxfId="2028" priority="54">
      <formula>kvartal &lt; 4</formula>
    </cfRule>
  </conditionalFormatting>
  <conditionalFormatting sqref="F80:G80">
    <cfRule type="expression" dxfId="2027" priority="53">
      <formula>kvartal &lt; 4</formula>
    </cfRule>
  </conditionalFormatting>
  <conditionalFormatting sqref="F83:G83">
    <cfRule type="expression" dxfId="2026" priority="52">
      <formula>kvartal &lt; 4</formula>
    </cfRule>
  </conditionalFormatting>
  <conditionalFormatting sqref="F90:G90">
    <cfRule type="expression" dxfId="2025" priority="46">
      <formula>kvartal &lt; 4</formula>
    </cfRule>
  </conditionalFormatting>
  <conditionalFormatting sqref="F93">
    <cfRule type="expression" dxfId="2024" priority="45">
      <formula>kvartal &lt; 4</formula>
    </cfRule>
  </conditionalFormatting>
  <conditionalFormatting sqref="G93">
    <cfRule type="expression" dxfId="2023" priority="44">
      <formula>kvartal &lt; 4</formula>
    </cfRule>
  </conditionalFormatting>
  <conditionalFormatting sqref="F101">
    <cfRule type="expression" dxfId="2022" priority="43">
      <formula>kvartal &lt; 4</formula>
    </cfRule>
  </conditionalFormatting>
  <conditionalFormatting sqref="G101">
    <cfRule type="expression" dxfId="2021" priority="42">
      <formula>kvartal &lt; 4</formula>
    </cfRule>
  </conditionalFormatting>
  <conditionalFormatting sqref="G104">
    <cfRule type="expression" dxfId="2020" priority="41">
      <formula>kvartal &lt; 4</formula>
    </cfRule>
  </conditionalFormatting>
  <conditionalFormatting sqref="F104">
    <cfRule type="expression" dxfId="2019" priority="40">
      <formula>kvartal &lt; 4</formula>
    </cfRule>
  </conditionalFormatting>
  <conditionalFormatting sqref="J69:K73">
    <cfRule type="expression" dxfId="2018" priority="39">
      <formula>kvartal &lt; 4</formula>
    </cfRule>
  </conditionalFormatting>
  <conditionalFormatting sqref="J74:K74">
    <cfRule type="expression" dxfId="2017" priority="38">
      <formula>kvartal &lt; 4</formula>
    </cfRule>
  </conditionalFormatting>
  <conditionalFormatting sqref="J80:K85">
    <cfRule type="expression" dxfId="2016" priority="37">
      <formula>kvartal &lt; 4</formula>
    </cfRule>
  </conditionalFormatting>
  <conditionalFormatting sqref="J90:K95">
    <cfRule type="expression" dxfId="2015" priority="34">
      <formula>kvartal &lt; 4</formula>
    </cfRule>
  </conditionalFormatting>
  <conditionalFormatting sqref="J101:K106">
    <cfRule type="expression" dxfId="2014" priority="33">
      <formula>kvartal &lt; 4</formula>
    </cfRule>
  </conditionalFormatting>
  <conditionalFormatting sqref="J115:K115">
    <cfRule type="expression" dxfId="2013" priority="32">
      <formula>kvartal &lt; 4</formula>
    </cfRule>
  </conditionalFormatting>
  <conditionalFormatting sqref="J123:K123">
    <cfRule type="expression" dxfId="2012" priority="31">
      <formula>kvartal &lt; 4</formula>
    </cfRule>
  </conditionalFormatting>
  <conditionalFormatting sqref="A50:A52">
    <cfRule type="expression" dxfId="2011" priority="12">
      <formula>kvartal &lt; 4</formula>
    </cfRule>
  </conditionalFormatting>
  <conditionalFormatting sqref="A69:A74">
    <cfRule type="expression" dxfId="2010" priority="10">
      <formula>kvartal &lt; 4</formula>
    </cfRule>
  </conditionalFormatting>
  <conditionalFormatting sqref="A80:A85">
    <cfRule type="expression" dxfId="2009" priority="9">
      <formula>kvartal &lt; 4</formula>
    </cfRule>
  </conditionalFormatting>
  <conditionalFormatting sqref="A90:A95">
    <cfRule type="expression" dxfId="2008" priority="6">
      <formula>kvartal &lt; 4</formula>
    </cfRule>
  </conditionalFormatting>
  <conditionalFormatting sqref="A101:A106">
    <cfRule type="expression" dxfId="2007" priority="5">
      <formula>kvartal &lt; 4</formula>
    </cfRule>
  </conditionalFormatting>
  <conditionalFormatting sqref="A115">
    <cfRule type="expression" dxfId="2006" priority="4">
      <formula>kvartal &lt; 4</formula>
    </cfRule>
  </conditionalFormatting>
  <conditionalFormatting sqref="A123">
    <cfRule type="expression" dxfId="2005"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O144"/>
  <sheetViews>
    <sheetView showGridLines="0" zoomScale="90" zoomScaleNormal="90" zoomScaleSheetLayoutView="10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125</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792978</v>
      </c>
      <c r="C7" s="310">
        <v>855756.68400000001</v>
      </c>
      <c r="D7" s="351">
        <f>IF(B7=0, "    ---- ", IF(ABS(ROUND(100/B7*C7-100,1))&lt;999,ROUND(100/B7*C7-100,1),IF(ROUND(100/B7*C7-100,1)&gt;999,999,-999)))</f>
        <v>7.9</v>
      </c>
      <c r="E7" s="11">
        <f>IFERROR(100/'Skjema total MA'!C7*C7,0)</f>
        <v>16.618387626362114</v>
      </c>
      <c r="F7" s="309"/>
      <c r="G7" s="310"/>
      <c r="H7" s="351"/>
      <c r="I7" s="159"/>
      <c r="J7" s="311">
        <f t="shared" ref="J7:K10" si="0">SUM(B7,F7)</f>
        <v>792978</v>
      </c>
      <c r="K7" s="312">
        <f t="shared" si="0"/>
        <v>855756.68400000001</v>
      </c>
      <c r="L7" s="425">
        <f>IF(J7=0, "    ---- ", IF(ABS(ROUND(100/J7*K7-100,1))&lt;999,ROUND(100/J7*K7-100,1),IF(ROUND(100/J7*K7-100,1)&gt;999,999,-999)))</f>
        <v>7.9</v>
      </c>
      <c r="M7" s="11">
        <f>IFERROR(100/'Skjema total MA'!I7*K7,0)</f>
        <v>5.9534587806741701</v>
      </c>
    </row>
    <row r="8" spans="1:14" ht="15.75" x14ac:dyDescent="0.2">
      <c r="A8" s="21" t="s">
        <v>25</v>
      </c>
      <c r="B8" s="284">
        <v>500598.72899999999</v>
      </c>
      <c r="C8" s="285">
        <v>524426.41299999994</v>
      </c>
      <c r="D8" s="165">
        <f t="shared" ref="D8:D10" si="1">IF(B8=0, "    ---- ", IF(ABS(ROUND(100/B8*C8-100,1))&lt;999,ROUND(100/B8*C8-100,1),IF(ROUND(100/B8*C8-100,1)&gt;999,999,-999)))</f>
        <v>4.8</v>
      </c>
      <c r="E8" s="27">
        <f>IFERROR(100/'Skjema total MA'!C8*C8,0)</f>
        <v>15.691756504024301</v>
      </c>
      <c r="F8" s="288"/>
      <c r="G8" s="289"/>
      <c r="H8" s="165"/>
      <c r="I8" s="175"/>
      <c r="J8" s="233">
        <f t="shared" si="0"/>
        <v>500598.72899999999</v>
      </c>
      <c r="K8" s="290">
        <f t="shared" si="0"/>
        <v>524426.41299999994</v>
      </c>
      <c r="L8" s="165">
        <f t="shared" ref="L8:L9" si="2">IF(J8=0, "    ---- ", IF(ABS(ROUND(100/J8*K8-100,1))&lt;999,ROUND(100/J8*K8-100,1),IF(ROUND(100/J8*K8-100,1)&gt;999,999,-999)))</f>
        <v>4.8</v>
      </c>
      <c r="M8" s="27">
        <f>IFERROR(100/'Skjema total MA'!I8*K8,0)</f>
        <v>15.691756504024301</v>
      </c>
    </row>
    <row r="9" spans="1:14" ht="15.75" x14ac:dyDescent="0.2">
      <c r="A9" s="21" t="s">
        <v>24</v>
      </c>
      <c r="B9" s="284">
        <v>292378.78899999999</v>
      </c>
      <c r="C9" s="285">
        <v>331330.27100000001</v>
      </c>
      <c r="D9" s="165">
        <f t="shared" si="1"/>
        <v>13.3</v>
      </c>
      <c r="E9" s="27">
        <f>IFERROR(100/'Skjema total MA'!C9*C9,0)</f>
        <v>31.028424786381759</v>
      </c>
      <c r="F9" s="288"/>
      <c r="G9" s="289"/>
      <c r="H9" s="165"/>
      <c r="I9" s="175"/>
      <c r="J9" s="233">
        <f t="shared" si="0"/>
        <v>292378.78899999999</v>
      </c>
      <c r="K9" s="290">
        <f t="shared" si="0"/>
        <v>331330.27100000001</v>
      </c>
      <c r="L9" s="165">
        <f t="shared" si="2"/>
        <v>13.3</v>
      </c>
      <c r="M9" s="27">
        <f>IFERROR(100/'Skjema total MA'!I9*K9,0)</f>
        <v>31.028424786381759</v>
      </c>
    </row>
    <row r="10" spans="1:14" ht="15.75" x14ac:dyDescent="0.2">
      <c r="A10" s="13" t="s">
        <v>426</v>
      </c>
      <c r="B10" s="313">
        <v>1138879</v>
      </c>
      <c r="C10" s="314">
        <v>1222155.4060398501</v>
      </c>
      <c r="D10" s="170">
        <f t="shared" si="1"/>
        <v>7.3</v>
      </c>
      <c r="E10" s="11">
        <f>IFERROR(100/'Skjema total MA'!C10*C10,0)</f>
        <v>7.0040583761082891</v>
      </c>
      <c r="F10" s="313"/>
      <c r="G10" s="314"/>
      <c r="H10" s="170"/>
      <c r="I10" s="159"/>
      <c r="J10" s="311">
        <f t="shared" si="0"/>
        <v>1138879</v>
      </c>
      <c r="K10" s="312">
        <f t="shared" si="0"/>
        <v>1222155.4060398501</v>
      </c>
      <c r="L10" s="426">
        <f t="shared" ref="L10" si="3">IF(J10=0, "    ---- ", IF(ABS(ROUND(100/J10*K10-100,1))&lt;999,ROUND(100/J10*K10-100,1),IF(ROUND(100/J10*K10-100,1)&gt;999,999,-999)))</f>
        <v>7.3</v>
      </c>
      <c r="M10" s="11">
        <f>IFERROR(100/'Skjema total MA'!I10*K10,0)</f>
        <v>1.3851246021411663</v>
      </c>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1117691.1639999999</v>
      </c>
      <c r="C47" s="314">
        <v>1205202.794</v>
      </c>
      <c r="D47" s="425">
        <f t="shared" ref="D47:D48" si="4">IF(B47=0, "    ---- ", IF(ABS(ROUND(100/B47*C47-100,1))&lt;999,ROUND(100/B47*C47-100,1),IF(ROUND(100/B47*C47-100,1)&gt;999,999,-999)))</f>
        <v>7.8</v>
      </c>
      <c r="E47" s="11">
        <f>IFERROR(100/'Skjema total MA'!C47*C47,0)</f>
        <v>21.747945429274942</v>
      </c>
      <c r="F47" s="144"/>
      <c r="G47" s="33"/>
      <c r="H47" s="158"/>
      <c r="I47" s="158"/>
      <c r="J47" s="37"/>
      <c r="K47" s="37"/>
      <c r="L47" s="158"/>
      <c r="M47" s="158"/>
      <c r="N47" s="147"/>
    </row>
    <row r="48" spans="1:14" s="3" customFormat="1" ht="15.75" x14ac:dyDescent="0.2">
      <c r="A48" s="38" t="s">
        <v>437</v>
      </c>
      <c r="B48" s="284">
        <v>763902.55299999996</v>
      </c>
      <c r="C48" s="285">
        <v>849241.89</v>
      </c>
      <c r="D48" s="258">
        <f t="shared" si="4"/>
        <v>11.2</v>
      </c>
      <c r="E48" s="27">
        <f>IFERROR(100/'Skjema total MA'!C48*C48,0)</f>
        <v>27.571312030157973</v>
      </c>
      <c r="F48" s="144"/>
      <c r="G48" s="33"/>
      <c r="H48" s="144"/>
      <c r="I48" s="144"/>
      <c r="J48" s="33"/>
      <c r="K48" s="33"/>
      <c r="L48" s="158"/>
      <c r="M48" s="158"/>
      <c r="N48" s="147"/>
    </row>
    <row r="49" spans="1:14" s="3" customFormat="1" ht="15.75" x14ac:dyDescent="0.2">
      <c r="A49" s="38" t="s">
        <v>438</v>
      </c>
      <c r="B49" s="44">
        <v>353788.61099999998</v>
      </c>
      <c r="C49" s="290">
        <v>355960.90400000004</v>
      </c>
      <c r="D49" s="258">
        <f>IF(B49=0, "    ---- ", IF(ABS(ROUND(100/B49*C49-100,1))&lt;999,ROUND(100/B49*C49-100,1),IF(ROUND(100/B49*C49-100,1)&gt;999,999,-999)))</f>
        <v>0.6</v>
      </c>
      <c r="E49" s="27">
        <f>IFERROR(100/'Skjema total MA'!C49*C49,0)</f>
        <v>14.461015462224184</v>
      </c>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v>318185.18199999997</v>
      </c>
      <c r="C51" s="294">
        <v>322360.44900000002</v>
      </c>
      <c r="D51" s="258">
        <f>IF(B51=0, "    ---- ", IF(ABS(ROUND(100/B51*C51-100,1))&lt;999,ROUND(100/B51*C51-100,1),IF(ROUND(100/B51*C51-100,1)&gt;999,999,-999)))</f>
        <v>1.3</v>
      </c>
      <c r="E51" s="27">
        <f>IFERROR(100/'Skjema total MA'!C51*C51,0)</f>
        <v>13.473551793688026</v>
      </c>
      <c r="F51" s="144"/>
      <c r="G51" s="33"/>
      <c r="H51" s="144"/>
      <c r="I51" s="144"/>
      <c r="J51" s="33"/>
      <c r="K51" s="33"/>
      <c r="L51" s="158"/>
      <c r="M51" s="158"/>
      <c r="N51" s="147"/>
    </row>
    <row r="52" spans="1:14" s="3" customFormat="1" x14ac:dyDescent="0.2">
      <c r="A52" s="299" t="s">
        <v>8</v>
      </c>
      <c r="B52" s="293">
        <v>35603.428999999996</v>
      </c>
      <c r="C52" s="294">
        <v>33600.455000000002</v>
      </c>
      <c r="D52" s="258">
        <f>IF(B52=0, "    ---- ", IF(ABS(ROUND(100/B52*C52-100,1))&lt;999,ROUND(100/B52*C52-100,1),IF(ROUND(100/B52*C52-100,1)&gt;999,999,-999)))</f>
        <v>-5.6</v>
      </c>
      <c r="E52" s="27">
        <f>IFERROR(100/'Skjema total MA'!C52*C52,0)</f>
        <v>48.711608013351324</v>
      </c>
      <c r="F52" s="144"/>
      <c r="G52" s="33"/>
      <c r="H52" s="144"/>
      <c r="I52" s="144"/>
      <c r="J52" s="33"/>
      <c r="K52" s="33"/>
      <c r="L52" s="158"/>
      <c r="M52" s="158"/>
      <c r="N52" s="147"/>
    </row>
    <row r="53" spans="1:14" s="3" customFormat="1" ht="15.75" x14ac:dyDescent="0.2">
      <c r="A53" s="39" t="s">
        <v>439</v>
      </c>
      <c r="B53" s="313">
        <v>182436</v>
      </c>
      <c r="C53" s="314">
        <v>58655</v>
      </c>
      <c r="D53" s="426">
        <f t="shared" ref="D53:D57" si="5">IF(B53=0, "    ---- ", IF(ABS(ROUND(100/B53*C53-100,1))&lt;999,ROUND(100/B53*C53-100,1),IF(ROUND(100/B53*C53-100,1)&gt;999,999,-999)))</f>
        <v>-67.8</v>
      </c>
      <c r="E53" s="11">
        <f>IFERROR(100/'Skjema total MA'!C53*C53,0)</f>
        <v>41.158353746966917</v>
      </c>
      <c r="F53" s="144"/>
      <c r="G53" s="33"/>
      <c r="H53" s="144"/>
      <c r="I53" s="144"/>
      <c r="J53" s="33"/>
      <c r="K53" s="33"/>
      <c r="L53" s="158"/>
      <c r="M53" s="158"/>
      <c r="N53" s="147"/>
    </row>
    <row r="54" spans="1:14" s="3" customFormat="1" ht="15.75" x14ac:dyDescent="0.2">
      <c r="A54" s="38" t="s">
        <v>437</v>
      </c>
      <c r="B54" s="284">
        <v>182436</v>
      </c>
      <c r="C54" s="285">
        <v>58655</v>
      </c>
      <c r="D54" s="258">
        <f t="shared" si="5"/>
        <v>-67.8</v>
      </c>
      <c r="E54" s="27">
        <f>IFERROR(100/'Skjema total MA'!C54*C54,0)</f>
        <v>41.434271008558191</v>
      </c>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v>34688</v>
      </c>
      <c r="C56" s="314">
        <v>31874</v>
      </c>
      <c r="D56" s="426">
        <f t="shared" si="5"/>
        <v>-8.1</v>
      </c>
      <c r="E56" s="11">
        <f>IFERROR(100/'Skjema total MA'!C56*C56,0)</f>
        <v>29.322913018436857</v>
      </c>
      <c r="F56" s="144"/>
      <c r="G56" s="33"/>
      <c r="H56" s="144"/>
      <c r="I56" s="144"/>
      <c r="J56" s="33"/>
      <c r="K56" s="33"/>
      <c r="L56" s="158"/>
      <c r="M56" s="158"/>
      <c r="N56" s="147"/>
    </row>
    <row r="57" spans="1:14" s="3" customFormat="1" ht="15.75" x14ac:dyDescent="0.2">
      <c r="A57" s="38" t="s">
        <v>437</v>
      </c>
      <c r="B57" s="284">
        <v>34688</v>
      </c>
      <c r="C57" s="285">
        <v>31874</v>
      </c>
      <c r="D57" s="258">
        <f t="shared" si="5"/>
        <v>-8.1</v>
      </c>
      <c r="E57" s="27">
        <f>IFERROR(100/'Skjema total MA'!C57*C57,0)</f>
        <v>29.322913018436857</v>
      </c>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004" priority="132">
      <formula>kvartal &lt; 4</formula>
    </cfRule>
  </conditionalFormatting>
  <conditionalFormatting sqref="B69">
    <cfRule type="expression" dxfId="2003" priority="100">
      <formula>kvartal &lt; 4</formula>
    </cfRule>
  </conditionalFormatting>
  <conditionalFormatting sqref="C69">
    <cfRule type="expression" dxfId="2002" priority="99">
      <formula>kvartal &lt; 4</formula>
    </cfRule>
  </conditionalFormatting>
  <conditionalFormatting sqref="B72">
    <cfRule type="expression" dxfId="2001" priority="98">
      <formula>kvartal &lt; 4</formula>
    </cfRule>
  </conditionalFormatting>
  <conditionalFormatting sqref="C72">
    <cfRule type="expression" dxfId="2000" priority="97">
      <formula>kvartal &lt; 4</formula>
    </cfRule>
  </conditionalFormatting>
  <conditionalFormatting sqref="B80">
    <cfRule type="expression" dxfId="1999" priority="96">
      <formula>kvartal &lt; 4</formula>
    </cfRule>
  </conditionalFormatting>
  <conditionalFormatting sqref="C80">
    <cfRule type="expression" dxfId="1998" priority="95">
      <formula>kvartal &lt; 4</formula>
    </cfRule>
  </conditionalFormatting>
  <conditionalFormatting sqref="B83">
    <cfRule type="expression" dxfId="1997" priority="94">
      <formula>kvartal &lt; 4</formula>
    </cfRule>
  </conditionalFormatting>
  <conditionalFormatting sqref="C83">
    <cfRule type="expression" dxfId="1996" priority="93">
      <formula>kvartal &lt; 4</formula>
    </cfRule>
  </conditionalFormatting>
  <conditionalFormatting sqref="B90">
    <cfRule type="expression" dxfId="1995" priority="84">
      <formula>kvartal &lt; 4</formula>
    </cfRule>
  </conditionalFormatting>
  <conditionalFormatting sqref="C90">
    <cfRule type="expression" dxfId="1994" priority="83">
      <formula>kvartal &lt; 4</formula>
    </cfRule>
  </conditionalFormatting>
  <conditionalFormatting sqref="B93">
    <cfRule type="expression" dxfId="1993" priority="82">
      <formula>kvartal &lt; 4</formula>
    </cfRule>
  </conditionalFormatting>
  <conditionalFormatting sqref="C93">
    <cfRule type="expression" dxfId="1992" priority="81">
      <formula>kvartal &lt; 4</formula>
    </cfRule>
  </conditionalFormatting>
  <conditionalFormatting sqref="B101">
    <cfRule type="expression" dxfId="1991" priority="80">
      <formula>kvartal &lt; 4</formula>
    </cfRule>
  </conditionalFormatting>
  <conditionalFormatting sqref="C101">
    <cfRule type="expression" dxfId="1990" priority="79">
      <formula>kvartal &lt; 4</formula>
    </cfRule>
  </conditionalFormatting>
  <conditionalFormatting sqref="B104">
    <cfRule type="expression" dxfId="1989" priority="78">
      <formula>kvartal &lt; 4</formula>
    </cfRule>
  </conditionalFormatting>
  <conditionalFormatting sqref="C104">
    <cfRule type="expression" dxfId="1988" priority="77">
      <formula>kvartal &lt; 4</formula>
    </cfRule>
  </conditionalFormatting>
  <conditionalFormatting sqref="B115">
    <cfRule type="expression" dxfId="1987" priority="76">
      <formula>kvartal &lt; 4</formula>
    </cfRule>
  </conditionalFormatting>
  <conditionalFormatting sqref="C115">
    <cfRule type="expression" dxfId="1986" priority="75">
      <formula>kvartal &lt; 4</formula>
    </cfRule>
  </conditionalFormatting>
  <conditionalFormatting sqref="B123">
    <cfRule type="expression" dxfId="1985" priority="74">
      <formula>kvartal &lt; 4</formula>
    </cfRule>
  </conditionalFormatting>
  <conditionalFormatting sqref="C123">
    <cfRule type="expression" dxfId="1984" priority="73">
      <formula>kvartal &lt; 4</formula>
    </cfRule>
  </conditionalFormatting>
  <conditionalFormatting sqref="F70">
    <cfRule type="expression" dxfId="1983" priority="72">
      <formula>kvartal &lt; 4</formula>
    </cfRule>
  </conditionalFormatting>
  <conditionalFormatting sqref="G70">
    <cfRule type="expression" dxfId="1982" priority="71">
      <formula>kvartal &lt; 4</formula>
    </cfRule>
  </conditionalFormatting>
  <conditionalFormatting sqref="F71:G71">
    <cfRule type="expression" dxfId="1981" priority="70">
      <formula>kvartal &lt; 4</formula>
    </cfRule>
  </conditionalFormatting>
  <conditionalFormatting sqref="F73:G74">
    <cfRule type="expression" dxfId="1980" priority="69">
      <formula>kvartal &lt; 4</formula>
    </cfRule>
  </conditionalFormatting>
  <conditionalFormatting sqref="F81:G82">
    <cfRule type="expression" dxfId="1979" priority="68">
      <formula>kvartal &lt; 4</formula>
    </cfRule>
  </conditionalFormatting>
  <conditionalFormatting sqref="F84:G85">
    <cfRule type="expression" dxfId="1978" priority="67">
      <formula>kvartal &lt; 4</formula>
    </cfRule>
  </conditionalFormatting>
  <conditionalFormatting sqref="F91:G92">
    <cfRule type="expression" dxfId="1977" priority="62">
      <formula>kvartal &lt; 4</formula>
    </cfRule>
  </conditionalFormatting>
  <conditionalFormatting sqref="F94:G95">
    <cfRule type="expression" dxfId="1976" priority="61">
      <formula>kvartal &lt; 4</formula>
    </cfRule>
  </conditionalFormatting>
  <conditionalFormatting sqref="F102:G103">
    <cfRule type="expression" dxfId="1975" priority="60">
      <formula>kvartal &lt; 4</formula>
    </cfRule>
  </conditionalFormatting>
  <conditionalFormatting sqref="F105:G106">
    <cfRule type="expression" dxfId="1974" priority="59">
      <formula>kvartal &lt; 4</formula>
    </cfRule>
  </conditionalFormatting>
  <conditionalFormatting sqref="F115">
    <cfRule type="expression" dxfId="1973" priority="58">
      <formula>kvartal &lt; 4</formula>
    </cfRule>
  </conditionalFormatting>
  <conditionalFormatting sqref="G115">
    <cfRule type="expression" dxfId="1972" priority="57">
      <formula>kvartal &lt; 4</formula>
    </cfRule>
  </conditionalFormatting>
  <conditionalFormatting sqref="F123:G123">
    <cfRule type="expression" dxfId="1971" priority="56">
      <formula>kvartal &lt; 4</formula>
    </cfRule>
  </conditionalFormatting>
  <conditionalFormatting sqref="F69:G69">
    <cfRule type="expression" dxfId="1970" priority="55">
      <formula>kvartal &lt; 4</formula>
    </cfRule>
  </conditionalFormatting>
  <conditionalFormatting sqref="F72:G72">
    <cfRule type="expression" dxfId="1969" priority="54">
      <formula>kvartal &lt; 4</formula>
    </cfRule>
  </conditionalFormatting>
  <conditionalFormatting sqref="F80:G80">
    <cfRule type="expression" dxfId="1968" priority="53">
      <formula>kvartal &lt; 4</formula>
    </cfRule>
  </conditionalFormatting>
  <conditionalFormatting sqref="F83:G83">
    <cfRule type="expression" dxfId="1967" priority="52">
      <formula>kvartal &lt; 4</formula>
    </cfRule>
  </conditionalFormatting>
  <conditionalFormatting sqref="F90:G90">
    <cfRule type="expression" dxfId="1966" priority="46">
      <formula>kvartal &lt; 4</formula>
    </cfRule>
  </conditionalFormatting>
  <conditionalFormatting sqref="F93">
    <cfRule type="expression" dxfId="1965" priority="45">
      <formula>kvartal &lt; 4</formula>
    </cfRule>
  </conditionalFormatting>
  <conditionalFormatting sqref="G93">
    <cfRule type="expression" dxfId="1964" priority="44">
      <formula>kvartal &lt; 4</formula>
    </cfRule>
  </conditionalFormatting>
  <conditionalFormatting sqref="F101">
    <cfRule type="expression" dxfId="1963" priority="43">
      <formula>kvartal &lt; 4</formula>
    </cfRule>
  </conditionalFormatting>
  <conditionalFormatting sqref="G101">
    <cfRule type="expression" dxfId="1962" priority="42">
      <formula>kvartal &lt; 4</formula>
    </cfRule>
  </conditionalFormatting>
  <conditionalFormatting sqref="G104">
    <cfRule type="expression" dxfId="1961" priority="41">
      <formula>kvartal &lt; 4</formula>
    </cfRule>
  </conditionalFormatting>
  <conditionalFormatting sqref="F104">
    <cfRule type="expression" dxfId="1960" priority="40">
      <formula>kvartal &lt; 4</formula>
    </cfRule>
  </conditionalFormatting>
  <conditionalFormatting sqref="J69:K73">
    <cfRule type="expression" dxfId="1959" priority="39">
      <formula>kvartal &lt; 4</formula>
    </cfRule>
  </conditionalFormatting>
  <conditionalFormatting sqref="J74:K74">
    <cfRule type="expression" dxfId="1958" priority="38">
      <formula>kvartal &lt; 4</formula>
    </cfRule>
  </conditionalFormatting>
  <conditionalFormatting sqref="J80:K85">
    <cfRule type="expression" dxfId="1957" priority="37">
      <formula>kvartal &lt; 4</formula>
    </cfRule>
  </conditionalFormatting>
  <conditionalFormatting sqref="J90:K95">
    <cfRule type="expression" dxfId="1956" priority="34">
      <formula>kvartal &lt; 4</formula>
    </cfRule>
  </conditionalFormatting>
  <conditionalFormatting sqref="J101:K106">
    <cfRule type="expression" dxfId="1955" priority="33">
      <formula>kvartal &lt; 4</formula>
    </cfRule>
  </conditionalFormatting>
  <conditionalFormatting sqref="J115:K115">
    <cfRule type="expression" dxfId="1954" priority="32">
      <formula>kvartal &lt; 4</formula>
    </cfRule>
  </conditionalFormatting>
  <conditionalFormatting sqref="J123:K123">
    <cfRule type="expression" dxfId="1953" priority="31">
      <formula>kvartal &lt; 4</formula>
    </cfRule>
  </conditionalFormatting>
  <conditionalFormatting sqref="A50:A52">
    <cfRule type="expression" dxfId="1952" priority="12">
      <formula>kvartal &lt; 4</formula>
    </cfRule>
  </conditionalFormatting>
  <conditionalFormatting sqref="A69:A74">
    <cfRule type="expression" dxfId="1951" priority="10">
      <formula>kvartal &lt; 4</formula>
    </cfRule>
  </conditionalFormatting>
  <conditionalFormatting sqref="A80:A85">
    <cfRule type="expression" dxfId="1950" priority="9">
      <formula>kvartal &lt; 4</formula>
    </cfRule>
  </conditionalFormatting>
  <conditionalFormatting sqref="A90:A95">
    <cfRule type="expression" dxfId="1949" priority="6">
      <formula>kvartal &lt; 4</formula>
    </cfRule>
  </conditionalFormatting>
  <conditionalFormatting sqref="A101:A106">
    <cfRule type="expression" dxfId="1948" priority="5">
      <formula>kvartal &lt; 4</formula>
    </cfRule>
  </conditionalFormatting>
  <conditionalFormatting sqref="A115">
    <cfRule type="expression" dxfId="1947" priority="4">
      <formula>kvartal &lt; 4</formula>
    </cfRule>
  </conditionalFormatting>
  <conditionalFormatting sqref="A123">
    <cfRule type="expression" dxfId="1946" priority="3">
      <formula>kvartal &lt; 4</formula>
    </cfRule>
  </conditionalFormatting>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126</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v>162521</v>
      </c>
      <c r="G7" s="310">
        <v>98267</v>
      </c>
      <c r="H7" s="351">
        <f>IF(F7=0, "    ---- ", IF(ABS(ROUND(100/F7*G7-100,1))&lt;999,ROUND(100/F7*G7-100,1),IF(ROUND(100/F7*G7-100,1)&gt;999,999,-999)))</f>
        <v>-39.5</v>
      </c>
      <c r="I7" s="159">
        <f>IFERROR(100/'Skjema total MA'!F7*G7,0)</f>
        <v>1.0652650320226549</v>
      </c>
      <c r="J7" s="311">
        <f t="shared" ref="J7:K12" si="0">SUM(B7,F7)</f>
        <v>162521</v>
      </c>
      <c r="K7" s="312">
        <f t="shared" si="0"/>
        <v>98267</v>
      </c>
      <c r="L7" s="425">
        <f>IF(J7=0, "    ---- ", IF(ABS(ROUND(100/J7*K7-100,1))&lt;999,ROUND(100/J7*K7-100,1),IF(ROUND(100/J7*K7-100,1)&gt;999,999,-999)))</f>
        <v>-39.5</v>
      </c>
      <c r="M7" s="11">
        <f>IFERROR(100/'Skjema total MA'!I7*K7,0)</f>
        <v>0.68363887181804206</v>
      </c>
    </row>
    <row r="8" spans="1:14" ht="15.75" x14ac:dyDescent="0.2">
      <c r="A8" s="21" t="s">
        <v>25</v>
      </c>
      <c r="B8" s="284"/>
      <c r="C8" s="285"/>
      <c r="D8" s="165"/>
      <c r="E8" s="27"/>
      <c r="F8" s="288"/>
      <c r="G8" s="289"/>
      <c r="H8" s="165"/>
      <c r="I8" s="175"/>
      <c r="J8" s="233"/>
      <c r="K8" s="290"/>
      <c r="L8" s="165"/>
      <c r="M8" s="27"/>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v>1033685</v>
      </c>
      <c r="G10" s="314">
        <v>2039645</v>
      </c>
      <c r="H10" s="170">
        <f t="shared" ref="H10:H12" si="1">IF(F10=0, "    ---- ", IF(ABS(ROUND(100/F10*G10-100,1))&lt;999,ROUND(100/F10*G10-100,1),IF(ROUND(100/F10*G10-100,1)&gt;999,999,-999)))</f>
        <v>97.3</v>
      </c>
      <c r="I10" s="159">
        <f>IFERROR(100/'Skjema total MA'!F10*G10,0)</f>
        <v>2.8814616162674387</v>
      </c>
      <c r="J10" s="311">
        <f t="shared" si="0"/>
        <v>1033685</v>
      </c>
      <c r="K10" s="312">
        <f t="shared" si="0"/>
        <v>2039645</v>
      </c>
      <c r="L10" s="426">
        <f t="shared" ref="L10:L12" si="2">IF(J10=0, "    ---- ", IF(ABS(ROUND(100/J10*K10-100,1))&lt;999,ROUND(100/J10*K10-100,1),IF(ROUND(100/J10*K10-100,1)&gt;999,999,-999)))</f>
        <v>97.3</v>
      </c>
      <c r="M10" s="11">
        <f>IFERROR(100/'Skjema total MA'!I10*K10,0)</f>
        <v>2.3116229369623231</v>
      </c>
    </row>
    <row r="11" spans="1:14" s="43" customFormat="1" ht="15.75" x14ac:dyDescent="0.2">
      <c r="A11" s="13" t="s">
        <v>427</v>
      </c>
      <c r="B11" s="313"/>
      <c r="C11" s="314"/>
      <c r="D11" s="170"/>
      <c r="E11" s="11"/>
      <c r="F11" s="313">
        <v>9687</v>
      </c>
      <c r="G11" s="314">
        <v>1163130</v>
      </c>
      <c r="H11" s="170">
        <f t="shared" si="1"/>
        <v>999</v>
      </c>
      <c r="I11" s="159">
        <f>IFERROR(100/'Skjema total MA'!F11*G11,0)</f>
        <v>84.783953123907111</v>
      </c>
      <c r="J11" s="311">
        <f t="shared" si="0"/>
        <v>9687</v>
      </c>
      <c r="K11" s="312">
        <f t="shared" si="0"/>
        <v>1163130</v>
      </c>
      <c r="L11" s="426">
        <f t="shared" si="2"/>
        <v>999</v>
      </c>
      <c r="M11" s="11">
        <f>IFERROR(100/'Skjema total MA'!I11*K11,0)</f>
        <v>82.589767157049948</v>
      </c>
      <c r="N11" s="142"/>
    </row>
    <row r="12" spans="1:14" s="43" customFormat="1" ht="15.75" x14ac:dyDescent="0.2">
      <c r="A12" s="41" t="s">
        <v>428</v>
      </c>
      <c r="B12" s="315"/>
      <c r="C12" s="316"/>
      <c r="D12" s="168"/>
      <c r="E12" s="36"/>
      <c r="F12" s="315">
        <v>10900</v>
      </c>
      <c r="G12" s="316">
        <v>30428</v>
      </c>
      <c r="H12" s="168">
        <f t="shared" si="1"/>
        <v>179.2</v>
      </c>
      <c r="I12" s="168">
        <f>IFERROR(100/'Skjema total MA'!F12*G12,0)</f>
        <v>2.2633386390399495</v>
      </c>
      <c r="J12" s="317">
        <f t="shared" si="0"/>
        <v>10900</v>
      </c>
      <c r="K12" s="318">
        <f t="shared" si="0"/>
        <v>30428</v>
      </c>
      <c r="L12" s="427">
        <f t="shared" si="2"/>
        <v>179.2</v>
      </c>
      <c r="M12" s="36">
        <f>IFERROR(100/'Skjema total MA'!I12*K12,0)</f>
        <v>2.2584316550676271</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v>464208</v>
      </c>
      <c r="C22" s="313">
        <v>521436</v>
      </c>
      <c r="D22" s="351">
        <f t="shared" ref="D22:D30" si="3">IF(B22=0, "    ---- ", IF(ABS(ROUND(100/B22*C22-100,1))&lt;999,ROUND(100/B22*C22-100,1),IF(ROUND(100/B22*C22-100,1)&gt;999,999,-999)))</f>
        <v>12.3</v>
      </c>
      <c r="E22" s="11">
        <f>IFERROR(100/'Skjema total MA'!C22*C22,0)</f>
        <v>24.293154214781378</v>
      </c>
      <c r="F22" s="321">
        <v>111185</v>
      </c>
      <c r="G22" s="321">
        <v>57073</v>
      </c>
      <c r="H22" s="351">
        <f t="shared" ref="H22:H35" si="4">IF(F22=0, "    ---- ", IF(ABS(ROUND(100/F22*G22-100,1))&lt;999,ROUND(100/F22*G22-100,1),IF(ROUND(100/F22*G22-100,1)&gt;999,999,-999)))</f>
        <v>-48.7</v>
      </c>
      <c r="I22" s="11">
        <f>IFERROR(100/'Skjema total MA'!F22*G22,0)</f>
        <v>5.5714985463730349</v>
      </c>
      <c r="J22" s="319">
        <f t="shared" ref="J22:K35" si="5">SUM(B22,F22)</f>
        <v>575393</v>
      </c>
      <c r="K22" s="319">
        <f t="shared" si="5"/>
        <v>578509</v>
      </c>
      <c r="L22" s="425">
        <f t="shared" ref="L22:L35" si="6">IF(J22=0, "    ---- ", IF(ABS(ROUND(100/J22*K22-100,1))&lt;999,ROUND(100/J22*K22-100,1),IF(ROUND(100/J22*K22-100,1)&gt;999,999,-999)))</f>
        <v>0.5</v>
      </c>
      <c r="M22" s="24">
        <f>IFERROR(100/'Skjema total MA'!I22*K22,0)</f>
        <v>18.24485539954928</v>
      </c>
    </row>
    <row r="23" spans="1:14" ht="15.75" x14ac:dyDescent="0.2">
      <c r="A23" s="723" t="s">
        <v>429</v>
      </c>
      <c r="B23" s="284">
        <v>464208</v>
      </c>
      <c r="C23" s="284">
        <v>521436</v>
      </c>
      <c r="D23" s="165">
        <f t="shared" si="3"/>
        <v>12.3</v>
      </c>
      <c r="E23" s="11">
        <f>IFERROR(100/'Skjema total MA'!C23*C23,0)</f>
        <v>41.722775064197563</v>
      </c>
      <c r="F23" s="293">
        <v>0</v>
      </c>
      <c r="G23" s="293">
        <v>40</v>
      </c>
      <c r="H23" s="165" t="str">
        <f t="shared" si="4"/>
        <v xml:space="preserve">    ---- </v>
      </c>
      <c r="I23" s="416">
        <f>IFERROR(100/'Skjema total MA'!F23*G23,0)</f>
        <v>2.6915345072499375E-2</v>
      </c>
      <c r="J23" s="293">
        <f t="shared" ref="J23:J26" si="7">SUM(B23,F23)</f>
        <v>464208</v>
      </c>
      <c r="K23" s="293">
        <f t="shared" ref="K23:K26" si="8">SUM(C23,G23)</f>
        <v>521476</v>
      </c>
      <c r="L23" s="165">
        <f t="shared" si="6"/>
        <v>12.3</v>
      </c>
      <c r="M23" s="23">
        <f>IFERROR(100/'Skjema total MA'!I23*K23,0)</f>
        <v>37.291501913945872</v>
      </c>
    </row>
    <row r="24" spans="1:14" ht="15.75" x14ac:dyDescent="0.2">
      <c r="A24" s="723" t="s">
        <v>430</v>
      </c>
      <c r="B24" s="284"/>
      <c r="C24" s="284"/>
      <c r="D24" s="165"/>
      <c r="E24" s="11"/>
      <c r="F24" s="293">
        <v>0</v>
      </c>
      <c r="G24" s="293">
        <v>709</v>
      </c>
      <c r="H24" s="165" t="str">
        <f t="shared" si="4"/>
        <v xml:space="preserve">    ---- </v>
      </c>
      <c r="I24" s="416">
        <f>IFERROR(100/'Skjema total MA'!F24*G24,0)</f>
        <v>57.935202458609837</v>
      </c>
      <c r="J24" s="293">
        <f t="shared" si="7"/>
        <v>0</v>
      </c>
      <c r="K24" s="293">
        <f t="shared" si="8"/>
        <v>709</v>
      </c>
      <c r="L24" s="165" t="str">
        <f t="shared" si="6"/>
        <v xml:space="preserve">    ---- </v>
      </c>
      <c r="M24" s="23">
        <f>IFERROR(100/'Skjema total MA'!I24*K24,0)</f>
        <v>3.1872948242365213</v>
      </c>
    </row>
    <row r="25" spans="1:14" ht="15.75" x14ac:dyDescent="0.2">
      <c r="A25" s="723" t="s">
        <v>431</v>
      </c>
      <c r="B25" s="284"/>
      <c r="C25" s="284"/>
      <c r="D25" s="165"/>
      <c r="E25" s="11"/>
      <c r="F25" s="293">
        <v>56</v>
      </c>
      <c r="G25" s="293">
        <v>172</v>
      </c>
      <c r="H25" s="165">
        <f t="shared" si="4"/>
        <v>207.1</v>
      </c>
      <c r="I25" s="416">
        <f>IFERROR(100/'Skjema total MA'!F25*G25,0)</f>
        <v>0.93138012272097326</v>
      </c>
      <c r="J25" s="293">
        <f t="shared" si="7"/>
        <v>56</v>
      </c>
      <c r="K25" s="293">
        <f t="shared" si="8"/>
        <v>172</v>
      </c>
      <c r="L25" s="165">
        <f t="shared" si="6"/>
        <v>207.1</v>
      </c>
      <c r="M25" s="23">
        <f>IFERROR(100/'Skjema total MA'!I25*K25,0)</f>
        <v>0.37890287933309647</v>
      </c>
    </row>
    <row r="26" spans="1:14" ht="15.75" x14ac:dyDescent="0.2">
      <c r="A26" s="723" t="s">
        <v>432</v>
      </c>
      <c r="B26" s="284"/>
      <c r="C26" s="284"/>
      <c r="D26" s="165"/>
      <c r="E26" s="11"/>
      <c r="F26" s="293">
        <v>111129</v>
      </c>
      <c r="G26" s="293">
        <v>56152</v>
      </c>
      <c r="H26" s="165">
        <f t="shared" si="4"/>
        <v>-49.5</v>
      </c>
      <c r="I26" s="416">
        <f>IFERROR(100/'Skjema total MA'!F26*G26,0)</f>
        <v>6.559282774682055</v>
      </c>
      <c r="J26" s="293">
        <f t="shared" si="7"/>
        <v>111129</v>
      </c>
      <c r="K26" s="293">
        <f t="shared" si="8"/>
        <v>56152</v>
      </c>
      <c r="L26" s="165">
        <f t="shared" si="6"/>
        <v>-49.5</v>
      </c>
      <c r="M26" s="23">
        <f>IFERROR(100/'Skjema total MA'!I26*K26,0)</f>
        <v>6.559282774682055</v>
      </c>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v>464208</v>
      </c>
      <c r="C28" s="290">
        <v>521436</v>
      </c>
      <c r="D28" s="165">
        <f t="shared" si="3"/>
        <v>12.3</v>
      </c>
      <c r="E28" s="11">
        <f>IFERROR(100/'Skjema total MA'!C28*C28,0)</f>
        <v>21.463319075922566</v>
      </c>
      <c r="F28" s="233"/>
      <c r="G28" s="290"/>
      <c r="H28" s="165"/>
      <c r="I28" s="27"/>
      <c r="J28" s="44">
        <f t="shared" si="5"/>
        <v>464208</v>
      </c>
      <c r="K28" s="44">
        <f t="shared" si="5"/>
        <v>521436</v>
      </c>
      <c r="L28" s="258">
        <f t="shared" si="6"/>
        <v>12.3</v>
      </c>
      <c r="M28" s="23">
        <f>IFERROR(100/'Skjema total MA'!I28*K28,0)</f>
        <v>21.463319075922566</v>
      </c>
    </row>
    <row r="29" spans="1:14" s="3" customFormat="1" ht="15.75" x14ac:dyDescent="0.2">
      <c r="A29" s="13" t="s">
        <v>426</v>
      </c>
      <c r="B29" s="235">
        <v>2636057</v>
      </c>
      <c r="C29" s="235">
        <v>3054129</v>
      </c>
      <c r="D29" s="170">
        <f t="shared" si="3"/>
        <v>15.9</v>
      </c>
      <c r="E29" s="11">
        <f>IFERROR(100/'Skjema total MA'!C29*C29,0)</f>
        <v>6.93582640667106</v>
      </c>
      <c r="F29" s="311">
        <v>1751131</v>
      </c>
      <c r="G29" s="311">
        <v>2187161</v>
      </c>
      <c r="H29" s="170">
        <f t="shared" si="4"/>
        <v>24.9</v>
      </c>
      <c r="I29" s="11">
        <f>IFERROR(100/'Skjema total MA'!F29*G29,0)</f>
        <v>9.313491384017162</v>
      </c>
      <c r="J29" s="235">
        <f t="shared" si="5"/>
        <v>4387188</v>
      </c>
      <c r="K29" s="235">
        <f t="shared" si="5"/>
        <v>5241290</v>
      </c>
      <c r="L29" s="426">
        <f t="shared" si="6"/>
        <v>19.5</v>
      </c>
      <c r="M29" s="24">
        <f>IFERROR(100/'Skjema total MA'!I29*K29,0)</f>
        <v>7.7628159037046043</v>
      </c>
      <c r="N29" s="147"/>
    </row>
    <row r="30" spans="1:14" s="3" customFormat="1" ht="15.75" x14ac:dyDescent="0.2">
      <c r="A30" s="723" t="s">
        <v>429</v>
      </c>
      <c r="B30" s="284">
        <v>2636057</v>
      </c>
      <c r="C30" s="284">
        <v>3054129</v>
      </c>
      <c r="D30" s="165">
        <f t="shared" si="3"/>
        <v>15.9</v>
      </c>
      <c r="E30" s="11">
        <f>IFERROR(100/'Skjema total MA'!C30*C30,0)</f>
        <v>24.079495543069726</v>
      </c>
      <c r="F30" s="293">
        <v>25424</v>
      </c>
      <c r="G30" s="293">
        <v>19921</v>
      </c>
      <c r="H30" s="165">
        <f t="shared" si="4"/>
        <v>-21.6</v>
      </c>
      <c r="I30" s="416">
        <f>IFERROR(100/'Skjema total MA'!F30*G30,0)</f>
        <v>0.58546336454177239</v>
      </c>
      <c r="J30" s="293">
        <f t="shared" ref="J30:J33" si="9">SUM(B30,F30)</f>
        <v>2661481</v>
      </c>
      <c r="K30" s="293">
        <f t="shared" ref="K30:K33" si="10">SUM(C30,G30)</f>
        <v>3074050</v>
      </c>
      <c r="L30" s="165">
        <f t="shared" si="6"/>
        <v>15.5</v>
      </c>
      <c r="M30" s="23">
        <f>IFERROR(100/'Skjema total MA'!I30*K30,0)</f>
        <v>19.109941653130846</v>
      </c>
      <c r="N30" s="147"/>
    </row>
    <row r="31" spans="1:14" s="3" customFormat="1" ht="15.75" x14ac:dyDescent="0.2">
      <c r="A31" s="723" t="s">
        <v>430</v>
      </c>
      <c r="B31" s="284"/>
      <c r="C31" s="284"/>
      <c r="D31" s="165"/>
      <c r="E31" s="11"/>
      <c r="F31" s="293">
        <v>1040098</v>
      </c>
      <c r="G31" s="293">
        <v>1181078</v>
      </c>
      <c r="H31" s="165">
        <f t="shared" si="4"/>
        <v>13.6</v>
      </c>
      <c r="I31" s="416">
        <f>IFERROR(100/'Skjema total MA'!F31*G31,0)</f>
        <v>16.109553605362905</v>
      </c>
      <c r="J31" s="293">
        <f t="shared" si="9"/>
        <v>1040098</v>
      </c>
      <c r="K31" s="293">
        <f t="shared" si="10"/>
        <v>1181078</v>
      </c>
      <c r="L31" s="165">
        <f t="shared" si="6"/>
        <v>13.6</v>
      </c>
      <c r="M31" s="23">
        <f>IFERROR(100/'Skjema total MA'!I31*K31,0)</f>
        <v>3.7106930623731045</v>
      </c>
      <c r="N31" s="147"/>
    </row>
    <row r="32" spans="1:14" ht="15.75" x14ac:dyDescent="0.2">
      <c r="A32" s="723" t="s">
        <v>431</v>
      </c>
      <c r="B32" s="284"/>
      <c r="C32" s="284"/>
      <c r="D32" s="165"/>
      <c r="E32" s="11"/>
      <c r="F32" s="293">
        <v>135180</v>
      </c>
      <c r="G32" s="293">
        <v>115509</v>
      </c>
      <c r="H32" s="165">
        <f t="shared" si="4"/>
        <v>-14.6</v>
      </c>
      <c r="I32" s="416">
        <f>IFERROR(100/'Skjema total MA'!F32*G32,0)</f>
        <v>2.1622848814243607</v>
      </c>
      <c r="J32" s="293">
        <f t="shared" si="9"/>
        <v>135180</v>
      </c>
      <c r="K32" s="293">
        <f t="shared" si="10"/>
        <v>115509</v>
      </c>
      <c r="L32" s="165">
        <f t="shared" si="6"/>
        <v>-14.6</v>
      </c>
      <c r="M32" s="23">
        <f>IFERROR(100/'Skjema total MA'!I32*K32,0)</f>
        <v>1.4855543365274351</v>
      </c>
    </row>
    <row r="33" spans="1:14" ht="15.75" x14ac:dyDescent="0.2">
      <c r="A33" s="723" t="s">
        <v>432</v>
      </c>
      <c r="B33" s="284"/>
      <c r="C33" s="284"/>
      <c r="D33" s="165"/>
      <c r="E33" s="11"/>
      <c r="F33" s="293">
        <v>550429</v>
      </c>
      <c r="G33" s="293">
        <v>870653</v>
      </c>
      <c r="H33" s="165">
        <f t="shared" si="4"/>
        <v>58.2</v>
      </c>
      <c r="I33" s="416">
        <f>IFERROR(100/'Skjema total MA'!F33*G33,0)</f>
        <v>11.753410274529365</v>
      </c>
      <c r="J33" s="293">
        <f t="shared" si="9"/>
        <v>550429</v>
      </c>
      <c r="K33" s="293">
        <f t="shared" si="10"/>
        <v>870653</v>
      </c>
      <c r="L33" s="165">
        <f t="shared" si="6"/>
        <v>58.2</v>
      </c>
      <c r="M33" s="23">
        <f>IFERROR(100/'Skjema total MA'!I33*K33,0)</f>
        <v>11.753410274529365</v>
      </c>
    </row>
    <row r="34" spans="1:14" ht="15.75" x14ac:dyDescent="0.2">
      <c r="A34" s="13" t="s">
        <v>427</v>
      </c>
      <c r="B34" s="235"/>
      <c r="C34" s="312"/>
      <c r="D34" s="170"/>
      <c r="E34" s="11"/>
      <c r="F34" s="311">
        <v>8901</v>
      </c>
      <c r="G34" s="312">
        <v>714682</v>
      </c>
      <c r="H34" s="170">
        <f t="shared" si="4"/>
        <v>999</v>
      </c>
      <c r="I34" s="432">
        <f>IFERROR(100/'Skjema total MA'!F34*G34,0)</f>
        <v>91.403372651062753</v>
      </c>
      <c r="J34" s="235">
        <f t="shared" si="5"/>
        <v>8901</v>
      </c>
      <c r="K34" s="235">
        <f t="shared" si="5"/>
        <v>714682</v>
      </c>
      <c r="L34" s="426">
        <f t="shared" si="6"/>
        <v>999</v>
      </c>
      <c r="M34" s="24">
        <f>IFERROR(100/'Skjema total MA'!I34*K34,0)</f>
        <v>88.037624299614109</v>
      </c>
    </row>
    <row r="35" spans="1:14" ht="15.75" x14ac:dyDescent="0.2">
      <c r="A35" s="13" t="s">
        <v>428</v>
      </c>
      <c r="B35" s="235"/>
      <c r="C35" s="312"/>
      <c r="D35" s="170"/>
      <c r="E35" s="11"/>
      <c r="F35" s="311">
        <v>16204</v>
      </c>
      <c r="G35" s="312">
        <v>9358</v>
      </c>
      <c r="H35" s="170">
        <f t="shared" si="4"/>
        <v>-42.2</v>
      </c>
      <c r="I35" s="11">
        <f>IFERROR(100/'Skjema total MA'!F35*G35,0)</f>
        <v>2.17845219093123</v>
      </c>
      <c r="J35" s="235">
        <f t="shared" si="5"/>
        <v>16204</v>
      </c>
      <c r="K35" s="235">
        <f t="shared" si="5"/>
        <v>9358</v>
      </c>
      <c r="L35" s="426">
        <f t="shared" si="6"/>
        <v>-42.2</v>
      </c>
      <c r="M35" s="24">
        <f>IFERROR(100/'Skjema total MA'!I35*K35,0)</f>
        <v>2.3923382751884259</v>
      </c>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c r="C47" s="314"/>
      <c r="D47" s="425"/>
      <c r="E47" s="11"/>
      <c r="F47" s="144"/>
      <c r="G47" s="33"/>
      <c r="H47" s="158"/>
      <c r="I47" s="158"/>
      <c r="J47" s="37"/>
      <c r="K47" s="37"/>
      <c r="L47" s="158"/>
      <c r="M47" s="158"/>
      <c r="N47" s="147"/>
    </row>
    <row r="48" spans="1:14" s="3" customFormat="1" ht="15.75" x14ac:dyDescent="0.2">
      <c r="A48" s="38" t="s">
        <v>437</v>
      </c>
      <c r="B48" s="284"/>
      <c r="C48" s="285"/>
      <c r="D48" s="258"/>
      <c r="E48" s="27"/>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v>262086</v>
      </c>
      <c r="C66" s="354">
        <v>300677</v>
      </c>
      <c r="D66" s="351">
        <f t="shared" ref="D66:D111" si="11">IF(B66=0, "    ---- ", IF(ABS(ROUND(100/B66*C66-100,1))&lt;999,ROUND(100/B66*C66-100,1),IF(ROUND(100/B66*C66-100,1)&gt;999,999,-999)))</f>
        <v>14.7</v>
      </c>
      <c r="E66" s="11">
        <f>IFERROR(100/'Skjema total MA'!C66*C66,0)</f>
        <v>3.862527731542416</v>
      </c>
      <c r="F66" s="353">
        <v>3440588</v>
      </c>
      <c r="G66" s="353">
        <v>4306614</v>
      </c>
      <c r="H66" s="351">
        <f t="shared" ref="H66:H111" si="12">IF(F66=0, "    ---- ", IF(ABS(ROUND(100/F66*G66-100,1))&lt;999,ROUND(100/F66*G66-100,1),IF(ROUND(100/F66*G66-100,1)&gt;999,999,-999)))</f>
        <v>25.2</v>
      </c>
      <c r="I66" s="11">
        <f>IFERROR(100/'Skjema total MA'!F66*G66,0)</f>
        <v>9.8661562836428462</v>
      </c>
      <c r="J66" s="312">
        <f t="shared" ref="J66:K86" si="13">SUM(B66,F66)</f>
        <v>3702674</v>
      </c>
      <c r="K66" s="319">
        <f t="shared" si="13"/>
        <v>4607291</v>
      </c>
      <c r="L66" s="426">
        <f t="shared" ref="L66:L111" si="14">IF(J66=0, "    ---- ", IF(ABS(ROUND(100/J66*K66-100,1))&lt;999,ROUND(100/J66*K66-100,1),IF(ROUND(100/J66*K66-100,1)&gt;999,999,-999)))</f>
        <v>24.4</v>
      </c>
      <c r="M66" s="11">
        <f>IFERROR(100/'Skjema total MA'!I66*K66,0)</f>
        <v>8.9575304848991006</v>
      </c>
    </row>
    <row r="67" spans="1:14" x14ac:dyDescent="0.2">
      <c r="A67" s="418" t="s">
        <v>9</v>
      </c>
      <c r="B67" s="44">
        <v>262086</v>
      </c>
      <c r="C67" s="144">
        <v>300677</v>
      </c>
      <c r="D67" s="165">
        <f t="shared" si="11"/>
        <v>14.7</v>
      </c>
      <c r="E67" s="27">
        <f>IFERROR(100/'Skjema total MA'!C67*C67,0)</f>
        <v>6.2127510110780859</v>
      </c>
      <c r="F67" s="233"/>
      <c r="G67" s="144"/>
      <c r="H67" s="165"/>
      <c r="I67" s="27"/>
      <c r="J67" s="290">
        <f t="shared" si="13"/>
        <v>262086</v>
      </c>
      <c r="K67" s="44">
        <f t="shared" si="13"/>
        <v>300677</v>
      </c>
      <c r="L67" s="258">
        <f t="shared" si="14"/>
        <v>14.7</v>
      </c>
      <c r="M67" s="27">
        <f>IFERROR(100/'Skjema total MA'!I67*K67,0)</f>
        <v>6.2127510110780859</v>
      </c>
    </row>
    <row r="68" spans="1:14" x14ac:dyDescent="0.2">
      <c r="A68" s="21" t="s">
        <v>10</v>
      </c>
      <c r="B68" s="295"/>
      <c r="C68" s="296"/>
      <c r="D68" s="165"/>
      <c r="E68" s="27"/>
      <c r="F68" s="295">
        <v>3440588</v>
      </c>
      <c r="G68" s="295">
        <v>4306614</v>
      </c>
      <c r="H68" s="165">
        <f t="shared" si="12"/>
        <v>25.2</v>
      </c>
      <c r="I68" s="27">
        <f>IFERROR(100/'Skjema total MA'!F68*G68,0)</f>
        <v>10.24728442430615</v>
      </c>
      <c r="J68" s="290">
        <f t="shared" si="13"/>
        <v>3440588</v>
      </c>
      <c r="K68" s="44">
        <f t="shared" si="13"/>
        <v>4306614</v>
      </c>
      <c r="L68" s="258">
        <f t="shared" si="14"/>
        <v>25.2</v>
      </c>
      <c r="M68" s="27">
        <f>IFERROR(100/'Skjema total MA'!I68*K68,0)</f>
        <v>10.236334602111571</v>
      </c>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v>3440588</v>
      </c>
      <c r="G72" s="284">
        <v>4306614</v>
      </c>
      <c r="H72" s="165">
        <f t="shared" ref="H72" si="15">IF(F72=0, "    ---- ", IF(ABS(ROUND(100/F72*G72-100,1))&lt;999,ROUND(100/F72*G72-100,1),IF(ROUND(100/F72*G72-100,1)&gt;999,999,-999)))</f>
        <v>25.2</v>
      </c>
      <c r="I72" s="27">
        <f>IFERROR(100/'Skjema total MA'!F72*G72,0)</f>
        <v>10.247908559236752</v>
      </c>
      <c r="J72" s="290">
        <f t="shared" ref="J72" si="16">SUM(B72,F72)</f>
        <v>3440588</v>
      </c>
      <c r="K72" s="44">
        <f t="shared" ref="K72" si="17">SUM(C72,G72)</f>
        <v>4306614</v>
      </c>
      <c r="L72" s="258">
        <f t="shared" ref="L72" si="18">IF(J72=0, "    ---- ", IF(ABS(ROUND(100/J72*K72-100,1))&lt;999,ROUND(100/J72*K72-100,1),IF(ROUND(100/J72*K72-100,1)&gt;999,999,-999)))</f>
        <v>25.2</v>
      </c>
      <c r="M72" s="27">
        <f>IFERROR(100/'Skjema total MA'!I72*K72,0)</f>
        <v>10.237987547571835</v>
      </c>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v>3440588</v>
      </c>
      <c r="G74" s="284">
        <v>4306614</v>
      </c>
      <c r="H74" s="165">
        <f t="shared" ref="H74" si="19">IF(F74=0, "    ---- ", IF(ABS(ROUND(100/F74*G74-100,1))&lt;999,ROUND(100/F74*G74-100,1),IF(ROUND(100/F74*G74-100,1)&gt;999,999,-999)))</f>
        <v>25.2</v>
      </c>
      <c r="I74" s="27">
        <f>IFERROR(100/'Skjema total MA'!F74*G74,0)</f>
        <v>10.24791123554906</v>
      </c>
      <c r="J74" s="290">
        <f t="shared" ref="J74" si="20">SUM(B74,F74)</f>
        <v>3440588</v>
      </c>
      <c r="K74" s="44">
        <f t="shared" ref="K74" si="21">SUM(C74,G74)</f>
        <v>4306614</v>
      </c>
      <c r="L74" s="258">
        <f t="shared" ref="L74" si="22">IF(J74=0, "    ---- ", IF(ABS(ROUND(100/J74*K74-100,1))&lt;999,ROUND(100/J74*K74-100,1),IF(ROUND(100/J74*K74-100,1)&gt;999,999,-999)))</f>
        <v>25.2</v>
      </c>
      <c r="M74" s="27">
        <f>IFERROR(100/'Skjema total MA'!I74*K74,0)</f>
        <v>10.24791123554906</v>
      </c>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v>261584</v>
      </c>
      <c r="C77" s="233">
        <v>299739</v>
      </c>
      <c r="D77" s="165">
        <f t="shared" si="11"/>
        <v>14.6</v>
      </c>
      <c r="E77" s="27">
        <f>IFERROR(100/'Skjema total MA'!C77*C77,0)</f>
        <v>6.2507970797629122</v>
      </c>
      <c r="F77" s="233">
        <v>3440588</v>
      </c>
      <c r="G77" s="144">
        <v>4306531</v>
      </c>
      <c r="H77" s="165">
        <f t="shared" si="12"/>
        <v>25.2</v>
      </c>
      <c r="I77" s="27">
        <f>IFERROR(100/'Skjema total MA'!F77*G77,0)</f>
        <v>10.250349385277023</v>
      </c>
      <c r="J77" s="290">
        <f t="shared" si="13"/>
        <v>3702172</v>
      </c>
      <c r="K77" s="44">
        <f t="shared" si="13"/>
        <v>4606270</v>
      </c>
      <c r="L77" s="258">
        <f t="shared" si="14"/>
        <v>24.4</v>
      </c>
      <c r="M77" s="27">
        <f>IFERROR(100/'Skjema total MA'!I77*K77,0)</f>
        <v>9.840624353864694</v>
      </c>
    </row>
    <row r="78" spans="1:14" x14ac:dyDescent="0.2">
      <c r="A78" s="21" t="s">
        <v>9</v>
      </c>
      <c r="B78" s="233">
        <v>261584</v>
      </c>
      <c r="C78" s="144">
        <v>299739</v>
      </c>
      <c r="D78" s="165">
        <f t="shared" si="11"/>
        <v>14.6</v>
      </c>
      <c r="E78" s="27">
        <f>IFERROR(100/'Skjema total MA'!C78*C78,0)</f>
        <v>6.30654714336083</v>
      </c>
      <c r="F78" s="233"/>
      <c r="G78" s="144"/>
      <c r="H78" s="165"/>
      <c r="I78" s="27"/>
      <c r="J78" s="290">
        <f t="shared" si="13"/>
        <v>261584</v>
      </c>
      <c r="K78" s="44">
        <f t="shared" si="13"/>
        <v>299739</v>
      </c>
      <c r="L78" s="258">
        <f t="shared" si="14"/>
        <v>14.6</v>
      </c>
      <c r="M78" s="27">
        <f>IFERROR(100/'Skjema total MA'!I78*K78,0)</f>
        <v>6.30654714336083</v>
      </c>
    </row>
    <row r="79" spans="1:14" x14ac:dyDescent="0.2">
      <c r="A79" s="38" t="s">
        <v>473</v>
      </c>
      <c r="B79" s="295"/>
      <c r="C79" s="296"/>
      <c r="D79" s="165"/>
      <c r="E79" s="27"/>
      <c r="F79" s="295">
        <v>3440588</v>
      </c>
      <c r="G79" s="296">
        <v>4306531</v>
      </c>
      <c r="H79" s="165">
        <f t="shared" si="12"/>
        <v>25.2</v>
      </c>
      <c r="I79" s="27">
        <f>IFERROR(100/'Skjema total MA'!F79*G79,0)</f>
        <v>10.250349385277023</v>
      </c>
      <c r="J79" s="290">
        <f t="shared" si="13"/>
        <v>3440588</v>
      </c>
      <c r="K79" s="44">
        <f t="shared" si="13"/>
        <v>4306531</v>
      </c>
      <c r="L79" s="258">
        <f t="shared" si="14"/>
        <v>25.2</v>
      </c>
      <c r="M79" s="27">
        <f>IFERROR(100/'Skjema total MA'!I79*K79,0)</f>
        <v>10.240017647620077</v>
      </c>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v>3440588</v>
      </c>
      <c r="G83" s="284">
        <v>4306531</v>
      </c>
      <c r="H83" s="165">
        <f t="shared" ref="H83" si="23">IF(F83=0, "    ---- ", IF(ABS(ROUND(100/F83*G83-100,1))&lt;999,ROUND(100/F83*G83-100,1),IF(ROUND(100/F83*G83-100,1)&gt;999,999,-999)))</f>
        <v>25.2</v>
      </c>
      <c r="I83" s="27">
        <f>IFERROR(100/'Skjema total MA'!F83*G83,0)</f>
        <v>10.250349385277023</v>
      </c>
      <c r="J83" s="290">
        <f t="shared" ref="J83" si="24">SUM(B83,F83)</f>
        <v>3440588</v>
      </c>
      <c r="K83" s="44">
        <f t="shared" ref="K83" si="25">SUM(C83,G83)</f>
        <v>4306531</v>
      </c>
      <c r="L83" s="258">
        <f t="shared" ref="L83" si="26">IF(J83=0, "    ---- ", IF(ABS(ROUND(100/J83*K83-100,1))&lt;999,ROUND(100/J83*K83-100,1),IF(ROUND(100/J83*K83-100,1)&gt;999,999,-999)))</f>
        <v>25.2</v>
      </c>
      <c r="M83" s="27">
        <f>IFERROR(100/'Skjema total MA'!I83*K83,0)</f>
        <v>10.240017647620077</v>
      </c>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v>3440588</v>
      </c>
      <c r="G85" s="284">
        <v>4306531</v>
      </c>
      <c r="H85" s="165">
        <f t="shared" ref="H85" si="27">IF(F85=0, "    ---- ", IF(ABS(ROUND(100/F85*G85-100,1))&lt;999,ROUND(100/F85*G85-100,1),IF(ROUND(100/F85*G85-100,1)&gt;999,999,-999)))</f>
        <v>25.2</v>
      </c>
      <c r="I85" s="27">
        <f>IFERROR(100/'Skjema total MA'!F85*G85,0)</f>
        <v>10.250352062915963</v>
      </c>
      <c r="J85" s="290">
        <f t="shared" ref="J85" si="28">SUM(B85,F85)</f>
        <v>3440588</v>
      </c>
      <c r="K85" s="44">
        <f t="shared" ref="K85" si="29">SUM(C85,G85)</f>
        <v>4306531</v>
      </c>
      <c r="L85" s="258">
        <f t="shared" ref="L85" si="30">IF(J85=0, "    ---- ", IF(ABS(ROUND(100/J85*K85-100,1))&lt;999,ROUND(100/J85*K85-100,1),IF(ROUND(100/J85*K85-100,1)&gt;999,999,-999)))</f>
        <v>25.2</v>
      </c>
      <c r="M85" s="27">
        <f>IFERROR(100/'Skjema total MA'!I85*K85,0)</f>
        <v>10.250352062915963</v>
      </c>
    </row>
    <row r="86" spans="1:13" ht="15.75" x14ac:dyDescent="0.2">
      <c r="A86" s="21" t="s">
        <v>444</v>
      </c>
      <c r="B86" s="233">
        <v>502</v>
      </c>
      <c r="C86" s="144">
        <v>938</v>
      </c>
      <c r="D86" s="165">
        <f t="shared" si="11"/>
        <v>86.9</v>
      </c>
      <c r="E86" s="27">
        <f>IFERROR(100/'Skjema total MA'!C86*C86,0)</f>
        <v>1.0489836444438401</v>
      </c>
      <c r="F86" s="233">
        <v>0</v>
      </c>
      <c r="G86" s="144">
        <v>83</v>
      </c>
      <c r="H86" s="165" t="str">
        <f t="shared" si="12"/>
        <v xml:space="preserve">    ---- </v>
      </c>
      <c r="I86" s="27">
        <f>IFERROR(100/'Skjema total MA'!F86*G86,0)</f>
        <v>0.6204869850985939</v>
      </c>
      <c r="J86" s="290">
        <f t="shared" si="13"/>
        <v>502</v>
      </c>
      <c r="K86" s="44">
        <f t="shared" si="13"/>
        <v>1021</v>
      </c>
      <c r="L86" s="258">
        <f t="shared" si="14"/>
        <v>103.4</v>
      </c>
      <c r="M86" s="27">
        <f>IFERROR(100/'Skjema total MA'!I86*K86,0)</f>
        <v>0.99322469005212422</v>
      </c>
    </row>
    <row r="87" spans="1:13" ht="15.75" x14ac:dyDescent="0.2">
      <c r="A87" s="13" t="s">
        <v>426</v>
      </c>
      <c r="B87" s="354">
        <v>5594116</v>
      </c>
      <c r="C87" s="354">
        <v>5788750</v>
      </c>
      <c r="D87" s="170">
        <f t="shared" si="11"/>
        <v>3.5</v>
      </c>
      <c r="E87" s="11">
        <f>IFERROR(100/'Skjema total MA'!C87*C87,0)</f>
        <v>1.4533974415434434</v>
      </c>
      <c r="F87" s="353">
        <v>40399615</v>
      </c>
      <c r="G87" s="353">
        <v>41747003</v>
      </c>
      <c r="H87" s="170">
        <f t="shared" si="12"/>
        <v>3.3</v>
      </c>
      <c r="I87" s="11">
        <f>IFERROR(100/'Skjema total MA'!F87*G87,0)</f>
        <v>9.4251770967808319</v>
      </c>
      <c r="J87" s="312">
        <f t="shared" ref="J87:K111" si="31">SUM(B87,F87)</f>
        <v>45993731</v>
      </c>
      <c r="K87" s="235">
        <f t="shared" si="31"/>
        <v>47535753</v>
      </c>
      <c r="L87" s="426">
        <f t="shared" si="14"/>
        <v>3.4</v>
      </c>
      <c r="M87" s="11">
        <f>IFERROR(100/'Skjema total MA'!I87*K87,0)</f>
        <v>5.6508002130001573</v>
      </c>
    </row>
    <row r="88" spans="1:13" x14ac:dyDescent="0.2">
      <c r="A88" s="21" t="s">
        <v>9</v>
      </c>
      <c r="B88" s="233">
        <v>5594116</v>
      </c>
      <c r="C88" s="144">
        <v>5788750</v>
      </c>
      <c r="D88" s="165">
        <f t="shared" si="11"/>
        <v>3.5</v>
      </c>
      <c r="E88" s="27">
        <f>IFERROR(100/'Skjema total MA'!C88*C88,0)</f>
        <v>1.5128177217033356</v>
      </c>
      <c r="F88" s="233"/>
      <c r="G88" s="144"/>
      <c r="H88" s="165"/>
      <c r="I88" s="27"/>
      <c r="J88" s="290">
        <f t="shared" si="31"/>
        <v>5594116</v>
      </c>
      <c r="K88" s="44">
        <f t="shared" si="31"/>
        <v>5788750</v>
      </c>
      <c r="L88" s="258">
        <f t="shared" si="14"/>
        <v>3.5</v>
      </c>
      <c r="M88" s="27">
        <f>IFERROR(100/'Skjema total MA'!I88*K88,0)</f>
        <v>1.5128177217033356</v>
      </c>
    </row>
    <row r="89" spans="1:13" x14ac:dyDescent="0.2">
      <c r="A89" s="21" t="s">
        <v>10</v>
      </c>
      <c r="B89" s="233"/>
      <c r="C89" s="144"/>
      <c r="D89" s="165"/>
      <c r="E89" s="27"/>
      <c r="F89" s="233">
        <v>40399615</v>
      </c>
      <c r="G89" s="144">
        <v>41747003</v>
      </c>
      <c r="H89" s="165">
        <f t="shared" si="12"/>
        <v>3.3</v>
      </c>
      <c r="I89" s="27">
        <f>IFERROR(100/'Skjema total MA'!F89*G89,0)</f>
        <v>9.5432543186952721</v>
      </c>
      <c r="J89" s="290">
        <f t="shared" si="31"/>
        <v>40399615</v>
      </c>
      <c r="K89" s="44">
        <f t="shared" si="31"/>
        <v>41747003</v>
      </c>
      <c r="L89" s="258">
        <f t="shared" si="14"/>
        <v>3.3</v>
      </c>
      <c r="M89" s="27">
        <f>IFERROR(100/'Skjema total MA'!I89*K89,0)</f>
        <v>9.471579326498766</v>
      </c>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v>40399615</v>
      </c>
      <c r="G93" s="284">
        <v>41747003</v>
      </c>
      <c r="H93" s="165">
        <f t="shared" ref="H93" si="32">IF(F93=0, "    ---- ", IF(ABS(ROUND(100/F93*G93-100,1))&lt;999,ROUND(100/F93*G93-100,1),IF(ROUND(100/F93*G93-100,1)&gt;999,999,-999)))</f>
        <v>3.3</v>
      </c>
      <c r="I93" s="27">
        <f>IFERROR(100/'Skjema total MA'!F93*G93,0)</f>
        <v>9.5454703227504876</v>
      </c>
      <c r="J93" s="290">
        <f t="shared" ref="J93" si="33">SUM(B93,F93)</f>
        <v>40399615</v>
      </c>
      <c r="K93" s="44">
        <f t="shared" ref="K93" si="34">SUM(C93,G93)</f>
        <v>41747003</v>
      </c>
      <c r="L93" s="258">
        <f t="shared" ref="L93" si="35">IF(J93=0, "    ---- ", IF(ABS(ROUND(100/J93*K93-100,1))&lt;999,ROUND(100/J93*K93-100,1),IF(ROUND(100/J93*K93-100,1)&gt;999,999,-999)))</f>
        <v>3.3</v>
      </c>
      <c r="M93" s="27">
        <f>IFERROR(100/'Skjema total MA'!I93*K93,0)</f>
        <v>9.4737621649742572</v>
      </c>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v>40399615</v>
      </c>
      <c r="G95" s="284">
        <v>41747003</v>
      </c>
      <c r="H95" s="165">
        <f t="shared" ref="H95" si="36">IF(F95=0, "    ---- ", IF(ABS(ROUND(100/F95*G95-100,1))&lt;999,ROUND(100/F95*G95-100,1),IF(ROUND(100/F95*G95-100,1)&gt;999,999,-999)))</f>
        <v>3.3</v>
      </c>
      <c r="I95" s="27">
        <f>IFERROR(100/'Skjema total MA'!F95*G95,0)</f>
        <v>9.5459375239777398</v>
      </c>
      <c r="J95" s="290">
        <f t="shared" ref="J95" si="37">SUM(B95,F95)</f>
        <v>40399615</v>
      </c>
      <c r="K95" s="44">
        <f t="shared" ref="K95" si="38">SUM(C95,G95)</f>
        <v>41747003</v>
      </c>
      <c r="L95" s="258">
        <f t="shared" ref="L95" si="39">IF(J95=0, "    ---- ", IF(ABS(ROUND(100/J95*K95-100,1))&lt;999,ROUND(100/J95*K95-100,1),IF(ROUND(100/J95*K95-100,1)&gt;999,999,-999)))</f>
        <v>3.3</v>
      </c>
      <c r="M95" s="27">
        <f>IFERROR(100/'Skjema total MA'!I95*K95,0)</f>
        <v>9.5459375239777398</v>
      </c>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v>5592181</v>
      </c>
      <c r="C98" s="233">
        <v>5786026</v>
      </c>
      <c r="D98" s="165">
        <f t="shared" si="11"/>
        <v>3.5</v>
      </c>
      <c r="E98" s="27">
        <f>IFERROR(100/'Skjema total MA'!C98*C98,0)</f>
        <v>1.5165996790697334</v>
      </c>
      <c r="F98" s="295">
        <v>40399615</v>
      </c>
      <c r="G98" s="295">
        <v>41746906</v>
      </c>
      <c r="H98" s="165">
        <f t="shared" si="12"/>
        <v>3.3</v>
      </c>
      <c r="I98" s="27">
        <f>IFERROR(100/'Skjema total MA'!F98*G98,0)</f>
        <v>9.5477159587482046</v>
      </c>
      <c r="J98" s="290">
        <f t="shared" si="31"/>
        <v>45991796</v>
      </c>
      <c r="K98" s="44">
        <f t="shared" si="31"/>
        <v>47532932</v>
      </c>
      <c r="L98" s="258">
        <f t="shared" si="14"/>
        <v>3.4</v>
      </c>
      <c r="M98" s="27">
        <f>IFERROR(100/'Skjema total MA'!I98*K98,0)</f>
        <v>5.8054920674453596</v>
      </c>
    </row>
    <row r="99" spans="1:15" x14ac:dyDescent="0.2">
      <c r="A99" s="21" t="s">
        <v>9</v>
      </c>
      <c r="B99" s="295">
        <v>5592181</v>
      </c>
      <c r="C99" s="296">
        <v>5786026</v>
      </c>
      <c r="D99" s="165">
        <f t="shared" si="11"/>
        <v>3.5</v>
      </c>
      <c r="E99" s="27">
        <f>IFERROR(100/'Skjema total MA'!C99*C99,0)</f>
        <v>1.5298742447672011</v>
      </c>
      <c r="F99" s="233"/>
      <c r="G99" s="144"/>
      <c r="H99" s="165"/>
      <c r="I99" s="27"/>
      <c r="J99" s="290">
        <f t="shared" si="31"/>
        <v>5592181</v>
      </c>
      <c r="K99" s="44">
        <f t="shared" si="31"/>
        <v>5786026</v>
      </c>
      <c r="L99" s="258">
        <f t="shared" si="14"/>
        <v>3.5</v>
      </c>
      <c r="M99" s="27">
        <f>IFERROR(100/'Skjema total MA'!I99*K99,0)</f>
        <v>1.5298742447672011</v>
      </c>
    </row>
    <row r="100" spans="1:15" x14ac:dyDescent="0.2">
      <c r="A100" s="38" t="s">
        <v>473</v>
      </c>
      <c r="B100" s="295"/>
      <c r="C100" s="296"/>
      <c r="D100" s="165"/>
      <c r="E100" s="27"/>
      <c r="F100" s="233">
        <v>40399615</v>
      </c>
      <c r="G100" s="233">
        <v>41746906</v>
      </c>
      <c r="H100" s="165">
        <f t="shared" si="12"/>
        <v>3.3</v>
      </c>
      <c r="I100" s="27">
        <f>IFERROR(100/'Skjema total MA'!F100*G100,0)</f>
        <v>9.5477159587482046</v>
      </c>
      <c r="J100" s="290">
        <f t="shared" si="31"/>
        <v>40399615</v>
      </c>
      <c r="K100" s="44">
        <f t="shared" si="31"/>
        <v>41746906</v>
      </c>
      <c r="L100" s="258">
        <f t="shared" si="14"/>
        <v>3.3</v>
      </c>
      <c r="M100" s="27">
        <f>IFERROR(100/'Skjema total MA'!I100*K100,0)</f>
        <v>9.4759740269120112</v>
      </c>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v>40399615</v>
      </c>
      <c r="G104" s="284">
        <v>41746906</v>
      </c>
      <c r="H104" s="165">
        <f t="shared" ref="H104" si="40">IF(F104=0, "    ---- ", IF(ABS(ROUND(100/F104*G104-100,1))&lt;999,ROUND(100/F104*G104-100,1),IF(ROUND(100/F104*G104-100,1)&gt;999,999,-999)))</f>
        <v>3.3</v>
      </c>
      <c r="I104" s="27">
        <f>IFERROR(100/'Skjema total MA'!F104*G104,0)</f>
        <v>9.5477159587482046</v>
      </c>
      <c r="J104" s="290">
        <f t="shared" ref="J104" si="41">SUM(B104,F104)</f>
        <v>40399615</v>
      </c>
      <c r="K104" s="44">
        <f t="shared" ref="K104" si="42">SUM(C104,G104)</f>
        <v>41746906</v>
      </c>
      <c r="L104" s="258">
        <f t="shared" ref="L104" si="43">IF(J104=0, "    ---- ", IF(ABS(ROUND(100/J104*K104-100,1))&lt;999,ROUND(100/J104*K104-100,1),IF(ROUND(100/J104*K104-100,1)&gt;999,999,-999)))</f>
        <v>3.3</v>
      </c>
      <c r="M104" s="27">
        <f>IFERROR(100/'Skjema total MA'!I104*K104,0)</f>
        <v>9.4759740269120112</v>
      </c>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v>40399615</v>
      </c>
      <c r="G106" s="284">
        <v>41746906</v>
      </c>
      <c r="H106" s="165">
        <f t="shared" ref="H106" si="44">IF(F106=0, "    ---- ", IF(ABS(ROUND(100/F106*G106-100,1))&lt;999,ROUND(100/F106*G106-100,1),IF(ROUND(100/F106*G106-100,1)&gt;999,999,-999)))</f>
        <v>3.3</v>
      </c>
      <c r="I106" s="27">
        <f>IFERROR(100/'Skjema total MA'!F106*G106,0)</f>
        <v>9.5477183150291083</v>
      </c>
      <c r="J106" s="290">
        <f t="shared" ref="J106" si="45">SUM(B106,F106)</f>
        <v>40399615</v>
      </c>
      <c r="K106" s="44">
        <f t="shared" ref="K106" si="46">SUM(C106,G106)</f>
        <v>41746906</v>
      </c>
      <c r="L106" s="258">
        <f t="shared" ref="L106" si="47">IF(J106=0, "    ---- ", IF(ABS(ROUND(100/J106*K106-100,1))&lt;999,ROUND(100/J106*K106-100,1),IF(ROUND(100/J106*K106-100,1)&gt;999,999,-999)))</f>
        <v>3.3</v>
      </c>
      <c r="M106" s="27">
        <f>IFERROR(100/'Skjema total MA'!I106*K106,0)</f>
        <v>9.5477183150291083</v>
      </c>
    </row>
    <row r="107" spans="1:15" ht="15.75" x14ac:dyDescent="0.2">
      <c r="A107" s="21" t="s">
        <v>444</v>
      </c>
      <c r="B107" s="233">
        <v>1935</v>
      </c>
      <c r="C107" s="144">
        <v>2724</v>
      </c>
      <c r="D107" s="165">
        <f t="shared" si="11"/>
        <v>40.799999999999997</v>
      </c>
      <c r="E107" s="27">
        <f>IFERROR(100/'Skjema total MA'!C107*C107,0)</f>
        <v>6.129374591518192E-2</v>
      </c>
      <c r="F107" s="233">
        <v>0</v>
      </c>
      <c r="G107" s="144">
        <v>97</v>
      </c>
      <c r="H107" s="165" t="str">
        <f t="shared" si="12"/>
        <v xml:space="preserve">    ---- </v>
      </c>
      <c r="I107" s="27">
        <f>IFERROR(100/'Skjema total MA'!F107*G107,0)</f>
        <v>5.267211818745815E-2</v>
      </c>
      <c r="J107" s="290">
        <f t="shared" si="31"/>
        <v>1935</v>
      </c>
      <c r="K107" s="44">
        <f t="shared" si="31"/>
        <v>2821</v>
      </c>
      <c r="L107" s="258">
        <f t="shared" si="14"/>
        <v>45.8</v>
      </c>
      <c r="M107" s="27">
        <f>IFERROR(100/'Skjema total MA'!I107*K107,0)</f>
        <v>6.0950697190837184E-2</v>
      </c>
    </row>
    <row r="108" spans="1:15" ht="15.75" x14ac:dyDescent="0.2">
      <c r="A108" s="21" t="s">
        <v>445</v>
      </c>
      <c r="B108" s="233">
        <v>4191200</v>
      </c>
      <c r="C108" s="233">
        <v>4096928</v>
      </c>
      <c r="D108" s="165">
        <f t="shared" si="11"/>
        <v>-2.2000000000000002</v>
      </c>
      <c r="E108" s="27">
        <f>IFERROR(100/'Skjema total MA'!C108*C108,0)</f>
        <v>1.2468378535238944</v>
      </c>
      <c r="F108" s="233"/>
      <c r="G108" s="233"/>
      <c r="H108" s="165"/>
      <c r="I108" s="27"/>
      <c r="J108" s="290">
        <f t="shared" si="31"/>
        <v>4191200</v>
      </c>
      <c r="K108" s="44">
        <f t="shared" si="31"/>
        <v>4096928</v>
      </c>
      <c r="L108" s="258">
        <f t="shared" si="14"/>
        <v>-2.2000000000000002</v>
      </c>
      <c r="M108" s="27">
        <f>IFERROR(100/'Skjema total MA'!I108*K108,0)</f>
        <v>1.1779040376313745</v>
      </c>
    </row>
    <row r="109" spans="1:15" ht="15.75" x14ac:dyDescent="0.2">
      <c r="A109" s="38" t="s">
        <v>481</v>
      </c>
      <c r="B109" s="233"/>
      <c r="C109" s="233"/>
      <c r="D109" s="165"/>
      <c r="E109" s="27"/>
      <c r="F109" s="233">
        <v>16553447</v>
      </c>
      <c r="G109" s="233">
        <v>17674552</v>
      </c>
      <c r="H109" s="165">
        <f t="shared" si="12"/>
        <v>6.8</v>
      </c>
      <c r="I109" s="27">
        <f>IFERROR(100/'Skjema total MA'!F109*G109,0)</f>
        <v>11.07144478640971</v>
      </c>
      <c r="J109" s="290">
        <f t="shared" si="31"/>
        <v>16553447</v>
      </c>
      <c r="K109" s="44">
        <f t="shared" si="31"/>
        <v>17674552</v>
      </c>
      <c r="L109" s="258">
        <f t="shared" si="14"/>
        <v>6.8</v>
      </c>
      <c r="M109" s="27">
        <f>IFERROR(100/'Skjema total MA'!I109*K109,0)</f>
        <v>10.947602198008093</v>
      </c>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v>72044</v>
      </c>
      <c r="C111" s="158">
        <v>120186</v>
      </c>
      <c r="D111" s="170">
        <f t="shared" si="11"/>
        <v>66.8</v>
      </c>
      <c r="E111" s="11">
        <f>IFERROR(100/'Skjema total MA'!C111*C111,0)</f>
        <v>15.497185914407401</v>
      </c>
      <c r="F111" s="311">
        <v>11222128</v>
      </c>
      <c r="G111" s="158">
        <v>7311910</v>
      </c>
      <c r="H111" s="170">
        <f t="shared" si="12"/>
        <v>-34.799999999999997</v>
      </c>
      <c r="I111" s="11">
        <f>IFERROR(100/'Skjema total MA'!F111*G111,0)</f>
        <v>18.006549694983871</v>
      </c>
      <c r="J111" s="312">
        <f t="shared" si="31"/>
        <v>11294172</v>
      </c>
      <c r="K111" s="235">
        <f t="shared" si="31"/>
        <v>7432096</v>
      </c>
      <c r="L111" s="426">
        <f t="shared" si="14"/>
        <v>-34.200000000000003</v>
      </c>
      <c r="M111" s="11">
        <f>IFERROR(100/'Skjema total MA'!I111*K111,0)</f>
        <v>17.959522601198795</v>
      </c>
    </row>
    <row r="112" spans="1:15" x14ac:dyDescent="0.2">
      <c r="A112" s="21" t="s">
        <v>9</v>
      </c>
      <c r="B112" s="233">
        <v>72044</v>
      </c>
      <c r="C112" s="144">
        <v>120186</v>
      </c>
      <c r="D112" s="165">
        <f t="shared" ref="D112:D120" si="48">IF(B112=0, "    ---- ", IF(ABS(ROUND(100/B112*C112-100,1))&lt;999,ROUND(100/B112*C112-100,1),IF(ROUND(100/B112*C112-100,1)&gt;999,999,-999)))</f>
        <v>66.8</v>
      </c>
      <c r="E112" s="27">
        <f>IFERROR(100/'Skjema total MA'!C112*C112,0)</f>
        <v>25.030850593125674</v>
      </c>
      <c r="F112" s="233"/>
      <c r="G112" s="144"/>
      <c r="H112" s="165"/>
      <c r="I112" s="27"/>
      <c r="J112" s="290">
        <f t="shared" ref="J112:K125" si="49">SUM(B112,F112)</f>
        <v>72044</v>
      </c>
      <c r="K112" s="44">
        <f t="shared" si="49"/>
        <v>120186</v>
      </c>
      <c r="L112" s="258">
        <f t="shared" ref="L112:L125" si="50">IF(J112=0, "    ---- ", IF(ABS(ROUND(100/J112*K112-100,1))&lt;999,ROUND(100/J112*K112-100,1),IF(ROUND(100/J112*K112-100,1)&gt;999,999,-999)))</f>
        <v>66.8</v>
      </c>
      <c r="M112" s="27">
        <f>IFERROR(100/'Skjema total MA'!I112*K112,0)</f>
        <v>24.799142407532226</v>
      </c>
    </row>
    <row r="113" spans="1:14" x14ac:dyDescent="0.2">
      <c r="A113" s="21" t="s">
        <v>10</v>
      </c>
      <c r="B113" s="233"/>
      <c r="C113" s="144"/>
      <c r="D113" s="165"/>
      <c r="E113" s="27"/>
      <c r="F113" s="233">
        <v>11222128</v>
      </c>
      <c r="G113" s="144">
        <v>7311910</v>
      </c>
      <c r="H113" s="165">
        <f t="shared" ref="H113:H125" si="51">IF(F113=0, "    ---- ", IF(ABS(ROUND(100/F113*G113-100,1))&lt;999,ROUND(100/F113*G113-100,1),IF(ROUND(100/F113*G113-100,1)&gt;999,999,-999)))</f>
        <v>-34.799999999999997</v>
      </c>
      <c r="I113" s="27">
        <f>IFERROR(100/'Skjema total MA'!F113*G113,0)</f>
        <v>18.00900963571879</v>
      </c>
      <c r="J113" s="290">
        <f t="shared" si="49"/>
        <v>11222128</v>
      </c>
      <c r="K113" s="44">
        <f t="shared" si="49"/>
        <v>7311910</v>
      </c>
      <c r="L113" s="258">
        <f t="shared" si="50"/>
        <v>-34.799999999999997</v>
      </c>
      <c r="M113" s="27">
        <f>IFERROR(100/'Skjema total MA'!I113*K113,0)</f>
        <v>18.008929368784589</v>
      </c>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v>27641</v>
      </c>
      <c r="C116" s="233">
        <v>15683</v>
      </c>
      <c r="D116" s="165">
        <f t="shared" si="48"/>
        <v>-43.3</v>
      </c>
      <c r="E116" s="27">
        <f>IFERROR(100/'Skjema total MA'!C116*C116,0)</f>
        <v>13.628212762305511</v>
      </c>
      <c r="F116" s="233"/>
      <c r="G116" s="233"/>
      <c r="H116" s="165"/>
      <c r="I116" s="27"/>
      <c r="J116" s="290">
        <f t="shared" si="49"/>
        <v>27641</v>
      </c>
      <c r="K116" s="44">
        <f t="shared" si="49"/>
        <v>15683</v>
      </c>
      <c r="L116" s="258">
        <f t="shared" si="50"/>
        <v>-43.3</v>
      </c>
      <c r="M116" s="27">
        <f>IFERROR(100/'Skjema total MA'!I116*K116,0)</f>
        <v>13.11685770305346</v>
      </c>
    </row>
    <row r="117" spans="1:14" ht="15.75" x14ac:dyDescent="0.2">
      <c r="A117" s="38" t="s">
        <v>481</v>
      </c>
      <c r="B117" s="233"/>
      <c r="C117" s="233"/>
      <c r="D117" s="165"/>
      <c r="E117" s="27"/>
      <c r="F117" s="233">
        <v>9903779</v>
      </c>
      <c r="G117" s="233">
        <v>3988980</v>
      </c>
      <c r="H117" s="165">
        <f t="shared" si="51"/>
        <v>-59.7</v>
      </c>
      <c r="I117" s="27">
        <f>IFERROR(100/'Skjema total MA'!F117*G117,0)</f>
        <v>17.387135806222055</v>
      </c>
      <c r="J117" s="290">
        <f t="shared" si="49"/>
        <v>9903779</v>
      </c>
      <c r="K117" s="44">
        <f t="shared" si="49"/>
        <v>3988980</v>
      </c>
      <c r="L117" s="258">
        <f t="shared" si="50"/>
        <v>-59.7</v>
      </c>
      <c r="M117" s="27">
        <f>IFERROR(100/'Skjema total MA'!I117*K117,0)</f>
        <v>17.38699866102732</v>
      </c>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v>73897</v>
      </c>
      <c r="C119" s="158">
        <v>45546</v>
      </c>
      <c r="D119" s="170">
        <f t="shared" si="48"/>
        <v>-38.4</v>
      </c>
      <c r="E119" s="11">
        <f>IFERROR(100/'Skjema total MA'!C119*C119,0)</f>
        <v>7.328198726682726</v>
      </c>
      <c r="F119" s="311">
        <v>10542161</v>
      </c>
      <c r="G119" s="158">
        <v>4763326</v>
      </c>
      <c r="H119" s="170">
        <f t="shared" si="51"/>
        <v>-54.8</v>
      </c>
      <c r="I119" s="11">
        <f>IFERROR(100/'Skjema total MA'!F119*G119,0)</f>
        <v>11.062772316687449</v>
      </c>
      <c r="J119" s="312">
        <f t="shared" si="49"/>
        <v>10616058</v>
      </c>
      <c r="K119" s="235">
        <f t="shared" si="49"/>
        <v>4808872</v>
      </c>
      <c r="L119" s="426">
        <f t="shared" si="50"/>
        <v>-54.7</v>
      </c>
      <c r="M119" s="11">
        <f>IFERROR(100/'Skjema total MA'!I119*K119,0)</f>
        <v>11.009632064226622</v>
      </c>
    </row>
    <row r="120" spans="1:14" x14ac:dyDescent="0.2">
      <c r="A120" s="21" t="s">
        <v>9</v>
      </c>
      <c r="B120" s="233">
        <v>73897</v>
      </c>
      <c r="C120" s="144">
        <v>45546</v>
      </c>
      <c r="D120" s="165">
        <f t="shared" si="48"/>
        <v>-38.4</v>
      </c>
      <c r="E120" s="27">
        <f>IFERROR(100/'Skjema total MA'!C120*C120,0)</f>
        <v>20.882499491171103</v>
      </c>
      <c r="F120" s="233"/>
      <c r="G120" s="144"/>
      <c r="H120" s="165"/>
      <c r="I120" s="27"/>
      <c r="J120" s="290">
        <f t="shared" si="49"/>
        <v>73897</v>
      </c>
      <c r="K120" s="44">
        <f t="shared" si="49"/>
        <v>45546</v>
      </c>
      <c r="L120" s="258">
        <f t="shared" si="50"/>
        <v>-38.4</v>
      </c>
      <c r="M120" s="27">
        <f>IFERROR(100/'Skjema total MA'!I120*K120,0)</f>
        <v>20.882499491171103</v>
      </c>
    </row>
    <row r="121" spans="1:14" x14ac:dyDescent="0.2">
      <c r="A121" s="21" t="s">
        <v>10</v>
      </c>
      <c r="B121" s="233"/>
      <c r="C121" s="144"/>
      <c r="D121" s="165"/>
      <c r="E121" s="27"/>
      <c r="F121" s="233">
        <v>10542161</v>
      </c>
      <c r="G121" s="144">
        <v>4763326</v>
      </c>
      <c r="H121" s="165">
        <f t="shared" si="51"/>
        <v>-54.8</v>
      </c>
      <c r="I121" s="27">
        <f>IFERROR(100/'Skjema total MA'!F121*G121,0)</f>
        <v>11.062772316687449</v>
      </c>
      <c r="J121" s="290">
        <f t="shared" si="49"/>
        <v>10542161</v>
      </c>
      <c r="K121" s="44">
        <f t="shared" si="49"/>
        <v>4763326</v>
      </c>
      <c r="L121" s="258">
        <f t="shared" si="50"/>
        <v>-54.8</v>
      </c>
      <c r="M121" s="27">
        <f>IFERROR(100/'Skjema total MA'!I121*K121,0)</f>
        <v>11.060674096825016</v>
      </c>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v>7201743</v>
      </c>
      <c r="G125" s="233">
        <v>2356449</v>
      </c>
      <c r="H125" s="165">
        <f t="shared" si="51"/>
        <v>-67.3</v>
      </c>
      <c r="I125" s="27">
        <f>IFERROR(100/'Skjema total MA'!F125*G125,0)</f>
        <v>10.496974956010005</v>
      </c>
      <c r="J125" s="290">
        <f t="shared" si="49"/>
        <v>7201743</v>
      </c>
      <c r="K125" s="44">
        <f t="shared" si="49"/>
        <v>2356449</v>
      </c>
      <c r="L125" s="258">
        <f t="shared" si="50"/>
        <v>-67.3</v>
      </c>
      <c r="M125" s="27">
        <f>IFERROR(100/'Skjema total MA'!I125*K125,0)</f>
        <v>10.496571904208032</v>
      </c>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945" priority="133">
      <formula>kvartal &lt; 4</formula>
    </cfRule>
  </conditionalFormatting>
  <conditionalFormatting sqref="B69">
    <cfRule type="expression" dxfId="1944" priority="101">
      <formula>kvartal &lt; 4</formula>
    </cfRule>
  </conditionalFormatting>
  <conditionalFormatting sqref="C69">
    <cfRule type="expression" dxfId="1943" priority="100">
      <formula>kvartal &lt; 4</formula>
    </cfRule>
  </conditionalFormatting>
  <conditionalFormatting sqref="B72">
    <cfRule type="expression" dxfId="1942" priority="99">
      <formula>kvartal &lt; 4</formula>
    </cfRule>
  </conditionalFormatting>
  <conditionalFormatting sqref="C72">
    <cfRule type="expression" dxfId="1941" priority="98">
      <formula>kvartal &lt; 4</formula>
    </cfRule>
  </conditionalFormatting>
  <conditionalFormatting sqref="B80">
    <cfRule type="expression" dxfId="1940" priority="97">
      <formula>kvartal &lt; 4</formula>
    </cfRule>
  </conditionalFormatting>
  <conditionalFormatting sqref="C80">
    <cfRule type="expression" dxfId="1939" priority="96">
      <formula>kvartal &lt; 4</formula>
    </cfRule>
  </conditionalFormatting>
  <conditionalFormatting sqref="B83">
    <cfRule type="expression" dxfId="1938" priority="95">
      <formula>kvartal &lt; 4</formula>
    </cfRule>
  </conditionalFormatting>
  <conditionalFormatting sqref="C83">
    <cfRule type="expression" dxfId="1937" priority="94">
      <formula>kvartal &lt; 4</formula>
    </cfRule>
  </conditionalFormatting>
  <conditionalFormatting sqref="B90">
    <cfRule type="expression" dxfId="1936" priority="85">
      <formula>kvartal &lt; 4</formula>
    </cfRule>
  </conditionalFormatting>
  <conditionalFormatting sqref="C90">
    <cfRule type="expression" dxfId="1935" priority="84">
      <formula>kvartal &lt; 4</formula>
    </cfRule>
  </conditionalFormatting>
  <conditionalFormatting sqref="B93">
    <cfRule type="expression" dxfId="1934" priority="83">
      <formula>kvartal &lt; 4</formula>
    </cfRule>
  </conditionalFormatting>
  <conditionalFormatting sqref="C93">
    <cfRule type="expression" dxfId="1933" priority="82">
      <formula>kvartal &lt; 4</formula>
    </cfRule>
  </conditionalFormatting>
  <conditionalFormatting sqref="B101">
    <cfRule type="expression" dxfId="1932" priority="81">
      <formula>kvartal &lt; 4</formula>
    </cfRule>
  </conditionalFormatting>
  <conditionalFormatting sqref="C101">
    <cfRule type="expression" dxfId="1931" priority="80">
      <formula>kvartal &lt; 4</formula>
    </cfRule>
  </conditionalFormatting>
  <conditionalFormatting sqref="B104">
    <cfRule type="expression" dxfId="1930" priority="79">
      <formula>kvartal &lt; 4</formula>
    </cfRule>
  </conditionalFormatting>
  <conditionalFormatting sqref="C104">
    <cfRule type="expression" dxfId="1929" priority="78">
      <formula>kvartal &lt; 4</formula>
    </cfRule>
  </conditionalFormatting>
  <conditionalFormatting sqref="B115">
    <cfRule type="expression" dxfId="1928" priority="77">
      <formula>kvartal &lt; 4</formula>
    </cfRule>
  </conditionalFormatting>
  <conditionalFormatting sqref="C115">
    <cfRule type="expression" dxfId="1927" priority="76">
      <formula>kvartal &lt; 4</formula>
    </cfRule>
  </conditionalFormatting>
  <conditionalFormatting sqref="B123">
    <cfRule type="expression" dxfId="1926" priority="75">
      <formula>kvartal &lt; 4</formula>
    </cfRule>
  </conditionalFormatting>
  <conditionalFormatting sqref="C123">
    <cfRule type="expression" dxfId="1925" priority="74">
      <formula>kvartal &lt; 4</formula>
    </cfRule>
  </conditionalFormatting>
  <conditionalFormatting sqref="F70">
    <cfRule type="expression" dxfId="1924" priority="73">
      <formula>kvartal &lt; 4</formula>
    </cfRule>
  </conditionalFormatting>
  <conditionalFormatting sqref="G70">
    <cfRule type="expression" dxfId="1923" priority="72">
      <formula>kvartal &lt; 4</formula>
    </cfRule>
  </conditionalFormatting>
  <conditionalFormatting sqref="F71:G71">
    <cfRule type="expression" dxfId="1922" priority="71">
      <formula>kvartal &lt; 4</formula>
    </cfRule>
  </conditionalFormatting>
  <conditionalFormatting sqref="F73:G74">
    <cfRule type="expression" dxfId="1921" priority="70">
      <formula>kvartal &lt; 4</formula>
    </cfRule>
  </conditionalFormatting>
  <conditionalFormatting sqref="F81:G82">
    <cfRule type="expression" dxfId="1920" priority="69">
      <formula>kvartal &lt; 4</formula>
    </cfRule>
  </conditionalFormatting>
  <conditionalFormatting sqref="F84:G85">
    <cfRule type="expression" dxfId="1919" priority="68">
      <formula>kvartal &lt; 4</formula>
    </cfRule>
  </conditionalFormatting>
  <conditionalFormatting sqref="F91:G92">
    <cfRule type="expression" dxfId="1918" priority="63">
      <formula>kvartal &lt; 4</formula>
    </cfRule>
  </conditionalFormatting>
  <conditionalFormatting sqref="F94:G95">
    <cfRule type="expression" dxfId="1917" priority="62">
      <formula>kvartal &lt; 4</formula>
    </cfRule>
  </conditionalFormatting>
  <conditionalFormatting sqref="F102:G103">
    <cfRule type="expression" dxfId="1916" priority="61">
      <formula>kvartal &lt; 4</formula>
    </cfRule>
  </conditionalFormatting>
  <conditionalFormatting sqref="F105:G106">
    <cfRule type="expression" dxfId="1915" priority="60">
      <formula>kvartal &lt; 4</formula>
    </cfRule>
  </conditionalFormatting>
  <conditionalFormatting sqref="F115">
    <cfRule type="expression" dxfId="1914" priority="59">
      <formula>kvartal &lt; 4</formula>
    </cfRule>
  </conditionalFormatting>
  <conditionalFormatting sqref="G115">
    <cfRule type="expression" dxfId="1913" priority="58">
      <formula>kvartal &lt; 4</formula>
    </cfRule>
  </conditionalFormatting>
  <conditionalFormatting sqref="F123:G123">
    <cfRule type="expression" dxfId="1912" priority="57">
      <formula>kvartal &lt; 4</formula>
    </cfRule>
  </conditionalFormatting>
  <conditionalFormatting sqref="F69:G69">
    <cfRule type="expression" dxfId="1911" priority="56">
      <formula>kvartal &lt; 4</formula>
    </cfRule>
  </conditionalFormatting>
  <conditionalFormatting sqref="F72:G72">
    <cfRule type="expression" dxfId="1910" priority="55">
      <formula>kvartal &lt; 4</formula>
    </cfRule>
  </conditionalFormatting>
  <conditionalFormatting sqref="F80:G80">
    <cfRule type="expression" dxfId="1909" priority="54">
      <formula>kvartal &lt; 4</formula>
    </cfRule>
  </conditionalFormatting>
  <conditionalFormatting sqref="F83:G83">
    <cfRule type="expression" dxfId="1908" priority="53">
      <formula>kvartal &lt; 4</formula>
    </cfRule>
  </conditionalFormatting>
  <conditionalFormatting sqref="F90:G90">
    <cfRule type="expression" dxfId="1907" priority="47">
      <formula>kvartal &lt; 4</formula>
    </cfRule>
  </conditionalFormatting>
  <conditionalFormatting sqref="F93">
    <cfRule type="expression" dxfId="1906" priority="46">
      <formula>kvartal &lt; 4</formula>
    </cfRule>
  </conditionalFormatting>
  <conditionalFormatting sqref="G93">
    <cfRule type="expression" dxfId="1905" priority="45">
      <formula>kvartal &lt; 4</formula>
    </cfRule>
  </conditionalFormatting>
  <conditionalFormatting sqref="F101">
    <cfRule type="expression" dxfId="1904" priority="44">
      <formula>kvartal &lt; 4</formula>
    </cfRule>
  </conditionalFormatting>
  <conditionalFormatting sqref="G101">
    <cfRule type="expression" dxfId="1903" priority="43">
      <formula>kvartal &lt; 4</formula>
    </cfRule>
  </conditionalFormatting>
  <conditionalFormatting sqref="G104">
    <cfRule type="expression" dxfId="1902" priority="42">
      <formula>kvartal &lt; 4</formula>
    </cfRule>
  </conditionalFormatting>
  <conditionalFormatting sqref="F104">
    <cfRule type="expression" dxfId="1901" priority="41">
      <formula>kvartal &lt; 4</formula>
    </cfRule>
  </conditionalFormatting>
  <conditionalFormatting sqref="J69:K71 J73:K73">
    <cfRule type="expression" dxfId="1900" priority="40">
      <formula>kvartal &lt; 4</formula>
    </cfRule>
  </conditionalFormatting>
  <conditionalFormatting sqref="J80:K82 J84:K84">
    <cfRule type="expression" dxfId="1899" priority="38">
      <formula>kvartal &lt; 4</formula>
    </cfRule>
  </conditionalFormatting>
  <conditionalFormatting sqref="J90:K92 J94:K94">
    <cfRule type="expression" dxfId="1898" priority="35">
      <formula>kvartal &lt; 4</formula>
    </cfRule>
  </conditionalFormatting>
  <conditionalFormatting sqref="J101:K103 J105:K105">
    <cfRule type="expression" dxfId="1897" priority="34">
      <formula>kvartal &lt; 4</formula>
    </cfRule>
  </conditionalFormatting>
  <conditionalFormatting sqref="J115:K115">
    <cfRule type="expression" dxfId="1896" priority="33">
      <formula>kvartal &lt; 4</formula>
    </cfRule>
  </conditionalFormatting>
  <conditionalFormatting sqref="J123:K123">
    <cfRule type="expression" dxfId="1895" priority="32">
      <formula>kvartal &lt; 4</formula>
    </cfRule>
  </conditionalFormatting>
  <conditionalFormatting sqref="A50:A52">
    <cfRule type="expression" dxfId="1894" priority="13">
      <formula>kvartal &lt; 4</formula>
    </cfRule>
  </conditionalFormatting>
  <conditionalFormatting sqref="A69:A74">
    <cfRule type="expression" dxfId="1893" priority="11">
      <formula>kvartal &lt; 4</formula>
    </cfRule>
  </conditionalFormatting>
  <conditionalFormatting sqref="A80:A85">
    <cfRule type="expression" dxfId="1892" priority="10">
      <formula>kvartal &lt; 4</formula>
    </cfRule>
  </conditionalFormatting>
  <conditionalFormatting sqref="A90:A95">
    <cfRule type="expression" dxfId="1891" priority="7">
      <formula>kvartal &lt; 4</formula>
    </cfRule>
  </conditionalFormatting>
  <conditionalFormatting sqref="A101:A106">
    <cfRule type="expression" dxfId="1890" priority="6">
      <formula>kvartal &lt; 4</formula>
    </cfRule>
  </conditionalFormatting>
  <conditionalFormatting sqref="A115">
    <cfRule type="expression" dxfId="1889" priority="5">
      <formula>kvartal &lt; 4</formula>
    </cfRule>
  </conditionalFormatting>
  <conditionalFormatting sqref="A123">
    <cfRule type="expression" dxfId="1888" priority="4">
      <formula>kvartal &lt; 4</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88</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34123.021999999997</v>
      </c>
      <c r="C7" s="310">
        <v>37587.57</v>
      </c>
      <c r="D7" s="351">
        <f>IF(B7=0, "    ---- ", IF(ABS(ROUND(100/B7*C7-100,1))&lt;999,ROUND(100/B7*C7-100,1),IF(ROUND(100/B7*C7-100,1)&gt;999,999,-999)))</f>
        <v>10.199999999999999</v>
      </c>
      <c r="E7" s="11">
        <f>IFERROR(100/'Skjema total MA'!C7*C7,0)</f>
        <v>0.72993272488774374</v>
      </c>
      <c r="F7" s="309"/>
      <c r="G7" s="310"/>
      <c r="H7" s="351"/>
      <c r="I7" s="159"/>
      <c r="J7" s="311">
        <f t="shared" ref="J7:K10" si="0">SUM(B7,F7)</f>
        <v>34123.021999999997</v>
      </c>
      <c r="K7" s="312">
        <f t="shared" si="0"/>
        <v>37587.57</v>
      </c>
      <c r="L7" s="425">
        <f>IF(J7=0, "    ---- ", IF(ABS(ROUND(100/J7*K7-100,1))&lt;999,ROUND(100/J7*K7-100,1),IF(ROUND(100/J7*K7-100,1)&gt;999,999,-999)))</f>
        <v>10.199999999999999</v>
      </c>
      <c r="M7" s="11">
        <f>IFERROR(100/'Skjema total MA'!I7*K7,0)</f>
        <v>0.26149494692197461</v>
      </c>
    </row>
    <row r="8" spans="1:14" ht="15.75" x14ac:dyDescent="0.2">
      <c r="A8" s="21" t="s">
        <v>25</v>
      </c>
      <c r="B8" s="284">
        <v>21079.138999999999</v>
      </c>
      <c r="C8" s="285">
        <v>6346.4939999999997</v>
      </c>
      <c r="D8" s="165">
        <f t="shared" ref="D8:D10" si="1">IF(B8=0, "    ---- ", IF(ABS(ROUND(100/B8*C8-100,1))&lt;999,ROUND(100/B8*C8-100,1),IF(ROUND(100/B8*C8-100,1)&gt;999,999,-999)))</f>
        <v>-69.900000000000006</v>
      </c>
      <c r="E8" s="27">
        <f>IFERROR(100/'Skjema total MA'!C8*C8,0)</f>
        <v>0.18989821266353954</v>
      </c>
      <c r="F8" s="288"/>
      <c r="G8" s="289"/>
      <c r="H8" s="165"/>
      <c r="I8" s="175"/>
      <c r="J8" s="233">
        <f t="shared" si="0"/>
        <v>21079.138999999999</v>
      </c>
      <c r="K8" s="290">
        <f t="shared" si="0"/>
        <v>6346.4939999999997</v>
      </c>
      <c r="L8" s="165">
        <f t="shared" ref="L8:L9" si="2">IF(J8=0, "    ---- ", IF(ABS(ROUND(100/J8*K8-100,1))&lt;999,ROUND(100/J8*K8-100,1),IF(ROUND(100/J8*K8-100,1)&gt;999,999,-999)))</f>
        <v>-69.900000000000006</v>
      </c>
      <c r="M8" s="27">
        <f>IFERROR(100/'Skjema total MA'!I8*K8,0)</f>
        <v>0.18989821266353954</v>
      </c>
    </row>
    <row r="9" spans="1:14" ht="15.75" x14ac:dyDescent="0.2">
      <c r="A9" s="21" t="s">
        <v>24</v>
      </c>
      <c r="B9" s="284">
        <v>12476.130999999999</v>
      </c>
      <c r="C9" s="285">
        <v>3702.1968000000002</v>
      </c>
      <c r="D9" s="165">
        <f t="shared" si="1"/>
        <v>-70.3</v>
      </c>
      <c r="E9" s="27">
        <f>IFERROR(100/'Skjema total MA'!C9*C9,0)</f>
        <v>0.34670341048670206</v>
      </c>
      <c r="F9" s="288"/>
      <c r="G9" s="289"/>
      <c r="H9" s="165"/>
      <c r="I9" s="175"/>
      <c r="J9" s="233">
        <f t="shared" si="0"/>
        <v>12476.130999999999</v>
      </c>
      <c r="K9" s="290">
        <f t="shared" si="0"/>
        <v>3702.1968000000002</v>
      </c>
      <c r="L9" s="165">
        <f t="shared" si="2"/>
        <v>-70.3</v>
      </c>
      <c r="M9" s="27">
        <f>IFERROR(100/'Skjema total MA'!I9*K9,0)</f>
        <v>0.34670341048670206</v>
      </c>
    </row>
    <row r="10" spans="1:14" ht="15.75" x14ac:dyDescent="0.2">
      <c r="A10" s="13" t="s">
        <v>426</v>
      </c>
      <c r="B10" s="313">
        <v>20282.083999999999</v>
      </c>
      <c r="C10" s="314">
        <v>15064</v>
      </c>
      <c r="D10" s="170">
        <f t="shared" si="1"/>
        <v>-25.7</v>
      </c>
      <c r="E10" s="11">
        <f>IFERROR(100/'Skjema total MA'!C10*C10,0)</f>
        <v>8.6330375708582346E-2</v>
      </c>
      <c r="F10" s="313"/>
      <c r="G10" s="314"/>
      <c r="H10" s="170"/>
      <c r="I10" s="159"/>
      <c r="J10" s="311">
        <f t="shared" si="0"/>
        <v>20282.083999999999</v>
      </c>
      <c r="K10" s="312">
        <f t="shared" si="0"/>
        <v>15064</v>
      </c>
      <c r="L10" s="426">
        <f t="shared" ref="L10" si="3">IF(J10=0, "    ---- ", IF(ABS(ROUND(100/J10*K10-100,1))&lt;999,ROUND(100/J10*K10-100,1),IF(ROUND(100/J10*K10-100,1)&gt;999,999,-999)))</f>
        <v>-25.7</v>
      </c>
      <c r="M10" s="11">
        <f>IFERROR(100/'Skjema total MA'!I10*K10,0)</f>
        <v>1.707271996960277E-2</v>
      </c>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v>42.22</v>
      </c>
      <c r="C22" s="313">
        <v>33</v>
      </c>
      <c r="D22" s="351">
        <f t="shared" ref="D22:D31" si="4">IF(B22=0, "    ---- ", IF(ABS(ROUND(100/B22*C22-100,1))&lt;999,ROUND(100/B22*C22-100,1),IF(ROUND(100/B22*C22-100,1)&gt;999,999,-999)))</f>
        <v>-21.8</v>
      </c>
      <c r="E22" s="11">
        <f>IFERROR(100/'Skjema total MA'!C22*C22,0)</f>
        <v>1.5374352539674772E-3</v>
      </c>
      <c r="F22" s="321"/>
      <c r="G22" s="321"/>
      <c r="H22" s="351"/>
      <c r="I22" s="11"/>
      <c r="J22" s="319">
        <f t="shared" ref="J22:K29" si="5">SUM(B22,F22)</f>
        <v>42.22</v>
      </c>
      <c r="K22" s="319">
        <f t="shared" si="5"/>
        <v>33</v>
      </c>
      <c r="L22" s="425">
        <f t="shared" ref="L22:L31" si="6">IF(J22=0, "    ---- ", IF(ABS(ROUND(100/J22*K22-100,1))&lt;999,ROUND(100/J22*K22-100,1),IF(ROUND(100/J22*K22-100,1)&gt;999,999,-999)))</f>
        <v>-21.8</v>
      </c>
      <c r="M22" s="24">
        <f>IFERROR(100/'Skjema total MA'!I22*K22,0)</f>
        <v>1.0407447908072757E-3</v>
      </c>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v>42.22</v>
      </c>
      <c r="C24" s="284">
        <v>33</v>
      </c>
      <c r="D24" s="165">
        <f t="shared" si="4"/>
        <v>-21.8</v>
      </c>
      <c r="E24" s="11">
        <f>IFERROR(100/'Skjema total MA'!C24*C24,0)</f>
        <v>0.15698745367306494</v>
      </c>
      <c r="F24" s="293"/>
      <c r="G24" s="293"/>
      <c r="H24" s="165"/>
      <c r="I24" s="416"/>
      <c r="J24" s="293">
        <f t="shared" ref="J24" si="7">SUM(B24,F24)</f>
        <v>42.22</v>
      </c>
      <c r="K24" s="293">
        <f t="shared" ref="K24" si="8">SUM(C24,G24)</f>
        <v>33</v>
      </c>
      <c r="L24" s="165">
        <f t="shared" si="6"/>
        <v>-21.8</v>
      </c>
      <c r="M24" s="23">
        <f>IFERROR(100/'Skjema total MA'!I24*K24,0)</f>
        <v>0.14835081692497207</v>
      </c>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v>42.22</v>
      </c>
      <c r="C28" s="290">
        <v>33</v>
      </c>
      <c r="D28" s="165">
        <f t="shared" si="4"/>
        <v>-21.8</v>
      </c>
      <c r="E28" s="11">
        <f>IFERROR(100/'Skjema total MA'!C28*C28,0)</f>
        <v>1.3583441294913368E-3</v>
      </c>
      <c r="F28" s="233"/>
      <c r="G28" s="290"/>
      <c r="H28" s="165"/>
      <c r="I28" s="27"/>
      <c r="J28" s="44">
        <f t="shared" si="5"/>
        <v>42.22</v>
      </c>
      <c r="K28" s="44">
        <f t="shared" si="5"/>
        <v>33</v>
      </c>
      <c r="L28" s="258">
        <f t="shared" si="6"/>
        <v>-21.8</v>
      </c>
      <c r="M28" s="23">
        <f>IFERROR(100/'Skjema total MA'!I28*K28,0)</f>
        <v>1.3583441294913368E-3</v>
      </c>
    </row>
    <row r="29" spans="1:14" s="3" customFormat="1" ht="15.75" x14ac:dyDescent="0.2">
      <c r="A29" s="13" t="s">
        <v>426</v>
      </c>
      <c r="B29" s="235">
        <v>1728.453</v>
      </c>
      <c r="C29" s="235">
        <v>241</v>
      </c>
      <c r="D29" s="170">
        <f t="shared" si="4"/>
        <v>-86.1</v>
      </c>
      <c r="E29" s="11">
        <f>IFERROR(100/'Skjema total MA'!C29*C29,0)</f>
        <v>5.4730306545916214E-4</v>
      </c>
      <c r="F29" s="311"/>
      <c r="G29" s="311"/>
      <c r="H29" s="170"/>
      <c r="I29" s="11"/>
      <c r="J29" s="235">
        <f t="shared" si="5"/>
        <v>1728.453</v>
      </c>
      <c r="K29" s="235">
        <f t="shared" si="5"/>
        <v>241</v>
      </c>
      <c r="L29" s="426">
        <f t="shared" si="6"/>
        <v>-86.1</v>
      </c>
      <c r="M29" s="24">
        <f>IFERROR(100/'Skjema total MA'!I29*K29,0)</f>
        <v>3.5694240020926331E-4</v>
      </c>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v>1728.453</v>
      </c>
      <c r="C31" s="284">
        <v>241</v>
      </c>
      <c r="D31" s="165">
        <f t="shared" si="4"/>
        <v>-86.1</v>
      </c>
      <c r="E31" s="11">
        <f>IFERROR(100/'Skjema total MA'!C31*C31,0)</f>
        <v>9.8377374051997787E-4</v>
      </c>
      <c r="F31" s="293"/>
      <c r="G31" s="293"/>
      <c r="H31" s="165"/>
      <c r="I31" s="416"/>
      <c r="J31" s="293">
        <f t="shared" ref="J31" si="9">SUM(B31,F31)</f>
        <v>1728.453</v>
      </c>
      <c r="K31" s="293">
        <f t="shared" ref="K31" si="10">SUM(C31,G31)</f>
        <v>241</v>
      </c>
      <c r="L31" s="165">
        <f t="shared" si="6"/>
        <v>-86.1</v>
      </c>
      <c r="M31" s="23">
        <f>IFERROR(100/'Skjema total MA'!I31*K31,0)</f>
        <v>7.5717016829702881E-4</v>
      </c>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c r="C47" s="314"/>
      <c r="D47" s="425"/>
      <c r="E47" s="11"/>
      <c r="F47" s="144"/>
      <c r="G47" s="33"/>
      <c r="H47" s="158"/>
      <c r="I47" s="158"/>
      <c r="J47" s="37"/>
      <c r="K47" s="37"/>
      <c r="L47" s="158"/>
      <c r="M47" s="158"/>
      <c r="N47" s="147"/>
    </row>
    <row r="48" spans="1:14" s="3" customFormat="1" ht="15.75" x14ac:dyDescent="0.2">
      <c r="A48" s="38" t="s">
        <v>437</v>
      </c>
      <c r="B48" s="284"/>
      <c r="C48" s="285"/>
      <c r="D48" s="258"/>
      <c r="E48" s="27"/>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887" priority="132">
      <formula>kvartal &lt; 4</formula>
    </cfRule>
  </conditionalFormatting>
  <conditionalFormatting sqref="B69">
    <cfRule type="expression" dxfId="1886" priority="100">
      <formula>kvartal &lt; 4</formula>
    </cfRule>
  </conditionalFormatting>
  <conditionalFormatting sqref="C69">
    <cfRule type="expression" dxfId="1885" priority="99">
      <formula>kvartal &lt; 4</formula>
    </cfRule>
  </conditionalFormatting>
  <conditionalFormatting sqref="B72">
    <cfRule type="expression" dxfId="1884" priority="98">
      <formula>kvartal &lt; 4</formula>
    </cfRule>
  </conditionalFormatting>
  <conditionalFormatting sqref="C72">
    <cfRule type="expression" dxfId="1883" priority="97">
      <formula>kvartal &lt; 4</formula>
    </cfRule>
  </conditionalFormatting>
  <conditionalFormatting sqref="B80">
    <cfRule type="expression" dxfId="1882" priority="96">
      <formula>kvartal &lt; 4</formula>
    </cfRule>
  </conditionalFormatting>
  <conditionalFormatting sqref="C80">
    <cfRule type="expression" dxfId="1881" priority="95">
      <formula>kvartal &lt; 4</formula>
    </cfRule>
  </conditionalFormatting>
  <conditionalFormatting sqref="B83">
    <cfRule type="expression" dxfId="1880" priority="94">
      <formula>kvartal &lt; 4</formula>
    </cfRule>
  </conditionalFormatting>
  <conditionalFormatting sqref="C83">
    <cfRule type="expression" dxfId="1879" priority="93">
      <formula>kvartal &lt; 4</formula>
    </cfRule>
  </conditionalFormatting>
  <conditionalFormatting sqref="B90">
    <cfRule type="expression" dxfId="1878" priority="84">
      <formula>kvartal &lt; 4</formula>
    </cfRule>
  </conditionalFormatting>
  <conditionalFormatting sqref="C90">
    <cfRule type="expression" dxfId="1877" priority="83">
      <formula>kvartal &lt; 4</formula>
    </cfRule>
  </conditionalFormatting>
  <conditionalFormatting sqref="B93">
    <cfRule type="expression" dxfId="1876" priority="82">
      <formula>kvartal &lt; 4</formula>
    </cfRule>
  </conditionalFormatting>
  <conditionalFormatting sqref="C93">
    <cfRule type="expression" dxfId="1875" priority="81">
      <formula>kvartal &lt; 4</formula>
    </cfRule>
  </conditionalFormatting>
  <conditionalFormatting sqref="B101">
    <cfRule type="expression" dxfId="1874" priority="80">
      <formula>kvartal &lt; 4</formula>
    </cfRule>
  </conditionalFormatting>
  <conditionalFormatting sqref="C101">
    <cfRule type="expression" dxfId="1873" priority="79">
      <formula>kvartal &lt; 4</formula>
    </cfRule>
  </conditionalFormatting>
  <conditionalFormatting sqref="B104">
    <cfRule type="expression" dxfId="1872" priority="78">
      <formula>kvartal &lt; 4</formula>
    </cfRule>
  </conditionalFormatting>
  <conditionalFormatting sqref="C104">
    <cfRule type="expression" dxfId="1871" priority="77">
      <formula>kvartal &lt; 4</formula>
    </cfRule>
  </conditionalFormatting>
  <conditionalFormatting sqref="B115">
    <cfRule type="expression" dxfId="1870" priority="76">
      <formula>kvartal &lt; 4</formula>
    </cfRule>
  </conditionalFormatting>
  <conditionalFormatting sqref="C115">
    <cfRule type="expression" dxfId="1869" priority="75">
      <formula>kvartal &lt; 4</formula>
    </cfRule>
  </conditionalFormatting>
  <conditionalFormatting sqref="B123">
    <cfRule type="expression" dxfId="1868" priority="74">
      <formula>kvartal &lt; 4</formula>
    </cfRule>
  </conditionalFormatting>
  <conditionalFormatting sqref="C123">
    <cfRule type="expression" dxfId="1867" priority="73">
      <formula>kvartal &lt; 4</formula>
    </cfRule>
  </conditionalFormatting>
  <conditionalFormatting sqref="F70">
    <cfRule type="expression" dxfId="1866" priority="72">
      <formula>kvartal &lt; 4</formula>
    </cfRule>
  </conditionalFormatting>
  <conditionalFormatting sqref="G70">
    <cfRule type="expression" dxfId="1865" priority="71">
      <formula>kvartal &lt; 4</formula>
    </cfRule>
  </conditionalFormatting>
  <conditionalFormatting sqref="F71:G71">
    <cfRule type="expression" dxfId="1864" priority="70">
      <formula>kvartal &lt; 4</formula>
    </cfRule>
  </conditionalFormatting>
  <conditionalFormatting sqref="F73:G74">
    <cfRule type="expression" dxfId="1863" priority="69">
      <formula>kvartal &lt; 4</formula>
    </cfRule>
  </conditionalFormatting>
  <conditionalFormatting sqref="F81:G82">
    <cfRule type="expression" dxfId="1862" priority="68">
      <formula>kvartal &lt; 4</formula>
    </cfRule>
  </conditionalFormatting>
  <conditionalFormatting sqref="F84:G85">
    <cfRule type="expression" dxfId="1861" priority="67">
      <formula>kvartal &lt; 4</formula>
    </cfRule>
  </conditionalFormatting>
  <conditionalFormatting sqref="F91:G92">
    <cfRule type="expression" dxfId="1860" priority="62">
      <formula>kvartal &lt; 4</formula>
    </cfRule>
  </conditionalFormatting>
  <conditionalFormatting sqref="F94:G95">
    <cfRule type="expression" dxfId="1859" priority="61">
      <formula>kvartal &lt; 4</formula>
    </cfRule>
  </conditionalFormatting>
  <conditionalFormatting sqref="F102:G103">
    <cfRule type="expression" dxfId="1858" priority="60">
      <formula>kvartal &lt; 4</formula>
    </cfRule>
  </conditionalFormatting>
  <conditionalFormatting sqref="F105:G106">
    <cfRule type="expression" dxfId="1857" priority="59">
      <formula>kvartal &lt; 4</formula>
    </cfRule>
  </conditionalFormatting>
  <conditionalFormatting sqref="F115">
    <cfRule type="expression" dxfId="1856" priority="58">
      <formula>kvartal &lt; 4</formula>
    </cfRule>
  </conditionalFormatting>
  <conditionalFormatting sqref="G115">
    <cfRule type="expression" dxfId="1855" priority="57">
      <formula>kvartal &lt; 4</formula>
    </cfRule>
  </conditionalFormatting>
  <conditionalFormatting sqref="F123:G123">
    <cfRule type="expression" dxfId="1854" priority="56">
      <formula>kvartal &lt; 4</formula>
    </cfRule>
  </conditionalFormatting>
  <conditionalFormatting sqref="F69:G69">
    <cfRule type="expression" dxfId="1853" priority="55">
      <formula>kvartal &lt; 4</formula>
    </cfRule>
  </conditionalFormatting>
  <conditionalFormatting sqref="F72:G72">
    <cfRule type="expression" dxfId="1852" priority="54">
      <formula>kvartal &lt; 4</formula>
    </cfRule>
  </conditionalFormatting>
  <conditionalFormatting sqref="F80:G80">
    <cfRule type="expression" dxfId="1851" priority="53">
      <formula>kvartal &lt; 4</formula>
    </cfRule>
  </conditionalFormatting>
  <conditionalFormatting sqref="F83:G83">
    <cfRule type="expression" dxfId="1850" priority="52">
      <formula>kvartal &lt; 4</formula>
    </cfRule>
  </conditionalFormatting>
  <conditionalFormatting sqref="F90:G90">
    <cfRule type="expression" dxfId="1849" priority="46">
      <formula>kvartal &lt; 4</formula>
    </cfRule>
  </conditionalFormatting>
  <conditionalFormatting sqref="F93">
    <cfRule type="expression" dxfId="1848" priority="45">
      <formula>kvartal &lt; 4</formula>
    </cfRule>
  </conditionalFormatting>
  <conditionalFormatting sqref="G93">
    <cfRule type="expression" dxfId="1847" priority="44">
      <formula>kvartal &lt; 4</formula>
    </cfRule>
  </conditionalFormatting>
  <conditionalFormatting sqref="F101">
    <cfRule type="expression" dxfId="1846" priority="43">
      <formula>kvartal &lt; 4</formula>
    </cfRule>
  </conditionalFormatting>
  <conditionalFormatting sqref="G101">
    <cfRule type="expression" dxfId="1845" priority="42">
      <formula>kvartal &lt; 4</formula>
    </cfRule>
  </conditionalFormatting>
  <conditionalFormatting sqref="G104">
    <cfRule type="expression" dxfId="1844" priority="41">
      <formula>kvartal &lt; 4</formula>
    </cfRule>
  </conditionalFormatting>
  <conditionalFormatting sqref="F104">
    <cfRule type="expression" dxfId="1843" priority="40">
      <formula>kvartal &lt; 4</formula>
    </cfRule>
  </conditionalFormatting>
  <conditionalFormatting sqref="J69:K73">
    <cfRule type="expression" dxfId="1842" priority="39">
      <formula>kvartal &lt; 4</formula>
    </cfRule>
  </conditionalFormatting>
  <conditionalFormatting sqref="J74:K74">
    <cfRule type="expression" dxfId="1841" priority="38">
      <formula>kvartal &lt; 4</formula>
    </cfRule>
  </conditionalFormatting>
  <conditionalFormatting sqref="J80:K85">
    <cfRule type="expression" dxfId="1840" priority="37">
      <formula>kvartal &lt; 4</formula>
    </cfRule>
  </conditionalFormatting>
  <conditionalFormatting sqref="J90:K95">
    <cfRule type="expression" dxfId="1839" priority="34">
      <formula>kvartal &lt; 4</formula>
    </cfRule>
  </conditionalFormatting>
  <conditionalFormatting sqref="J101:K106">
    <cfRule type="expression" dxfId="1838" priority="33">
      <formula>kvartal &lt; 4</formula>
    </cfRule>
  </conditionalFormatting>
  <conditionalFormatting sqref="J115:K115">
    <cfRule type="expression" dxfId="1837" priority="32">
      <formula>kvartal &lt; 4</formula>
    </cfRule>
  </conditionalFormatting>
  <conditionalFormatting sqref="J123:K123">
    <cfRule type="expression" dxfId="1836" priority="31">
      <formula>kvartal &lt; 4</formula>
    </cfRule>
  </conditionalFormatting>
  <conditionalFormatting sqref="A50:A52">
    <cfRule type="expression" dxfId="1835" priority="12">
      <formula>kvartal &lt; 4</formula>
    </cfRule>
  </conditionalFormatting>
  <conditionalFormatting sqref="A69:A74">
    <cfRule type="expression" dxfId="1834" priority="10">
      <formula>kvartal &lt; 4</formula>
    </cfRule>
  </conditionalFormatting>
  <conditionalFormatting sqref="A80:A85">
    <cfRule type="expression" dxfId="1833" priority="9">
      <formula>kvartal &lt; 4</formula>
    </cfRule>
  </conditionalFormatting>
  <conditionalFormatting sqref="A90:A95">
    <cfRule type="expression" dxfId="1832" priority="6">
      <formula>kvartal &lt; 4</formula>
    </cfRule>
  </conditionalFormatting>
  <conditionalFormatting sqref="A101:A106">
    <cfRule type="expression" dxfId="1831" priority="5">
      <formula>kvartal &lt; 4</formula>
    </cfRule>
  </conditionalFormatting>
  <conditionalFormatting sqref="A115">
    <cfRule type="expression" dxfId="1830" priority="4">
      <formula>kvartal &lt; 4</formula>
    </cfRule>
  </conditionalFormatting>
  <conditionalFormatting sqref="A123">
    <cfRule type="expression" dxfId="1829"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127</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407549.65517683298</v>
      </c>
      <c r="C7" s="310">
        <v>437689.68911945098</v>
      </c>
      <c r="D7" s="351">
        <f>IF(B7=0, "    ---- ", IF(ABS(ROUND(100/B7*C7-100,1))&lt;999,ROUND(100/B7*C7-100,1),IF(ROUND(100/B7*C7-100,1)&gt;999,999,-999)))</f>
        <v>7.4</v>
      </c>
      <c r="E7" s="11">
        <f>IFERROR(100/'Skjema total MA'!C7*C7,0)</f>
        <v>8.4997255059114032</v>
      </c>
      <c r="F7" s="309"/>
      <c r="G7" s="310"/>
      <c r="H7" s="351"/>
      <c r="I7" s="159"/>
      <c r="J7" s="311">
        <f t="shared" ref="J7:K10" si="0">SUM(B7,F7)</f>
        <v>407549.65517683298</v>
      </c>
      <c r="K7" s="312">
        <f t="shared" si="0"/>
        <v>437689.68911945098</v>
      </c>
      <c r="L7" s="425">
        <f>IF(J7=0, "    ---- ", IF(ABS(ROUND(100/J7*K7-100,1))&lt;999,ROUND(100/J7*K7-100,1),IF(ROUND(100/J7*K7-100,1)&gt;999,999,-999)))</f>
        <v>7.4</v>
      </c>
      <c r="M7" s="11">
        <f>IFERROR(100/'Skjema total MA'!I7*K7,0)</f>
        <v>3.0449864682549688</v>
      </c>
    </row>
    <row r="8" spans="1:14" ht="15.75" x14ac:dyDescent="0.2">
      <c r="A8" s="21" t="s">
        <v>25</v>
      </c>
      <c r="B8" s="284">
        <v>285267.726738622</v>
      </c>
      <c r="C8" s="285">
        <v>312232.41361181799</v>
      </c>
      <c r="D8" s="165">
        <f t="shared" ref="D8:D10" si="1">IF(B8=0, "    ---- ", IF(ABS(ROUND(100/B8*C8-100,1))&lt;999,ROUND(100/B8*C8-100,1),IF(ROUND(100/B8*C8-100,1)&gt;999,999,-999)))</f>
        <v>9.5</v>
      </c>
      <c r="E8" s="27">
        <f>IFERROR(100/'Skjema total MA'!C8*C8,0)</f>
        <v>9.3425405082723234</v>
      </c>
      <c r="F8" s="288"/>
      <c r="G8" s="289"/>
      <c r="H8" s="165"/>
      <c r="I8" s="175"/>
      <c r="J8" s="233">
        <f t="shared" si="0"/>
        <v>285267.726738622</v>
      </c>
      <c r="K8" s="290">
        <f t="shared" si="0"/>
        <v>312232.41361181799</v>
      </c>
      <c r="L8" s="165">
        <f t="shared" ref="L8:L9" si="2">IF(J8=0, "    ---- ", IF(ABS(ROUND(100/J8*K8-100,1))&lt;999,ROUND(100/J8*K8-100,1),IF(ROUND(100/J8*K8-100,1)&gt;999,999,-999)))</f>
        <v>9.5</v>
      </c>
      <c r="M8" s="27">
        <f>IFERROR(100/'Skjema total MA'!I8*K8,0)</f>
        <v>9.3425405082723234</v>
      </c>
    </row>
    <row r="9" spans="1:14" ht="15.75" x14ac:dyDescent="0.2">
      <c r="A9" s="21" t="s">
        <v>24</v>
      </c>
      <c r="B9" s="284">
        <v>122281.92843821101</v>
      </c>
      <c r="C9" s="285">
        <v>125457.275507634</v>
      </c>
      <c r="D9" s="165">
        <f t="shared" si="1"/>
        <v>2.6</v>
      </c>
      <c r="E9" s="27">
        <f>IFERROR(100/'Skjema total MA'!C9*C9,0)</f>
        <v>11.748825802255164</v>
      </c>
      <c r="F9" s="288"/>
      <c r="G9" s="289"/>
      <c r="H9" s="165"/>
      <c r="I9" s="175"/>
      <c r="J9" s="233">
        <f t="shared" si="0"/>
        <v>122281.92843821101</v>
      </c>
      <c r="K9" s="290">
        <f t="shared" si="0"/>
        <v>125457.275507634</v>
      </c>
      <c r="L9" s="165">
        <f t="shared" si="2"/>
        <v>2.6</v>
      </c>
      <c r="M9" s="27">
        <f>IFERROR(100/'Skjema total MA'!I9*K9,0)</f>
        <v>11.748825802255164</v>
      </c>
    </row>
    <row r="10" spans="1:14" ht="15.75" x14ac:dyDescent="0.2">
      <c r="A10" s="13" t="s">
        <v>426</v>
      </c>
      <c r="B10" s="313">
        <v>556565.27800000005</v>
      </c>
      <c r="C10" s="314">
        <v>549814.80638066796</v>
      </c>
      <c r="D10" s="170">
        <f t="shared" si="1"/>
        <v>-1.2</v>
      </c>
      <c r="E10" s="11">
        <f>IFERROR(100/'Skjema total MA'!C10*C10,0)</f>
        <v>3.1509372547121961</v>
      </c>
      <c r="F10" s="313"/>
      <c r="G10" s="314"/>
      <c r="H10" s="170"/>
      <c r="I10" s="159"/>
      <c r="J10" s="311">
        <f t="shared" si="0"/>
        <v>556565.27800000005</v>
      </c>
      <c r="K10" s="312">
        <f t="shared" si="0"/>
        <v>549814.80638066796</v>
      </c>
      <c r="L10" s="426">
        <f t="shared" ref="L10" si="3">IF(J10=0, "    ---- ", IF(ABS(ROUND(100/J10*K10-100,1))&lt;999,ROUND(100/J10*K10-100,1),IF(ROUND(100/J10*K10-100,1)&gt;999,999,-999)))</f>
        <v>-1.2</v>
      </c>
      <c r="M10" s="11">
        <f>IFERROR(100/'Skjema total MA'!I10*K10,0)</f>
        <v>0.6231302591926785</v>
      </c>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v>216078.24376196999</v>
      </c>
      <c r="C28" s="290">
        <v>250574.95230834701</v>
      </c>
      <c r="D28" s="165">
        <f t="shared" ref="D28" si="4">IF(B28=0, "    ---- ", IF(ABS(ROUND(100/B28*C28-100,1))&lt;999,ROUND(100/B28*C28-100,1),IF(ROUND(100/B28*C28-100,1)&gt;999,999,-999)))</f>
        <v>16</v>
      </c>
      <c r="E28" s="11">
        <f>IFERROR(100/'Skjema total MA'!C28*C28,0)</f>
        <v>10.314151983806511</v>
      </c>
      <c r="F28" s="233"/>
      <c r="G28" s="290"/>
      <c r="H28" s="165"/>
      <c r="I28" s="27"/>
      <c r="J28" s="44">
        <f t="shared" ref="J28:K28" si="5">SUM(B28,F28)</f>
        <v>216078.24376196999</v>
      </c>
      <c r="K28" s="44">
        <f t="shared" si="5"/>
        <v>250574.95230834701</v>
      </c>
      <c r="L28" s="258">
        <f t="shared" ref="L28" si="6">IF(J28=0, "    ---- ", IF(ABS(ROUND(100/J28*K28-100,1))&lt;999,ROUND(100/J28*K28-100,1),IF(ROUND(100/J28*K28-100,1)&gt;999,999,-999)))</f>
        <v>16</v>
      </c>
      <c r="M28" s="23">
        <f>IFERROR(100/'Skjema total MA'!I28*K28,0)</f>
        <v>10.314151983806511</v>
      </c>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127907.0653</v>
      </c>
      <c r="C47" s="314">
        <v>156782.18551000001</v>
      </c>
      <c r="D47" s="425">
        <f t="shared" ref="D47:D57" si="7">IF(B47=0, "    ---- ", IF(ABS(ROUND(100/B47*C47-100,1))&lt;999,ROUND(100/B47*C47-100,1),IF(ROUND(100/B47*C47-100,1)&gt;999,999,-999)))</f>
        <v>22.6</v>
      </c>
      <c r="E47" s="11">
        <f>IFERROR(100/'Skjema total MA'!C47*C47,0)</f>
        <v>2.829142474385884</v>
      </c>
      <c r="F47" s="144"/>
      <c r="G47" s="33"/>
      <c r="H47" s="158"/>
      <c r="I47" s="158"/>
      <c r="J47" s="37"/>
      <c r="K47" s="37"/>
      <c r="L47" s="158"/>
      <c r="M47" s="158"/>
      <c r="N47" s="147"/>
    </row>
    <row r="48" spans="1:14" s="3" customFormat="1" ht="15.75" x14ac:dyDescent="0.2">
      <c r="A48" s="38" t="s">
        <v>437</v>
      </c>
      <c r="B48" s="284">
        <v>127907.0653</v>
      </c>
      <c r="C48" s="285">
        <v>156782.18551000001</v>
      </c>
      <c r="D48" s="258">
        <f t="shared" si="7"/>
        <v>22.6</v>
      </c>
      <c r="E48" s="27">
        <f>IFERROR(100/'Skjema total MA'!C48*C48,0)</f>
        <v>5.0900580957756594</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v>7133.2978760218002</v>
      </c>
      <c r="C53" s="314">
        <v>3177.489</v>
      </c>
      <c r="D53" s="426">
        <f t="shared" si="7"/>
        <v>-55.5</v>
      </c>
      <c r="E53" s="11">
        <f>IFERROR(100/'Skjema total MA'!C53*C53,0)</f>
        <v>2.229651628831236</v>
      </c>
      <c r="F53" s="144"/>
      <c r="G53" s="33"/>
      <c r="H53" s="144"/>
      <c r="I53" s="144"/>
      <c r="J53" s="33"/>
      <c r="K53" s="33"/>
      <c r="L53" s="158"/>
      <c r="M53" s="158"/>
      <c r="N53" s="147"/>
    </row>
    <row r="54" spans="1:14" s="3" customFormat="1" ht="15.75" x14ac:dyDescent="0.2">
      <c r="A54" s="38" t="s">
        <v>437</v>
      </c>
      <c r="B54" s="284">
        <v>7133.2978760218002</v>
      </c>
      <c r="C54" s="285">
        <v>3177.489</v>
      </c>
      <c r="D54" s="258">
        <f t="shared" si="7"/>
        <v>-55.5</v>
      </c>
      <c r="E54" s="27">
        <f>IFERROR(100/'Skjema total MA'!C54*C54,0)</f>
        <v>2.2445987614476608</v>
      </c>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v>800.75400000000002</v>
      </c>
      <c r="C56" s="314">
        <v>1663.482</v>
      </c>
      <c r="D56" s="426">
        <f t="shared" si="7"/>
        <v>107.7</v>
      </c>
      <c r="E56" s="11">
        <f>IFERROR(100/'Skjema total MA'!C56*C56,0)</f>
        <v>1.5303425360398877</v>
      </c>
      <c r="F56" s="144"/>
      <c r="G56" s="33"/>
      <c r="H56" s="144"/>
      <c r="I56" s="144"/>
      <c r="J56" s="33"/>
      <c r="K56" s="33"/>
      <c r="L56" s="158"/>
      <c r="M56" s="158"/>
      <c r="N56" s="147"/>
    </row>
    <row r="57" spans="1:14" s="3" customFormat="1" ht="15.75" x14ac:dyDescent="0.2">
      <c r="A57" s="38" t="s">
        <v>437</v>
      </c>
      <c r="B57" s="284">
        <v>800.75400000000002</v>
      </c>
      <c r="C57" s="285">
        <v>1663.482</v>
      </c>
      <c r="D57" s="258">
        <f t="shared" si="7"/>
        <v>107.7</v>
      </c>
      <c r="E57" s="27">
        <f>IFERROR(100/'Skjema total MA'!C57*C57,0)</f>
        <v>1.5303425360398877</v>
      </c>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828" priority="132">
      <formula>kvartal &lt; 4</formula>
    </cfRule>
  </conditionalFormatting>
  <conditionalFormatting sqref="B69">
    <cfRule type="expression" dxfId="1827" priority="100">
      <formula>kvartal &lt; 4</formula>
    </cfRule>
  </conditionalFormatting>
  <conditionalFormatting sqref="C69">
    <cfRule type="expression" dxfId="1826" priority="99">
      <formula>kvartal &lt; 4</formula>
    </cfRule>
  </conditionalFormatting>
  <conditionalFormatting sqref="B72">
    <cfRule type="expression" dxfId="1825" priority="98">
      <formula>kvartal &lt; 4</formula>
    </cfRule>
  </conditionalFormatting>
  <conditionalFormatting sqref="C72">
    <cfRule type="expression" dxfId="1824" priority="97">
      <formula>kvartal &lt; 4</formula>
    </cfRule>
  </conditionalFormatting>
  <conditionalFormatting sqref="B80">
    <cfRule type="expression" dxfId="1823" priority="96">
      <formula>kvartal &lt; 4</formula>
    </cfRule>
  </conditionalFormatting>
  <conditionalFormatting sqref="C80">
    <cfRule type="expression" dxfId="1822" priority="95">
      <formula>kvartal &lt; 4</formula>
    </cfRule>
  </conditionalFormatting>
  <conditionalFormatting sqref="B83">
    <cfRule type="expression" dxfId="1821" priority="94">
      <formula>kvartal &lt; 4</formula>
    </cfRule>
  </conditionalFormatting>
  <conditionalFormatting sqref="C83">
    <cfRule type="expression" dxfId="1820" priority="93">
      <formula>kvartal &lt; 4</formula>
    </cfRule>
  </conditionalFormatting>
  <conditionalFormatting sqref="B90">
    <cfRule type="expression" dxfId="1819" priority="84">
      <formula>kvartal &lt; 4</formula>
    </cfRule>
  </conditionalFormatting>
  <conditionalFormatting sqref="C90">
    <cfRule type="expression" dxfId="1818" priority="83">
      <formula>kvartal &lt; 4</formula>
    </cfRule>
  </conditionalFormatting>
  <conditionalFormatting sqref="B93">
    <cfRule type="expression" dxfId="1817" priority="82">
      <formula>kvartal &lt; 4</formula>
    </cfRule>
  </conditionalFormatting>
  <conditionalFormatting sqref="C93">
    <cfRule type="expression" dxfId="1816" priority="81">
      <formula>kvartal &lt; 4</formula>
    </cfRule>
  </conditionalFormatting>
  <conditionalFormatting sqref="B101">
    <cfRule type="expression" dxfId="1815" priority="80">
      <formula>kvartal &lt; 4</formula>
    </cfRule>
  </conditionalFormatting>
  <conditionalFormatting sqref="C101">
    <cfRule type="expression" dxfId="1814" priority="79">
      <formula>kvartal &lt; 4</formula>
    </cfRule>
  </conditionalFormatting>
  <conditionalFormatting sqref="B104">
    <cfRule type="expression" dxfId="1813" priority="78">
      <formula>kvartal &lt; 4</formula>
    </cfRule>
  </conditionalFormatting>
  <conditionalFormatting sqref="C104">
    <cfRule type="expression" dxfId="1812" priority="77">
      <formula>kvartal &lt; 4</formula>
    </cfRule>
  </conditionalFormatting>
  <conditionalFormatting sqref="B115">
    <cfRule type="expression" dxfId="1811" priority="76">
      <formula>kvartal &lt; 4</formula>
    </cfRule>
  </conditionalFormatting>
  <conditionalFormatting sqref="C115">
    <cfRule type="expression" dxfId="1810" priority="75">
      <formula>kvartal &lt; 4</formula>
    </cfRule>
  </conditionalFormatting>
  <conditionalFormatting sqref="B123">
    <cfRule type="expression" dxfId="1809" priority="74">
      <formula>kvartal &lt; 4</formula>
    </cfRule>
  </conditionalFormatting>
  <conditionalFormatting sqref="C123">
    <cfRule type="expression" dxfId="1808" priority="73">
      <formula>kvartal &lt; 4</formula>
    </cfRule>
  </conditionalFormatting>
  <conditionalFormatting sqref="F70">
    <cfRule type="expression" dxfId="1807" priority="72">
      <formula>kvartal &lt; 4</formula>
    </cfRule>
  </conditionalFormatting>
  <conditionalFormatting sqref="G70">
    <cfRule type="expression" dxfId="1806" priority="71">
      <formula>kvartal &lt; 4</formula>
    </cfRule>
  </conditionalFormatting>
  <conditionalFormatting sqref="F71:G71">
    <cfRule type="expression" dxfId="1805" priority="70">
      <formula>kvartal &lt; 4</formula>
    </cfRule>
  </conditionalFormatting>
  <conditionalFormatting sqref="F73:G74">
    <cfRule type="expression" dxfId="1804" priority="69">
      <formula>kvartal &lt; 4</formula>
    </cfRule>
  </conditionalFormatting>
  <conditionalFormatting sqref="F81:G82">
    <cfRule type="expression" dxfId="1803" priority="68">
      <formula>kvartal &lt; 4</formula>
    </cfRule>
  </conditionalFormatting>
  <conditionalFormatting sqref="F84:G85">
    <cfRule type="expression" dxfId="1802" priority="67">
      <formula>kvartal &lt; 4</formula>
    </cfRule>
  </conditionalFormatting>
  <conditionalFormatting sqref="F91:G92">
    <cfRule type="expression" dxfId="1801" priority="62">
      <formula>kvartal &lt; 4</formula>
    </cfRule>
  </conditionalFormatting>
  <conditionalFormatting sqref="F94:G95">
    <cfRule type="expression" dxfId="1800" priority="61">
      <formula>kvartal &lt; 4</formula>
    </cfRule>
  </conditionalFormatting>
  <conditionalFormatting sqref="F102:G103">
    <cfRule type="expression" dxfId="1799" priority="60">
      <formula>kvartal &lt; 4</formula>
    </cfRule>
  </conditionalFormatting>
  <conditionalFormatting sqref="F105:G106">
    <cfRule type="expression" dxfId="1798" priority="59">
      <formula>kvartal &lt; 4</formula>
    </cfRule>
  </conditionalFormatting>
  <conditionalFormatting sqref="F115">
    <cfRule type="expression" dxfId="1797" priority="58">
      <formula>kvartal &lt; 4</formula>
    </cfRule>
  </conditionalFormatting>
  <conditionalFormatting sqref="G115">
    <cfRule type="expression" dxfId="1796" priority="57">
      <formula>kvartal &lt; 4</formula>
    </cfRule>
  </conditionalFormatting>
  <conditionalFormatting sqref="F123:G123">
    <cfRule type="expression" dxfId="1795" priority="56">
      <formula>kvartal &lt; 4</formula>
    </cfRule>
  </conditionalFormatting>
  <conditionalFormatting sqref="F69:G69">
    <cfRule type="expression" dxfId="1794" priority="55">
      <formula>kvartal &lt; 4</formula>
    </cfRule>
  </conditionalFormatting>
  <conditionalFormatting sqref="F72:G72">
    <cfRule type="expression" dxfId="1793" priority="54">
      <formula>kvartal &lt; 4</formula>
    </cfRule>
  </conditionalFormatting>
  <conditionalFormatting sqref="F80:G80">
    <cfRule type="expression" dxfId="1792" priority="53">
      <formula>kvartal &lt; 4</formula>
    </cfRule>
  </conditionalFormatting>
  <conditionalFormatting sqref="F83:G83">
    <cfRule type="expression" dxfId="1791" priority="52">
      <formula>kvartal &lt; 4</formula>
    </cfRule>
  </conditionalFormatting>
  <conditionalFormatting sqref="F90:G90">
    <cfRule type="expression" dxfId="1790" priority="46">
      <formula>kvartal &lt; 4</formula>
    </cfRule>
  </conditionalFormatting>
  <conditionalFormatting sqref="F93">
    <cfRule type="expression" dxfId="1789" priority="45">
      <formula>kvartal &lt; 4</formula>
    </cfRule>
  </conditionalFormatting>
  <conditionalFormatting sqref="G93">
    <cfRule type="expression" dxfId="1788" priority="44">
      <formula>kvartal &lt; 4</formula>
    </cfRule>
  </conditionalFormatting>
  <conditionalFormatting sqref="F101">
    <cfRule type="expression" dxfId="1787" priority="43">
      <formula>kvartal &lt; 4</formula>
    </cfRule>
  </conditionalFormatting>
  <conditionalFormatting sqref="G101">
    <cfRule type="expression" dxfId="1786" priority="42">
      <formula>kvartal &lt; 4</formula>
    </cfRule>
  </conditionalFormatting>
  <conditionalFormatting sqref="G104">
    <cfRule type="expression" dxfId="1785" priority="41">
      <formula>kvartal &lt; 4</formula>
    </cfRule>
  </conditionalFormatting>
  <conditionalFormatting sqref="F104">
    <cfRule type="expression" dxfId="1784" priority="40">
      <formula>kvartal &lt; 4</formula>
    </cfRule>
  </conditionalFormatting>
  <conditionalFormatting sqref="J69:K73">
    <cfRule type="expression" dxfId="1783" priority="39">
      <formula>kvartal &lt; 4</formula>
    </cfRule>
  </conditionalFormatting>
  <conditionalFormatting sqref="J74:K74">
    <cfRule type="expression" dxfId="1782" priority="38">
      <formula>kvartal &lt; 4</formula>
    </cfRule>
  </conditionalFormatting>
  <conditionalFormatting sqref="J80:K85">
    <cfRule type="expression" dxfId="1781" priority="37">
      <formula>kvartal &lt; 4</formula>
    </cfRule>
  </conditionalFormatting>
  <conditionalFormatting sqref="J90:K95">
    <cfRule type="expression" dxfId="1780" priority="34">
      <formula>kvartal &lt; 4</formula>
    </cfRule>
  </conditionalFormatting>
  <conditionalFormatting sqref="J101:K106">
    <cfRule type="expression" dxfId="1779" priority="33">
      <formula>kvartal &lt; 4</formula>
    </cfRule>
  </conditionalFormatting>
  <conditionalFormatting sqref="J115:K115">
    <cfRule type="expression" dxfId="1778" priority="32">
      <formula>kvartal &lt; 4</formula>
    </cfRule>
  </conditionalFormatting>
  <conditionalFormatting sqref="J123:K123">
    <cfRule type="expression" dxfId="1777" priority="31">
      <formula>kvartal &lt; 4</formula>
    </cfRule>
  </conditionalFormatting>
  <conditionalFormatting sqref="A50:A52">
    <cfRule type="expression" dxfId="1776" priority="12">
      <formula>kvartal &lt; 4</formula>
    </cfRule>
  </conditionalFormatting>
  <conditionalFormatting sqref="A69:A74">
    <cfRule type="expression" dxfId="1775" priority="10">
      <formula>kvartal &lt; 4</formula>
    </cfRule>
  </conditionalFormatting>
  <conditionalFormatting sqref="A80:A85">
    <cfRule type="expression" dxfId="1774" priority="9">
      <formula>kvartal &lt; 4</formula>
    </cfRule>
  </conditionalFormatting>
  <conditionalFormatting sqref="A90:A95">
    <cfRule type="expression" dxfId="1773" priority="6">
      <formula>kvartal &lt; 4</formula>
    </cfRule>
  </conditionalFormatting>
  <conditionalFormatting sqref="A101:A106">
    <cfRule type="expression" dxfId="1772" priority="5">
      <formula>kvartal &lt; 4</formula>
    </cfRule>
  </conditionalFormatting>
  <conditionalFormatting sqref="A115">
    <cfRule type="expression" dxfId="1771" priority="4">
      <formula>kvartal &lt; 4</formula>
    </cfRule>
  </conditionalFormatting>
  <conditionalFormatting sqref="A123">
    <cfRule type="expression" dxfId="1770"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B3" sqref="B3"/>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8"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7"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326</v>
      </c>
      <c r="C18" s="70" t="s">
        <v>327</v>
      </c>
      <c r="D18" s="69"/>
      <c r="E18" s="69"/>
      <c r="F18" s="69"/>
      <c r="G18" s="69"/>
      <c r="H18" s="69"/>
      <c r="I18" s="69"/>
      <c r="J18" s="69"/>
      <c r="K18" s="69"/>
      <c r="L18" s="69"/>
      <c r="M18" s="69"/>
      <c r="N18" s="69"/>
    </row>
    <row r="19" spans="1:14" ht="20.100000000000001" customHeight="1" x14ac:dyDescent="0.35">
      <c r="A19" s="70"/>
      <c r="B19" s="70" t="s">
        <v>328</v>
      </c>
      <c r="C19" s="70" t="s">
        <v>264</v>
      </c>
      <c r="D19" s="69"/>
      <c r="E19" s="69"/>
      <c r="F19" s="69"/>
      <c r="G19" s="69"/>
      <c r="H19" s="69"/>
      <c r="I19" s="69"/>
      <c r="J19" s="69"/>
      <c r="K19" s="69"/>
      <c r="L19" s="69"/>
      <c r="M19" s="69"/>
      <c r="N19" s="69"/>
    </row>
    <row r="20" spans="1:14" s="349" customFormat="1" ht="20.100000000000001" customHeight="1" x14ac:dyDescent="0.35">
      <c r="A20" s="347"/>
      <c r="B20" s="347" t="s">
        <v>330</v>
      </c>
      <c r="C20" s="347" t="s">
        <v>329</v>
      </c>
      <c r="D20" s="348"/>
      <c r="E20" s="348"/>
      <c r="F20" s="348"/>
      <c r="G20" s="348"/>
      <c r="H20" s="348"/>
      <c r="I20" s="348"/>
      <c r="J20" s="348"/>
      <c r="K20" s="348"/>
      <c r="L20" s="348"/>
      <c r="M20" s="348"/>
      <c r="N20" s="348"/>
    </row>
    <row r="21" spans="1:14" ht="20.100000000000001" customHeight="1" x14ac:dyDescent="0.35">
      <c r="A21" s="70"/>
      <c r="B21" s="70"/>
      <c r="C21" s="70"/>
    </row>
    <row r="22" spans="1:14" ht="18.75" customHeight="1" x14ac:dyDescent="0.35">
      <c r="A22" s="70"/>
      <c r="B22" s="347" t="s">
        <v>248</v>
      </c>
      <c r="C22" s="347"/>
    </row>
    <row r="23" spans="1:14" ht="20.100000000000001" customHeight="1" x14ac:dyDescent="0.35">
      <c r="A23" s="70"/>
      <c r="B23" s="350" t="s">
        <v>249</v>
      </c>
      <c r="C23" s="347" t="s">
        <v>250</v>
      </c>
    </row>
    <row r="24" spans="1:14" ht="20.100000000000001" customHeight="1" x14ac:dyDescent="0.35">
      <c r="A24" s="70"/>
      <c r="B24" s="350" t="s">
        <v>251</v>
      </c>
      <c r="C24" s="347" t="s">
        <v>252</v>
      </c>
    </row>
    <row r="25" spans="1:14" ht="20.100000000000001" customHeight="1" x14ac:dyDescent="0.35">
      <c r="A25" s="70"/>
      <c r="B25" s="350" t="s">
        <v>253</v>
      </c>
      <c r="C25" s="347" t="s">
        <v>254</v>
      </c>
    </row>
    <row r="26" spans="1:14" ht="20.100000000000001" customHeight="1" x14ac:dyDescent="0.35">
      <c r="A26" s="70"/>
      <c r="B26" s="350" t="s">
        <v>255</v>
      </c>
      <c r="C26" s="347" t="s">
        <v>256</v>
      </c>
    </row>
    <row r="27" spans="1:14" ht="20.100000000000001" customHeight="1" x14ac:dyDescent="0.35">
      <c r="A27" s="70"/>
      <c r="B27" s="350" t="s">
        <v>168</v>
      </c>
      <c r="C27" s="347" t="s">
        <v>257</v>
      </c>
    </row>
    <row r="28" spans="1:14" ht="20.100000000000001" customHeight="1" x14ac:dyDescent="0.35">
      <c r="A28" s="70"/>
      <c r="B28" s="350" t="s">
        <v>258</v>
      </c>
      <c r="C28" s="347" t="s">
        <v>259</v>
      </c>
    </row>
    <row r="29" spans="1:14" ht="20.100000000000001" customHeight="1" x14ac:dyDescent="0.35">
      <c r="A29" s="70"/>
      <c r="B29" s="350" t="s">
        <v>260</v>
      </c>
      <c r="C29" s="347" t="s">
        <v>261</v>
      </c>
    </row>
    <row r="30" spans="1:14" ht="18.75" customHeight="1" x14ac:dyDescent="0.35">
      <c r="A30" s="70"/>
      <c r="B30" s="350" t="s">
        <v>262</v>
      </c>
      <c r="C30" s="347" t="s">
        <v>263</v>
      </c>
    </row>
    <row r="31" spans="1:14" ht="18.75" customHeight="1" x14ac:dyDescent="0.35">
      <c r="A31" s="70"/>
      <c r="B31" s="350"/>
      <c r="C31" s="347"/>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5"/>
      <c r="D36" s="346"/>
    </row>
    <row r="37" spans="1:14" ht="26.25" x14ac:dyDescent="0.4">
      <c r="C37" s="72"/>
    </row>
    <row r="38" spans="1:14" ht="26.25" x14ac:dyDescent="0.4">
      <c r="C38" s="72"/>
    </row>
    <row r="39" spans="1:14" ht="26.25" x14ac:dyDescent="0.4">
      <c r="C39" s="345"/>
      <c r="D39" s="349"/>
      <c r="E39" s="349"/>
      <c r="F39" s="349"/>
      <c r="G39" s="349"/>
      <c r="H39" s="349"/>
      <c r="I39" s="349"/>
      <c r="J39" s="349"/>
      <c r="K39" s="349"/>
      <c r="L39" s="349"/>
      <c r="M39" s="349"/>
      <c r="N39" s="349"/>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O144"/>
  <sheetViews>
    <sheetView showGridLines="0" zoomScale="90" zoomScaleNormal="90" zoomScaleSheetLayoutView="10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63</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c r="G7" s="310"/>
      <c r="H7" s="351"/>
      <c r="I7" s="159"/>
      <c r="J7" s="311"/>
      <c r="K7" s="312"/>
      <c r="L7" s="425"/>
      <c r="M7" s="11"/>
    </row>
    <row r="8" spans="1:14" ht="15.75" x14ac:dyDescent="0.2">
      <c r="A8" s="21" t="s">
        <v>25</v>
      </c>
      <c r="B8" s="284"/>
      <c r="C8" s="285"/>
      <c r="D8" s="165"/>
      <c r="E8" s="27"/>
      <c r="F8" s="288"/>
      <c r="G8" s="289"/>
      <c r="H8" s="165"/>
      <c r="I8" s="175"/>
      <c r="J8" s="233"/>
      <c r="K8" s="290"/>
      <c r="L8" s="165"/>
      <c r="M8" s="27"/>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c r="C47" s="314"/>
      <c r="D47" s="425"/>
      <c r="E47" s="11"/>
      <c r="F47" s="144"/>
      <c r="G47" s="33"/>
      <c r="H47" s="158"/>
      <c r="I47" s="158"/>
      <c r="J47" s="37"/>
      <c r="K47" s="37"/>
      <c r="L47" s="158"/>
      <c r="M47" s="158"/>
      <c r="N47" s="147"/>
    </row>
    <row r="48" spans="1:14" s="3" customFormat="1" ht="15.75" x14ac:dyDescent="0.2">
      <c r="A48" s="38" t="s">
        <v>437</v>
      </c>
      <c r="B48" s="284"/>
      <c r="C48" s="285"/>
      <c r="D48" s="258"/>
      <c r="E48" s="27"/>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v>50026045.50818</v>
      </c>
      <c r="C134" s="312">
        <v>49973107.937069997</v>
      </c>
      <c r="D134" s="351">
        <f t="shared" ref="D134:D137" si="0">IF(B134=0, "    ---- ", IF(ABS(ROUND(100/B134*C134-100,1))&lt;999,ROUND(100/B134*C134-100,1),IF(ROUND(100/B134*C134-100,1)&gt;999,999,-999)))</f>
        <v>-0.1</v>
      </c>
      <c r="E134" s="11">
        <f>IFERROR(100/'Skjema total MA'!C134*C134,0)</f>
        <v>83.868641204919811</v>
      </c>
      <c r="F134" s="319">
        <v>135009.071</v>
      </c>
      <c r="G134" s="320">
        <v>163946.05499999999</v>
      </c>
      <c r="H134" s="429">
        <f t="shared" ref="H134:H136" si="1">IF(F134=0, "    ---- ", IF(ABS(ROUND(100/F134*G134-100,1))&lt;999,ROUND(100/F134*G134-100,1),IF(ROUND(100/F134*G134-100,1)&gt;999,999,-999)))</f>
        <v>21.4</v>
      </c>
      <c r="I134" s="24">
        <f>IFERROR(100/'Skjema total MA'!F134*G134,0)</f>
        <v>100</v>
      </c>
      <c r="J134" s="321">
        <f t="shared" ref="J134:K137" si="2">SUM(B134,F134)</f>
        <v>50161054.579180002</v>
      </c>
      <c r="K134" s="321">
        <f t="shared" si="2"/>
        <v>50137053.992069997</v>
      </c>
      <c r="L134" s="425">
        <f t="shared" ref="L134:L137" si="3">IF(J134=0, "    ---- ", IF(ABS(ROUND(100/J134*K134-100,1))&lt;999,ROUND(100/J134*K134-100,1),IF(ROUND(100/J134*K134-100,1)&gt;999,999,-999)))</f>
        <v>0</v>
      </c>
      <c r="M134" s="11">
        <f>IFERROR(100/'Skjema total MA'!I134*K134,0)</f>
        <v>83.912904308589148</v>
      </c>
      <c r="N134" s="147"/>
    </row>
    <row r="135" spans="1:14" s="3" customFormat="1" ht="15.75" x14ac:dyDescent="0.2">
      <c r="A135" s="13" t="s">
        <v>453</v>
      </c>
      <c r="B135" s="235">
        <v>574122994.44806004</v>
      </c>
      <c r="C135" s="312">
        <v>651711055.01066995</v>
      </c>
      <c r="D135" s="170">
        <f t="shared" si="0"/>
        <v>13.5</v>
      </c>
      <c r="E135" s="11">
        <f>IFERROR(100/'Skjema total MA'!C135*C135,0)</f>
        <v>84.182613966711031</v>
      </c>
      <c r="F135" s="235">
        <v>2234333.4679299998</v>
      </c>
      <c r="G135" s="312">
        <v>2551713.4049300002</v>
      </c>
      <c r="H135" s="430">
        <f t="shared" si="1"/>
        <v>14.2</v>
      </c>
      <c r="I135" s="24">
        <f>IFERROR(100/'Skjema total MA'!F135*G135,0)</f>
        <v>100</v>
      </c>
      <c r="J135" s="311">
        <f t="shared" si="2"/>
        <v>576357327.91599</v>
      </c>
      <c r="K135" s="311">
        <f t="shared" si="2"/>
        <v>654262768.41559994</v>
      </c>
      <c r="L135" s="426">
        <f t="shared" si="3"/>
        <v>13.5</v>
      </c>
      <c r="M135" s="11">
        <f>IFERROR(100/'Skjema total MA'!I135*K135,0)</f>
        <v>84.234578233977231</v>
      </c>
      <c r="N135" s="147"/>
    </row>
    <row r="136" spans="1:14" s="3" customFormat="1" ht="15.75" x14ac:dyDescent="0.2">
      <c r="A136" s="13" t="s">
        <v>450</v>
      </c>
      <c r="B136" s="235"/>
      <c r="C136" s="312">
        <v>9293.7960000000003</v>
      </c>
      <c r="D136" s="170" t="str">
        <f t="shared" ref="D136" si="4">IF(B136=0, "    ---- ", IF(ABS(ROUND(100/B136*C136-100,1))&lt;999,ROUND(100/B136*C136-100,1),IF(ROUND(100/B136*C136-100,1)&gt;999,999,-999)))</f>
        <v xml:space="preserve">    ---- </v>
      </c>
      <c r="E136" s="11">
        <f>IFERROR(100/'Skjema total MA'!C136*C136,0)</f>
        <v>0.26732661220627907</v>
      </c>
      <c r="F136" s="235">
        <v>0</v>
      </c>
      <c r="G136" s="312">
        <v>376337.44099999999</v>
      </c>
      <c r="H136" s="430" t="str">
        <f t="shared" si="1"/>
        <v xml:space="preserve">    ---- </v>
      </c>
      <c r="I136" s="24">
        <f>IFERROR(100/'Skjema total MA'!F136*G136,0)</f>
        <v>100</v>
      </c>
      <c r="J136" s="311">
        <f t="shared" si="2"/>
        <v>0</v>
      </c>
      <c r="K136" s="311">
        <f t="shared" si="2"/>
        <v>385631.23699999996</v>
      </c>
      <c r="L136" s="426" t="str">
        <f t="shared" si="3"/>
        <v xml:space="preserve">    ---- </v>
      </c>
      <c r="M136" s="11">
        <f>IFERROR(100/'Skjema total MA'!I136*K136,0)</f>
        <v>10.008838077003629</v>
      </c>
      <c r="N136" s="147"/>
    </row>
    <row r="137" spans="1:14" s="3" customFormat="1" ht="15.75" x14ac:dyDescent="0.2">
      <c r="A137" s="41" t="s">
        <v>451</v>
      </c>
      <c r="B137" s="279">
        <v>8346122.3590000002</v>
      </c>
      <c r="C137" s="318">
        <v>4658699.7889999999</v>
      </c>
      <c r="D137" s="168">
        <f t="shared" si="0"/>
        <v>-44.2</v>
      </c>
      <c r="E137" s="9">
        <f>IFERROR(100/'Skjema total MA'!C137*C137,0)</f>
        <v>99.775963982252492</v>
      </c>
      <c r="F137" s="279"/>
      <c r="G137" s="318"/>
      <c r="H137" s="431"/>
      <c r="I137" s="36"/>
      <c r="J137" s="317">
        <f t="shared" si="2"/>
        <v>8346122.3590000002</v>
      </c>
      <c r="K137" s="317">
        <f t="shared" si="2"/>
        <v>4658699.7889999999</v>
      </c>
      <c r="L137" s="427">
        <f t="shared" si="3"/>
        <v>-44.2</v>
      </c>
      <c r="M137" s="36">
        <f>IFERROR(100/'Skjema total MA'!I137*K137,0)</f>
        <v>99.775963982252492</v>
      </c>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769" priority="132">
      <formula>kvartal &lt; 4</formula>
    </cfRule>
  </conditionalFormatting>
  <conditionalFormatting sqref="B69">
    <cfRule type="expression" dxfId="1768" priority="100">
      <formula>kvartal &lt; 4</formula>
    </cfRule>
  </conditionalFormatting>
  <conditionalFormatting sqref="C69">
    <cfRule type="expression" dxfId="1767" priority="99">
      <formula>kvartal &lt; 4</formula>
    </cfRule>
  </conditionalFormatting>
  <conditionalFormatting sqref="B72">
    <cfRule type="expression" dxfId="1766" priority="98">
      <formula>kvartal &lt; 4</formula>
    </cfRule>
  </conditionalFormatting>
  <conditionalFormatting sqref="C72">
    <cfRule type="expression" dxfId="1765" priority="97">
      <formula>kvartal &lt; 4</formula>
    </cfRule>
  </conditionalFormatting>
  <conditionalFormatting sqref="B80">
    <cfRule type="expression" dxfId="1764" priority="96">
      <formula>kvartal &lt; 4</formula>
    </cfRule>
  </conditionalFormatting>
  <conditionalFormatting sqref="C80">
    <cfRule type="expression" dxfId="1763" priority="95">
      <formula>kvartal &lt; 4</formula>
    </cfRule>
  </conditionalFormatting>
  <conditionalFormatting sqref="B83">
    <cfRule type="expression" dxfId="1762" priority="94">
      <formula>kvartal &lt; 4</formula>
    </cfRule>
  </conditionalFormatting>
  <conditionalFormatting sqref="C83">
    <cfRule type="expression" dxfId="1761" priority="93">
      <formula>kvartal &lt; 4</formula>
    </cfRule>
  </conditionalFormatting>
  <conditionalFormatting sqref="B90">
    <cfRule type="expression" dxfId="1760" priority="84">
      <formula>kvartal &lt; 4</formula>
    </cfRule>
  </conditionalFormatting>
  <conditionalFormatting sqref="C90">
    <cfRule type="expression" dxfId="1759" priority="83">
      <formula>kvartal &lt; 4</formula>
    </cfRule>
  </conditionalFormatting>
  <conditionalFormatting sqref="B93">
    <cfRule type="expression" dxfId="1758" priority="82">
      <formula>kvartal &lt; 4</formula>
    </cfRule>
  </conditionalFormatting>
  <conditionalFormatting sqref="C93">
    <cfRule type="expression" dxfId="1757" priority="81">
      <formula>kvartal &lt; 4</formula>
    </cfRule>
  </conditionalFormatting>
  <conditionalFormatting sqref="B101">
    <cfRule type="expression" dxfId="1756" priority="80">
      <formula>kvartal &lt; 4</formula>
    </cfRule>
  </conditionalFormatting>
  <conditionalFormatting sqref="C101">
    <cfRule type="expression" dxfId="1755" priority="79">
      <formula>kvartal &lt; 4</formula>
    </cfRule>
  </conditionalFormatting>
  <conditionalFormatting sqref="B104">
    <cfRule type="expression" dxfId="1754" priority="78">
      <formula>kvartal &lt; 4</formula>
    </cfRule>
  </conditionalFormatting>
  <conditionalFormatting sqref="C104">
    <cfRule type="expression" dxfId="1753" priority="77">
      <formula>kvartal &lt; 4</formula>
    </cfRule>
  </conditionalFormatting>
  <conditionalFormatting sqref="B115">
    <cfRule type="expression" dxfId="1752" priority="76">
      <formula>kvartal &lt; 4</formula>
    </cfRule>
  </conditionalFormatting>
  <conditionalFormatting sqref="C115">
    <cfRule type="expression" dxfId="1751" priority="75">
      <formula>kvartal &lt; 4</formula>
    </cfRule>
  </conditionalFormatting>
  <conditionalFormatting sqref="B123">
    <cfRule type="expression" dxfId="1750" priority="74">
      <formula>kvartal &lt; 4</formula>
    </cfRule>
  </conditionalFormatting>
  <conditionalFormatting sqref="C123">
    <cfRule type="expression" dxfId="1749" priority="73">
      <formula>kvartal &lt; 4</formula>
    </cfRule>
  </conditionalFormatting>
  <conditionalFormatting sqref="F70">
    <cfRule type="expression" dxfId="1748" priority="72">
      <formula>kvartal &lt; 4</formula>
    </cfRule>
  </conditionalFormatting>
  <conditionalFormatting sqref="G70">
    <cfRule type="expression" dxfId="1747" priority="71">
      <formula>kvartal &lt; 4</formula>
    </cfRule>
  </conditionalFormatting>
  <conditionalFormatting sqref="F71:G71">
    <cfRule type="expression" dxfId="1746" priority="70">
      <formula>kvartal &lt; 4</formula>
    </cfRule>
  </conditionalFormatting>
  <conditionalFormatting sqref="F73:G74">
    <cfRule type="expression" dxfId="1745" priority="69">
      <formula>kvartal &lt; 4</formula>
    </cfRule>
  </conditionalFormatting>
  <conditionalFormatting sqref="F81:G82">
    <cfRule type="expression" dxfId="1744" priority="68">
      <formula>kvartal &lt; 4</formula>
    </cfRule>
  </conditionalFormatting>
  <conditionalFormatting sqref="F84:G85">
    <cfRule type="expression" dxfId="1743" priority="67">
      <formula>kvartal &lt; 4</formula>
    </cfRule>
  </conditionalFormatting>
  <conditionalFormatting sqref="F91:G92">
    <cfRule type="expression" dxfId="1742" priority="62">
      <formula>kvartal &lt; 4</formula>
    </cfRule>
  </conditionalFormatting>
  <conditionalFormatting sqref="F94:G95">
    <cfRule type="expression" dxfId="1741" priority="61">
      <formula>kvartal &lt; 4</formula>
    </cfRule>
  </conditionalFormatting>
  <conditionalFormatting sqref="F102:G103">
    <cfRule type="expression" dxfId="1740" priority="60">
      <formula>kvartal &lt; 4</formula>
    </cfRule>
  </conditionalFormatting>
  <conditionalFormatting sqref="F105:G106">
    <cfRule type="expression" dxfId="1739" priority="59">
      <formula>kvartal &lt; 4</formula>
    </cfRule>
  </conditionalFormatting>
  <conditionalFormatting sqref="F115">
    <cfRule type="expression" dxfId="1738" priority="58">
      <formula>kvartal &lt; 4</formula>
    </cfRule>
  </conditionalFormatting>
  <conditionalFormatting sqref="G115">
    <cfRule type="expression" dxfId="1737" priority="57">
      <formula>kvartal &lt; 4</formula>
    </cfRule>
  </conditionalFormatting>
  <conditionalFormatting sqref="F123:G123">
    <cfRule type="expression" dxfId="1736" priority="56">
      <formula>kvartal &lt; 4</formula>
    </cfRule>
  </conditionalFormatting>
  <conditionalFormatting sqref="F69:G69">
    <cfRule type="expression" dxfId="1735" priority="55">
      <formula>kvartal &lt; 4</formula>
    </cfRule>
  </conditionalFormatting>
  <conditionalFormatting sqref="F72:G72">
    <cfRule type="expression" dxfId="1734" priority="54">
      <formula>kvartal &lt; 4</formula>
    </cfRule>
  </conditionalFormatting>
  <conditionalFormatting sqref="F80:G80">
    <cfRule type="expression" dxfId="1733" priority="53">
      <formula>kvartal &lt; 4</formula>
    </cfRule>
  </conditionalFormatting>
  <conditionalFormatting sqref="F83:G83">
    <cfRule type="expression" dxfId="1732" priority="52">
      <formula>kvartal &lt; 4</formula>
    </cfRule>
  </conditionalFormatting>
  <conditionalFormatting sqref="F90:G90">
    <cfRule type="expression" dxfId="1731" priority="46">
      <formula>kvartal &lt; 4</formula>
    </cfRule>
  </conditionalFormatting>
  <conditionalFormatting sqref="F93">
    <cfRule type="expression" dxfId="1730" priority="45">
      <formula>kvartal &lt; 4</formula>
    </cfRule>
  </conditionalFormatting>
  <conditionalFormatting sqref="G93">
    <cfRule type="expression" dxfId="1729" priority="44">
      <formula>kvartal &lt; 4</formula>
    </cfRule>
  </conditionalFormatting>
  <conditionalFormatting sqref="F101">
    <cfRule type="expression" dxfId="1728" priority="43">
      <formula>kvartal &lt; 4</formula>
    </cfRule>
  </conditionalFormatting>
  <conditionalFormatting sqref="G101">
    <cfRule type="expression" dxfId="1727" priority="42">
      <formula>kvartal &lt; 4</formula>
    </cfRule>
  </conditionalFormatting>
  <conditionalFormatting sqref="G104">
    <cfRule type="expression" dxfId="1726" priority="41">
      <formula>kvartal &lt; 4</formula>
    </cfRule>
  </conditionalFormatting>
  <conditionalFormatting sqref="F104">
    <cfRule type="expression" dxfId="1725" priority="40">
      <formula>kvartal &lt; 4</formula>
    </cfRule>
  </conditionalFormatting>
  <conditionalFormatting sqref="J69:K73">
    <cfRule type="expression" dxfId="1724" priority="39">
      <formula>kvartal &lt; 4</formula>
    </cfRule>
  </conditionalFormatting>
  <conditionalFormatting sqref="J74:K74">
    <cfRule type="expression" dxfId="1723" priority="38">
      <formula>kvartal &lt; 4</formula>
    </cfRule>
  </conditionalFormatting>
  <conditionalFormatting sqref="J80:K85">
    <cfRule type="expression" dxfId="1722" priority="37">
      <formula>kvartal &lt; 4</formula>
    </cfRule>
  </conditionalFormatting>
  <conditionalFormatting sqref="J90:K95">
    <cfRule type="expression" dxfId="1721" priority="34">
      <formula>kvartal &lt; 4</formula>
    </cfRule>
  </conditionalFormatting>
  <conditionalFormatting sqref="J101:K106">
    <cfRule type="expression" dxfId="1720" priority="33">
      <formula>kvartal &lt; 4</formula>
    </cfRule>
  </conditionalFormatting>
  <conditionalFormatting sqref="J115:K115">
    <cfRule type="expression" dxfId="1719" priority="32">
      <formula>kvartal &lt; 4</formula>
    </cfRule>
  </conditionalFormatting>
  <conditionalFormatting sqref="J123:K123">
    <cfRule type="expression" dxfId="1718" priority="31">
      <formula>kvartal &lt; 4</formula>
    </cfRule>
  </conditionalFormatting>
  <conditionalFormatting sqref="A50:A52">
    <cfRule type="expression" dxfId="1717" priority="12">
      <formula>kvartal &lt; 4</formula>
    </cfRule>
  </conditionalFormatting>
  <conditionalFormatting sqref="A69:A74">
    <cfRule type="expression" dxfId="1716" priority="10">
      <formula>kvartal &lt; 4</formula>
    </cfRule>
  </conditionalFormatting>
  <conditionalFormatting sqref="A80:A85">
    <cfRule type="expression" dxfId="1715" priority="9">
      <formula>kvartal &lt; 4</formula>
    </cfRule>
  </conditionalFormatting>
  <conditionalFormatting sqref="A90:A95">
    <cfRule type="expression" dxfId="1714" priority="6">
      <formula>kvartal &lt; 4</formula>
    </cfRule>
  </conditionalFormatting>
  <conditionalFormatting sqref="A101:A106">
    <cfRule type="expression" dxfId="1713" priority="5">
      <formula>kvartal &lt; 4</formula>
    </cfRule>
  </conditionalFormatting>
  <conditionalFormatting sqref="A115">
    <cfRule type="expression" dxfId="1712" priority="4">
      <formula>kvartal &lt; 4</formula>
    </cfRule>
  </conditionalFormatting>
  <conditionalFormatting sqref="A123">
    <cfRule type="expression" dxfId="1711" priority="3">
      <formula>kvartal &lt; 4</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130</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22656.884999999998</v>
      </c>
      <c r="C7" s="310">
        <v>28459.95</v>
      </c>
      <c r="D7" s="351">
        <f>IF(B7=0, "    ---- ", IF(ABS(ROUND(100/B7*C7-100,1))&lt;999,ROUND(100/B7*C7-100,1),IF(ROUND(100/B7*C7-100,1)&gt;999,999,-999)))</f>
        <v>25.6</v>
      </c>
      <c r="E7" s="11">
        <f>IFERROR(100/'Skjema total MA'!C7*C7,0)</f>
        <v>0.55267868749347038</v>
      </c>
      <c r="F7" s="309"/>
      <c r="G7" s="310"/>
      <c r="H7" s="351"/>
      <c r="I7" s="159"/>
      <c r="J7" s="311">
        <f t="shared" ref="J7:K10" si="0">SUM(B7,F7)</f>
        <v>22656.884999999998</v>
      </c>
      <c r="K7" s="312">
        <f t="shared" si="0"/>
        <v>28459.95</v>
      </c>
      <c r="L7" s="425">
        <f>IF(J7=0, "    ---- ", IF(ABS(ROUND(100/J7*K7-100,1))&lt;999,ROUND(100/J7*K7-100,1),IF(ROUND(100/J7*K7-100,1)&gt;999,999,-999)))</f>
        <v>25.6</v>
      </c>
      <c r="M7" s="11">
        <f>IFERROR(100/'Skjema total MA'!I7*K7,0)</f>
        <v>0.19799452623971309</v>
      </c>
    </row>
    <row r="8" spans="1:14" ht="15.75" x14ac:dyDescent="0.2">
      <c r="A8" s="21" t="s">
        <v>25</v>
      </c>
      <c r="B8" s="284">
        <v>21500.223999999998</v>
      </c>
      <c r="C8" s="285">
        <v>27139.626</v>
      </c>
      <c r="D8" s="165">
        <f t="shared" ref="D8:D10" si="1">IF(B8=0, "    ---- ", IF(ABS(ROUND(100/B8*C8-100,1))&lt;999,ROUND(100/B8*C8-100,1),IF(ROUND(100/B8*C8-100,1)&gt;999,999,-999)))</f>
        <v>26.2</v>
      </c>
      <c r="E8" s="27">
        <f>IFERROR(100/'Skjema total MA'!C8*C8,0)</f>
        <v>0.81206512914956308</v>
      </c>
      <c r="F8" s="288"/>
      <c r="G8" s="289"/>
      <c r="H8" s="165"/>
      <c r="I8" s="175"/>
      <c r="J8" s="233">
        <f t="shared" si="0"/>
        <v>21500.223999999998</v>
      </c>
      <c r="K8" s="290">
        <f t="shared" si="0"/>
        <v>27139.626</v>
      </c>
      <c r="L8" s="165">
        <f t="shared" ref="L8:L9" si="2">IF(J8=0, "    ---- ", IF(ABS(ROUND(100/J8*K8-100,1))&lt;999,ROUND(100/J8*K8-100,1),IF(ROUND(100/J8*K8-100,1)&gt;999,999,-999)))</f>
        <v>26.2</v>
      </c>
      <c r="M8" s="27">
        <f>IFERROR(100/'Skjema total MA'!I8*K8,0)</f>
        <v>0.81206512914956308</v>
      </c>
    </row>
    <row r="9" spans="1:14" ht="15.75" x14ac:dyDescent="0.2">
      <c r="A9" s="21" t="s">
        <v>24</v>
      </c>
      <c r="B9" s="284">
        <v>1156.6610000000001</v>
      </c>
      <c r="C9" s="285">
        <v>1320.3240000000001</v>
      </c>
      <c r="D9" s="165">
        <f t="shared" si="1"/>
        <v>14.1</v>
      </c>
      <c r="E9" s="27">
        <f>IFERROR(100/'Skjema total MA'!C9*C9,0)</f>
        <v>0.12364573210895877</v>
      </c>
      <c r="F9" s="288"/>
      <c r="G9" s="289"/>
      <c r="H9" s="165"/>
      <c r="I9" s="175"/>
      <c r="J9" s="233">
        <f t="shared" si="0"/>
        <v>1156.6610000000001</v>
      </c>
      <c r="K9" s="290">
        <f t="shared" si="0"/>
        <v>1320.3240000000001</v>
      </c>
      <c r="L9" s="165">
        <f t="shared" si="2"/>
        <v>14.1</v>
      </c>
      <c r="M9" s="27">
        <f>IFERROR(100/'Skjema total MA'!I9*K9,0)</f>
        <v>0.12364573210895877</v>
      </c>
    </row>
    <row r="10" spans="1:14" ht="15.75" x14ac:dyDescent="0.2">
      <c r="A10" s="13" t="s">
        <v>426</v>
      </c>
      <c r="B10" s="313">
        <v>14918.69</v>
      </c>
      <c r="C10" s="314">
        <v>18877.562000000002</v>
      </c>
      <c r="D10" s="170">
        <f t="shared" si="1"/>
        <v>26.5</v>
      </c>
      <c r="E10" s="11">
        <f>IFERROR(100/'Skjema total MA'!C10*C10,0)</f>
        <v>0.10818554301128898</v>
      </c>
      <c r="F10" s="313"/>
      <c r="G10" s="314"/>
      <c r="H10" s="170"/>
      <c r="I10" s="159"/>
      <c r="J10" s="311">
        <f t="shared" si="0"/>
        <v>14918.69</v>
      </c>
      <c r="K10" s="312">
        <f t="shared" si="0"/>
        <v>18877.562000000002</v>
      </c>
      <c r="L10" s="426">
        <f t="shared" ref="L10" si="3">IF(J10=0, "    ---- ", IF(ABS(ROUND(100/J10*K10-100,1))&lt;999,ROUND(100/J10*K10-100,1),IF(ROUND(100/J10*K10-100,1)&gt;999,999,-999)))</f>
        <v>26.5</v>
      </c>
      <c r="M10" s="11">
        <f>IFERROR(100/'Skjema total MA'!I10*K10,0)</f>
        <v>2.139480415127552E-2</v>
      </c>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v>21183.113000000001</v>
      </c>
      <c r="C22" s="313">
        <v>26705.546999999999</v>
      </c>
      <c r="D22" s="351">
        <f t="shared" ref="D22:D29" si="4">IF(B22=0, "    ---- ", IF(ABS(ROUND(100/B22*C22-100,1))&lt;999,ROUND(100/B22*C22-100,1),IF(ROUND(100/B22*C22-100,1)&gt;999,999,-999)))</f>
        <v>26.1</v>
      </c>
      <c r="E22" s="11">
        <f>IFERROR(100/'Skjema total MA'!C22*C22,0)</f>
        <v>1.2441833161904665</v>
      </c>
      <c r="F22" s="321"/>
      <c r="G22" s="321"/>
      <c r="H22" s="351"/>
      <c r="I22" s="11"/>
      <c r="J22" s="319">
        <f t="shared" ref="J22:K29" si="5">SUM(B22,F22)</f>
        <v>21183.113000000001</v>
      </c>
      <c r="K22" s="319">
        <f t="shared" si="5"/>
        <v>26705.546999999999</v>
      </c>
      <c r="L22" s="425">
        <f t="shared" ref="L22:L29" si="6">IF(J22=0, "    ---- ", IF(ABS(ROUND(100/J22*K22-100,1))&lt;999,ROUND(100/J22*K22-100,1),IF(ROUND(100/J22*K22-100,1)&gt;999,999,-999)))</f>
        <v>26.1</v>
      </c>
      <c r="M22" s="24">
        <f>IFERROR(100/'Skjema total MA'!I22*K22,0)</f>
        <v>0.84223208866390509</v>
      </c>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v>21183.113000000001</v>
      </c>
      <c r="C28" s="290">
        <v>26705.546999999999</v>
      </c>
      <c r="D28" s="165">
        <f t="shared" si="4"/>
        <v>26.1</v>
      </c>
      <c r="E28" s="11">
        <f>IFERROR(100/'Skjema total MA'!C28*C28,0)</f>
        <v>1.0992522118880297</v>
      </c>
      <c r="F28" s="233"/>
      <c r="G28" s="290"/>
      <c r="H28" s="165"/>
      <c r="I28" s="27"/>
      <c r="J28" s="44">
        <f t="shared" si="5"/>
        <v>21183.113000000001</v>
      </c>
      <c r="K28" s="44">
        <f t="shared" si="5"/>
        <v>26705.546999999999</v>
      </c>
      <c r="L28" s="258">
        <f t="shared" si="6"/>
        <v>26.1</v>
      </c>
      <c r="M28" s="23">
        <f>IFERROR(100/'Skjema total MA'!I28*K28,0)</f>
        <v>1.0992522118880297</v>
      </c>
    </row>
    <row r="29" spans="1:14" s="3" customFormat="1" ht="15.75" x14ac:dyDescent="0.2">
      <c r="A29" s="13" t="s">
        <v>426</v>
      </c>
      <c r="B29" s="235">
        <v>57168.627</v>
      </c>
      <c r="C29" s="235">
        <v>86535.514999999999</v>
      </c>
      <c r="D29" s="170">
        <f t="shared" si="4"/>
        <v>51.4</v>
      </c>
      <c r="E29" s="11">
        <f>IFERROR(100/'Skjema total MA'!C29*C29,0)</f>
        <v>0.19651930552110916</v>
      </c>
      <c r="F29" s="311"/>
      <c r="G29" s="311"/>
      <c r="H29" s="170"/>
      <c r="I29" s="11"/>
      <c r="J29" s="235">
        <f t="shared" si="5"/>
        <v>57168.627</v>
      </c>
      <c r="K29" s="235">
        <f t="shared" si="5"/>
        <v>86535.514999999999</v>
      </c>
      <c r="L29" s="426">
        <f t="shared" si="6"/>
        <v>51.4</v>
      </c>
      <c r="M29" s="24">
        <f>IFERROR(100/'Skjema total MA'!I29*K29,0)</f>
        <v>0.12816678185661706</v>
      </c>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209936.88</v>
      </c>
      <c r="C47" s="314">
        <v>263464.09299999999</v>
      </c>
      <c r="D47" s="425">
        <f t="shared" ref="D47:D48" si="7">IF(B47=0, "    ---- ", IF(ABS(ROUND(100/B47*C47-100,1))&lt;999,ROUND(100/B47*C47-100,1),IF(ROUND(100/B47*C47-100,1)&gt;999,999,-999)))</f>
        <v>25.5</v>
      </c>
      <c r="E47" s="11">
        <f>IFERROR(100/'Skjema total MA'!C47*C47,0)</f>
        <v>4.7542228956510515</v>
      </c>
      <c r="F47" s="144"/>
      <c r="G47" s="33"/>
      <c r="H47" s="158"/>
      <c r="I47" s="158"/>
      <c r="J47" s="37"/>
      <c r="K47" s="37"/>
      <c r="L47" s="158"/>
      <c r="M47" s="158"/>
      <c r="N47" s="147"/>
    </row>
    <row r="48" spans="1:14" s="3" customFormat="1" ht="15.75" x14ac:dyDescent="0.2">
      <c r="A48" s="38" t="s">
        <v>437</v>
      </c>
      <c r="B48" s="284">
        <v>209936.88</v>
      </c>
      <c r="C48" s="285">
        <v>263464.09299999999</v>
      </c>
      <c r="D48" s="258">
        <f t="shared" si="7"/>
        <v>25.5</v>
      </c>
      <c r="E48" s="27">
        <f>IFERROR(100/'Skjema total MA'!C48*C48,0)</f>
        <v>8.5535708993883457</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710" priority="132">
      <formula>kvartal &lt; 4</formula>
    </cfRule>
  </conditionalFormatting>
  <conditionalFormatting sqref="B69">
    <cfRule type="expression" dxfId="1709" priority="100">
      <formula>kvartal &lt; 4</formula>
    </cfRule>
  </conditionalFormatting>
  <conditionalFormatting sqref="C69">
    <cfRule type="expression" dxfId="1708" priority="99">
      <formula>kvartal &lt; 4</formula>
    </cfRule>
  </conditionalFormatting>
  <conditionalFormatting sqref="B72">
    <cfRule type="expression" dxfId="1707" priority="98">
      <formula>kvartal &lt; 4</formula>
    </cfRule>
  </conditionalFormatting>
  <conditionalFormatting sqref="C72">
    <cfRule type="expression" dxfId="1706" priority="97">
      <formula>kvartal &lt; 4</formula>
    </cfRule>
  </conditionalFormatting>
  <conditionalFormatting sqref="B80">
    <cfRule type="expression" dxfId="1705" priority="96">
      <formula>kvartal &lt; 4</formula>
    </cfRule>
  </conditionalFormatting>
  <conditionalFormatting sqref="C80">
    <cfRule type="expression" dxfId="1704" priority="95">
      <formula>kvartal &lt; 4</formula>
    </cfRule>
  </conditionalFormatting>
  <conditionalFormatting sqref="B83">
    <cfRule type="expression" dxfId="1703" priority="94">
      <formula>kvartal &lt; 4</formula>
    </cfRule>
  </conditionalFormatting>
  <conditionalFormatting sqref="C83">
    <cfRule type="expression" dxfId="1702" priority="93">
      <formula>kvartal &lt; 4</formula>
    </cfRule>
  </conditionalFormatting>
  <conditionalFormatting sqref="B90">
    <cfRule type="expression" dxfId="1701" priority="84">
      <formula>kvartal &lt; 4</formula>
    </cfRule>
  </conditionalFormatting>
  <conditionalFormatting sqref="C90">
    <cfRule type="expression" dxfId="1700" priority="83">
      <formula>kvartal &lt; 4</formula>
    </cfRule>
  </conditionalFormatting>
  <conditionalFormatting sqref="B93">
    <cfRule type="expression" dxfId="1699" priority="82">
      <formula>kvartal &lt; 4</formula>
    </cfRule>
  </conditionalFormatting>
  <conditionalFormatting sqref="C93">
    <cfRule type="expression" dxfId="1698" priority="81">
      <formula>kvartal &lt; 4</formula>
    </cfRule>
  </conditionalFormatting>
  <conditionalFormatting sqref="B101">
    <cfRule type="expression" dxfId="1697" priority="80">
      <formula>kvartal &lt; 4</formula>
    </cfRule>
  </conditionalFormatting>
  <conditionalFormatting sqref="C101">
    <cfRule type="expression" dxfId="1696" priority="79">
      <formula>kvartal &lt; 4</formula>
    </cfRule>
  </conditionalFormatting>
  <conditionalFormatting sqref="B104">
    <cfRule type="expression" dxfId="1695" priority="78">
      <formula>kvartal &lt; 4</formula>
    </cfRule>
  </conditionalFormatting>
  <conditionalFormatting sqref="C104">
    <cfRule type="expression" dxfId="1694" priority="77">
      <formula>kvartal &lt; 4</formula>
    </cfRule>
  </conditionalFormatting>
  <conditionalFormatting sqref="B115">
    <cfRule type="expression" dxfId="1693" priority="76">
      <formula>kvartal &lt; 4</formula>
    </cfRule>
  </conditionalFormatting>
  <conditionalFormatting sqref="C115">
    <cfRule type="expression" dxfId="1692" priority="75">
      <formula>kvartal &lt; 4</formula>
    </cfRule>
  </conditionalFormatting>
  <conditionalFormatting sqref="B123">
    <cfRule type="expression" dxfId="1691" priority="74">
      <formula>kvartal &lt; 4</formula>
    </cfRule>
  </conditionalFormatting>
  <conditionalFormatting sqref="C123">
    <cfRule type="expression" dxfId="1690" priority="73">
      <formula>kvartal &lt; 4</formula>
    </cfRule>
  </conditionalFormatting>
  <conditionalFormatting sqref="F70">
    <cfRule type="expression" dxfId="1689" priority="72">
      <formula>kvartal &lt; 4</formula>
    </cfRule>
  </conditionalFormatting>
  <conditionalFormatting sqref="G70">
    <cfRule type="expression" dxfId="1688" priority="71">
      <formula>kvartal &lt; 4</formula>
    </cfRule>
  </conditionalFormatting>
  <conditionalFormatting sqref="F71:G71">
    <cfRule type="expression" dxfId="1687" priority="70">
      <formula>kvartal &lt; 4</formula>
    </cfRule>
  </conditionalFormatting>
  <conditionalFormatting sqref="F73:G74">
    <cfRule type="expression" dxfId="1686" priority="69">
      <formula>kvartal &lt; 4</formula>
    </cfRule>
  </conditionalFormatting>
  <conditionalFormatting sqref="F81:G82">
    <cfRule type="expression" dxfId="1685" priority="68">
      <formula>kvartal &lt; 4</formula>
    </cfRule>
  </conditionalFormatting>
  <conditionalFormatting sqref="F84:G85">
    <cfRule type="expression" dxfId="1684" priority="67">
      <formula>kvartal &lt; 4</formula>
    </cfRule>
  </conditionalFormatting>
  <conditionalFormatting sqref="F91:G92">
    <cfRule type="expression" dxfId="1683" priority="62">
      <formula>kvartal &lt; 4</formula>
    </cfRule>
  </conditionalFormatting>
  <conditionalFormatting sqref="F94:G95">
    <cfRule type="expression" dxfId="1682" priority="61">
      <formula>kvartal &lt; 4</formula>
    </cfRule>
  </conditionalFormatting>
  <conditionalFormatting sqref="F102:G103">
    <cfRule type="expression" dxfId="1681" priority="60">
      <formula>kvartal &lt; 4</formula>
    </cfRule>
  </conditionalFormatting>
  <conditionalFormatting sqref="F105:G106">
    <cfRule type="expression" dxfId="1680" priority="59">
      <formula>kvartal &lt; 4</formula>
    </cfRule>
  </conditionalFormatting>
  <conditionalFormatting sqref="F115">
    <cfRule type="expression" dxfId="1679" priority="58">
      <formula>kvartal &lt; 4</formula>
    </cfRule>
  </conditionalFormatting>
  <conditionalFormatting sqref="G115">
    <cfRule type="expression" dxfId="1678" priority="57">
      <formula>kvartal &lt; 4</formula>
    </cfRule>
  </conditionalFormatting>
  <conditionalFormatting sqref="F123:G123">
    <cfRule type="expression" dxfId="1677" priority="56">
      <formula>kvartal &lt; 4</formula>
    </cfRule>
  </conditionalFormatting>
  <conditionalFormatting sqref="F69:G69">
    <cfRule type="expression" dxfId="1676" priority="55">
      <formula>kvartal &lt; 4</formula>
    </cfRule>
  </conditionalFormatting>
  <conditionalFormatting sqref="F72:G72">
    <cfRule type="expression" dxfId="1675" priority="54">
      <formula>kvartal &lt; 4</formula>
    </cfRule>
  </conditionalFormatting>
  <conditionalFormatting sqref="F80:G80">
    <cfRule type="expression" dxfId="1674" priority="53">
      <formula>kvartal &lt; 4</formula>
    </cfRule>
  </conditionalFormatting>
  <conditionalFormatting sqref="F83:G83">
    <cfRule type="expression" dxfId="1673" priority="52">
      <formula>kvartal &lt; 4</formula>
    </cfRule>
  </conditionalFormatting>
  <conditionalFormatting sqref="F90:G90">
    <cfRule type="expression" dxfId="1672" priority="46">
      <formula>kvartal &lt; 4</formula>
    </cfRule>
  </conditionalFormatting>
  <conditionalFormatting sqref="F93">
    <cfRule type="expression" dxfId="1671" priority="45">
      <formula>kvartal &lt; 4</formula>
    </cfRule>
  </conditionalFormatting>
  <conditionalFormatting sqref="G93">
    <cfRule type="expression" dxfId="1670" priority="44">
      <formula>kvartal &lt; 4</formula>
    </cfRule>
  </conditionalFormatting>
  <conditionalFormatting sqref="F101">
    <cfRule type="expression" dxfId="1669" priority="43">
      <formula>kvartal &lt; 4</formula>
    </cfRule>
  </conditionalFormatting>
  <conditionalFormatting sqref="G101">
    <cfRule type="expression" dxfId="1668" priority="42">
      <formula>kvartal &lt; 4</formula>
    </cfRule>
  </conditionalFormatting>
  <conditionalFormatting sqref="G104">
    <cfRule type="expression" dxfId="1667" priority="41">
      <formula>kvartal &lt; 4</formula>
    </cfRule>
  </conditionalFormatting>
  <conditionalFormatting sqref="F104">
    <cfRule type="expression" dxfId="1666" priority="40">
      <formula>kvartal &lt; 4</formula>
    </cfRule>
  </conditionalFormatting>
  <conditionalFormatting sqref="J69:K73">
    <cfRule type="expression" dxfId="1665" priority="39">
      <formula>kvartal &lt; 4</formula>
    </cfRule>
  </conditionalFormatting>
  <conditionalFormatting sqref="J74:K74">
    <cfRule type="expression" dxfId="1664" priority="38">
      <formula>kvartal &lt; 4</formula>
    </cfRule>
  </conditionalFormatting>
  <conditionalFormatting sqref="J80:K85">
    <cfRule type="expression" dxfId="1663" priority="37">
      <formula>kvartal &lt; 4</formula>
    </cfRule>
  </conditionalFormatting>
  <conditionalFormatting sqref="J90:K95">
    <cfRule type="expression" dxfId="1662" priority="34">
      <formula>kvartal &lt; 4</formula>
    </cfRule>
  </conditionalFormatting>
  <conditionalFormatting sqref="J101:K106">
    <cfRule type="expression" dxfId="1661" priority="33">
      <formula>kvartal &lt; 4</formula>
    </cfRule>
  </conditionalFormatting>
  <conditionalFormatting sqref="J115:K115">
    <cfRule type="expression" dxfId="1660" priority="32">
      <formula>kvartal &lt; 4</formula>
    </cfRule>
  </conditionalFormatting>
  <conditionalFormatting sqref="J123:K123">
    <cfRule type="expression" dxfId="1659" priority="31">
      <formula>kvartal &lt; 4</formula>
    </cfRule>
  </conditionalFormatting>
  <conditionalFormatting sqref="A50:A52">
    <cfRule type="expression" dxfId="1658" priority="12">
      <formula>kvartal &lt; 4</formula>
    </cfRule>
  </conditionalFormatting>
  <conditionalFormatting sqref="A69:A74">
    <cfRule type="expression" dxfId="1657" priority="10">
      <formula>kvartal &lt; 4</formula>
    </cfRule>
  </conditionalFormatting>
  <conditionalFormatting sqref="A80:A85">
    <cfRule type="expression" dxfId="1656" priority="9">
      <formula>kvartal &lt; 4</formula>
    </cfRule>
  </conditionalFormatting>
  <conditionalFormatting sqref="A90:A95">
    <cfRule type="expression" dxfId="1655" priority="6">
      <formula>kvartal &lt; 4</formula>
    </cfRule>
  </conditionalFormatting>
  <conditionalFormatting sqref="A101:A106">
    <cfRule type="expression" dxfId="1654" priority="5">
      <formula>kvartal &lt; 4</formula>
    </cfRule>
  </conditionalFormatting>
  <conditionalFormatting sqref="A115">
    <cfRule type="expression" dxfId="1653" priority="4">
      <formula>kvartal &lt; 4</formula>
    </cfRule>
  </conditionalFormatting>
  <conditionalFormatting sqref="A123">
    <cfRule type="expression" dxfId="1652"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466</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c r="G7" s="310"/>
      <c r="H7" s="351"/>
      <c r="I7" s="159"/>
      <c r="J7" s="311"/>
      <c r="K7" s="312"/>
      <c r="L7" s="425"/>
      <c r="M7" s="11"/>
    </row>
    <row r="8" spans="1:14" ht="15.75" x14ac:dyDescent="0.2">
      <c r="A8" s="21" t="s">
        <v>25</v>
      </c>
      <c r="B8" s="284"/>
      <c r="C8" s="285"/>
      <c r="D8" s="165"/>
      <c r="E8" s="27"/>
      <c r="F8" s="288"/>
      <c r="G8" s="289"/>
      <c r="H8" s="165"/>
      <c r="I8" s="175"/>
      <c r="J8" s="233"/>
      <c r="K8" s="290"/>
      <c r="L8" s="165"/>
      <c r="M8" s="27"/>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112320</v>
      </c>
      <c r="C47" s="314">
        <v>101798</v>
      </c>
      <c r="D47" s="425">
        <f t="shared" ref="D47:D57" si="0">IF(B47=0, "    ---- ", IF(ABS(ROUND(100/B47*C47-100,1))&lt;999,ROUND(100/B47*C47-100,1),IF(ROUND(100/B47*C47-100,1)&gt;999,999,-999)))</f>
        <v>-9.4</v>
      </c>
      <c r="E47" s="11">
        <f>IFERROR(100/'Skjema total MA'!C47*C47,0)</f>
        <v>1.8369500633677842</v>
      </c>
      <c r="F47" s="144"/>
      <c r="G47" s="33"/>
      <c r="H47" s="158"/>
      <c r="I47" s="158"/>
      <c r="J47" s="37"/>
      <c r="K47" s="37"/>
      <c r="L47" s="158"/>
      <c r="M47" s="158"/>
      <c r="N47" s="147"/>
    </row>
    <row r="48" spans="1:14" s="3" customFormat="1" ht="15.75" x14ac:dyDescent="0.2">
      <c r="A48" s="38" t="s">
        <v>437</v>
      </c>
      <c r="B48" s="284">
        <v>112320</v>
      </c>
      <c r="C48" s="285">
        <v>101798</v>
      </c>
      <c r="D48" s="258">
        <f t="shared" si="0"/>
        <v>-9.4</v>
      </c>
      <c r="E48" s="27">
        <f>IFERROR(100/'Skjema total MA'!C48*C48,0)</f>
        <v>3.3049528704313222</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v>3414</v>
      </c>
      <c r="C53" s="314">
        <v>2304</v>
      </c>
      <c r="D53" s="426">
        <f t="shared" si="0"/>
        <v>-32.5</v>
      </c>
      <c r="E53" s="11">
        <f>IFERROR(100/'Skjema total MA'!C53*C53,0)</f>
        <v>1.6167223089764176</v>
      </c>
      <c r="F53" s="144"/>
      <c r="G53" s="33"/>
      <c r="H53" s="144"/>
      <c r="I53" s="144"/>
      <c r="J53" s="33"/>
      <c r="K53" s="33"/>
      <c r="L53" s="158"/>
      <c r="M53" s="158"/>
      <c r="N53" s="147"/>
    </row>
    <row r="54" spans="1:14" s="3" customFormat="1" ht="15.75" x14ac:dyDescent="0.2">
      <c r="A54" s="38" t="s">
        <v>437</v>
      </c>
      <c r="B54" s="284">
        <v>3414</v>
      </c>
      <c r="C54" s="285">
        <v>2304</v>
      </c>
      <c r="D54" s="258">
        <f t="shared" si="0"/>
        <v>-32.5</v>
      </c>
      <c r="E54" s="27">
        <f>IFERROR(100/'Skjema total MA'!C54*C54,0)</f>
        <v>1.6275604876603542</v>
      </c>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v>1038</v>
      </c>
      <c r="C56" s="314">
        <v>16491</v>
      </c>
      <c r="D56" s="426">
        <f t="shared" si="0"/>
        <v>999</v>
      </c>
      <c r="E56" s="11">
        <f>IFERROR(100/'Skjema total MA'!C56*C56,0)</f>
        <v>15.171116225984886</v>
      </c>
      <c r="F56" s="144"/>
      <c r="G56" s="33"/>
      <c r="H56" s="144"/>
      <c r="I56" s="144"/>
      <c r="J56" s="33"/>
      <c r="K56" s="33"/>
      <c r="L56" s="158"/>
      <c r="M56" s="158"/>
      <c r="N56" s="147"/>
    </row>
    <row r="57" spans="1:14" s="3" customFormat="1" ht="15.75" x14ac:dyDescent="0.2">
      <c r="A57" s="38" t="s">
        <v>437</v>
      </c>
      <c r="B57" s="284">
        <v>1038</v>
      </c>
      <c r="C57" s="285">
        <v>16491</v>
      </c>
      <c r="D57" s="258">
        <f t="shared" si="0"/>
        <v>999</v>
      </c>
      <c r="E57" s="27">
        <f>IFERROR(100/'Skjema total MA'!C57*C57,0)</f>
        <v>15.171116225984886</v>
      </c>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651" priority="132">
      <formula>kvartal &lt; 4</formula>
    </cfRule>
  </conditionalFormatting>
  <conditionalFormatting sqref="B69">
    <cfRule type="expression" dxfId="1650" priority="100">
      <formula>kvartal &lt; 4</formula>
    </cfRule>
  </conditionalFormatting>
  <conditionalFormatting sqref="C69">
    <cfRule type="expression" dxfId="1649" priority="99">
      <formula>kvartal &lt; 4</formula>
    </cfRule>
  </conditionalFormatting>
  <conditionalFormatting sqref="B72">
    <cfRule type="expression" dxfId="1648" priority="98">
      <formula>kvartal &lt; 4</formula>
    </cfRule>
  </conditionalFormatting>
  <conditionalFormatting sqref="C72">
    <cfRule type="expression" dxfId="1647" priority="97">
      <formula>kvartal &lt; 4</formula>
    </cfRule>
  </conditionalFormatting>
  <conditionalFormatting sqref="B80">
    <cfRule type="expression" dxfId="1646" priority="96">
      <formula>kvartal &lt; 4</formula>
    </cfRule>
  </conditionalFormatting>
  <conditionalFormatting sqref="C80">
    <cfRule type="expression" dxfId="1645" priority="95">
      <formula>kvartal &lt; 4</formula>
    </cfRule>
  </conditionalFormatting>
  <conditionalFormatting sqref="B83">
    <cfRule type="expression" dxfId="1644" priority="94">
      <formula>kvartal &lt; 4</formula>
    </cfRule>
  </conditionalFormatting>
  <conditionalFormatting sqref="C83">
    <cfRule type="expression" dxfId="1643" priority="93">
      <formula>kvartal &lt; 4</formula>
    </cfRule>
  </conditionalFormatting>
  <conditionalFormatting sqref="B90">
    <cfRule type="expression" dxfId="1642" priority="84">
      <formula>kvartal &lt; 4</formula>
    </cfRule>
  </conditionalFormatting>
  <conditionalFormatting sqref="C90">
    <cfRule type="expression" dxfId="1641" priority="83">
      <formula>kvartal &lt; 4</formula>
    </cfRule>
  </conditionalFormatting>
  <conditionalFormatting sqref="B93">
    <cfRule type="expression" dxfId="1640" priority="82">
      <formula>kvartal &lt; 4</formula>
    </cfRule>
  </conditionalFormatting>
  <conditionalFormatting sqref="C93">
    <cfRule type="expression" dxfId="1639" priority="81">
      <formula>kvartal &lt; 4</formula>
    </cfRule>
  </conditionalFormatting>
  <conditionalFormatting sqref="B101">
    <cfRule type="expression" dxfId="1638" priority="80">
      <formula>kvartal &lt; 4</formula>
    </cfRule>
  </conditionalFormatting>
  <conditionalFormatting sqref="C101">
    <cfRule type="expression" dxfId="1637" priority="79">
      <formula>kvartal &lt; 4</formula>
    </cfRule>
  </conditionalFormatting>
  <conditionalFormatting sqref="B104">
    <cfRule type="expression" dxfId="1636" priority="78">
      <formula>kvartal &lt; 4</formula>
    </cfRule>
  </conditionalFormatting>
  <conditionalFormatting sqref="C104">
    <cfRule type="expression" dxfId="1635" priority="77">
      <formula>kvartal &lt; 4</formula>
    </cfRule>
  </conditionalFormatting>
  <conditionalFormatting sqref="B115">
    <cfRule type="expression" dxfId="1634" priority="76">
      <formula>kvartal &lt; 4</formula>
    </cfRule>
  </conditionalFormatting>
  <conditionalFormatting sqref="C115">
    <cfRule type="expression" dxfId="1633" priority="75">
      <formula>kvartal &lt; 4</formula>
    </cfRule>
  </conditionalFormatting>
  <conditionalFormatting sqref="B123">
    <cfRule type="expression" dxfId="1632" priority="74">
      <formula>kvartal &lt; 4</formula>
    </cfRule>
  </conditionalFormatting>
  <conditionalFormatting sqref="C123">
    <cfRule type="expression" dxfId="1631" priority="73">
      <formula>kvartal &lt; 4</formula>
    </cfRule>
  </conditionalFormatting>
  <conditionalFormatting sqref="F70">
    <cfRule type="expression" dxfId="1630" priority="72">
      <formula>kvartal &lt; 4</formula>
    </cfRule>
  </conditionalFormatting>
  <conditionalFormatting sqref="G70">
    <cfRule type="expression" dxfId="1629" priority="71">
      <formula>kvartal &lt; 4</formula>
    </cfRule>
  </conditionalFormatting>
  <conditionalFormatting sqref="F71:G71">
    <cfRule type="expression" dxfId="1628" priority="70">
      <formula>kvartal &lt; 4</formula>
    </cfRule>
  </conditionalFormatting>
  <conditionalFormatting sqref="F73:G74">
    <cfRule type="expression" dxfId="1627" priority="69">
      <formula>kvartal &lt; 4</formula>
    </cfRule>
  </conditionalFormatting>
  <conditionalFormatting sqref="F81:G82">
    <cfRule type="expression" dxfId="1626" priority="68">
      <formula>kvartal &lt; 4</formula>
    </cfRule>
  </conditionalFormatting>
  <conditionalFormatting sqref="F84:G85">
    <cfRule type="expression" dxfId="1625" priority="67">
      <formula>kvartal &lt; 4</formula>
    </cfRule>
  </conditionalFormatting>
  <conditionalFormatting sqref="F91:G92">
    <cfRule type="expression" dxfId="1624" priority="62">
      <formula>kvartal &lt; 4</formula>
    </cfRule>
  </conditionalFormatting>
  <conditionalFormatting sqref="F94:G95">
    <cfRule type="expression" dxfId="1623" priority="61">
      <formula>kvartal &lt; 4</formula>
    </cfRule>
  </conditionalFormatting>
  <conditionalFormatting sqref="F102:G103">
    <cfRule type="expression" dxfId="1622" priority="60">
      <formula>kvartal &lt; 4</formula>
    </cfRule>
  </conditionalFormatting>
  <conditionalFormatting sqref="F105:G106">
    <cfRule type="expression" dxfId="1621" priority="59">
      <formula>kvartal &lt; 4</formula>
    </cfRule>
  </conditionalFormatting>
  <conditionalFormatting sqref="F115">
    <cfRule type="expression" dxfId="1620" priority="58">
      <formula>kvartal &lt; 4</formula>
    </cfRule>
  </conditionalFormatting>
  <conditionalFormatting sqref="G115">
    <cfRule type="expression" dxfId="1619" priority="57">
      <formula>kvartal &lt; 4</formula>
    </cfRule>
  </conditionalFormatting>
  <conditionalFormatting sqref="F123:G123">
    <cfRule type="expression" dxfId="1618" priority="56">
      <formula>kvartal &lt; 4</formula>
    </cfRule>
  </conditionalFormatting>
  <conditionalFormatting sqref="F69:G69">
    <cfRule type="expression" dxfId="1617" priority="55">
      <formula>kvartal &lt; 4</formula>
    </cfRule>
  </conditionalFormatting>
  <conditionalFormatting sqref="F72:G72">
    <cfRule type="expression" dxfId="1616" priority="54">
      <formula>kvartal &lt; 4</formula>
    </cfRule>
  </conditionalFormatting>
  <conditionalFormatting sqref="F80:G80">
    <cfRule type="expression" dxfId="1615" priority="53">
      <formula>kvartal &lt; 4</formula>
    </cfRule>
  </conditionalFormatting>
  <conditionalFormatting sqref="F83:G83">
    <cfRule type="expression" dxfId="1614" priority="52">
      <formula>kvartal &lt; 4</formula>
    </cfRule>
  </conditionalFormatting>
  <conditionalFormatting sqref="F90:G90">
    <cfRule type="expression" dxfId="1613" priority="46">
      <formula>kvartal &lt; 4</formula>
    </cfRule>
  </conditionalFormatting>
  <conditionalFormatting sqref="F93">
    <cfRule type="expression" dxfId="1612" priority="45">
      <formula>kvartal &lt; 4</formula>
    </cfRule>
  </conditionalFormatting>
  <conditionalFormatting sqref="G93">
    <cfRule type="expression" dxfId="1611" priority="44">
      <formula>kvartal &lt; 4</formula>
    </cfRule>
  </conditionalFormatting>
  <conditionalFormatting sqref="F101">
    <cfRule type="expression" dxfId="1610" priority="43">
      <formula>kvartal &lt; 4</formula>
    </cfRule>
  </conditionalFormatting>
  <conditionalFormatting sqref="G101">
    <cfRule type="expression" dxfId="1609" priority="42">
      <formula>kvartal &lt; 4</formula>
    </cfRule>
  </conditionalFormatting>
  <conditionalFormatting sqref="G104">
    <cfRule type="expression" dxfId="1608" priority="41">
      <formula>kvartal &lt; 4</formula>
    </cfRule>
  </conditionalFormatting>
  <conditionalFormatting sqref="F104">
    <cfRule type="expression" dxfId="1607" priority="40">
      <formula>kvartal &lt; 4</formula>
    </cfRule>
  </conditionalFormatting>
  <conditionalFormatting sqref="J69:K73">
    <cfRule type="expression" dxfId="1606" priority="39">
      <formula>kvartal &lt; 4</formula>
    </cfRule>
  </conditionalFormatting>
  <conditionalFormatting sqref="J74:K74">
    <cfRule type="expression" dxfId="1605" priority="38">
      <formula>kvartal &lt; 4</formula>
    </cfRule>
  </conditionalFormatting>
  <conditionalFormatting sqref="J80:K85">
    <cfRule type="expression" dxfId="1604" priority="37">
      <formula>kvartal &lt; 4</formula>
    </cfRule>
  </conditionalFormatting>
  <conditionalFormatting sqref="J90:K95">
    <cfRule type="expression" dxfId="1603" priority="34">
      <formula>kvartal &lt; 4</formula>
    </cfRule>
  </conditionalFormatting>
  <conditionalFormatting sqref="J101:K106">
    <cfRule type="expression" dxfId="1602" priority="33">
      <formula>kvartal &lt; 4</formula>
    </cfRule>
  </conditionalFormatting>
  <conditionalFormatting sqref="J115:K115">
    <cfRule type="expression" dxfId="1601" priority="32">
      <formula>kvartal &lt; 4</formula>
    </cfRule>
  </conditionalFormatting>
  <conditionalFormatting sqref="J123:K123">
    <cfRule type="expression" dxfId="1600" priority="31">
      <formula>kvartal &lt; 4</formula>
    </cfRule>
  </conditionalFormatting>
  <conditionalFormatting sqref="A50:A52">
    <cfRule type="expression" dxfId="1599" priority="12">
      <formula>kvartal &lt; 4</formula>
    </cfRule>
  </conditionalFormatting>
  <conditionalFormatting sqref="A69:A74">
    <cfRule type="expression" dxfId="1598" priority="10">
      <formula>kvartal &lt; 4</formula>
    </cfRule>
  </conditionalFormatting>
  <conditionalFormatting sqref="A80:A85">
    <cfRule type="expression" dxfId="1597" priority="9">
      <formula>kvartal &lt; 4</formula>
    </cfRule>
  </conditionalFormatting>
  <conditionalFormatting sqref="A90:A95">
    <cfRule type="expression" dxfId="1596" priority="6">
      <formula>kvartal &lt; 4</formula>
    </cfRule>
  </conditionalFormatting>
  <conditionalFormatting sqref="A101:A106">
    <cfRule type="expression" dxfId="1595" priority="5">
      <formula>kvartal &lt; 4</formula>
    </cfRule>
  </conditionalFormatting>
  <conditionalFormatting sqref="A115">
    <cfRule type="expression" dxfId="1594" priority="4">
      <formula>kvartal &lt; 4</formula>
    </cfRule>
  </conditionalFormatting>
  <conditionalFormatting sqref="A123">
    <cfRule type="expression" dxfId="1593" priority="3">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7D853-0DF0-4C61-8584-51A962037551}">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476</v>
      </c>
      <c r="D1" s="26"/>
      <c r="E1" s="26"/>
      <c r="F1" s="26"/>
      <c r="G1" s="26"/>
      <c r="H1" s="26"/>
      <c r="I1" s="26"/>
      <c r="J1" s="26"/>
      <c r="K1" s="26"/>
      <c r="L1" s="26"/>
      <c r="M1" s="26"/>
    </row>
    <row r="2" spans="1:14" ht="15.75" x14ac:dyDescent="0.25">
      <c r="A2" s="164" t="s">
        <v>28</v>
      </c>
      <c r="B2" s="1008"/>
      <c r="C2" s="1008"/>
      <c r="D2" s="1008"/>
      <c r="E2" s="795"/>
      <c r="F2" s="1008"/>
      <c r="G2" s="1008"/>
      <c r="H2" s="1008"/>
      <c r="I2" s="795"/>
      <c r="J2" s="1008"/>
      <c r="K2" s="1008"/>
      <c r="L2" s="1008"/>
      <c r="M2" s="795"/>
    </row>
    <row r="3" spans="1:14" ht="15.75" x14ac:dyDescent="0.25">
      <c r="A3" s="162"/>
      <c r="B3" s="795"/>
      <c r="C3" s="795"/>
      <c r="D3" s="795"/>
      <c r="E3" s="795"/>
      <c r="F3" s="795"/>
      <c r="G3" s="795"/>
      <c r="H3" s="795"/>
      <c r="I3" s="795"/>
      <c r="J3" s="795"/>
      <c r="K3" s="795"/>
      <c r="L3" s="795"/>
      <c r="M3" s="795"/>
    </row>
    <row r="4" spans="1:14" x14ac:dyDescent="0.2">
      <c r="A4" s="143"/>
      <c r="B4" s="1010" t="s">
        <v>0</v>
      </c>
      <c r="C4" s="1011"/>
      <c r="D4" s="1011"/>
      <c r="E4" s="793"/>
      <c r="F4" s="1010" t="s">
        <v>1</v>
      </c>
      <c r="G4" s="1011"/>
      <c r="H4" s="1011"/>
      <c r="I4" s="794"/>
      <c r="J4" s="1010" t="s">
        <v>2</v>
      </c>
      <c r="K4" s="1011"/>
      <c r="L4" s="1011"/>
      <c r="M4" s="794"/>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c r="G7" s="310"/>
      <c r="H7" s="351"/>
      <c r="I7" s="159"/>
      <c r="J7" s="311"/>
      <c r="K7" s="312"/>
      <c r="L7" s="425"/>
      <c r="M7" s="11"/>
    </row>
    <row r="8" spans="1:14" ht="15.75" x14ac:dyDescent="0.2">
      <c r="A8" s="21" t="s">
        <v>25</v>
      </c>
      <c r="B8" s="284"/>
      <c r="C8" s="285"/>
      <c r="D8" s="165"/>
      <c r="E8" s="27"/>
      <c r="F8" s="288"/>
      <c r="G8" s="289"/>
      <c r="H8" s="165"/>
      <c r="I8" s="175"/>
      <c r="J8" s="233"/>
      <c r="K8" s="290"/>
      <c r="L8" s="165"/>
      <c r="M8" s="27"/>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795"/>
      <c r="F18" s="1012"/>
      <c r="G18" s="1012"/>
      <c r="H18" s="1012"/>
      <c r="I18" s="795"/>
      <c r="J18" s="1012"/>
      <c r="K18" s="1012"/>
      <c r="L18" s="1012"/>
      <c r="M18" s="795"/>
    </row>
    <row r="19" spans="1:14" x14ac:dyDescent="0.2">
      <c r="A19" s="143"/>
      <c r="B19" s="1010" t="s">
        <v>0</v>
      </c>
      <c r="C19" s="1011"/>
      <c r="D19" s="1011"/>
      <c r="E19" s="793"/>
      <c r="F19" s="1010" t="s">
        <v>1</v>
      </c>
      <c r="G19" s="1011"/>
      <c r="H19" s="1011"/>
      <c r="I19" s="794"/>
      <c r="J19" s="1010" t="s">
        <v>2</v>
      </c>
      <c r="K19" s="1011"/>
      <c r="L19" s="1011"/>
      <c r="M19" s="794"/>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796"/>
    </row>
    <row r="41" spans="1:14" x14ac:dyDescent="0.2">
      <c r="A41" s="154"/>
    </row>
    <row r="42" spans="1:14" ht="15.75" x14ac:dyDescent="0.25">
      <c r="A42" s="146" t="s">
        <v>266</v>
      </c>
      <c r="B42" s="1008"/>
      <c r="C42" s="1008"/>
      <c r="D42" s="1008"/>
      <c r="E42" s="795"/>
      <c r="F42" s="1014"/>
      <c r="G42" s="1014"/>
      <c r="H42" s="1014"/>
      <c r="I42" s="796"/>
      <c r="J42" s="1014"/>
      <c r="K42" s="1014"/>
      <c r="L42" s="1014"/>
      <c r="M42" s="796"/>
    </row>
    <row r="43" spans="1:14" ht="15.75" x14ac:dyDescent="0.25">
      <c r="A43" s="162"/>
      <c r="B43" s="791"/>
      <c r="C43" s="791"/>
      <c r="D43" s="791"/>
      <c r="E43" s="791"/>
      <c r="F43" s="796"/>
      <c r="G43" s="796"/>
      <c r="H43" s="796"/>
      <c r="I43" s="796"/>
      <c r="J43" s="796"/>
      <c r="K43" s="796"/>
      <c r="L43" s="796"/>
      <c r="M43" s="796"/>
    </row>
    <row r="44" spans="1:14" ht="15.75" x14ac:dyDescent="0.25">
      <c r="A44" s="248"/>
      <c r="B44" s="1010" t="s">
        <v>0</v>
      </c>
      <c r="C44" s="1011"/>
      <c r="D44" s="1011"/>
      <c r="E44" s="243"/>
      <c r="F44" s="796"/>
      <c r="G44" s="796"/>
      <c r="H44" s="796"/>
      <c r="I44" s="796"/>
      <c r="J44" s="796"/>
      <c r="K44" s="796"/>
      <c r="L44" s="796"/>
      <c r="M44" s="796"/>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c r="C47" s="314">
        <v>22009</v>
      </c>
      <c r="D47" s="425" t="str">
        <f>IF(B47=0, "    ---- ", IF(ABS(ROUND(100/B47*C47-100,1))&lt;999,ROUND(100/B47*C47-100,1),IF(ROUND(100/B47*C47-100,1)&gt;999,999,-999)))</f>
        <v xml:space="preserve">    ---- </v>
      </c>
      <c r="E47" s="11">
        <f>IFERROR(100/'Skjema total MA'!C47*C47,0)</f>
        <v>0.39715351917190478</v>
      </c>
      <c r="F47" s="144"/>
      <c r="G47" s="33"/>
      <c r="H47" s="158"/>
      <c r="I47" s="158"/>
      <c r="J47" s="37"/>
      <c r="K47" s="37"/>
      <c r="L47" s="158"/>
      <c r="M47" s="158"/>
      <c r="N47" s="147"/>
    </row>
    <row r="48" spans="1:14" s="3" customFormat="1" ht="15.75" x14ac:dyDescent="0.2">
      <c r="A48" s="38" t="s">
        <v>437</v>
      </c>
      <c r="B48" s="284"/>
      <c r="C48" s="285">
        <v>22009</v>
      </c>
      <c r="D48" s="258" t="str">
        <f t="shared" ref="D48:D57" si="0">IF(B48=0, "    ---- ", IF(ABS(ROUND(100/B48*C48-100,1))&lt;999,ROUND(100/B48*C48-100,1),IF(ROUND(100/B48*C48-100,1)&gt;999,999,-999)))</f>
        <v xml:space="preserve">    ---- </v>
      </c>
      <c r="E48" s="27">
        <f>IFERROR(100/'Skjema total MA'!C48*C48,0)</f>
        <v>0.71453965426946475</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v>10000</v>
      </c>
      <c r="D53" s="426" t="str">
        <f t="shared" si="0"/>
        <v xml:space="preserve">    ---- </v>
      </c>
      <c r="E53" s="11">
        <f>IFERROR(100/'Skjema total MA'!C53*C53,0)</f>
        <v>7.0170239104879233</v>
      </c>
      <c r="F53" s="144"/>
      <c r="G53" s="33"/>
      <c r="H53" s="144"/>
      <c r="I53" s="144"/>
      <c r="J53" s="33"/>
      <c r="K53" s="33"/>
      <c r="L53" s="158"/>
      <c r="M53" s="158"/>
      <c r="N53" s="147"/>
    </row>
    <row r="54" spans="1:14" s="3" customFormat="1" ht="15.75" x14ac:dyDescent="0.2">
      <c r="A54" s="38" t="s">
        <v>437</v>
      </c>
      <c r="B54" s="284"/>
      <c r="C54" s="285">
        <v>10000</v>
      </c>
      <c r="D54" s="258" t="str">
        <f t="shared" si="0"/>
        <v xml:space="preserve">    ---- </v>
      </c>
      <c r="E54" s="27">
        <f>IFERROR(100/'Skjema total MA'!C54*C54,0)</f>
        <v>7.0640646165813976</v>
      </c>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v>2700</v>
      </c>
      <c r="D56" s="426" t="str">
        <f t="shared" si="0"/>
        <v xml:space="preserve">    ---- </v>
      </c>
      <c r="E56" s="11">
        <f>IFERROR(100/'Skjema total MA'!C56*C56,0)</f>
        <v>2.4839011466957244</v>
      </c>
      <c r="F56" s="144"/>
      <c r="G56" s="33"/>
      <c r="H56" s="144"/>
      <c r="I56" s="144"/>
      <c r="J56" s="33"/>
      <c r="K56" s="33"/>
      <c r="L56" s="158"/>
      <c r="M56" s="158"/>
      <c r="N56" s="147"/>
    </row>
    <row r="57" spans="1:14" s="3" customFormat="1" ht="15.75" x14ac:dyDescent="0.2">
      <c r="A57" s="38" t="s">
        <v>437</v>
      </c>
      <c r="B57" s="284"/>
      <c r="C57" s="285">
        <v>2700</v>
      </c>
      <c r="D57" s="258" t="str">
        <f t="shared" si="0"/>
        <v xml:space="preserve">    ---- </v>
      </c>
      <c r="E57" s="27">
        <f>IFERROR(100/'Skjema total MA'!C57*C57,0)</f>
        <v>2.4839011466957244</v>
      </c>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795"/>
      <c r="F62" s="1012"/>
      <c r="G62" s="1012"/>
      <c r="H62" s="1012"/>
      <c r="I62" s="795"/>
      <c r="J62" s="1012"/>
      <c r="K62" s="1012"/>
      <c r="L62" s="1012"/>
      <c r="M62" s="795"/>
    </row>
    <row r="63" spans="1:14" x14ac:dyDescent="0.2">
      <c r="A63" s="143"/>
      <c r="B63" s="1010" t="s">
        <v>0</v>
      </c>
      <c r="C63" s="1011"/>
      <c r="D63" s="1015"/>
      <c r="E63" s="792"/>
      <c r="F63" s="1011" t="s">
        <v>1</v>
      </c>
      <c r="G63" s="1011"/>
      <c r="H63" s="1011"/>
      <c r="I63" s="794"/>
      <c r="J63" s="1010" t="s">
        <v>2</v>
      </c>
      <c r="K63" s="1011"/>
      <c r="L63" s="1011"/>
      <c r="M63" s="794"/>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795"/>
      <c r="F130" s="1012"/>
      <c r="G130" s="1012"/>
      <c r="H130" s="1012"/>
      <c r="I130" s="795"/>
      <c r="J130" s="1012"/>
      <c r="K130" s="1012"/>
      <c r="L130" s="1012"/>
      <c r="M130" s="795"/>
    </row>
    <row r="131" spans="1:14" s="3" customFormat="1" x14ac:dyDescent="0.2">
      <c r="A131" s="143"/>
      <c r="B131" s="1010" t="s">
        <v>0</v>
      </c>
      <c r="C131" s="1011"/>
      <c r="D131" s="1011"/>
      <c r="E131" s="793"/>
      <c r="F131" s="1010" t="s">
        <v>1</v>
      </c>
      <c r="G131" s="1011"/>
      <c r="H131" s="1011"/>
      <c r="I131" s="794"/>
      <c r="J131" s="1010" t="s">
        <v>2</v>
      </c>
      <c r="K131" s="1011"/>
      <c r="L131" s="1011"/>
      <c r="M131" s="794"/>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592" priority="59">
      <formula>kvartal &lt; 4</formula>
    </cfRule>
  </conditionalFormatting>
  <conditionalFormatting sqref="B69">
    <cfRule type="expression" dxfId="1591" priority="58">
      <formula>kvartal &lt; 4</formula>
    </cfRule>
  </conditionalFormatting>
  <conditionalFormatting sqref="C69">
    <cfRule type="expression" dxfId="1590" priority="57">
      <formula>kvartal &lt; 4</formula>
    </cfRule>
  </conditionalFormatting>
  <conditionalFormatting sqref="B72">
    <cfRule type="expression" dxfId="1589" priority="56">
      <formula>kvartal &lt; 4</formula>
    </cfRule>
  </conditionalFormatting>
  <conditionalFormatting sqref="C72">
    <cfRule type="expression" dxfId="1588" priority="55">
      <formula>kvartal &lt; 4</formula>
    </cfRule>
  </conditionalFormatting>
  <conditionalFormatting sqref="B80">
    <cfRule type="expression" dxfId="1587" priority="54">
      <formula>kvartal &lt; 4</formula>
    </cfRule>
  </conditionalFormatting>
  <conditionalFormatting sqref="C80">
    <cfRule type="expression" dxfId="1586" priority="53">
      <formula>kvartal &lt; 4</formula>
    </cfRule>
  </conditionalFormatting>
  <conditionalFormatting sqref="B83">
    <cfRule type="expression" dxfId="1585" priority="52">
      <formula>kvartal &lt; 4</formula>
    </cfRule>
  </conditionalFormatting>
  <conditionalFormatting sqref="C83">
    <cfRule type="expression" dxfId="1584" priority="51">
      <formula>kvartal &lt; 4</formula>
    </cfRule>
  </conditionalFormatting>
  <conditionalFormatting sqref="B90">
    <cfRule type="expression" dxfId="1583" priority="50">
      <formula>kvartal &lt; 4</formula>
    </cfRule>
  </conditionalFormatting>
  <conditionalFormatting sqref="C90">
    <cfRule type="expression" dxfId="1582" priority="49">
      <formula>kvartal &lt; 4</formula>
    </cfRule>
  </conditionalFormatting>
  <conditionalFormatting sqref="B93">
    <cfRule type="expression" dxfId="1581" priority="48">
      <formula>kvartal &lt; 4</formula>
    </cfRule>
  </conditionalFormatting>
  <conditionalFormatting sqref="C93">
    <cfRule type="expression" dxfId="1580" priority="47">
      <formula>kvartal &lt; 4</formula>
    </cfRule>
  </conditionalFormatting>
  <conditionalFormatting sqref="B101">
    <cfRule type="expression" dxfId="1579" priority="46">
      <formula>kvartal &lt; 4</formula>
    </cfRule>
  </conditionalFormatting>
  <conditionalFormatting sqref="C101">
    <cfRule type="expression" dxfId="1578" priority="45">
      <formula>kvartal &lt; 4</formula>
    </cfRule>
  </conditionalFormatting>
  <conditionalFormatting sqref="B104">
    <cfRule type="expression" dxfId="1577" priority="44">
      <formula>kvartal &lt; 4</formula>
    </cfRule>
  </conditionalFormatting>
  <conditionalFormatting sqref="C104">
    <cfRule type="expression" dxfId="1576" priority="43">
      <formula>kvartal &lt; 4</formula>
    </cfRule>
  </conditionalFormatting>
  <conditionalFormatting sqref="B115">
    <cfRule type="expression" dxfId="1575" priority="42">
      <formula>kvartal &lt; 4</formula>
    </cfRule>
  </conditionalFormatting>
  <conditionalFormatting sqref="C115">
    <cfRule type="expression" dxfId="1574" priority="41">
      <formula>kvartal &lt; 4</formula>
    </cfRule>
  </conditionalFormatting>
  <conditionalFormatting sqref="B123">
    <cfRule type="expression" dxfId="1573" priority="40">
      <formula>kvartal &lt; 4</formula>
    </cfRule>
  </conditionalFormatting>
  <conditionalFormatting sqref="C123">
    <cfRule type="expression" dxfId="1572" priority="39">
      <formula>kvartal &lt; 4</formula>
    </cfRule>
  </conditionalFormatting>
  <conditionalFormatting sqref="F70">
    <cfRule type="expression" dxfId="1571" priority="38">
      <formula>kvartal &lt; 4</formula>
    </cfRule>
  </conditionalFormatting>
  <conditionalFormatting sqref="G70">
    <cfRule type="expression" dxfId="1570" priority="37">
      <formula>kvartal &lt; 4</formula>
    </cfRule>
  </conditionalFormatting>
  <conditionalFormatting sqref="F71:G71">
    <cfRule type="expression" dxfId="1569" priority="36">
      <formula>kvartal &lt; 4</formula>
    </cfRule>
  </conditionalFormatting>
  <conditionalFormatting sqref="F73:G74">
    <cfRule type="expression" dxfId="1568" priority="35">
      <formula>kvartal &lt; 4</formula>
    </cfRule>
  </conditionalFormatting>
  <conditionalFormatting sqref="F81:G82">
    <cfRule type="expression" dxfId="1567" priority="34">
      <formula>kvartal &lt; 4</formula>
    </cfRule>
  </conditionalFormatting>
  <conditionalFormatting sqref="F84:G85">
    <cfRule type="expression" dxfId="1566" priority="33">
      <formula>kvartal &lt; 4</formula>
    </cfRule>
  </conditionalFormatting>
  <conditionalFormatting sqref="F91:G92">
    <cfRule type="expression" dxfId="1565" priority="32">
      <formula>kvartal &lt; 4</formula>
    </cfRule>
  </conditionalFormatting>
  <conditionalFormatting sqref="F94:G95">
    <cfRule type="expression" dxfId="1564" priority="31">
      <formula>kvartal &lt; 4</formula>
    </cfRule>
  </conditionalFormatting>
  <conditionalFormatting sqref="F102:G103">
    <cfRule type="expression" dxfId="1563" priority="30">
      <formula>kvartal &lt; 4</formula>
    </cfRule>
  </conditionalFormatting>
  <conditionalFormatting sqref="F105:G106">
    <cfRule type="expression" dxfId="1562" priority="29">
      <formula>kvartal &lt; 4</formula>
    </cfRule>
  </conditionalFormatting>
  <conditionalFormatting sqref="F115">
    <cfRule type="expression" dxfId="1561" priority="28">
      <formula>kvartal &lt; 4</formula>
    </cfRule>
  </conditionalFormatting>
  <conditionalFormatting sqref="G115">
    <cfRule type="expression" dxfId="1560" priority="27">
      <formula>kvartal &lt; 4</formula>
    </cfRule>
  </conditionalFormatting>
  <conditionalFormatting sqref="F123:G123">
    <cfRule type="expression" dxfId="1559" priority="26">
      <formula>kvartal &lt; 4</formula>
    </cfRule>
  </conditionalFormatting>
  <conditionalFormatting sqref="F69:G69">
    <cfRule type="expression" dxfId="1558" priority="25">
      <formula>kvartal &lt; 4</formula>
    </cfRule>
  </conditionalFormatting>
  <conditionalFormatting sqref="F72:G72">
    <cfRule type="expression" dxfId="1557" priority="24">
      <formula>kvartal &lt; 4</formula>
    </cfRule>
  </conditionalFormatting>
  <conditionalFormatting sqref="F80:G80">
    <cfRule type="expression" dxfId="1556" priority="23">
      <formula>kvartal &lt; 4</formula>
    </cfRule>
  </conditionalFormatting>
  <conditionalFormatting sqref="F83:G83">
    <cfRule type="expression" dxfId="1555" priority="22">
      <formula>kvartal &lt; 4</formula>
    </cfRule>
  </conditionalFormatting>
  <conditionalFormatting sqref="F90:G90">
    <cfRule type="expression" dxfId="1554" priority="21">
      <formula>kvartal &lt; 4</formula>
    </cfRule>
  </conditionalFormatting>
  <conditionalFormatting sqref="F93">
    <cfRule type="expression" dxfId="1553" priority="20">
      <formula>kvartal &lt; 4</formula>
    </cfRule>
  </conditionalFormatting>
  <conditionalFormatting sqref="G93">
    <cfRule type="expression" dxfId="1552" priority="19">
      <formula>kvartal &lt; 4</formula>
    </cfRule>
  </conditionalFormatting>
  <conditionalFormatting sqref="F101">
    <cfRule type="expression" dxfId="1551" priority="18">
      <formula>kvartal &lt; 4</formula>
    </cfRule>
  </conditionalFormatting>
  <conditionalFormatting sqref="G101">
    <cfRule type="expression" dxfId="1550" priority="17">
      <formula>kvartal &lt; 4</formula>
    </cfRule>
  </conditionalFormatting>
  <conditionalFormatting sqref="G104">
    <cfRule type="expression" dxfId="1549" priority="16">
      <formula>kvartal &lt; 4</formula>
    </cfRule>
  </conditionalFormatting>
  <conditionalFormatting sqref="F104">
    <cfRule type="expression" dxfId="1548" priority="15">
      <formula>kvartal &lt; 4</formula>
    </cfRule>
  </conditionalFormatting>
  <conditionalFormatting sqref="J69:K73">
    <cfRule type="expression" dxfId="1547" priority="14">
      <formula>kvartal &lt; 4</formula>
    </cfRule>
  </conditionalFormatting>
  <conditionalFormatting sqref="J74:K74">
    <cfRule type="expression" dxfId="1546" priority="13">
      <formula>kvartal &lt; 4</formula>
    </cfRule>
  </conditionalFormatting>
  <conditionalFormatting sqref="J80:K85">
    <cfRule type="expression" dxfId="1545" priority="12">
      <formula>kvartal &lt; 4</formula>
    </cfRule>
  </conditionalFormatting>
  <conditionalFormatting sqref="J90:K95">
    <cfRule type="expression" dxfId="1544" priority="11">
      <formula>kvartal &lt; 4</formula>
    </cfRule>
  </conditionalFormatting>
  <conditionalFormatting sqref="J101:K106">
    <cfRule type="expression" dxfId="1543" priority="10">
      <formula>kvartal &lt; 4</formula>
    </cfRule>
  </conditionalFormatting>
  <conditionalFormatting sqref="J115:K115">
    <cfRule type="expression" dxfId="1542" priority="9">
      <formula>kvartal &lt; 4</formula>
    </cfRule>
  </conditionalFormatting>
  <conditionalFormatting sqref="J123:K123">
    <cfRule type="expression" dxfId="1541" priority="8">
      <formula>kvartal &lt; 4</formula>
    </cfRule>
  </conditionalFormatting>
  <conditionalFormatting sqref="A50:A52">
    <cfRule type="expression" dxfId="1540" priority="7">
      <formula>kvartal &lt; 4</formula>
    </cfRule>
  </conditionalFormatting>
  <conditionalFormatting sqref="A69:A74">
    <cfRule type="expression" dxfId="1539" priority="6">
      <formula>kvartal &lt; 4</formula>
    </cfRule>
  </conditionalFormatting>
  <conditionalFormatting sqref="A80:A85">
    <cfRule type="expression" dxfId="1538" priority="5">
      <formula>kvartal &lt; 4</formula>
    </cfRule>
  </conditionalFormatting>
  <conditionalFormatting sqref="A90:A95">
    <cfRule type="expression" dxfId="1537" priority="4">
      <formula>kvartal &lt; 4</formula>
    </cfRule>
  </conditionalFormatting>
  <conditionalFormatting sqref="A101:A106">
    <cfRule type="expression" dxfId="1536" priority="3">
      <formula>kvartal &lt; 4</formula>
    </cfRule>
  </conditionalFormatting>
  <conditionalFormatting sqref="A115">
    <cfRule type="expression" dxfId="1535" priority="2">
      <formula>kvartal &lt; 4</formula>
    </cfRule>
  </conditionalFormatting>
  <conditionalFormatting sqref="A123">
    <cfRule type="expression" dxfId="1534" priority="1">
      <formula>kvartal &lt; 4</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128</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515684</v>
      </c>
      <c r="C7" s="310">
        <v>529874.81601899106</v>
      </c>
      <c r="D7" s="351">
        <f>IF(B7=0, "    ---- ", IF(ABS(ROUND(100/B7*C7-100,1))&lt;999,ROUND(100/B7*C7-100,1),IF(ROUND(100/B7*C7-100,1)&gt;999,999,-999)))</f>
        <v>2.8</v>
      </c>
      <c r="E7" s="11">
        <f>IFERROR(100/'Skjema total MA'!C7*C7,0)</f>
        <v>10.289916807767408</v>
      </c>
      <c r="F7" s="309">
        <v>11287843</v>
      </c>
      <c r="G7" s="310">
        <v>6554704.2359800003</v>
      </c>
      <c r="H7" s="351">
        <f>IF(F7=0, "    ---- ", IF(ABS(ROUND(100/F7*G7-100,1))&lt;999,ROUND(100/F7*G7-100,1),IF(ROUND(100/F7*G7-100,1)&gt;999,999,-999)))</f>
        <v>-41.9</v>
      </c>
      <c r="I7" s="159">
        <f>IFERROR(100/'Skjema total MA'!F7*G7,0)</f>
        <v>71.056379230466661</v>
      </c>
      <c r="J7" s="311">
        <f t="shared" ref="J7:K12" si="0">SUM(B7,F7)</f>
        <v>11803527</v>
      </c>
      <c r="K7" s="312">
        <f t="shared" si="0"/>
        <v>7084579.0519989915</v>
      </c>
      <c r="L7" s="425">
        <f>IF(J7=0, "    ---- ", IF(ABS(ROUND(100/J7*K7-100,1))&lt;999,ROUND(100/J7*K7-100,1),IF(ROUND(100/J7*K7-100,1)&gt;999,999,-999)))</f>
        <v>-40</v>
      </c>
      <c r="M7" s="11">
        <f>IFERROR(100/'Skjema total MA'!I7*K7,0)</f>
        <v>49.287081425242697</v>
      </c>
    </row>
    <row r="8" spans="1:14" ht="15.75" x14ac:dyDescent="0.2">
      <c r="A8" s="21" t="s">
        <v>25</v>
      </c>
      <c r="B8" s="284">
        <v>437081</v>
      </c>
      <c r="C8" s="285">
        <v>454427.89309146401</v>
      </c>
      <c r="D8" s="165">
        <f t="shared" ref="D8:D10" si="1">IF(B8=0, "    ---- ", IF(ABS(ROUND(100/B8*C8-100,1))&lt;999,ROUND(100/B8*C8-100,1),IF(ROUND(100/B8*C8-100,1)&gt;999,999,-999)))</f>
        <v>4</v>
      </c>
      <c r="E8" s="27">
        <f>IFERROR(100/'Skjema total MA'!C8*C8,0)</f>
        <v>13.597278226770095</v>
      </c>
      <c r="F8" s="288"/>
      <c r="G8" s="289"/>
      <c r="H8" s="165"/>
      <c r="I8" s="175"/>
      <c r="J8" s="233">
        <f t="shared" si="0"/>
        <v>437081</v>
      </c>
      <c r="K8" s="290">
        <f t="shared" si="0"/>
        <v>454427.89309146401</v>
      </c>
      <c r="L8" s="165">
        <f t="shared" ref="L8:L9" si="2">IF(J8=0, "    ---- ", IF(ABS(ROUND(100/J8*K8-100,1))&lt;999,ROUND(100/J8*K8-100,1),IF(ROUND(100/J8*K8-100,1)&gt;999,999,-999)))</f>
        <v>4</v>
      </c>
      <c r="M8" s="27">
        <f>IFERROR(100/'Skjema total MA'!I8*K8,0)</f>
        <v>13.597278226770095</v>
      </c>
    </row>
    <row r="9" spans="1:14" ht="15.75" x14ac:dyDescent="0.2">
      <c r="A9" s="21" t="s">
        <v>24</v>
      </c>
      <c r="B9" s="284">
        <v>72042</v>
      </c>
      <c r="C9" s="285">
        <v>69418.1217352557</v>
      </c>
      <c r="D9" s="165">
        <f t="shared" si="1"/>
        <v>-3.6</v>
      </c>
      <c r="E9" s="27">
        <f>IFERROR(100/'Skjema total MA'!C9*C9,0)</f>
        <v>6.5008698498130109</v>
      </c>
      <c r="F9" s="288"/>
      <c r="G9" s="289"/>
      <c r="H9" s="165"/>
      <c r="I9" s="175"/>
      <c r="J9" s="233">
        <f t="shared" si="0"/>
        <v>72042</v>
      </c>
      <c r="K9" s="290">
        <f t="shared" si="0"/>
        <v>69418.1217352557</v>
      </c>
      <c r="L9" s="165">
        <f t="shared" si="2"/>
        <v>-3.6</v>
      </c>
      <c r="M9" s="27">
        <f>IFERROR(100/'Skjema total MA'!I9*K9,0)</f>
        <v>6.5008698498130109</v>
      </c>
    </row>
    <row r="10" spans="1:14" ht="15.75" x14ac:dyDescent="0.2">
      <c r="A10" s="13" t="s">
        <v>426</v>
      </c>
      <c r="B10" s="313">
        <v>741719</v>
      </c>
      <c r="C10" s="314">
        <v>704378.13674264099</v>
      </c>
      <c r="D10" s="170">
        <f t="shared" si="1"/>
        <v>-5</v>
      </c>
      <c r="E10" s="11">
        <f>IFERROR(100/'Skjema total MA'!C10*C10,0)</f>
        <v>4.036725251321255</v>
      </c>
      <c r="F10" s="313">
        <v>48700622</v>
      </c>
      <c r="G10" s="314">
        <v>44234077.594810002</v>
      </c>
      <c r="H10" s="170">
        <f t="shared" ref="H10:H12" si="3">IF(F10=0, "    ---- ", IF(ABS(ROUND(100/F10*G10-100,1))&lt;999,ROUND(100/F10*G10-100,1),IF(ROUND(100/F10*G10-100,1)&gt;999,999,-999)))</f>
        <v>-9.1999999999999993</v>
      </c>
      <c r="I10" s="159">
        <f>IFERROR(100/'Skjema total MA'!F10*G10,0)</f>
        <v>62.490676917032388</v>
      </c>
      <c r="J10" s="311">
        <f t="shared" si="0"/>
        <v>49442341</v>
      </c>
      <c r="K10" s="312">
        <f t="shared" si="0"/>
        <v>44938455.731552646</v>
      </c>
      <c r="L10" s="426">
        <f t="shared" ref="L10:L12" si="4">IF(J10=0, "    ---- ", IF(ABS(ROUND(100/J10*K10-100,1))&lt;999,ROUND(100/J10*K10-100,1),IF(ROUND(100/J10*K10-100,1)&gt;999,999,-999)))</f>
        <v>-9.1</v>
      </c>
      <c r="M10" s="11">
        <f>IFERROR(100/'Skjema total MA'!I10*K10,0)</f>
        <v>50.930806596600426</v>
      </c>
    </row>
    <row r="11" spans="1:14" s="43" customFormat="1" ht="15.75" x14ac:dyDescent="0.2">
      <c r="A11" s="13" t="s">
        <v>427</v>
      </c>
      <c r="B11" s="313"/>
      <c r="C11" s="314"/>
      <c r="D11" s="170"/>
      <c r="E11" s="11"/>
      <c r="F11" s="313">
        <v>546636</v>
      </c>
      <c r="G11" s="314">
        <v>76563.58425</v>
      </c>
      <c r="H11" s="170">
        <f t="shared" si="3"/>
        <v>-86</v>
      </c>
      <c r="I11" s="159">
        <f>IFERROR(100/'Skjema total MA'!F11*G11,0)</f>
        <v>5.5809439512782859</v>
      </c>
      <c r="J11" s="311">
        <f t="shared" si="0"/>
        <v>546636</v>
      </c>
      <c r="K11" s="312">
        <f t="shared" si="0"/>
        <v>76563.58425</v>
      </c>
      <c r="L11" s="426">
        <f t="shared" si="4"/>
        <v>-86</v>
      </c>
      <c r="M11" s="11">
        <f>IFERROR(100/'Skjema total MA'!I11*K11,0)</f>
        <v>5.436510618689808</v>
      </c>
      <c r="N11" s="142"/>
    </row>
    <row r="12" spans="1:14" s="43" customFormat="1" ht="15.75" x14ac:dyDescent="0.2">
      <c r="A12" s="41" t="s">
        <v>428</v>
      </c>
      <c r="B12" s="315"/>
      <c r="C12" s="316"/>
      <c r="D12" s="168"/>
      <c r="E12" s="36"/>
      <c r="F12" s="315">
        <v>49002</v>
      </c>
      <c r="G12" s="316">
        <v>65820.714699999997</v>
      </c>
      <c r="H12" s="168">
        <f t="shared" si="3"/>
        <v>34.299999999999997</v>
      </c>
      <c r="I12" s="168">
        <f>IFERROR(100/'Skjema total MA'!F12*G12,0)</f>
        <v>4.8959697262302742</v>
      </c>
      <c r="J12" s="317">
        <f t="shared" si="0"/>
        <v>49002</v>
      </c>
      <c r="K12" s="318">
        <f t="shared" si="0"/>
        <v>65820.714699999997</v>
      </c>
      <c r="L12" s="427">
        <f t="shared" si="4"/>
        <v>34.299999999999997</v>
      </c>
      <c r="M12" s="36">
        <f>IFERROR(100/'Skjema total MA'!I12*K12,0)</f>
        <v>4.8853551215214637</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v>190093</v>
      </c>
      <c r="C22" s="313">
        <v>205311.94410293899</v>
      </c>
      <c r="D22" s="351">
        <f t="shared" ref="D22:D34" si="5">IF(B22=0, "    ---- ", IF(ABS(ROUND(100/B22*C22-100,1))&lt;999,ROUND(100/B22*C22-100,1),IF(ROUND(100/B22*C22-100,1)&gt;999,999,-999)))</f>
        <v>8</v>
      </c>
      <c r="E22" s="11">
        <f>IFERROR(100/'Skjema total MA'!C22*C22,0)</f>
        <v>9.5652673007411657</v>
      </c>
      <c r="F22" s="321">
        <v>393244</v>
      </c>
      <c r="G22" s="321">
        <v>238096.26378000001</v>
      </c>
      <c r="H22" s="351">
        <f t="shared" ref="H22:H35" si="6">IF(F22=0, "    ---- ", IF(ABS(ROUND(100/F22*G22-100,1))&lt;999,ROUND(100/F22*G22-100,1),IF(ROUND(100/F22*G22-100,1)&gt;999,999,-999)))</f>
        <v>-39.5</v>
      </c>
      <c r="I22" s="11">
        <f>IFERROR(100/'Skjema total MA'!F22*G22,0)</f>
        <v>23.243091961998154</v>
      </c>
      <c r="J22" s="319">
        <f t="shared" ref="J22:K35" si="7">SUM(B22,F22)</f>
        <v>583337</v>
      </c>
      <c r="K22" s="319">
        <f t="shared" si="7"/>
        <v>443408.20788293902</v>
      </c>
      <c r="L22" s="425">
        <f t="shared" ref="L22:L35" si="8">IF(J22=0, "    ---- ", IF(ABS(ROUND(100/J22*K22-100,1))&lt;999,ROUND(100/J22*K22-100,1),IF(ROUND(100/J22*K22-100,1)&gt;999,999,-999)))</f>
        <v>-24</v>
      </c>
      <c r="M22" s="24">
        <f>IFERROR(100/'Skjema total MA'!I22*K22,0)</f>
        <v>13.984084319859345</v>
      </c>
    </row>
    <row r="23" spans="1:14" ht="15.75" x14ac:dyDescent="0.2">
      <c r="A23" s="723" t="s">
        <v>429</v>
      </c>
      <c r="B23" s="284">
        <v>189441</v>
      </c>
      <c r="C23" s="284">
        <v>204889.56110293901</v>
      </c>
      <c r="D23" s="165">
        <f t="shared" si="5"/>
        <v>8.1999999999999993</v>
      </c>
      <c r="E23" s="11">
        <f>IFERROR(100/'Skjema total MA'!C23*C23,0)</f>
        <v>16.39426712175624</v>
      </c>
      <c r="F23" s="293">
        <v>3152</v>
      </c>
      <c r="G23" s="293">
        <v>2520.8130000000001</v>
      </c>
      <c r="H23" s="165">
        <f t="shared" si="6"/>
        <v>-20</v>
      </c>
      <c r="I23" s="416">
        <f>IFERROR(100/'Skjema total MA'!F23*G23,0)</f>
        <v>1.6962137939560593</v>
      </c>
      <c r="J23" s="293">
        <f t="shared" ref="J23:J26" si="9">SUM(B23,F23)</f>
        <v>192593</v>
      </c>
      <c r="K23" s="293">
        <f t="shared" ref="K23:K26" si="10">SUM(C23,G23)</f>
        <v>207410.37410293901</v>
      </c>
      <c r="L23" s="165">
        <f t="shared" si="8"/>
        <v>7.7</v>
      </c>
      <c r="M23" s="23">
        <f>IFERROR(100/'Skjema total MA'!I23*K23,0)</f>
        <v>14.832215409399433</v>
      </c>
    </row>
    <row r="24" spans="1:14" ht="15.75" x14ac:dyDescent="0.2">
      <c r="A24" s="723" t="s">
        <v>430</v>
      </c>
      <c r="B24" s="284">
        <v>525</v>
      </c>
      <c r="C24" s="284">
        <v>422.38299999999998</v>
      </c>
      <c r="D24" s="165">
        <f t="shared" si="5"/>
        <v>-19.5</v>
      </c>
      <c r="E24" s="11">
        <f>IFERROR(100/'Skjema total MA'!C24*C24,0)</f>
        <v>2.009358534690612</v>
      </c>
      <c r="F24" s="293">
        <v>3152</v>
      </c>
      <c r="G24" s="293">
        <v>0</v>
      </c>
      <c r="H24" s="165">
        <f t="shared" si="6"/>
        <v>-100</v>
      </c>
      <c r="I24" s="416">
        <f>IFERROR(100/'Skjema total MA'!F24*G24,0)</f>
        <v>0</v>
      </c>
      <c r="J24" s="293">
        <f t="shared" si="9"/>
        <v>3677</v>
      </c>
      <c r="K24" s="293">
        <f t="shared" si="10"/>
        <v>422.38299999999998</v>
      </c>
      <c r="L24" s="165">
        <f t="shared" si="8"/>
        <v>-88.5</v>
      </c>
      <c r="M24" s="23">
        <f>IFERROR(100/'Skjema total MA'!I24*K24,0)</f>
        <v>1.8988140334915296</v>
      </c>
    </row>
    <row r="25" spans="1:14" ht="15.75" x14ac:dyDescent="0.2">
      <c r="A25" s="723" t="s">
        <v>431</v>
      </c>
      <c r="B25" s="284">
        <v>127</v>
      </c>
      <c r="C25" s="284">
        <v>0</v>
      </c>
      <c r="D25" s="165">
        <f t="shared" si="5"/>
        <v>-100</v>
      </c>
      <c r="E25" s="11">
        <f>IFERROR(100/'Skjema total MA'!C25*C25,0)</f>
        <v>0</v>
      </c>
      <c r="F25" s="293">
        <v>1292</v>
      </c>
      <c r="G25" s="293">
        <v>970.12820999999997</v>
      </c>
      <c r="H25" s="165">
        <f t="shared" si="6"/>
        <v>-24.9</v>
      </c>
      <c r="I25" s="416">
        <f>IFERROR(100/'Skjema total MA'!F25*G25,0)</f>
        <v>5.2532449493306865</v>
      </c>
      <c r="J25" s="293">
        <f t="shared" si="9"/>
        <v>1419</v>
      </c>
      <c r="K25" s="293">
        <f t="shared" si="10"/>
        <v>970.12820999999997</v>
      </c>
      <c r="L25" s="165">
        <f t="shared" si="8"/>
        <v>-31.6</v>
      </c>
      <c r="M25" s="23">
        <f>IFERROR(100/'Skjema total MA'!I25*K25,0)</f>
        <v>2.1371184423910634</v>
      </c>
    </row>
    <row r="26" spans="1:14" ht="15.75" x14ac:dyDescent="0.2">
      <c r="A26" s="723" t="s">
        <v>432</v>
      </c>
      <c r="B26" s="284"/>
      <c r="C26" s="284"/>
      <c r="D26" s="165"/>
      <c r="E26" s="11"/>
      <c r="F26" s="293">
        <v>388800</v>
      </c>
      <c r="G26" s="293">
        <v>234605.32256999999</v>
      </c>
      <c r="H26" s="165">
        <f t="shared" si="6"/>
        <v>-39.700000000000003</v>
      </c>
      <c r="I26" s="416">
        <f>IFERROR(100/'Skjema total MA'!F26*G26,0)</f>
        <v>27.404948197430691</v>
      </c>
      <c r="J26" s="293">
        <f t="shared" si="9"/>
        <v>388800</v>
      </c>
      <c r="K26" s="293">
        <f t="shared" si="10"/>
        <v>234605.32256999999</v>
      </c>
      <c r="L26" s="165">
        <f t="shared" si="8"/>
        <v>-39.700000000000003</v>
      </c>
      <c r="M26" s="23">
        <f>IFERROR(100/'Skjema total MA'!I26*K26,0)</f>
        <v>27.404948197430691</v>
      </c>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v>195953</v>
      </c>
      <c r="C28" s="290">
        <v>212318.49196133899</v>
      </c>
      <c r="D28" s="165">
        <f t="shared" si="5"/>
        <v>8.4</v>
      </c>
      <c r="E28" s="11">
        <f>IFERROR(100/'Skjema total MA'!C28*C28,0)</f>
        <v>8.73944173145874</v>
      </c>
      <c r="F28" s="233"/>
      <c r="G28" s="290"/>
      <c r="H28" s="165"/>
      <c r="I28" s="27"/>
      <c r="J28" s="44">
        <f t="shared" si="7"/>
        <v>195953</v>
      </c>
      <c r="K28" s="44">
        <f t="shared" si="7"/>
        <v>212318.49196133899</v>
      </c>
      <c r="L28" s="258">
        <f t="shared" si="8"/>
        <v>8.4</v>
      </c>
      <c r="M28" s="23">
        <f>IFERROR(100/'Skjema total MA'!I28*K28,0)</f>
        <v>8.73944173145874</v>
      </c>
    </row>
    <row r="29" spans="1:14" s="3" customFormat="1" ht="15.75" x14ac:dyDescent="0.2">
      <c r="A29" s="13" t="s">
        <v>426</v>
      </c>
      <c r="B29" s="235">
        <v>4064692</v>
      </c>
      <c r="C29" s="235">
        <v>3991239.6252231402</v>
      </c>
      <c r="D29" s="170">
        <f t="shared" si="5"/>
        <v>-1.8</v>
      </c>
      <c r="E29" s="11">
        <f>IFERROR(100/'Skjema total MA'!C29*C29,0)</f>
        <v>9.0639737836792627</v>
      </c>
      <c r="F29" s="311">
        <v>5684703</v>
      </c>
      <c r="G29" s="311">
        <v>5182940.66</v>
      </c>
      <c r="H29" s="170">
        <f t="shared" si="6"/>
        <v>-8.8000000000000007</v>
      </c>
      <c r="I29" s="11">
        <f>IFERROR(100/'Skjema total MA'!F29*G29,0)</f>
        <v>22.070288003847097</v>
      </c>
      <c r="J29" s="235">
        <f t="shared" si="7"/>
        <v>9749395</v>
      </c>
      <c r="K29" s="235">
        <f t="shared" si="7"/>
        <v>9174180.2852231413</v>
      </c>
      <c r="L29" s="426">
        <f t="shared" si="8"/>
        <v>-5.9</v>
      </c>
      <c r="M29" s="24">
        <f>IFERROR(100/'Skjema total MA'!I29*K29,0)</f>
        <v>13.587775647137144</v>
      </c>
      <c r="N29" s="147"/>
    </row>
    <row r="30" spans="1:14" s="3" customFormat="1" ht="15.75" x14ac:dyDescent="0.2">
      <c r="A30" s="723" t="s">
        <v>429</v>
      </c>
      <c r="B30" s="284">
        <v>602121</v>
      </c>
      <c r="C30" s="284">
        <v>540686.93077164097</v>
      </c>
      <c r="D30" s="165">
        <f t="shared" si="5"/>
        <v>-10.199999999999999</v>
      </c>
      <c r="E30" s="11">
        <f>IFERROR(100/'Skjema total MA'!C30*C30,0)</f>
        <v>4.2629072117490052</v>
      </c>
      <c r="F30" s="293">
        <v>467323</v>
      </c>
      <c r="G30" s="293">
        <v>366098.447618737</v>
      </c>
      <c r="H30" s="165">
        <f t="shared" si="6"/>
        <v>-21.7</v>
      </c>
      <c r="I30" s="416">
        <f>IFERROR(100/'Skjema total MA'!F30*G30,0)</f>
        <v>10.759360920455077</v>
      </c>
      <c r="J30" s="293">
        <f t="shared" ref="J30:J33" si="11">SUM(B30,F30)</f>
        <v>1069444</v>
      </c>
      <c r="K30" s="293">
        <f t="shared" ref="K30:K33" si="12">SUM(C30,G30)</f>
        <v>906785.37839037797</v>
      </c>
      <c r="L30" s="165">
        <f t="shared" si="8"/>
        <v>-15.2</v>
      </c>
      <c r="M30" s="23">
        <f>IFERROR(100/'Skjema total MA'!I30*K30,0)</f>
        <v>5.6370637019411847</v>
      </c>
      <c r="N30" s="147"/>
    </row>
    <row r="31" spans="1:14" s="3" customFormat="1" ht="15.75" x14ac:dyDescent="0.2">
      <c r="A31" s="723" t="s">
        <v>430</v>
      </c>
      <c r="B31" s="284">
        <v>2824103</v>
      </c>
      <c r="C31" s="284">
        <v>2727280.7893979899</v>
      </c>
      <c r="D31" s="165">
        <f t="shared" si="5"/>
        <v>-3.4</v>
      </c>
      <c r="E31" s="11">
        <f>IFERROR(100/'Skjema total MA'!C31*C31,0)</f>
        <v>11.132893044125884</v>
      </c>
      <c r="F31" s="293">
        <v>827263</v>
      </c>
      <c r="G31" s="293">
        <v>661821.50859177299</v>
      </c>
      <c r="H31" s="165">
        <f t="shared" si="6"/>
        <v>-20</v>
      </c>
      <c r="I31" s="416">
        <f>IFERROR(100/'Skjema total MA'!F31*G31,0)</f>
        <v>9.0270490770646088</v>
      </c>
      <c r="J31" s="293">
        <f t="shared" si="11"/>
        <v>3651366</v>
      </c>
      <c r="K31" s="293">
        <f t="shared" si="12"/>
        <v>3389102.2979897629</v>
      </c>
      <c r="L31" s="165">
        <f t="shared" si="8"/>
        <v>-7.2</v>
      </c>
      <c r="M31" s="23">
        <f>IFERROR(100/'Skjema total MA'!I31*K31,0)</f>
        <v>10.647830528401476</v>
      </c>
      <c r="N31" s="147"/>
    </row>
    <row r="32" spans="1:14" ht="15.75" x14ac:dyDescent="0.2">
      <c r="A32" s="723" t="s">
        <v>431</v>
      </c>
      <c r="B32" s="284">
        <v>638468</v>
      </c>
      <c r="C32" s="284">
        <v>723271.90505351301</v>
      </c>
      <c r="D32" s="165">
        <f t="shared" si="5"/>
        <v>13.3</v>
      </c>
      <c r="E32" s="11">
        <f>IFERROR(100/'Skjema total MA'!C32*C32,0)</f>
        <v>29.721549389444654</v>
      </c>
      <c r="F32" s="293">
        <v>2496243</v>
      </c>
      <c r="G32" s="293">
        <v>2205827.0504250498</v>
      </c>
      <c r="H32" s="165">
        <f t="shared" si="6"/>
        <v>-11.6</v>
      </c>
      <c r="I32" s="416">
        <f>IFERROR(100/'Skjema total MA'!F32*G32,0)</f>
        <v>41.292249800197183</v>
      </c>
      <c r="J32" s="293">
        <f t="shared" si="11"/>
        <v>3134711</v>
      </c>
      <c r="K32" s="293">
        <f t="shared" si="12"/>
        <v>2929098.955478563</v>
      </c>
      <c r="L32" s="165">
        <f t="shared" si="8"/>
        <v>-6.6</v>
      </c>
      <c r="M32" s="23">
        <f>IFERROR(100/'Skjema total MA'!I32*K32,0)</f>
        <v>37.670966378629892</v>
      </c>
    </row>
    <row r="33" spans="1:14" ht="15.75" x14ac:dyDescent="0.2">
      <c r="A33" s="723" t="s">
        <v>432</v>
      </c>
      <c r="B33" s="284"/>
      <c r="C33" s="284"/>
      <c r="D33" s="165"/>
      <c r="E33" s="11"/>
      <c r="F33" s="293">
        <v>1893874</v>
      </c>
      <c r="G33" s="293">
        <v>1949193.6533644299</v>
      </c>
      <c r="H33" s="165">
        <f t="shared" si="6"/>
        <v>2.9</v>
      </c>
      <c r="I33" s="416">
        <f>IFERROR(100/'Skjema total MA'!F33*G33,0)</f>
        <v>26.31320711293813</v>
      </c>
      <c r="J33" s="293">
        <f t="shared" si="11"/>
        <v>1893874</v>
      </c>
      <c r="K33" s="293">
        <f t="shared" si="12"/>
        <v>1949193.6533644299</v>
      </c>
      <c r="L33" s="165">
        <f t="shared" si="8"/>
        <v>2.9</v>
      </c>
      <c r="M33" s="23">
        <f>IFERROR(100/'Skjema total MA'!I33*K33,0)</f>
        <v>26.31320711293813</v>
      </c>
    </row>
    <row r="34" spans="1:14" ht="15.75" x14ac:dyDescent="0.2">
      <c r="A34" s="13" t="s">
        <v>427</v>
      </c>
      <c r="B34" s="235">
        <v>1831</v>
      </c>
      <c r="C34" s="312">
        <v>974.46686999999997</v>
      </c>
      <c r="D34" s="170">
        <f t="shared" si="5"/>
        <v>-46.8</v>
      </c>
      <c r="E34" s="11">
        <f>IFERROR(100/'Skjema total MA'!C34*C34,0)</f>
        <v>3.2598913692934448</v>
      </c>
      <c r="F34" s="311">
        <v>12875</v>
      </c>
      <c r="G34" s="312">
        <v>13577.04384</v>
      </c>
      <c r="H34" s="170">
        <f t="shared" si="6"/>
        <v>5.5</v>
      </c>
      <c r="I34" s="11">
        <f>IFERROR(100/'Skjema total MA'!F34*G34,0)</f>
        <v>1.7364192712385873</v>
      </c>
      <c r="J34" s="235">
        <f t="shared" si="7"/>
        <v>14706</v>
      </c>
      <c r="K34" s="235">
        <f t="shared" si="7"/>
        <v>14551.51071</v>
      </c>
      <c r="L34" s="426">
        <f t="shared" si="8"/>
        <v>-1.1000000000000001</v>
      </c>
      <c r="M34" s="24">
        <f>IFERROR(100/'Skjema total MA'!I34*K34,0)</f>
        <v>1.7925181169790074</v>
      </c>
    </row>
    <row r="35" spans="1:14" ht="15.75" x14ac:dyDescent="0.2">
      <c r="A35" s="13" t="s">
        <v>428</v>
      </c>
      <c r="B35" s="235"/>
      <c r="C35" s="312"/>
      <c r="D35" s="170"/>
      <c r="E35" s="11"/>
      <c r="F35" s="311">
        <v>34525</v>
      </c>
      <c r="G35" s="312">
        <v>25314.48803</v>
      </c>
      <c r="H35" s="170">
        <f t="shared" si="6"/>
        <v>-26.7</v>
      </c>
      <c r="I35" s="11">
        <f>IFERROR(100/'Skjema total MA'!F35*G35,0)</f>
        <v>5.8929687872682086</v>
      </c>
      <c r="J35" s="235">
        <f t="shared" si="7"/>
        <v>34525</v>
      </c>
      <c r="K35" s="235">
        <f t="shared" si="7"/>
        <v>25314.48803</v>
      </c>
      <c r="L35" s="426">
        <f t="shared" si="8"/>
        <v>-26.7</v>
      </c>
      <c r="M35" s="24">
        <f>IFERROR(100/'Skjema total MA'!I35*K35,0)</f>
        <v>6.4715557417149236</v>
      </c>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c r="C47" s="314"/>
      <c r="D47" s="425"/>
      <c r="E47" s="11"/>
      <c r="F47" s="144"/>
      <c r="G47" s="33"/>
      <c r="H47" s="158"/>
      <c r="I47" s="158"/>
      <c r="J47" s="37"/>
      <c r="K47" s="37"/>
      <c r="L47" s="158"/>
      <c r="M47" s="158"/>
      <c r="N47" s="147"/>
    </row>
    <row r="48" spans="1:14" s="3" customFormat="1" ht="15.75" x14ac:dyDescent="0.2">
      <c r="A48" s="38" t="s">
        <v>437</v>
      </c>
      <c r="B48" s="284"/>
      <c r="C48" s="285"/>
      <c r="D48" s="258"/>
      <c r="E48" s="27"/>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v>846838</v>
      </c>
      <c r="C66" s="354">
        <v>887257</v>
      </c>
      <c r="D66" s="351">
        <f t="shared" ref="D66:D111" si="13">IF(B66=0, "    ---- ", IF(ABS(ROUND(100/B66*C66-100,1))&lt;999,ROUND(100/B66*C66-100,1),IF(ROUND(100/B66*C66-100,1)&gt;999,999,-999)))</f>
        <v>4.8</v>
      </c>
      <c r="E66" s="11">
        <f>IFERROR(100/'Skjema total MA'!C66*C66,0)</f>
        <v>11.397794867931799</v>
      </c>
      <c r="F66" s="353">
        <v>6184727</v>
      </c>
      <c r="G66" s="353">
        <v>6983302.3359999964</v>
      </c>
      <c r="H66" s="351">
        <f t="shared" ref="H66:H111" si="14">IF(F66=0, "    ---- ", IF(ABS(ROUND(100/F66*G66-100,1))&lt;999,ROUND(100/F66*G66-100,1),IF(ROUND(100/F66*G66-100,1)&gt;999,999,-999)))</f>
        <v>12.9</v>
      </c>
      <c r="I66" s="11">
        <f>IFERROR(100/'Skjema total MA'!F66*G66,0)</f>
        <v>15.998265046020871</v>
      </c>
      <c r="J66" s="312">
        <f t="shared" ref="J66:K68" si="15">SUM(B66,F66)</f>
        <v>7031565</v>
      </c>
      <c r="K66" s="319">
        <f t="shared" si="15"/>
        <v>7870559.3359999964</v>
      </c>
      <c r="L66" s="426">
        <f t="shared" ref="L66:L111" si="16">IF(J66=0, "    ---- ", IF(ABS(ROUND(100/J66*K66-100,1))&lt;999,ROUND(100/J66*K66-100,1),IF(ROUND(100/J66*K66-100,1)&gt;999,999,-999)))</f>
        <v>11.9</v>
      </c>
      <c r="M66" s="11">
        <f>IFERROR(100/'Skjema total MA'!I66*K66,0)</f>
        <v>15.302001802236324</v>
      </c>
    </row>
    <row r="67" spans="1:14" x14ac:dyDescent="0.2">
      <c r="A67" s="418" t="s">
        <v>9</v>
      </c>
      <c r="B67" s="44">
        <v>623833.54799999995</v>
      </c>
      <c r="C67" s="144">
        <v>555226.54341113602</v>
      </c>
      <c r="D67" s="165">
        <f t="shared" si="13"/>
        <v>-11</v>
      </c>
      <c r="E67" s="27">
        <f>IFERROR(100/'Skjema total MA'!C67*C67,0)</f>
        <v>11.472391532957047</v>
      </c>
      <c r="F67" s="233"/>
      <c r="G67" s="144"/>
      <c r="H67" s="165"/>
      <c r="I67" s="27"/>
      <c r="J67" s="290">
        <f t="shared" si="15"/>
        <v>623833.54799999995</v>
      </c>
      <c r="K67" s="44">
        <f t="shared" si="15"/>
        <v>555226.54341113602</v>
      </c>
      <c r="L67" s="258">
        <f t="shared" si="16"/>
        <v>-11</v>
      </c>
      <c r="M67" s="27">
        <f>IFERROR(100/'Skjema total MA'!I67*K67,0)</f>
        <v>11.472391532957047</v>
      </c>
    </row>
    <row r="68" spans="1:14" x14ac:dyDescent="0.2">
      <c r="A68" s="21" t="s">
        <v>10</v>
      </c>
      <c r="B68" s="295">
        <v>10844</v>
      </c>
      <c r="C68" s="296">
        <v>5788</v>
      </c>
      <c r="D68" s="165">
        <f t="shared" si="13"/>
        <v>-46.6</v>
      </c>
      <c r="E68" s="27">
        <f>IFERROR(100/'Skjema total MA'!C68*C68,0)</f>
        <v>12.874749021137369</v>
      </c>
      <c r="F68" s="295">
        <v>6184727</v>
      </c>
      <c r="G68" s="296">
        <v>6983302.3359999964</v>
      </c>
      <c r="H68" s="165">
        <f t="shared" si="14"/>
        <v>12.9</v>
      </c>
      <c r="I68" s="27">
        <f>IFERROR(100/'Skjema total MA'!F68*G68,0)</f>
        <v>16.616275630440416</v>
      </c>
      <c r="J68" s="290">
        <f t="shared" si="15"/>
        <v>6195571</v>
      </c>
      <c r="K68" s="44">
        <f t="shared" si="15"/>
        <v>6989090.3359999964</v>
      </c>
      <c r="L68" s="258">
        <f t="shared" si="16"/>
        <v>12.8</v>
      </c>
      <c r="M68" s="27">
        <f>IFERROR(100/'Skjema total MA'!I68*K68,0)</f>
        <v>16.612277590626963</v>
      </c>
    </row>
    <row r="69" spans="1:14" ht="15.75" x14ac:dyDescent="0.2">
      <c r="A69" s="299" t="s">
        <v>441</v>
      </c>
      <c r="B69" s="284">
        <v>7541</v>
      </c>
      <c r="C69" s="284">
        <v>4233</v>
      </c>
      <c r="D69" s="165">
        <f t="shared" ref="D69" si="17">IF(B69=0, "    ---- ", IF(ABS(ROUND(100/B69*C69-100,1))&lt;999,ROUND(100/B69*C69-100,1),IF(ROUND(100/B69*C69-100,1)&gt;999,999,-999)))</f>
        <v>-43.9</v>
      </c>
      <c r="E69" s="27">
        <f>IFERROR(100/'Skjema total MA'!C69*C69,0)</f>
        <v>100</v>
      </c>
      <c r="F69" s="284">
        <v>2145</v>
      </c>
      <c r="G69" s="284">
        <v>2559.5900000000038</v>
      </c>
      <c r="H69" s="165">
        <f t="shared" si="14"/>
        <v>19.3</v>
      </c>
      <c r="I69" s="416">
        <f>IFERROR(100/'Skjema total MA'!F69*G69,0)</f>
        <v>100</v>
      </c>
      <c r="J69" s="290">
        <f t="shared" ref="J69:J125" si="18">SUM(B69,F69)</f>
        <v>9686</v>
      </c>
      <c r="K69" s="44">
        <f t="shared" ref="K69:K125" si="19">SUM(C69,G69)</f>
        <v>6792.5900000000038</v>
      </c>
      <c r="L69" s="258">
        <f t="shared" ref="L69:L74" si="20">IF(J69=0, "    ---- ", IF(ABS(ROUND(100/J69*K69-100,1))&lt;999,ROUND(100/J69*K69-100,1),IF(ROUND(100/J69*K69-100,1)&gt;999,999,-999)))</f>
        <v>-29.9</v>
      </c>
      <c r="M69" s="27">
        <f>IFERROR(100/'Skjema total MA'!I69*K69,0)</f>
        <v>100</v>
      </c>
    </row>
    <row r="70" spans="1:14" x14ac:dyDescent="0.2">
      <c r="A70" s="299" t="s">
        <v>12</v>
      </c>
      <c r="B70" s="297"/>
      <c r="C70" s="298"/>
      <c r="D70" s="165"/>
      <c r="E70" s="416"/>
      <c r="F70" s="284">
        <v>0</v>
      </c>
      <c r="G70" s="284">
        <v>4.0241199139291802E-3</v>
      </c>
      <c r="H70" s="165" t="str">
        <f t="shared" si="14"/>
        <v xml:space="preserve">    ---- </v>
      </c>
      <c r="I70" s="416">
        <f>IFERROR(100/'Skjema total MA'!F70*G70,0)</f>
        <v>0</v>
      </c>
      <c r="J70" s="290">
        <f t="shared" si="18"/>
        <v>0</v>
      </c>
      <c r="K70" s="44">
        <f t="shared" si="19"/>
        <v>4.0241199139291802E-3</v>
      </c>
      <c r="L70" s="258" t="str">
        <f t="shared" si="20"/>
        <v xml:space="preserve">    ---- </v>
      </c>
      <c r="M70" s="27">
        <f>IFERROR(100/'Skjema total MA'!I70*K70,0)</f>
        <v>0</v>
      </c>
    </row>
    <row r="71" spans="1:14" x14ac:dyDescent="0.2">
      <c r="A71" s="299" t="s">
        <v>13</v>
      </c>
      <c r="B71" s="234"/>
      <c r="C71" s="292"/>
      <c r="D71" s="165"/>
      <c r="E71" s="416"/>
      <c r="F71" s="284">
        <v>2145</v>
      </c>
      <c r="G71" s="284">
        <v>2559.5859758800898</v>
      </c>
      <c r="H71" s="165">
        <f t="shared" si="14"/>
        <v>19.3</v>
      </c>
      <c r="I71" s="416">
        <f>IFERROR(100/'Skjema total MA'!F71*G71,0)</f>
        <v>100</v>
      </c>
      <c r="J71" s="293">
        <f t="shared" si="18"/>
        <v>2145</v>
      </c>
      <c r="K71" s="293">
        <f t="shared" si="19"/>
        <v>2559.5859758800898</v>
      </c>
      <c r="L71" s="258">
        <f t="shared" si="20"/>
        <v>19.3</v>
      </c>
      <c r="M71" s="27">
        <f>IFERROR(100/'Skjema total MA'!I71*K71,0)</f>
        <v>100</v>
      </c>
    </row>
    <row r="72" spans="1:14" ht="15.75" x14ac:dyDescent="0.2">
      <c r="A72" s="299" t="s">
        <v>442</v>
      </c>
      <c r="B72" s="284">
        <v>3303</v>
      </c>
      <c r="C72" s="284">
        <v>1555</v>
      </c>
      <c r="D72" s="165">
        <f t="shared" ref="D72" si="21">IF(B72=0, "    ---- ", IF(ABS(ROUND(100/B72*C72-100,1))&lt;999,ROUND(100/B72*C72-100,1),IF(ROUND(100/B72*C72-100,1)&gt;999,999,-999)))</f>
        <v>-52.9</v>
      </c>
      <c r="E72" s="27">
        <f>IFERROR(100/'Skjema total MA'!C72*C72,0)</f>
        <v>3.8184606881010152</v>
      </c>
      <c r="F72" s="284">
        <v>6182582</v>
      </c>
      <c r="G72" s="284">
        <v>6980742.7459999966</v>
      </c>
      <c r="H72" s="165">
        <f t="shared" si="14"/>
        <v>12.9</v>
      </c>
      <c r="I72" s="416">
        <f>IFERROR(100/'Skjema total MA'!F72*G72,0)</f>
        <v>16.611196948824119</v>
      </c>
      <c r="J72" s="293">
        <f t="shared" si="18"/>
        <v>6185885</v>
      </c>
      <c r="K72" s="293">
        <f t="shared" si="19"/>
        <v>6982297.7459999966</v>
      </c>
      <c r="L72" s="258">
        <f t="shared" si="20"/>
        <v>12.9</v>
      </c>
      <c r="M72" s="27">
        <f>IFERROR(100/'Skjema total MA'!I72*K72,0)</f>
        <v>16.598812286633272</v>
      </c>
    </row>
    <row r="73" spans="1:14" x14ac:dyDescent="0.2">
      <c r="A73" s="299" t="s">
        <v>12</v>
      </c>
      <c r="B73" s="234"/>
      <c r="C73" s="292"/>
      <c r="D73" s="165"/>
      <c r="E73" s="416"/>
      <c r="F73" s="284">
        <v>8</v>
      </c>
      <c r="G73" s="284">
        <v>10.974939696668301</v>
      </c>
      <c r="H73" s="165">
        <f t="shared" si="14"/>
        <v>37.200000000000003</v>
      </c>
      <c r="I73" s="416">
        <f>IFERROR(100/'Skjema total MA'!F73*G73,0)</f>
        <v>99.999999999999986</v>
      </c>
      <c r="J73" s="293">
        <f t="shared" si="18"/>
        <v>8</v>
      </c>
      <c r="K73" s="293">
        <f t="shared" si="19"/>
        <v>10.974939696668301</v>
      </c>
      <c r="L73" s="258">
        <f t="shared" si="20"/>
        <v>37.200000000000003</v>
      </c>
      <c r="M73" s="27">
        <f>IFERROR(100/'Skjema total MA'!I73*K73,0)</f>
        <v>99.999999999999986</v>
      </c>
    </row>
    <row r="74" spans="1:14" s="3" customFormat="1" x14ac:dyDescent="0.2">
      <c r="A74" s="299" t="s">
        <v>13</v>
      </c>
      <c r="B74" s="234"/>
      <c r="C74" s="292"/>
      <c r="D74" s="165"/>
      <c r="E74" s="416"/>
      <c r="F74" s="284">
        <v>6182574</v>
      </c>
      <c r="G74" s="284">
        <v>6980731.7710603001</v>
      </c>
      <c r="H74" s="165">
        <f t="shared" si="14"/>
        <v>12.9</v>
      </c>
      <c r="I74" s="416">
        <f>IFERROR(100/'Skjema total MA'!F74*G74,0)</f>
        <v>16.611175171260562</v>
      </c>
      <c r="J74" s="293">
        <f t="shared" si="18"/>
        <v>6182574</v>
      </c>
      <c r="K74" s="293">
        <f t="shared" si="19"/>
        <v>6980731.7710603001</v>
      </c>
      <c r="L74" s="258">
        <f t="shared" si="20"/>
        <v>12.9</v>
      </c>
      <c r="M74" s="27">
        <f>IFERROR(100/'Skjema total MA'!I74*K74,0)</f>
        <v>16.611175171260562</v>
      </c>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v>212160.45199999999</v>
      </c>
      <c r="C76" s="144">
        <v>326242.45658886398</v>
      </c>
      <c r="D76" s="165">
        <f t="shared" ref="D76" si="22">IF(B76=0, "    ---- ", IF(ABS(ROUND(100/B76*C76-100,1))&lt;999,ROUND(100/B76*C76-100,1),IF(ROUND(100/B76*C76-100,1)&gt;999,999,-999)))</f>
        <v>53.8</v>
      </c>
      <c r="E76" s="27">
        <f>IFERROR(100/'Skjema total MA'!C77*C76,0)</f>
        <v>6.8035036980184413</v>
      </c>
      <c r="F76" s="233"/>
      <c r="G76" s="144"/>
      <c r="H76" s="165"/>
      <c r="I76" s="27"/>
      <c r="J76" s="290">
        <f t="shared" si="18"/>
        <v>212160.45199999999</v>
      </c>
      <c r="K76" s="44">
        <f t="shared" si="19"/>
        <v>326242.45658886398</v>
      </c>
      <c r="L76" s="258">
        <f t="shared" ref="L76" si="23">IF(J76=0, "    ---- ", IF(ABS(ROUND(100/J76*K76-100,1))&lt;999,ROUND(100/J76*K76-100,1),IF(ROUND(100/J76*K76-100,1)&gt;999,999,-999)))</f>
        <v>53.8</v>
      </c>
      <c r="M76" s="27">
        <f>IFERROR(100/'Skjema total MA'!I77*K76,0)</f>
        <v>0.69696944894090451</v>
      </c>
      <c r="N76" s="147"/>
    </row>
    <row r="77" spans="1:14" ht="15.75" x14ac:dyDescent="0.2">
      <c r="A77" s="21" t="s">
        <v>443</v>
      </c>
      <c r="B77" s="233">
        <v>626049.93999999994</v>
      </c>
      <c r="C77" s="233">
        <v>552169.72841113608</v>
      </c>
      <c r="D77" s="165">
        <f t="shared" si="13"/>
        <v>-11.8</v>
      </c>
      <c r="E77" s="27">
        <f>IFERROR(100/'Skjema total MA'!C77*C77,0)</f>
        <v>11.515021154690613</v>
      </c>
      <c r="F77" s="233">
        <v>6182582</v>
      </c>
      <c r="G77" s="144">
        <v>6980742.7459999966</v>
      </c>
      <c r="H77" s="165">
        <f t="shared" si="14"/>
        <v>12.9</v>
      </c>
      <c r="I77" s="27">
        <f>IFERROR(100/'Skjema total MA'!F77*G77,0)</f>
        <v>16.615473594695615</v>
      </c>
      <c r="J77" s="290">
        <f t="shared" si="18"/>
        <v>6808631.9399999995</v>
      </c>
      <c r="K77" s="44">
        <f t="shared" si="19"/>
        <v>7532912.4744111327</v>
      </c>
      <c r="L77" s="258">
        <f t="shared" si="16"/>
        <v>10.6</v>
      </c>
      <c r="M77" s="27">
        <f>IFERROR(100/'Skjema total MA'!I77*K77,0)</f>
        <v>16.092969355079347</v>
      </c>
    </row>
    <row r="78" spans="1:14" x14ac:dyDescent="0.2">
      <c r="A78" s="21" t="s">
        <v>9</v>
      </c>
      <c r="B78" s="233">
        <v>617357.93999999994</v>
      </c>
      <c r="C78" s="144">
        <v>548948.12441113603</v>
      </c>
      <c r="D78" s="165">
        <f t="shared" si="13"/>
        <v>-11.1</v>
      </c>
      <c r="E78" s="27">
        <f>IFERROR(100/'Skjema total MA'!C78*C78,0)</f>
        <v>11.549939199965088</v>
      </c>
      <c r="F78" s="233"/>
      <c r="G78" s="144"/>
      <c r="H78" s="165"/>
      <c r="I78" s="27"/>
      <c r="J78" s="290">
        <f t="shared" si="18"/>
        <v>617357.93999999994</v>
      </c>
      <c r="K78" s="44">
        <f t="shared" si="19"/>
        <v>548948.12441113603</v>
      </c>
      <c r="L78" s="258">
        <f t="shared" si="16"/>
        <v>-11.1</v>
      </c>
      <c r="M78" s="27">
        <f>IFERROR(100/'Skjema total MA'!I78*K78,0)</f>
        <v>11.549939199965088</v>
      </c>
    </row>
    <row r="79" spans="1:14" x14ac:dyDescent="0.2">
      <c r="A79" s="38" t="s">
        <v>473</v>
      </c>
      <c r="B79" s="295">
        <v>8692</v>
      </c>
      <c r="C79" s="296">
        <v>3221.6039999999998</v>
      </c>
      <c r="D79" s="165">
        <f t="shared" si="13"/>
        <v>-62.9</v>
      </c>
      <c r="E79" s="27">
        <f>IFERROR(100/'Skjema total MA'!C79*C79,0)</f>
        <v>7.599947317162667</v>
      </c>
      <c r="F79" s="295">
        <v>6182582</v>
      </c>
      <c r="G79" s="296">
        <v>6980742.7459999966</v>
      </c>
      <c r="H79" s="165">
        <f t="shared" si="14"/>
        <v>12.9</v>
      </c>
      <c r="I79" s="27">
        <f>IFERROR(100/'Skjema total MA'!F79*G79,0)</f>
        <v>16.615473594695615</v>
      </c>
      <c r="J79" s="290">
        <f t="shared" si="18"/>
        <v>6191274</v>
      </c>
      <c r="K79" s="44">
        <f t="shared" si="19"/>
        <v>6983964.3499999968</v>
      </c>
      <c r="L79" s="258">
        <f t="shared" si="16"/>
        <v>12.8</v>
      </c>
      <c r="M79" s="27">
        <f>IFERROR(100/'Skjema total MA'!I79*K79,0)</f>
        <v>16.606386484701826</v>
      </c>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v>8692</v>
      </c>
      <c r="C83" s="284">
        <v>3221.6039999999998</v>
      </c>
      <c r="D83" s="165">
        <f t="shared" ref="D83" si="24">IF(B83=0, "    ---- ", IF(ABS(ROUND(100/B83*C83-100,1))&lt;999,ROUND(100/B83*C83-100,1),IF(ROUND(100/B83*C83-100,1)&gt;999,999,-999)))</f>
        <v>-62.9</v>
      </c>
      <c r="E83" s="27">
        <f>IFERROR(100/'Skjema total MA'!C83*C83,0)</f>
        <v>7.599947317162667</v>
      </c>
      <c r="F83" s="284">
        <v>6182582</v>
      </c>
      <c r="G83" s="284">
        <v>6980742.7459999966</v>
      </c>
      <c r="H83" s="165">
        <f t="shared" ref="H83:H85" si="25">IF(F83=0, "    ---- ", IF(ABS(ROUND(100/F83*G83-100,1))&lt;999,ROUND(100/F83*G83-100,1),IF(ROUND(100/F83*G83-100,1)&gt;999,999,-999)))</f>
        <v>12.9</v>
      </c>
      <c r="I83" s="27">
        <f>IFERROR(100/'Skjema total MA'!F83*G83,0)</f>
        <v>16.615473594695615</v>
      </c>
      <c r="J83" s="293">
        <f t="shared" si="18"/>
        <v>6191274</v>
      </c>
      <c r="K83" s="293">
        <f t="shared" si="19"/>
        <v>6983964.3499999968</v>
      </c>
      <c r="L83" s="258">
        <f t="shared" ref="L83:L85" si="26">IF(J83=0, "    ---- ", IF(ABS(ROUND(100/J83*K83-100,1))&lt;999,ROUND(100/J83*K83-100,1),IF(ROUND(100/J83*K83-100,1)&gt;999,999,-999)))</f>
        <v>12.8</v>
      </c>
      <c r="M83" s="27">
        <f>IFERROR(100/'Skjema total MA'!I83*K83,0)</f>
        <v>16.606386484701826</v>
      </c>
    </row>
    <row r="84" spans="1:13" x14ac:dyDescent="0.2">
      <c r="A84" s="299" t="s">
        <v>12</v>
      </c>
      <c r="B84" s="234"/>
      <c r="C84" s="292"/>
      <c r="D84" s="165"/>
      <c r="E84" s="416"/>
      <c r="F84" s="284">
        <v>8</v>
      </c>
      <c r="G84" s="284">
        <v>10.974939696668301</v>
      </c>
      <c r="H84" s="165">
        <f t="shared" si="25"/>
        <v>37.200000000000003</v>
      </c>
      <c r="I84" s="27">
        <f>IFERROR(100/'Skjema total MA'!F84*G84,0)</f>
        <v>99.999999999999986</v>
      </c>
      <c r="J84" s="293">
        <f t="shared" si="18"/>
        <v>8</v>
      </c>
      <c r="K84" s="293">
        <f t="shared" si="19"/>
        <v>10.974939696668301</v>
      </c>
      <c r="L84" s="258">
        <f t="shared" si="26"/>
        <v>37.200000000000003</v>
      </c>
      <c r="M84" s="27">
        <f>IFERROR(100/'Skjema total MA'!I84*K84,0)</f>
        <v>99.999999999999986</v>
      </c>
    </row>
    <row r="85" spans="1:13" x14ac:dyDescent="0.2">
      <c r="A85" s="299" t="s">
        <v>13</v>
      </c>
      <c r="B85" s="234"/>
      <c r="C85" s="292"/>
      <c r="D85" s="165"/>
      <c r="E85" s="416"/>
      <c r="F85" s="284">
        <v>6182574</v>
      </c>
      <c r="G85" s="284">
        <v>6980731.7710603001</v>
      </c>
      <c r="H85" s="165">
        <f t="shared" si="25"/>
        <v>12.9</v>
      </c>
      <c r="I85" s="27">
        <f>IFERROR(100/'Skjema total MA'!F85*G85,0)</f>
        <v>16.615451812642462</v>
      </c>
      <c r="J85" s="293">
        <f t="shared" si="18"/>
        <v>6182574</v>
      </c>
      <c r="K85" s="293">
        <f t="shared" si="19"/>
        <v>6980731.7710603001</v>
      </c>
      <c r="L85" s="258">
        <f t="shared" si="26"/>
        <v>12.9</v>
      </c>
      <c r="M85" s="27">
        <f>IFERROR(100/'Skjema total MA'!I85*K85,0)</f>
        <v>16.615451812642462</v>
      </c>
    </row>
    <row r="86" spans="1:13" ht="15.75" x14ac:dyDescent="0.2">
      <c r="A86" s="21" t="s">
        <v>444</v>
      </c>
      <c r="B86" s="233">
        <v>8627.26</v>
      </c>
      <c r="C86" s="144">
        <v>8844.8150000000005</v>
      </c>
      <c r="D86" s="165">
        <f t="shared" si="13"/>
        <v>2.5</v>
      </c>
      <c r="E86" s="27">
        <f>IFERROR(100/'Skjema total MA'!C86*C86,0)</f>
        <v>9.8913286493939694</v>
      </c>
      <c r="F86" s="233">
        <v>2145</v>
      </c>
      <c r="G86" s="144">
        <v>2559.59</v>
      </c>
      <c r="H86" s="165">
        <f t="shared" si="14"/>
        <v>19.3</v>
      </c>
      <c r="I86" s="27">
        <f>IFERROR(100/'Skjema total MA'!F86*G86,0)</f>
        <v>19.134846773355541</v>
      </c>
      <c r="J86" s="290">
        <f t="shared" si="18"/>
        <v>10772.26</v>
      </c>
      <c r="K86" s="44">
        <f t="shared" si="19"/>
        <v>11404.405000000001</v>
      </c>
      <c r="L86" s="258">
        <f t="shared" si="16"/>
        <v>5.9</v>
      </c>
      <c r="M86" s="27">
        <f>IFERROR(100/'Skjema total MA'!I86*K86,0)</f>
        <v>11.094159276546421</v>
      </c>
    </row>
    <row r="87" spans="1:13" ht="15.75" x14ac:dyDescent="0.2">
      <c r="A87" s="13" t="s">
        <v>426</v>
      </c>
      <c r="B87" s="354">
        <v>51002451</v>
      </c>
      <c r="C87" s="354">
        <v>49882562.238029599</v>
      </c>
      <c r="D87" s="170">
        <f t="shared" si="13"/>
        <v>-2.2000000000000002</v>
      </c>
      <c r="E87" s="11">
        <f>IFERROR(100/'Skjema total MA'!C87*C87,0)</f>
        <v>12.524152595013396</v>
      </c>
      <c r="F87" s="353">
        <v>71019883.519999996</v>
      </c>
      <c r="G87" s="353">
        <v>68649441.745190024</v>
      </c>
      <c r="H87" s="170">
        <f t="shared" si="14"/>
        <v>-3.3</v>
      </c>
      <c r="I87" s="11">
        <f>IFERROR(100/'Skjema total MA'!F87*G87,0)</f>
        <v>15.4989124858509</v>
      </c>
      <c r="J87" s="312">
        <f t="shared" si="18"/>
        <v>122022334.52</v>
      </c>
      <c r="K87" s="235">
        <f t="shared" si="19"/>
        <v>118532003.98321962</v>
      </c>
      <c r="L87" s="426">
        <f t="shared" si="16"/>
        <v>-2.9</v>
      </c>
      <c r="M87" s="11">
        <f>IFERROR(100/'Skjema total MA'!I87*K87,0)</f>
        <v>14.090460991660592</v>
      </c>
    </row>
    <row r="88" spans="1:13" x14ac:dyDescent="0.2">
      <c r="A88" s="21" t="s">
        <v>9</v>
      </c>
      <c r="B88" s="233">
        <v>49433043</v>
      </c>
      <c r="C88" s="144">
        <v>48178151.819029599</v>
      </c>
      <c r="D88" s="165">
        <f t="shared" si="13"/>
        <v>-2.5</v>
      </c>
      <c r="E88" s="27">
        <f>IFERROR(100/'Skjema total MA'!C88*C88,0)</f>
        <v>12.59075998630823</v>
      </c>
      <c r="F88" s="233"/>
      <c r="G88" s="144"/>
      <c r="H88" s="165"/>
      <c r="I88" s="27"/>
      <c r="J88" s="290">
        <f t="shared" si="18"/>
        <v>49433043</v>
      </c>
      <c r="K88" s="44">
        <f t="shared" si="19"/>
        <v>48178151.819029599</v>
      </c>
      <c r="L88" s="258">
        <f t="shared" si="16"/>
        <v>-2.5</v>
      </c>
      <c r="M88" s="27">
        <f>IFERROR(100/'Skjema total MA'!I88*K88,0)</f>
        <v>12.59075998630823</v>
      </c>
    </row>
    <row r="89" spans="1:13" x14ac:dyDescent="0.2">
      <c r="A89" s="21" t="s">
        <v>10</v>
      </c>
      <c r="B89" s="233">
        <v>1268514</v>
      </c>
      <c r="C89" s="144">
        <v>1376003.085</v>
      </c>
      <c r="D89" s="165">
        <f t="shared" si="13"/>
        <v>8.5</v>
      </c>
      <c r="E89" s="27">
        <f>IFERROR(100/'Skjema total MA'!C89*C89,0)</f>
        <v>41.566681006004231</v>
      </c>
      <c r="F89" s="233">
        <v>71019883.519999996</v>
      </c>
      <c r="G89" s="144">
        <v>68649441.745190024</v>
      </c>
      <c r="H89" s="165">
        <f t="shared" si="14"/>
        <v>-3.3</v>
      </c>
      <c r="I89" s="27">
        <f>IFERROR(100/'Skjema total MA'!F89*G89,0)</f>
        <v>15.693080564628895</v>
      </c>
      <c r="J89" s="290">
        <f t="shared" si="18"/>
        <v>72288397.519999996</v>
      </c>
      <c r="K89" s="44">
        <f t="shared" si="19"/>
        <v>70025444.830190018</v>
      </c>
      <c r="L89" s="258">
        <f t="shared" si="16"/>
        <v>-3.1</v>
      </c>
      <c r="M89" s="27">
        <f>IFERROR(100/'Skjema total MA'!I89*K89,0)</f>
        <v>15.887405272721198</v>
      </c>
    </row>
    <row r="90" spans="1:13" ht="15.75" x14ac:dyDescent="0.2">
      <c r="A90" s="299" t="s">
        <v>441</v>
      </c>
      <c r="B90" s="284"/>
      <c r="C90" s="284"/>
      <c r="D90" s="165"/>
      <c r="E90" s="416"/>
      <c r="F90" s="284">
        <v>13766</v>
      </c>
      <c r="G90" s="284">
        <v>13474.166999999999</v>
      </c>
      <c r="H90" s="165">
        <f t="shared" ref="H90" si="27">IF(F90=0, "    ---- ", IF(ABS(ROUND(100/F90*G90-100,1))&lt;999,ROUND(100/F90*G90-100,1),IF(ROUND(100/F90*G90-100,1)&gt;999,999,-999)))</f>
        <v>-2.1</v>
      </c>
      <c r="I90" s="27">
        <f>IFERROR(100/'Skjema total MA'!F90*G90,0)</f>
        <v>13.267830084903508</v>
      </c>
      <c r="J90" s="293">
        <f t="shared" si="18"/>
        <v>13766</v>
      </c>
      <c r="K90" s="293">
        <f t="shared" si="19"/>
        <v>13474.166999999999</v>
      </c>
      <c r="L90" s="258">
        <f t="shared" ref="L90" si="28">IF(J90=0, "    ---- ", IF(ABS(ROUND(100/J90*K90-100,1))&lt;999,ROUND(100/J90*K90-100,1),IF(ROUND(100/J90*K90-100,1)&gt;999,999,-999)))</f>
        <v>-2.1</v>
      </c>
      <c r="M90" s="27">
        <f>IFERROR(100/'Skjema total MA'!I90*K90,0)</f>
        <v>13.267830084903508</v>
      </c>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v>13766</v>
      </c>
      <c r="G92" s="284">
        <v>13474.166999999999</v>
      </c>
      <c r="H92" s="165">
        <f t="shared" ref="H92:H95" si="29">IF(F92=0, "    ---- ", IF(ABS(ROUND(100/F92*G92-100,1))&lt;999,ROUND(100/F92*G92-100,1),IF(ROUND(100/F92*G92-100,1)&gt;999,999,-999)))</f>
        <v>-2.1</v>
      </c>
      <c r="I92" s="27">
        <f>IFERROR(100/'Skjema total MA'!F92*G92,0)</f>
        <v>100</v>
      </c>
      <c r="J92" s="293">
        <f t="shared" si="18"/>
        <v>13766</v>
      </c>
      <c r="K92" s="293">
        <f t="shared" si="19"/>
        <v>13474.166999999999</v>
      </c>
      <c r="L92" s="258">
        <f t="shared" ref="L92:L95" si="30">IF(J92=0, "    ---- ", IF(ABS(ROUND(100/J92*K92-100,1))&lt;999,ROUND(100/J92*K92-100,1),IF(ROUND(100/J92*K92-100,1)&gt;999,999,-999)))</f>
        <v>-2.1</v>
      </c>
      <c r="M92" s="27">
        <f>IFERROR(100/'Skjema total MA'!I92*K92,0)</f>
        <v>100</v>
      </c>
    </row>
    <row r="93" spans="1:13" ht="15.75" x14ac:dyDescent="0.2">
      <c r="A93" s="299" t="s">
        <v>442</v>
      </c>
      <c r="B93" s="284">
        <v>1268514</v>
      </c>
      <c r="C93" s="284">
        <v>1376003.085</v>
      </c>
      <c r="D93" s="165">
        <f t="shared" ref="D93" si="31">IF(B93=0, "    ---- ", IF(ABS(ROUND(100/B93*C93-100,1))&lt;999,ROUND(100/B93*C93-100,1),IF(ROUND(100/B93*C93-100,1)&gt;999,999,-999)))</f>
        <v>8.5</v>
      </c>
      <c r="E93" s="27">
        <f>IFERROR(100/'Skjema total MA'!C93*C93,0)</f>
        <v>41.566681006004231</v>
      </c>
      <c r="F93" s="284">
        <v>71006117.519999996</v>
      </c>
      <c r="G93" s="284">
        <v>68635967.578190029</v>
      </c>
      <c r="H93" s="165">
        <f t="shared" si="29"/>
        <v>-3.3</v>
      </c>
      <c r="I93" s="27">
        <f>IFERROR(100/'Skjema total MA'!F93*G93,0)</f>
        <v>15.6936437231405</v>
      </c>
      <c r="J93" s="293">
        <f t="shared" si="18"/>
        <v>72274631.519999996</v>
      </c>
      <c r="K93" s="293">
        <f t="shared" si="19"/>
        <v>70011970.663190022</v>
      </c>
      <c r="L93" s="258">
        <f t="shared" si="30"/>
        <v>-3.1</v>
      </c>
      <c r="M93" s="27">
        <f>IFERROR(100/'Skjema total MA'!I93*K93,0)</f>
        <v>15.888008985081333</v>
      </c>
    </row>
    <row r="94" spans="1:13" x14ac:dyDescent="0.2">
      <c r="A94" s="299" t="s">
        <v>12</v>
      </c>
      <c r="B94" s="234"/>
      <c r="C94" s="292"/>
      <c r="D94" s="165"/>
      <c r="E94" s="416"/>
      <c r="F94" s="284">
        <v>92.27</v>
      </c>
      <c r="G94" s="284">
        <v>107.907658626261</v>
      </c>
      <c r="H94" s="165">
        <f t="shared" si="29"/>
        <v>16.899999999999999</v>
      </c>
      <c r="I94" s="27">
        <f>IFERROR(100/'Skjema total MA'!F94*G94,0)</f>
        <v>0.5041257843631658</v>
      </c>
      <c r="J94" s="293">
        <f t="shared" si="18"/>
        <v>92.27</v>
      </c>
      <c r="K94" s="293">
        <f t="shared" si="19"/>
        <v>107.907658626261</v>
      </c>
      <c r="L94" s="258">
        <f t="shared" si="30"/>
        <v>16.899999999999999</v>
      </c>
      <c r="M94" s="27">
        <f>IFERROR(100/'Skjema total MA'!I94*K94,0)</f>
        <v>0.5041257843631658</v>
      </c>
    </row>
    <row r="95" spans="1:13" x14ac:dyDescent="0.2">
      <c r="A95" s="299" t="s">
        <v>13</v>
      </c>
      <c r="B95" s="234"/>
      <c r="C95" s="292"/>
      <c r="D95" s="165"/>
      <c r="E95" s="416"/>
      <c r="F95" s="284">
        <v>71006025.25</v>
      </c>
      <c r="G95" s="284">
        <v>68635859.670531407</v>
      </c>
      <c r="H95" s="165">
        <f t="shared" si="29"/>
        <v>-3.3</v>
      </c>
      <c r="I95" s="27">
        <f>IFERROR(100/'Skjema total MA'!F95*G95,0)</f>
        <v>15.694387171203552</v>
      </c>
      <c r="J95" s="293">
        <f t="shared" si="18"/>
        <v>71006025.25</v>
      </c>
      <c r="K95" s="293">
        <f t="shared" si="19"/>
        <v>68635859.670531407</v>
      </c>
      <c r="L95" s="258">
        <f t="shared" si="30"/>
        <v>-3.3</v>
      </c>
      <c r="M95" s="27">
        <f>IFERROR(100/'Skjema total MA'!I95*K95,0)</f>
        <v>15.694387171203552</v>
      </c>
    </row>
    <row r="96" spans="1:13" x14ac:dyDescent="0.2">
      <c r="A96" s="21" t="s">
        <v>333</v>
      </c>
      <c r="B96" s="233"/>
      <c r="C96" s="144"/>
      <c r="D96" s="165"/>
      <c r="E96" s="27"/>
      <c r="F96" s="233"/>
      <c r="G96" s="144"/>
      <c r="H96" s="165"/>
      <c r="I96" s="27"/>
      <c r="J96" s="290"/>
      <c r="K96" s="44"/>
      <c r="L96" s="258"/>
      <c r="M96" s="27"/>
    </row>
    <row r="97" spans="1:15" x14ac:dyDescent="0.2">
      <c r="A97" s="21" t="s">
        <v>332</v>
      </c>
      <c r="B97" s="233">
        <v>300894</v>
      </c>
      <c r="C97" s="144">
        <v>328407.33399999997</v>
      </c>
      <c r="D97" s="165">
        <f t="shared" ref="D97" si="32">IF(B97=0, "    ---- ", IF(ABS(ROUND(100/B97*C97-100,1))&lt;999,ROUND(100/B97*C97-100,1),IF(ROUND(100/B97*C97-100,1)&gt;999,999,-999)))</f>
        <v>9.1</v>
      </c>
      <c r="E97" s="27">
        <f>IFERROR(100/'Skjema total MA'!C98*C97,0)</f>
        <v>8.6080231466043655E-2</v>
      </c>
      <c r="F97" s="233"/>
      <c r="G97" s="144"/>
      <c r="H97" s="165"/>
      <c r="I97" s="27"/>
      <c r="J97" s="290">
        <f t="shared" si="18"/>
        <v>300894</v>
      </c>
      <c r="K97" s="44">
        <f t="shared" si="19"/>
        <v>328407.33399999997</v>
      </c>
      <c r="L97" s="258">
        <f t="shared" ref="L97" si="33">IF(J97=0, "    ---- ", IF(ABS(ROUND(100/J97*K97-100,1))&lt;999,ROUND(100/J97*K97-100,1),IF(ROUND(100/J97*K97-100,1)&gt;999,999,-999)))</f>
        <v>9.1</v>
      </c>
      <c r="M97" s="27">
        <f>IFERROR(100/'Skjema total MA'!I98*K97,0)</f>
        <v>4.0110426439250127E-2</v>
      </c>
    </row>
    <row r="98" spans="1:15" ht="15.75" x14ac:dyDescent="0.2">
      <c r="A98" s="21" t="s">
        <v>443</v>
      </c>
      <c r="B98" s="233">
        <v>50666735</v>
      </c>
      <c r="C98" s="233">
        <v>49522316.568029597</v>
      </c>
      <c r="D98" s="165">
        <f t="shared" si="13"/>
        <v>-2.2999999999999998</v>
      </c>
      <c r="E98" s="27">
        <f>IFERROR(100/'Skjema total MA'!C98*C98,0)</f>
        <v>12.980503270096509</v>
      </c>
      <c r="F98" s="295">
        <v>71006117.519999996</v>
      </c>
      <c r="G98" s="295">
        <v>68635967.578190029</v>
      </c>
      <c r="H98" s="165">
        <f t="shared" si="14"/>
        <v>-3.3</v>
      </c>
      <c r="I98" s="27">
        <f>IFERROR(100/'Skjema total MA'!F98*G98,0)</f>
        <v>15.697372231379475</v>
      </c>
      <c r="J98" s="290">
        <f t="shared" si="18"/>
        <v>121672852.52</v>
      </c>
      <c r="K98" s="44">
        <f t="shared" si="19"/>
        <v>118158284.14621963</v>
      </c>
      <c r="L98" s="258">
        <f t="shared" si="16"/>
        <v>-2.9</v>
      </c>
      <c r="M98" s="27">
        <f>IFERROR(100/'Skjema total MA'!I98*K98,0)</f>
        <v>14.431404764045121</v>
      </c>
    </row>
    <row r="99" spans="1:15" x14ac:dyDescent="0.2">
      <c r="A99" s="21" t="s">
        <v>9</v>
      </c>
      <c r="B99" s="295">
        <v>49398221</v>
      </c>
      <c r="C99" s="296">
        <v>48146313.483029597</v>
      </c>
      <c r="D99" s="165">
        <f t="shared" si="13"/>
        <v>-2.5</v>
      </c>
      <c r="E99" s="27">
        <f>IFERROR(100/'Skjema total MA'!C99*C99,0)</f>
        <v>12.730292774034339</v>
      </c>
      <c r="F99" s="233"/>
      <c r="G99" s="144"/>
      <c r="H99" s="165"/>
      <c r="I99" s="27"/>
      <c r="J99" s="290">
        <f t="shared" si="18"/>
        <v>49398221</v>
      </c>
      <c r="K99" s="44">
        <f t="shared" si="19"/>
        <v>48146313.483029597</v>
      </c>
      <c r="L99" s="258">
        <f t="shared" si="16"/>
        <v>-2.5</v>
      </c>
      <c r="M99" s="27">
        <f>IFERROR(100/'Skjema total MA'!I99*K99,0)</f>
        <v>12.730292774034339</v>
      </c>
    </row>
    <row r="100" spans="1:15" x14ac:dyDescent="0.2">
      <c r="A100" s="38" t="s">
        <v>473</v>
      </c>
      <c r="B100" s="295">
        <v>1268514</v>
      </c>
      <c r="C100" s="296">
        <v>1376003.085</v>
      </c>
      <c r="D100" s="165">
        <f t="shared" si="13"/>
        <v>8.5</v>
      </c>
      <c r="E100" s="27">
        <f>IFERROR(100/'Skjema total MA'!C100*C100,0)</f>
        <v>41.566685799603903</v>
      </c>
      <c r="F100" s="233">
        <v>71006117.519999996</v>
      </c>
      <c r="G100" s="233">
        <v>68635967.578190029</v>
      </c>
      <c r="H100" s="165">
        <f t="shared" si="14"/>
        <v>-3.3</v>
      </c>
      <c r="I100" s="27">
        <f>IFERROR(100/'Skjema total MA'!F100*G100,0)</f>
        <v>15.697372231379475</v>
      </c>
      <c r="J100" s="290">
        <f t="shared" si="18"/>
        <v>72274631.519999996</v>
      </c>
      <c r="K100" s="44">
        <f t="shared" si="19"/>
        <v>70011970.663190022</v>
      </c>
      <c r="L100" s="258">
        <f t="shared" si="16"/>
        <v>-3.1</v>
      </c>
      <c r="M100" s="27">
        <f>IFERROR(100/'Skjema total MA'!I100*K100,0)</f>
        <v>15.891755321395898</v>
      </c>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v>1268514</v>
      </c>
      <c r="C104" s="284">
        <v>1376003.085</v>
      </c>
      <c r="D104" s="165">
        <f t="shared" ref="D104" si="34">IF(B104=0, "    ---- ", IF(ABS(ROUND(100/B104*C104-100,1))&lt;999,ROUND(100/B104*C104-100,1),IF(ROUND(100/B104*C104-100,1)&gt;999,999,-999)))</f>
        <v>8.5</v>
      </c>
      <c r="E104" s="27">
        <f>IFERROR(100/'Skjema total MA'!C104*C104,0)</f>
        <v>41.566685799603903</v>
      </c>
      <c r="F104" s="284">
        <v>71006117.519999996</v>
      </c>
      <c r="G104" s="284">
        <v>68635967.578190029</v>
      </c>
      <c r="H104" s="165">
        <f t="shared" ref="H104:H106" si="35">IF(F104=0, "    ---- ", IF(ABS(ROUND(100/F104*G104-100,1))&lt;999,ROUND(100/F104*G104-100,1),IF(ROUND(100/F104*G104-100,1)&gt;999,999,-999)))</f>
        <v>-3.3</v>
      </c>
      <c r="I104" s="27">
        <f>IFERROR(100/'Skjema total MA'!F104*G104,0)</f>
        <v>15.697372231379475</v>
      </c>
      <c r="J104" s="293">
        <f t="shared" si="18"/>
        <v>72274631.519999996</v>
      </c>
      <c r="K104" s="293">
        <f t="shared" si="19"/>
        <v>70011970.663190022</v>
      </c>
      <c r="L104" s="258">
        <f t="shared" ref="L104:L106" si="36">IF(J104=0, "    ---- ", IF(ABS(ROUND(100/J104*K104-100,1))&lt;999,ROUND(100/J104*K104-100,1),IF(ROUND(100/J104*K104-100,1)&gt;999,999,-999)))</f>
        <v>-3.1</v>
      </c>
      <c r="M104" s="27">
        <f>IFERROR(100/'Skjema total MA'!I104*K104,0)</f>
        <v>15.891755321395898</v>
      </c>
    </row>
    <row r="105" spans="1:15" x14ac:dyDescent="0.2">
      <c r="A105" s="299" t="s">
        <v>12</v>
      </c>
      <c r="B105" s="234"/>
      <c r="C105" s="292"/>
      <c r="D105" s="165"/>
      <c r="E105" s="416"/>
      <c r="F105" s="284">
        <v>92.27</v>
      </c>
      <c r="G105" s="284">
        <v>107.907658626261</v>
      </c>
      <c r="H105" s="165">
        <f t="shared" si="35"/>
        <v>16.899999999999999</v>
      </c>
      <c r="I105" s="27">
        <f>IFERROR(100/'Skjema total MA'!F105*G105,0)</f>
        <v>100</v>
      </c>
      <c r="J105" s="293">
        <f t="shared" si="18"/>
        <v>92.27</v>
      </c>
      <c r="K105" s="293">
        <f t="shared" si="19"/>
        <v>107.907658626261</v>
      </c>
      <c r="L105" s="258">
        <f t="shared" si="36"/>
        <v>16.899999999999999</v>
      </c>
      <c r="M105" s="27">
        <f>IFERROR(100/'Skjema total MA'!I105*K105,0)</f>
        <v>100</v>
      </c>
    </row>
    <row r="106" spans="1:15" x14ac:dyDescent="0.2">
      <c r="A106" s="299" t="s">
        <v>13</v>
      </c>
      <c r="B106" s="234"/>
      <c r="C106" s="292"/>
      <c r="D106" s="165"/>
      <c r="E106" s="416"/>
      <c r="F106" s="284">
        <v>71006025.25</v>
      </c>
      <c r="G106" s="284">
        <v>68635859.670531407</v>
      </c>
      <c r="H106" s="165">
        <f t="shared" si="35"/>
        <v>-3.3</v>
      </c>
      <c r="I106" s="27">
        <f>IFERROR(100/'Skjema total MA'!F106*G106,0)</f>
        <v>15.697351426333256</v>
      </c>
      <c r="J106" s="293">
        <f t="shared" si="18"/>
        <v>71006025.25</v>
      </c>
      <c r="K106" s="293">
        <f t="shared" si="19"/>
        <v>68635859.670531407</v>
      </c>
      <c r="L106" s="258">
        <f t="shared" si="36"/>
        <v>-3.3</v>
      </c>
      <c r="M106" s="27">
        <f>IFERROR(100/'Skjema total MA'!I106*K106,0)</f>
        <v>15.697351426333256</v>
      </c>
    </row>
    <row r="107" spans="1:15" ht="15.75" x14ac:dyDescent="0.2">
      <c r="A107" s="21" t="s">
        <v>444</v>
      </c>
      <c r="B107" s="233">
        <v>34822</v>
      </c>
      <c r="C107" s="144">
        <v>31838.335999999999</v>
      </c>
      <c r="D107" s="165">
        <f t="shared" si="13"/>
        <v>-8.6</v>
      </c>
      <c r="E107" s="27">
        <f>IFERROR(100/'Skjema total MA'!C107*C107,0)</f>
        <v>0.71640634256468039</v>
      </c>
      <c r="F107" s="233">
        <v>13766</v>
      </c>
      <c r="G107" s="144">
        <v>13474.166999999999</v>
      </c>
      <c r="H107" s="165">
        <f t="shared" si="14"/>
        <v>-2.1</v>
      </c>
      <c r="I107" s="27">
        <f>IFERROR(100/'Skjema total MA'!F107*G107,0)</f>
        <v>7.3166280072324579</v>
      </c>
      <c r="J107" s="290">
        <f t="shared" si="18"/>
        <v>48588</v>
      </c>
      <c r="K107" s="44">
        <f t="shared" si="19"/>
        <v>45312.502999999997</v>
      </c>
      <c r="L107" s="258">
        <f t="shared" si="16"/>
        <v>-6.7</v>
      </c>
      <c r="M107" s="27">
        <f>IFERROR(100/'Skjema total MA'!I107*K107,0)</f>
        <v>0.97902468958238253</v>
      </c>
    </row>
    <row r="108" spans="1:15" ht="15.75" x14ac:dyDescent="0.2">
      <c r="A108" s="21" t="s">
        <v>445</v>
      </c>
      <c r="B108" s="233">
        <v>39000306</v>
      </c>
      <c r="C108" s="233">
        <v>38716131.217708997</v>
      </c>
      <c r="D108" s="165">
        <f t="shared" si="13"/>
        <v>-0.7</v>
      </c>
      <c r="E108" s="27">
        <f>IFERROR(100/'Skjema total MA'!C108*C108,0)</f>
        <v>11.7826669016975</v>
      </c>
      <c r="F108" s="233"/>
      <c r="G108" s="233"/>
      <c r="H108" s="165"/>
      <c r="I108" s="27"/>
      <c r="J108" s="290">
        <f t="shared" si="18"/>
        <v>39000306</v>
      </c>
      <c r="K108" s="44">
        <f t="shared" si="19"/>
        <v>38716131.217708997</v>
      </c>
      <c r="L108" s="258">
        <f t="shared" si="16"/>
        <v>-0.7</v>
      </c>
      <c r="M108" s="27">
        <f>IFERROR(100/'Skjema total MA'!I108*K108,0)</f>
        <v>11.131239622176794</v>
      </c>
    </row>
    <row r="109" spans="1:15" ht="15.75" x14ac:dyDescent="0.2">
      <c r="A109" s="38" t="s">
        <v>481</v>
      </c>
      <c r="B109" s="233">
        <v>761735</v>
      </c>
      <c r="C109" s="233">
        <v>906235.19163472403</v>
      </c>
      <c r="D109" s="165">
        <f t="shared" si="13"/>
        <v>19</v>
      </c>
      <c r="E109" s="27">
        <f>IFERROR(100/'Skjema total MA'!C109*C109,0)</f>
        <v>50.181749100591922</v>
      </c>
      <c r="F109" s="233">
        <v>27725591</v>
      </c>
      <c r="G109" s="233">
        <v>27087910.549407199</v>
      </c>
      <c r="H109" s="165">
        <f t="shared" si="14"/>
        <v>-2.2999999999999998</v>
      </c>
      <c r="I109" s="27">
        <f>IFERROR(100/'Skjema total MA'!F109*G109,0)</f>
        <v>16.968028724403705</v>
      </c>
      <c r="J109" s="290">
        <f t="shared" si="18"/>
        <v>28487326</v>
      </c>
      <c r="K109" s="44">
        <f t="shared" si="19"/>
        <v>27994145.741041925</v>
      </c>
      <c r="L109" s="258">
        <f t="shared" si="16"/>
        <v>-1.7</v>
      </c>
      <c r="M109" s="27">
        <f>IFERROR(100/'Skjema total MA'!I109*K109,0)</f>
        <v>17.339549621738051</v>
      </c>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v>916</v>
      </c>
      <c r="C111" s="158">
        <v>422.37599999999998</v>
      </c>
      <c r="D111" s="170">
        <f t="shared" si="13"/>
        <v>-53.9</v>
      </c>
      <c r="E111" s="11">
        <f>IFERROR(100/'Skjema total MA'!C111*C111,0)</f>
        <v>5.4462577985653404E-2</v>
      </c>
      <c r="F111" s="311">
        <v>13681950</v>
      </c>
      <c r="G111" s="158">
        <v>6908156.4500000002</v>
      </c>
      <c r="H111" s="170">
        <f t="shared" si="14"/>
        <v>-49.5</v>
      </c>
      <c r="I111" s="11">
        <f>IFERROR(100/'Skjema total MA'!F111*G111,0)</f>
        <v>17.012252943163737</v>
      </c>
      <c r="J111" s="312">
        <f t="shared" si="18"/>
        <v>13682866</v>
      </c>
      <c r="K111" s="235">
        <f t="shared" si="19"/>
        <v>6908578.8260000004</v>
      </c>
      <c r="L111" s="426">
        <f t="shared" si="16"/>
        <v>-49.5</v>
      </c>
      <c r="M111" s="11">
        <f>IFERROR(100/'Skjema total MA'!I111*K111,0)</f>
        <v>16.694453027478446</v>
      </c>
    </row>
    <row r="112" spans="1:15" x14ac:dyDescent="0.2">
      <c r="A112" s="21" t="s">
        <v>9</v>
      </c>
      <c r="B112" s="233">
        <v>916</v>
      </c>
      <c r="C112" s="144">
        <v>241.41300000000001</v>
      </c>
      <c r="D112" s="165">
        <f t="shared" ref="D112:D120" si="37">IF(B112=0, "    ---- ", IF(ABS(ROUND(100/B112*C112-100,1))&lt;999,ROUND(100/B112*C112-100,1),IF(ROUND(100/B112*C112-100,1)&gt;999,999,-999)))</f>
        <v>-73.599999999999994</v>
      </c>
      <c r="E112" s="27">
        <f>IFERROR(100/'Skjema total MA'!C112*C112,0)</f>
        <v>5.0278507764949736E-2</v>
      </c>
      <c r="F112" s="233"/>
      <c r="G112" s="144"/>
      <c r="H112" s="165"/>
      <c r="I112" s="27"/>
      <c r="J112" s="290">
        <f t="shared" si="18"/>
        <v>916</v>
      </c>
      <c r="K112" s="44">
        <f t="shared" si="19"/>
        <v>241.41300000000001</v>
      </c>
      <c r="L112" s="258">
        <f t="shared" ref="L112:L125" si="38">IF(J112=0, "    ---- ", IF(ABS(ROUND(100/J112*K112-100,1))&lt;999,ROUND(100/J112*K112-100,1),IF(ROUND(100/J112*K112-100,1)&gt;999,999,-999)))</f>
        <v>-73.599999999999994</v>
      </c>
      <c r="M112" s="27">
        <f>IFERROR(100/'Skjema total MA'!I112*K112,0)</f>
        <v>4.9813084436037283E-2</v>
      </c>
    </row>
    <row r="113" spans="1:14" x14ac:dyDescent="0.2">
      <c r="A113" s="21" t="s">
        <v>10</v>
      </c>
      <c r="B113" s="233">
        <v>0</v>
      </c>
      <c r="C113" s="144">
        <v>180.96299999999999</v>
      </c>
      <c r="D113" s="165" t="str">
        <f t="shared" si="37"/>
        <v xml:space="preserve">    ---- </v>
      </c>
      <c r="E113" s="27">
        <f>IFERROR(100/'Skjema total MA'!C113*C113,0)</f>
        <v>100</v>
      </c>
      <c r="F113" s="233">
        <v>13681950</v>
      </c>
      <c r="G113" s="144">
        <v>6908156.4500000002</v>
      </c>
      <c r="H113" s="165">
        <f t="shared" ref="H113:H125" si="39">IF(F113=0, "    ---- ", IF(ABS(ROUND(100/F113*G113-100,1))&lt;999,ROUND(100/F113*G113-100,1),IF(ROUND(100/F113*G113-100,1)&gt;999,999,-999)))</f>
        <v>-49.5</v>
      </c>
      <c r="I113" s="27">
        <f>IFERROR(100/'Skjema total MA'!F113*G113,0)</f>
        <v>17.014577049376005</v>
      </c>
      <c r="J113" s="290">
        <f t="shared" si="18"/>
        <v>13681950</v>
      </c>
      <c r="K113" s="44">
        <f t="shared" si="19"/>
        <v>6908337.4130000006</v>
      </c>
      <c r="L113" s="258">
        <f t="shared" si="38"/>
        <v>-49.5</v>
      </c>
      <c r="M113" s="27">
        <f>IFERROR(100/'Skjema total MA'!I113*K113,0)</f>
        <v>17.014946918992308</v>
      </c>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v>0</v>
      </c>
      <c r="C116" s="233">
        <v>39.902999999999999</v>
      </c>
      <c r="D116" s="165" t="str">
        <f t="shared" si="37"/>
        <v xml:space="preserve">    ---- </v>
      </c>
      <c r="E116" s="27">
        <f>IFERROR(100/'Skjema total MA'!C116*C116,0)</f>
        <v>3.4674907470144539E-2</v>
      </c>
      <c r="F116" s="233"/>
      <c r="G116" s="233"/>
      <c r="H116" s="165"/>
      <c r="I116" s="27"/>
      <c r="J116" s="290">
        <f t="shared" si="18"/>
        <v>0</v>
      </c>
      <c r="K116" s="44">
        <f t="shared" si="19"/>
        <v>39.902999999999999</v>
      </c>
      <c r="L116" s="258" t="str">
        <f t="shared" si="38"/>
        <v xml:space="preserve">    ---- </v>
      </c>
      <c r="M116" s="27">
        <f>IFERROR(100/'Skjema total MA'!I116*K116,0)</f>
        <v>3.3373842563600216E-2</v>
      </c>
    </row>
    <row r="117" spans="1:14" ht="15.75" x14ac:dyDescent="0.2">
      <c r="A117" s="38" t="s">
        <v>481</v>
      </c>
      <c r="B117" s="233">
        <v>0</v>
      </c>
      <c r="C117" s="233">
        <v>180.96299999999999</v>
      </c>
      <c r="D117" s="165" t="str">
        <f t="shared" si="37"/>
        <v xml:space="preserve">    ---- </v>
      </c>
      <c r="E117" s="27">
        <f>IFERROR(100/'Skjema total MA'!C117*C117,0)</f>
        <v>100</v>
      </c>
      <c r="F117" s="233">
        <v>10835354</v>
      </c>
      <c r="G117" s="233">
        <v>4487145.2889999999</v>
      </c>
      <c r="H117" s="165">
        <f t="shared" si="39"/>
        <v>-58.6</v>
      </c>
      <c r="I117" s="27">
        <f>IFERROR(100/'Skjema total MA'!F117*G117,0)</f>
        <v>19.55853489415653</v>
      </c>
      <c r="J117" s="290">
        <f t="shared" si="18"/>
        <v>10835354</v>
      </c>
      <c r="K117" s="44">
        <f t="shared" si="19"/>
        <v>4487326.2520000003</v>
      </c>
      <c r="L117" s="258">
        <f t="shared" si="38"/>
        <v>-58.6</v>
      </c>
      <c r="M117" s="27">
        <f>IFERROR(100/'Skjema total MA'!I117*K117,0)</f>
        <v>19.559169395463691</v>
      </c>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v>834</v>
      </c>
      <c r="C119" s="158">
        <v>3031.7912699999201</v>
      </c>
      <c r="D119" s="170">
        <f t="shared" si="37"/>
        <v>263.5</v>
      </c>
      <c r="E119" s="11">
        <f>IFERROR(100/'Skjema total MA'!C119*C119,0)</f>
        <v>0.48780505257061474</v>
      </c>
      <c r="F119" s="311">
        <v>13519638</v>
      </c>
      <c r="G119" s="158">
        <v>6760833.0060000001</v>
      </c>
      <c r="H119" s="170">
        <f t="shared" si="39"/>
        <v>-50</v>
      </c>
      <c r="I119" s="11">
        <f>IFERROR(100/'Skjema total MA'!F119*G119,0)</f>
        <v>15.701960398369456</v>
      </c>
      <c r="J119" s="312">
        <f t="shared" si="18"/>
        <v>13520472</v>
      </c>
      <c r="K119" s="235">
        <f t="shared" si="19"/>
        <v>6763864.79727</v>
      </c>
      <c r="L119" s="426">
        <f t="shared" si="38"/>
        <v>-50</v>
      </c>
      <c r="M119" s="11">
        <f>IFERROR(100/'Skjema total MA'!I119*K119,0)</f>
        <v>15.48547408833454</v>
      </c>
    </row>
    <row r="120" spans="1:14" x14ac:dyDescent="0.2">
      <c r="A120" s="21" t="s">
        <v>9</v>
      </c>
      <c r="B120" s="233">
        <v>834</v>
      </c>
      <c r="C120" s="144">
        <v>3031.7912699999201</v>
      </c>
      <c r="D120" s="165">
        <f t="shared" si="37"/>
        <v>263.5</v>
      </c>
      <c r="E120" s="27">
        <f>IFERROR(100/'Skjema total MA'!C120*C120,0)</f>
        <v>1.3900535645964591</v>
      </c>
      <c r="F120" s="233"/>
      <c r="G120" s="144"/>
      <c r="H120" s="165"/>
      <c r="I120" s="27"/>
      <c r="J120" s="290">
        <f t="shared" si="18"/>
        <v>834</v>
      </c>
      <c r="K120" s="44">
        <f t="shared" si="19"/>
        <v>3031.7912699999201</v>
      </c>
      <c r="L120" s="258">
        <f t="shared" si="38"/>
        <v>263.5</v>
      </c>
      <c r="M120" s="27">
        <f>IFERROR(100/'Skjema total MA'!I120*K120,0)</f>
        <v>1.3900535645964591</v>
      </c>
    </row>
    <row r="121" spans="1:14" x14ac:dyDescent="0.2">
      <c r="A121" s="21" t="s">
        <v>10</v>
      </c>
      <c r="B121" s="233"/>
      <c r="C121" s="144"/>
      <c r="D121" s="165"/>
      <c r="E121" s="27"/>
      <c r="F121" s="233">
        <v>13519638</v>
      </c>
      <c r="G121" s="144">
        <v>6760833.0060000001</v>
      </c>
      <c r="H121" s="165">
        <f t="shared" si="39"/>
        <v>-50</v>
      </c>
      <c r="I121" s="27">
        <f>IFERROR(100/'Skjema total MA'!F121*G121,0)</f>
        <v>15.701960398369456</v>
      </c>
      <c r="J121" s="290">
        <f t="shared" si="18"/>
        <v>13519638</v>
      </c>
      <c r="K121" s="44">
        <f t="shared" si="19"/>
        <v>6760833.0060000001</v>
      </c>
      <c r="L121" s="258">
        <f t="shared" si="38"/>
        <v>-50</v>
      </c>
      <c r="M121" s="27">
        <f>IFERROR(100/'Skjema total MA'!I121*K121,0)</f>
        <v>15.698982287255546</v>
      </c>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v>11210104</v>
      </c>
      <c r="G125" s="233">
        <v>4613455.2589999996</v>
      </c>
      <c r="H125" s="165">
        <f t="shared" si="39"/>
        <v>-58.8</v>
      </c>
      <c r="I125" s="27">
        <f>IFERROR(100/'Skjema total MA'!F125*G125,0)</f>
        <v>20.550974926423468</v>
      </c>
      <c r="J125" s="290">
        <f t="shared" si="18"/>
        <v>11210104</v>
      </c>
      <c r="K125" s="44">
        <f t="shared" si="19"/>
        <v>4613455.2589999996</v>
      </c>
      <c r="L125" s="258">
        <f t="shared" si="38"/>
        <v>-58.8</v>
      </c>
      <c r="M125" s="27">
        <f>IFERROR(100/'Skjema total MA'!I125*K125,0)</f>
        <v>20.550185831707022</v>
      </c>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533" priority="132">
      <formula>kvartal &lt; 4</formula>
    </cfRule>
  </conditionalFormatting>
  <conditionalFormatting sqref="B69">
    <cfRule type="expression" dxfId="1532" priority="100">
      <formula>kvartal &lt; 4</formula>
    </cfRule>
  </conditionalFormatting>
  <conditionalFormatting sqref="C69">
    <cfRule type="expression" dxfId="1531" priority="99">
      <formula>kvartal &lt; 4</formula>
    </cfRule>
  </conditionalFormatting>
  <conditionalFormatting sqref="B72">
    <cfRule type="expression" dxfId="1530" priority="98">
      <formula>kvartal &lt; 4</formula>
    </cfRule>
  </conditionalFormatting>
  <conditionalFormatting sqref="C72">
    <cfRule type="expression" dxfId="1529" priority="97">
      <formula>kvartal &lt; 4</formula>
    </cfRule>
  </conditionalFormatting>
  <conditionalFormatting sqref="B80">
    <cfRule type="expression" dxfId="1528" priority="96">
      <formula>kvartal &lt; 4</formula>
    </cfRule>
  </conditionalFormatting>
  <conditionalFormatting sqref="C80">
    <cfRule type="expression" dxfId="1527" priority="95">
      <formula>kvartal &lt; 4</formula>
    </cfRule>
  </conditionalFormatting>
  <conditionalFormatting sqref="B83">
    <cfRule type="expression" dxfId="1526" priority="94">
      <formula>kvartal &lt; 4</formula>
    </cfRule>
  </conditionalFormatting>
  <conditionalFormatting sqref="C83">
    <cfRule type="expression" dxfId="1525" priority="93">
      <formula>kvartal &lt; 4</formula>
    </cfRule>
  </conditionalFormatting>
  <conditionalFormatting sqref="B90">
    <cfRule type="expression" dxfId="1524" priority="84">
      <formula>kvartal &lt; 4</formula>
    </cfRule>
  </conditionalFormatting>
  <conditionalFormatting sqref="C90">
    <cfRule type="expression" dxfId="1523" priority="83">
      <formula>kvartal &lt; 4</formula>
    </cfRule>
  </conditionalFormatting>
  <conditionalFormatting sqref="B93">
    <cfRule type="expression" dxfId="1522" priority="82">
      <formula>kvartal &lt; 4</formula>
    </cfRule>
  </conditionalFormatting>
  <conditionalFormatting sqref="C93">
    <cfRule type="expression" dxfId="1521" priority="81">
      <formula>kvartal &lt; 4</formula>
    </cfRule>
  </conditionalFormatting>
  <conditionalFormatting sqref="B101">
    <cfRule type="expression" dxfId="1520" priority="80">
      <formula>kvartal &lt; 4</formula>
    </cfRule>
  </conditionalFormatting>
  <conditionalFormatting sqref="C101">
    <cfRule type="expression" dxfId="1519" priority="79">
      <formula>kvartal &lt; 4</formula>
    </cfRule>
  </conditionalFormatting>
  <conditionalFormatting sqref="B104">
    <cfRule type="expression" dxfId="1518" priority="78">
      <formula>kvartal &lt; 4</formula>
    </cfRule>
  </conditionalFormatting>
  <conditionalFormatting sqref="C104">
    <cfRule type="expression" dxfId="1517" priority="77">
      <formula>kvartal &lt; 4</formula>
    </cfRule>
  </conditionalFormatting>
  <conditionalFormatting sqref="B115">
    <cfRule type="expression" dxfId="1516" priority="76">
      <formula>kvartal &lt; 4</formula>
    </cfRule>
  </conditionalFormatting>
  <conditionalFormatting sqref="C115">
    <cfRule type="expression" dxfId="1515" priority="75">
      <formula>kvartal &lt; 4</formula>
    </cfRule>
  </conditionalFormatting>
  <conditionalFormatting sqref="B123">
    <cfRule type="expression" dxfId="1514" priority="74">
      <formula>kvartal &lt; 4</formula>
    </cfRule>
  </conditionalFormatting>
  <conditionalFormatting sqref="C123">
    <cfRule type="expression" dxfId="1513" priority="73">
      <formula>kvartal &lt; 4</formula>
    </cfRule>
  </conditionalFormatting>
  <conditionalFormatting sqref="F70">
    <cfRule type="expression" dxfId="1512" priority="72">
      <formula>kvartal &lt; 4</formula>
    </cfRule>
  </conditionalFormatting>
  <conditionalFormatting sqref="G70">
    <cfRule type="expression" dxfId="1511" priority="71">
      <formula>kvartal &lt; 4</formula>
    </cfRule>
  </conditionalFormatting>
  <conditionalFormatting sqref="F71:G71">
    <cfRule type="expression" dxfId="1510" priority="70">
      <formula>kvartal &lt; 4</formula>
    </cfRule>
  </conditionalFormatting>
  <conditionalFormatting sqref="F73:G74">
    <cfRule type="expression" dxfId="1509" priority="69">
      <formula>kvartal &lt; 4</formula>
    </cfRule>
  </conditionalFormatting>
  <conditionalFormatting sqref="F81:G82">
    <cfRule type="expression" dxfId="1508" priority="68">
      <formula>kvartal &lt; 4</formula>
    </cfRule>
  </conditionalFormatting>
  <conditionalFormatting sqref="F84:G85">
    <cfRule type="expression" dxfId="1507" priority="67">
      <formula>kvartal &lt; 4</formula>
    </cfRule>
  </conditionalFormatting>
  <conditionalFormatting sqref="F91:G92">
    <cfRule type="expression" dxfId="1506" priority="62">
      <formula>kvartal &lt; 4</formula>
    </cfRule>
  </conditionalFormatting>
  <conditionalFormatting sqref="F94:G95">
    <cfRule type="expression" dxfId="1505" priority="61">
      <formula>kvartal &lt; 4</formula>
    </cfRule>
  </conditionalFormatting>
  <conditionalFormatting sqref="F102:G103">
    <cfRule type="expression" dxfId="1504" priority="60">
      <formula>kvartal &lt; 4</formula>
    </cfRule>
  </conditionalFormatting>
  <conditionalFormatting sqref="F105:G106">
    <cfRule type="expression" dxfId="1503" priority="59">
      <formula>kvartal &lt; 4</formula>
    </cfRule>
  </conditionalFormatting>
  <conditionalFormatting sqref="F115">
    <cfRule type="expression" dxfId="1502" priority="58">
      <formula>kvartal &lt; 4</formula>
    </cfRule>
  </conditionalFormatting>
  <conditionalFormatting sqref="G115">
    <cfRule type="expression" dxfId="1501" priority="57">
      <formula>kvartal &lt; 4</formula>
    </cfRule>
  </conditionalFormatting>
  <conditionalFormatting sqref="F123:G123">
    <cfRule type="expression" dxfId="1500" priority="56">
      <formula>kvartal &lt; 4</formula>
    </cfRule>
  </conditionalFormatting>
  <conditionalFormatting sqref="F69:G69">
    <cfRule type="expression" dxfId="1499" priority="55">
      <formula>kvartal &lt; 4</formula>
    </cfRule>
  </conditionalFormatting>
  <conditionalFormatting sqref="F72:G72">
    <cfRule type="expression" dxfId="1498" priority="54">
      <formula>kvartal &lt; 4</formula>
    </cfRule>
  </conditionalFormatting>
  <conditionalFormatting sqref="F80:G80">
    <cfRule type="expression" dxfId="1497" priority="53">
      <formula>kvartal &lt; 4</formula>
    </cfRule>
  </conditionalFormatting>
  <conditionalFormatting sqref="F83:G83">
    <cfRule type="expression" dxfId="1496" priority="52">
      <formula>kvartal &lt; 4</formula>
    </cfRule>
  </conditionalFormatting>
  <conditionalFormatting sqref="F90:G90">
    <cfRule type="expression" dxfId="1495" priority="46">
      <formula>kvartal &lt; 4</formula>
    </cfRule>
  </conditionalFormatting>
  <conditionalFormatting sqref="F93">
    <cfRule type="expression" dxfId="1494" priority="45">
      <formula>kvartal &lt; 4</formula>
    </cfRule>
  </conditionalFormatting>
  <conditionalFormatting sqref="G93">
    <cfRule type="expression" dxfId="1493" priority="44">
      <formula>kvartal &lt; 4</formula>
    </cfRule>
  </conditionalFormatting>
  <conditionalFormatting sqref="F101">
    <cfRule type="expression" dxfId="1492" priority="43">
      <formula>kvartal &lt; 4</formula>
    </cfRule>
  </conditionalFormatting>
  <conditionalFormatting sqref="G101">
    <cfRule type="expression" dxfId="1491" priority="42">
      <formula>kvartal &lt; 4</formula>
    </cfRule>
  </conditionalFormatting>
  <conditionalFormatting sqref="G104">
    <cfRule type="expression" dxfId="1490" priority="41">
      <formula>kvartal &lt; 4</formula>
    </cfRule>
  </conditionalFormatting>
  <conditionalFormatting sqref="F104">
    <cfRule type="expression" dxfId="1489" priority="40">
      <formula>kvartal &lt; 4</formula>
    </cfRule>
  </conditionalFormatting>
  <conditionalFormatting sqref="J71:K73">
    <cfRule type="expression" dxfId="1488" priority="39">
      <formula>kvartal &lt; 4</formula>
    </cfRule>
  </conditionalFormatting>
  <conditionalFormatting sqref="J74:K74">
    <cfRule type="expression" dxfId="1487" priority="38">
      <formula>kvartal &lt; 4</formula>
    </cfRule>
  </conditionalFormatting>
  <conditionalFormatting sqref="J80:K85">
    <cfRule type="expression" dxfId="1486" priority="37">
      <formula>kvartal &lt; 4</formula>
    </cfRule>
  </conditionalFormatting>
  <conditionalFormatting sqref="J90:K95">
    <cfRule type="expression" dxfId="1485" priority="34">
      <formula>kvartal &lt; 4</formula>
    </cfRule>
  </conditionalFormatting>
  <conditionalFormatting sqref="J101:K106">
    <cfRule type="expression" dxfId="1484" priority="33">
      <formula>kvartal &lt; 4</formula>
    </cfRule>
  </conditionalFormatting>
  <conditionalFormatting sqref="J115:K115">
    <cfRule type="expression" dxfId="1483" priority="32">
      <formula>kvartal &lt; 4</formula>
    </cfRule>
  </conditionalFormatting>
  <conditionalFormatting sqref="J123:K123">
    <cfRule type="expression" dxfId="1482" priority="31">
      <formula>kvartal &lt; 4</formula>
    </cfRule>
  </conditionalFormatting>
  <conditionalFormatting sqref="A50:A52">
    <cfRule type="expression" dxfId="1481" priority="12">
      <formula>kvartal &lt; 4</formula>
    </cfRule>
  </conditionalFormatting>
  <conditionalFormatting sqref="A69:A74">
    <cfRule type="expression" dxfId="1480" priority="10">
      <formula>kvartal &lt; 4</formula>
    </cfRule>
  </conditionalFormatting>
  <conditionalFormatting sqref="A80:A85">
    <cfRule type="expression" dxfId="1479" priority="9">
      <formula>kvartal &lt; 4</formula>
    </cfRule>
  </conditionalFormatting>
  <conditionalFormatting sqref="A90:A95">
    <cfRule type="expression" dxfId="1478" priority="6">
      <formula>kvartal &lt; 4</formula>
    </cfRule>
  </conditionalFormatting>
  <conditionalFormatting sqref="A101:A106">
    <cfRule type="expression" dxfId="1477" priority="5">
      <formula>kvartal &lt; 4</formula>
    </cfRule>
  </conditionalFormatting>
  <conditionalFormatting sqref="A115">
    <cfRule type="expression" dxfId="1476" priority="4">
      <formula>kvartal &lt; 4</formula>
    </cfRule>
  </conditionalFormatting>
  <conditionalFormatting sqref="A123">
    <cfRule type="expression" dxfId="1475" priority="3">
      <formula>kvartal &lt; 4</formula>
    </cfRule>
  </conditionalFormatting>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92</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c r="G7" s="310"/>
      <c r="H7" s="351"/>
      <c r="I7" s="159"/>
      <c r="J7" s="311"/>
      <c r="K7" s="312"/>
      <c r="L7" s="425"/>
      <c r="M7" s="11"/>
    </row>
    <row r="8" spans="1:14" ht="15.75" x14ac:dyDescent="0.2">
      <c r="A8" s="21" t="s">
        <v>25</v>
      </c>
      <c r="B8" s="284"/>
      <c r="C8" s="285"/>
      <c r="D8" s="165"/>
      <c r="E8" s="27"/>
      <c r="F8" s="288"/>
      <c r="G8" s="289"/>
      <c r="H8" s="165"/>
      <c r="I8" s="175"/>
      <c r="J8" s="233"/>
      <c r="K8" s="290"/>
      <c r="L8" s="165"/>
      <c r="M8" s="27"/>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31310</v>
      </c>
      <c r="C47" s="314">
        <v>33193</v>
      </c>
      <c r="D47" s="425">
        <f t="shared" ref="D47:D48" si="0">IF(B47=0, "    ---- ", IF(ABS(ROUND(100/B47*C47-100,1))&lt;999,ROUND(100/B47*C47-100,1),IF(ROUND(100/B47*C47-100,1)&gt;999,999,-999)))</f>
        <v>6</v>
      </c>
      <c r="E47" s="11">
        <f>IFERROR(100/'Skjema total MA'!C47*C47,0)</f>
        <v>0.59896936534476963</v>
      </c>
      <c r="F47" s="144"/>
      <c r="G47" s="33"/>
      <c r="H47" s="158"/>
      <c r="I47" s="158"/>
      <c r="J47" s="37"/>
      <c r="K47" s="37"/>
      <c r="L47" s="158"/>
      <c r="M47" s="158"/>
      <c r="N47" s="147"/>
    </row>
    <row r="48" spans="1:14" s="3" customFormat="1" ht="15.75" x14ac:dyDescent="0.2">
      <c r="A48" s="38" t="s">
        <v>437</v>
      </c>
      <c r="B48" s="284">
        <v>31310</v>
      </c>
      <c r="C48" s="285">
        <v>33193</v>
      </c>
      <c r="D48" s="258">
        <f t="shared" si="0"/>
        <v>6</v>
      </c>
      <c r="E48" s="27">
        <f>IFERROR(100/'Skjema total MA'!C48*C48,0)</f>
        <v>1.0776370913792697</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v>7445412</v>
      </c>
      <c r="C134" s="312">
        <v>8290618</v>
      </c>
      <c r="D134" s="351">
        <f t="shared" ref="D134:D136" si="1">IF(B134=0, "    ---- ", IF(ABS(ROUND(100/B134*C134-100,1))&lt;999,ROUND(100/B134*C134-100,1),IF(ROUND(100/B134*C134-100,1)&gt;999,999,-999)))</f>
        <v>11.4</v>
      </c>
      <c r="E134" s="11">
        <f>IFERROR(100/'Skjema total MA'!C134*C134,0)</f>
        <v>13.913940819623511</v>
      </c>
      <c r="F134" s="319"/>
      <c r="G134" s="320"/>
      <c r="H134" s="429"/>
      <c r="I134" s="24"/>
      <c r="J134" s="321">
        <f t="shared" ref="J134:K136" si="2">SUM(B134,F134)</f>
        <v>7445412</v>
      </c>
      <c r="K134" s="321">
        <f t="shared" si="2"/>
        <v>8290618</v>
      </c>
      <c r="L134" s="425">
        <f t="shared" ref="L134:L136" si="3">IF(J134=0, "    ---- ", IF(ABS(ROUND(100/J134*K134-100,1))&lt;999,ROUND(100/J134*K134-100,1),IF(ROUND(100/J134*K134-100,1)&gt;999,999,-999)))</f>
        <v>11.4</v>
      </c>
      <c r="M134" s="11">
        <f>IFERROR(100/'Skjema total MA'!I134*K134,0)</f>
        <v>13.875762126013658</v>
      </c>
      <c r="N134" s="147"/>
    </row>
    <row r="135" spans="1:14" s="3" customFormat="1" ht="15.75" x14ac:dyDescent="0.2">
      <c r="A135" s="13" t="s">
        <v>453</v>
      </c>
      <c r="B135" s="235">
        <v>102259830</v>
      </c>
      <c r="C135" s="312">
        <v>106050686</v>
      </c>
      <c r="D135" s="170">
        <f t="shared" si="1"/>
        <v>3.7</v>
      </c>
      <c r="E135" s="11">
        <f>IFERROR(100/'Skjema total MA'!C135*C135,0)</f>
        <v>13.698745620168619</v>
      </c>
      <c r="F135" s="235"/>
      <c r="G135" s="312"/>
      <c r="H135" s="430"/>
      <c r="I135" s="24"/>
      <c r="J135" s="311">
        <f t="shared" si="2"/>
        <v>102259830</v>
      </c>
      <c r="K135" s="311">
        <f t="shared" si="2"/>
        <v>106050686</v>
      </c>
      <c r="L135" s="426">
        <f t="shared" si="3"/>
        <v>3.7</v>
      </c>
      <c r="M135" s="11">
        <f>IFERROR(100/'Skjema total MA'!I135*K135,0)</f>
        <v>13.653741643081636</v>
      </c>
      <c r="N135" s="147"/>
    </row>
    <row r="136" spans="1:14" s="3" customFormat="1" ht="15.75" x14ac:dyDescent="0.2">
      <c r="A136" s="13" t="s">
        <v>450</v>
      </c>
      <c r="B136" s="235">
        <v>14496</v>
      </c>
      <c r="C136" s="312">
        <v>0</v>
      </c>
      <c r="D136" s="170">
        <f t="shared" si="1"/>
        <v>-100</v>
      </c>
      <c r="E136" s="11">
        <f>IFERROR(100/'Skjema total MA'!C136*C136,0)</f>
        <v>0</v>
      </c>
      <c r="F136" s="235"/>
      <c r="G136" s="312"/>
      <c r="H136" s="430"/>
      <c r="I136" s="24"/>
      <c r="J136" s="311">
        <f t="shared" si="2"/>
        <v>14496</v>
      </c>
      <c r="K136" s="311">
        <f t="shared" si="2"/>
        <v>0</v>
      </c>
      <c r="L136" s="426">
        <f t="shared" si="3"/>
        <v>-100</v>
      </c>
      <c r="M136" s="11">
        <f>IFERROR(100/'Skjema total MA'!I136*K136,0)</f>
        <v>0</v>
      </c>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474" priority="132">
      <formula>kvartal &lt; 4</formula>
    </cfRule>
  </conditionalFormatting>
  <conditionalFormatting sqref="B69">
    <cfRule type="expression" dxfId="1473" priority="100">
      <formula>kvartal &lt; 4</formula>
    </cfRule>
  </conditionalFormatting>
  <conditionalFormatting sqref="C69">
    <cfRule type="expression" dxfId="1472" priority="99">
      <formula>kvartal &lt; 4</formula>
    </cfRule>
  </conditionalFormatting>
  <conditionalFormatting sqref="B72">
    <cfRule type="expression" dxfId="1471" priority="98">
      <formula>kvartal &lt; 4</formula>
    </cfRule>
  </conditionalFormatting>
  <conditionalFormatting sqref="C72">
    <cfRule type="expression" dxfId="1470" priority="97">
      <formula>kvartal &lt; 4</formula>
    </cfRule>
  </conditionalFormatting>
  <conditionalFormatting sqref="B80">
    <cfRule type="expression" dxfId="1469" priority="96">
      <formula>kvartal &lt; 4</formula>
    </cfRule>
  </conditionalFormatting>
  <conditionalFormatting sqref="C80">
    <cfRule type="expression" dxfId="1468" priority="95">
      <formula>kvartal &lt; 4</formula>
    </cfRule>
  </conditionalFormatting>
  <conditionalFormatting sqref="B83">
    <cfRule type="expression" dxfId="1467" priority="94">
      <formula>kvartal &lt; 4</formula>
    </cfRule>
  </conditionalFormatting>
  <conditionalFormatting sqref="C83">
    <cfRule type="expression" dxfId="1466" priority="93">
      <formula>kvartal &lt; 4</formula>
    </cfRule>
  </conditionalFormatting>
  <conditionalFormatting sqref="B90">
    <cfRule type="expression" dxfId="1465" priority="84">
      <formula>kvartal &lt; 4</formula>
    </cfRule>
  </conditionalFormatting>
  <conditionalFormatting sqref="C90">
    <cfRule type="expression" dxfId="1464" priority="83">
      <formula>kvartal &lt; 4</formula>
    </cfRule>
  </conditionalFormatting>
  <conditionalFormatting sqref="B93">
    <cfRule type="expression" dxfId="1463" priority="82">
      <formula>kvartal &lt; 4</formula>
    </cfRule>
  </conditionalFormatting>
  <conditionalFormatting sqref="C93">
    <cfRule type="expression" dxfId="1462" priority="81">
      <formula>kvartal &lt; 4</formula>
    </cfRule>
  </conditionalFormatting>
  <conditionalFormatting sqref="B101">
    <cfRule type="expression" dxfId="1461" priority="80">
      <formula>kvartal &lt; 4</formula>
    </cfRule>
  </conditionalFormatting>
  <conditionalFormatting sqref="C101">
    <cfRule type="expression" dxfId="1460" priority="79">
      <formula>kvartal &lt; 4</formula>
    </cfRule>
  </conditionalFormatting>
  <conditionalFormatting sqref="B104">
    <cfRule type="expression" dxfId="1459" priority="78">
      <formula>kvartal &lt; 4</formula>
    </cfRule>
  </conditionalFormatting>
  <conditionalFormatting sqref="C104">
    <cfRule type="expression" dxfId="1458" priority="77">
      <formula>kvartal &lt; 4</formula>
    </cfRule>
  </conditionalFormatting>
  <conditionalFormatting sqref="B115">
    <cfRule type="expression" dxfId="1457" priority="76">
      <formula>kvartal &lt; 4</formula>
    </cfRule>
  </conditionalFormatting>
  <conditionalFormatting sqref="C115">
    <cfRule type="expression" dxfId="1456" priority="75">
      <formula>kvartal &lt; 4</formula>
    </cfRule>
  </conditionalFormatting>
  <conditionalFormatting sqref="B123">
    <cfRule type="expression" dxfId="1455" priority="74">
      <formula>kvartal &lt; 4</formula>
    </cfRule>
  </conditionalFormatting>
  <conditionalFormatting sqref="C123">
    <cfRule type="expression" dxfId="1454" priority="73">
      <formula>kvartal &lt; 4</formula>
    </cfRule>
  </conditionalFormatting>
  <conditionalFormatting sqref="F70">
    <cfRule type="expression" dxfId="1453" priority="72">
      <formula>kvartal &lt; 4</formula>
    </cfRule>
  </conditionalFormatting>
  <conditionalFormatting sqref="G70">
    <cfRule type="expression" dxfId="1452" priority="71">
      <formula>kvartal &lt; 4</formula>
    </cfRule>
  </conditionalFormatting>
  <conditionalFormatting sqref="F71:G71">
    <cfRule type="expression" dxfId="1451" priority="70">
      <formula>kvartal &lt; 4</formula>
    </cfRule>
  </conditionalFormatting>
  <conditionalFormatting sqref="F73:G74">
    <cfRule type="expression" dxfId="1450" priority="69">
      <formula>kvartal &lt; 4</formula>
    </cfRule>
  </conditionalFormatting>
  <conditionalFormatting sqref="F81:G82">
    <cfRule type="expression" dxfId="1449" priority="68">
      <formula>kvartal &lt; 4</formula>
    </cfRule>
  </conditionalFormatting>
  <conditionalFormatting sqref="F84:G85">
    <cfRule type="expression" dxfId="1448" priority="67">
      <formula>kvartal &lt; 4</formula>
    </cfRule>
  </conditionalFormatting>
  <conditionalFormatting sqref="F91:G92">
    <cfRule type="expression" dxfId="1447" priority="62">
      <formula>kvartal &lt; 4</formula>
    </cfRule>
  </conditionalFormatting>
  <conditionalFormatting sqref="F94:G95">
    <cfRule type="expression" dxfId="1446" priority="61">
      <formula>kvartal &lt; 4</formula>
    </cfRule>
  </conditionalFormatting>
  <conditionalFormatting sqref="F102:G103">
    <cfRule type="expression" dxfId="1445" priority="60">
      <formula>kvartal &lt; 4</formula>
    </cfRule>
  </conditionalFormatting>
  <conditionalFormatting sqref="F105:G106">
    <cfRule type="expression" dxfId="1444" priority="59">
      <formula>kvartal &lt; 4</formula>
    </cfRule>
  </conditionalFormatting>
  <conditionalFormatting sqref="F115">
    <cfRule type="expression" dxfId="1443" priority="58">
      <formula>kvartal &lt; 4</formula>
    </cfRule>
  </conditionalFormatting>
  <conditionalFormatting sqref="G115">
    <cfRule type="expression" dxfId="1442" priority="57">
      <formula>kvartal &lt; 4</formula>
    </cfRule>
  </conditionalFormatting>
  <conditionalFormatting sqref="F123:G123">
    <cfRule type="expression" dxfId="1441" priority="56">
      <formula>kvartal &lt; 4</formula>
    </cfRule>
  </conditionalFormatting>
  <conditionalFormatting sqref="F69:G69">
    <cfRule type="expression" dxfId="1440" priority="55">
      <formula>kvartal &lt; 4</formula>
    </cfRule>
  </conditionalFormatting>
  <conditionalFormatting sqref="F72:G72">
    <cfRule type="expression" dxfId="1439" priority="54">
      <formula>kvartal &lt; 4</formula>
    </cfRule>
  </conditionalFormatting>
  <conditionalFormatting sqref="F80:G80">
    <cfRule type="expression" dxfId="1438" priority="53">
      <formula>kvartal &lt; 4</formula>
    </cfRule>
  </conditionalFormatting>
  <conditionalFormatting sqref="F83:G83">
    <cfRule type="expression" dxfId="1437" priority="52">
      <formula>kvartal &lt; 4</formula>
    </cfRule>
  </conditionalFormatting>
  <conditionalFormatting sqref="F90:G90">
    <cfRule type="expression" dxfId="1436" priority="46">
      <formula>kvartal &lt; 4</formula>
    </cfRule>
  </conditionalFormatting>
  <conditionalFormatting sqref="F93">
    <cfRule type="expression" dxfId="1435" priority="45">
      <formula>kvartal &lt; 4</formula>
    </cfRule>
  </conditionalFormatting>
  <conditionalFormatting sqref="G93">
    <cfRule type="expression" dxfId="1434" priority="44">
      <formula>kvartal &lt; 4</formula>
    </cfRule>
  </conditionalFormatting>
  <conditionalFormatting sqref="F101">
    <cfRule type="expression" dxfId="1433" priority="43">
      <formula>kvartal &lt; 4</formula>
    </cfRule>
  </conditionalFormatting>
  <conditionalFormatting sqref="G101">
    <cfRule type="expression" dxfId="1432" priority="42">
      <formula>kvartal &lt; 4</formula>
    </cfRule>
  </conditionalFormatting>
  <conditionalFormatting sqref="G104">
    <cfRule type="expression" dxfId="1431" priority="41">
      <formula>kvartal &lt; 4</formula>
    </cfRule>
  </conditionalFormatting>
  <conditionalFormatting sqref="F104">
    <cfRule type="expression" dxfId="1430" priority="40">
      <formula>kvartal &lt; 4</formula>
    </cfRule>
  </conditionalFormatting>
  <conditionalFormatting sqref="J69:K73">
    <cfRule type="expression" dxfId="1429" priority="39">
      <formula>kvartal &lt; 4</formula>
    </cfRule>
  </conditionalFormatting>
  <conditionalFormatting sqref="J74:K74">
    <cfRule type="expression" dxfId="1428" priority="38">
      <formula>kvartal &lt; 4</formula>
    </cfRule>
  </conditionalFormatting>
  <conditionalFormatting sqref="J80:K85">
    <cfRule type="expression" dxfId="1427" priority="37">
      <formula>kvartal &lt; 4</formula>
    </cfRule>
  </conditionalFormatting>
  <conditionalFormatting sqref="J90:K95">
    <cfRule type="expression" dxfId="1426" priority="34">
      <formula>kvartal &lt; 4</formula>
    </cfRule>
  </conditionalFormatting>
  <conditionalFormatting sqref="J101:K106">
    <cfRule type="expression" dxfId="1425" priority="33">
      <formula>kvartal &lt; 4</formula>
    </cfRule>
  </conditionalFormatting>
  <conditionalFormatting sqref="J115:K115">
    <cfRule type="expression" dxfId="1424" priority="32">
      <formula>kvartal &lt; 4</formula>
    </cfRule>
  </conditionalFormatting>
  <conditionalFormatting sqref="J123:K123">
    <cfRule type="expression" dxfId="1423" priority="31">
      <formula>kvartal &lt; 4</formula>
    </cfRule>
  </conditionalFormatting>
  <conditionalFormatting sqref="A50:A52">
    <cfRule type="expression" dxfId="1422" priority="12">
      <formula>kvartal &lt; 4</formula>
    </cfRule>
  </conditionalFormatting>
  <conditionalFormatting sqref="A69:A74">
    <cfRule type="expression" dxfId="1421" priority="10">
      <formula>kvartal &lt; 4</formula>
    </cfRule>
  </conditionalFormatting>
  <conditionalFormatting sqref="A80:A85">
    <cfRule type="expression" dxfId="1420" priority="9">
      <formula>kvartal &lt; 4</formula>
    </cfRule>
  </conditionalFormatting>
  <conditionalFormatting sqref="A90:A95">
    <cfRule type="expression" dxfId="1419" priority="6">
      <formula>kvartal &lt; 4</formula>
    </cfRule>
  </conditionalFormatting>
  <conditionalFormatting sqref="A101:A106">
    <cfRule type="expression" dxfId="1418" priority="5">
      <formula>kvartal &lt; 4</formula>
    </cfRule>
  </conditionalFormatting>
  <conditionalFormatting sqref="A115">
    <cfRule type="expression" dxfId="1417" priority="4">
      <formula>kvartal &lt; 4</formula>
    </cfRule>
  </conditionalFormatting>
  <conditionalFormatting sqref="A123">
    <cfRule type="expression" dxfId="1416" priority="3">
      <formula>kvartal &lt; 4</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722" t="s">
        <v>425</v>
      </c>
      <c r="D1" s="26"/>
      <c r="E1" s="26"/>
      <c r="F1" s="26"/>
      <c r="G1" s="26"/>
      <c r="H1" s="26"/>
      <c r="I1" s="26"/>
      <c r="J1" s="26"/>
      <c r="K1" s="26"/>
      <c r="L1" s="26"/>
      <c r="M1" s="26"/>
    </row>
    <row r="2" spans="1:14" ht="15.75" x14ac:dyDescent="0.25">
      <c r="A2" s="164" t="s">
        <v>28</v>
      </c>
      <c r="B2" s="1008"/>
      <c r="C2" s="1008"/>
      <c r="D2" s="1008"/>
      <c r="E2" s="719"/>
      <c r="F2" s="1008"/>
      <c r="G2" s="1008"/>
      <c r="H2" s="1008"/>
      <c r="I2" s="719"/>
      <c r="J2" s="1008"/>
      <c r="K2" s="1008"/>
      <c r="L2" s="1008"/>
      <c r="M2" s="719"/>
    </row>
    <row r="3" spans="1:14" ht="15.75" x14ac:dyDescent="0.25">
      <c r="A3" s="162"/>
      <c r="B3" s="719"/>
      <c r="C3" s="719"/>
      <c r="D3" s="719"/>
      <c r="E3" s="719"/>
      <c r="F3" s="719"/>
      <c r="G3" s="719"/>
      <c r="H3" s="719"/>
      <c r="I3" s="719"/>
      <c r="J3" s="719"/>
      <c r="K3" s="719"/>
      <c r="L3" s="719"/>
      <c r="M3" s="719"/>
    </row>
    <row r="4" spans="1:14" x14ac:dyDescent="0.2">
      <c r="A4" s="143"/>
      <c r="B4" s="1010" t="s">
        <v>0</v>
      </c>
      <c r="C4" s="1011"/>
      <c r="D4" s="1011"/>
      <c r="E4" s="717"/>
      <c r="F4" s="1010" t="s">
        <v>1</v>
      </c>
      <c r="G4" s="1011"/>
      <c r="H4" s="1011"/>
      <c r="I4" s="718"/>
      <c r="J4" s="1010" t="s">
        <v>2</v>
      </c>
      <c r="K4" s="1011"/>
      <c r="L4" s="1011"/>
      <c r="M4" s="718"/>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2166.4723321280098</v>
      </c>
      <c r="C7" s="310">
        <v>2015.88538138225</v>
      </c>
      <c r="D7" s="351">
        <f>IF(B7=0, "    ---- ", IF(ABS(ROUND(100/B7*C7-100,1))&lt;999,ROUND(100/B7*C7-100,1),IF(ROUND(100/B7*C7-100,1)&gt;999,999,-999)))</f>
        <v>-7</v>
      </c>
      <c r="E7" s="11">
        <f>IFERROR(100/'Skjema total MA'!C7*C7,0)</f>
        <v>3.9147534929598118E-2</v>
      </c>
      <c r="F7" s="309"/>
      <c r="G7" s="310"/>
      <c r="H7" s="351"/>
      <c r="I7" s="159"/>
      <c r="J7" s="311">
        <f t="shared" ref="J7:K9" si="0">SUM(B7,F7)</f>
        <v>2166.4723321280098</v>
      </c>
      <c r="K7" s="312">
        <f t="shared" si="0"/>
        <v>2015.88538138225</v>
      </c>
      <c r="L7" s="425">
        <f>IF(J7=0, "    ---- ", IF(ABS(ROUND(100/J7*K7-100,1))&lt;999,ROUND(100/J7*K7-100,1),IF(ROUND(100/J7*K7-100,1)&gt;999,999,-999)))</f>
        <v>-7</v>
      </c>
      <c r="M7" s="11">
        <f>IFERROR(100/'Skjema total MA'!I7*K7,0)</f>
        <v>1.4024419264276356E-2</v>
      </c>
    </row>
    <row r="8" spans="1:14" ht="15.75" x14ac:dyDescent="0.2">
      <c r="A8" s="21" t="s">
        <v>25</v>
      </c>
      <c r="B8" s="284"/>
      <c r="C8" s="285"/>
      <c r="D8" s="165"/>
      <c r="E8" s="27"/>
      <c r="F8" s="288"/>
      <c r="G8" s="289"/>
      <c r="H8" s="165"/>
      <c r="I8" s="175"/>
      <c r="J8" s="233"/>
      <c r="K8" s="290"/>
      <c r="L8" s="165"/>
      <c r="M8" s="27"/>
    </row>
    <row r="9" spans="1:14" ht="15.75" x14ac:dyDescent="0.2">
      <c r="A9" s="21" t="s">
        <v>24</v>
      </c>
      <c r="B9" s="284">
        <v>2166.4723321280098</v>
      </c>
      <c r="C9" s="285">
        <v>2015.88538138225</v>
      </c>
      <c r="D9" s="165">
        <f t="shared" ref="D9" si="1">IF(B9=0, "    ---- ", IF(ABS(ROUND(100/B9*C9-100,1))&lt;999,ROUND(100/B9*C9-100,1),IF(ROUND(100/B9*C9-100,1)&gt;999,999,-999)))</f>
        <v>-7</v>
      </c>
      <c r="E9" s="27">
        <f>IFERROR(100/'Skjema total MA'!C9*C9,0)</f>
        <v>0.1887836802396653</v>
      </c>
      <c r="F9" s="288"/>
      <c r="G9" s="289"/>
      <c r="H9" s="165"/>
      <c r="I9" s="175"/>
      <c r="J9" s="233">
        <f t="shared" si="0"/>
        <v>2166.4723321280098</v>
      </c>
      <c r="K9" s="290">
        <f t="shared" si="0"/>
        <v>2015.88538138225</v>
      </c>
      <c r="L9" s="165">
        <f t="shared" ref="L9" si="2">IF(J9=0, "    ---- ", IF(ABS(ROUND(100/J9*K9-100,1))&lt;999,ROUND(100/J9*K9-100,1),IF(ROUND(100/J9*K9-100,1)&gt;999,999,-999)))</f>
        <v>-7</v>
      </c>
      <c r="M9" s="27">
        <f>IFERROR(100/'Skjema total MA'!I9*K9,0)</f>
        <v>0.1887836802396653</v>
      </c>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719"/>
      <c r="F18" s="1012"/>
      <c r="G18" s="1012"/>
      <c r="H18" s="1012"/>
      <c r="I18" s="719"/>
      <c r="J18" s="1012"/>
      <c r="K18" s="1012"/>
      <c r="L18" s="1012"/>
      <c r="M18" s="719"/>
    </row>
    <row r="19" spans="1:14" x14ac:dyDescent="0.2">
      <c r="A19" s="143"/>
      <c r="B19" s="1010" t="s">
        <v>0</v>
      </c>
      <c r="C19" s="1011"/>
      <c r="D19" s="1011"/>
      <c r="E19" s="717"/>
      <c r="F19" s="1010" t="s">
        <v>1</v>
      </c>
      <c r="G19" s="1011"/>
      <c r="H19" s="1011"/>
      <c r="I19" s="718"/>
      <c r="J19" s="1010" t="s">
        <v>2</v>
      </c>
      <c r="K19" s="1011"/>
      <c r="L19" s="1011"/>
      <c r="M19" s="718"/>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721"/>
    </row>
    <row r="41" spans="1:14" x14ac:dyDescent="0.2">
      <c r="A41" s="154"/>
    </row>
    <row r="42" spans="1:14" ht="15.75" x14ac:dyDescent="0.25">
      <c r="A42" s="146" t="s">
        <v>266</v>
      </c>
      <c r="B42" s="1008"/>
      <c r="C42" s="1008"/>
      <c r="D42" s="1008"/>
      <c r="E42" s="719"/>
      <c r="F42" s="1014"/>
      <c r="G42" s="1014"/>
      <c r="H42" s="1014"/>
      <c r="I42" s="721"/>
      <c r="J42" s="1014"/>
      <c r="K42" s="1014"/>
      <c r="L42" s="1014"/>
      <c r="M42" s="721"/>
    </row>
    <row r="43" spans="1:14" ht="15.75" x14ac:dyDescent="0.25">
      <c r="A43" s="162"/>
      <c r="B43" s="720"/>
      <c r="C43" s="720"/>
      <c r="D43" s="720"/>
      <c r="E43" s="720"/>
      <c r="F43" s="721"/>
      <c r="G43" s="721"/>
      <c r="H43" s="721"/>
      <c r="I43" s="721"/>
      <c r="J43" s="721"/>
      <c r="K43" s="721"/>
      <c r="L43" s="721"/>
      <c r="M43" s="721"/>
    </row>
    <row r="44" spans="1:14" ht="15.75" x14ac:dyDescent="0.25">
      <c r="A44" s="248"/>
      <c r="B44" s="1010" t="s">
        <v>0</v>
      </c>
      <c r="C44" s="1011"/>
      <c r="D44" s="1011"/>
      <c r="E44" s="243"/>
      <c r="F44" s="721"/>
      <c r="G44" s="721"/>
      <c r="H44" s="721"/>
      <c r="I44" s="721"/>
      <c r="J44" s="721"/>
      <c r="K44" s="721"/>
      <c r="L44" s="721"/>
      <c r="M44" s="721"/>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328966.08030293399</v>
      </c>
      <c r="C47" s="314">
        <v>354033.691496944</v>
      </c>
      <c r="D47" s="425">
        <f t="shared" ref="D47:D48" si="3">IF(B47=0, "    ---- ", IF(ABS(ROUND(100/B47*C47-100,1))&lt;999,ROUND(100/B47*C47-100,1),IF(ROUND(100/B47*C47-100,1)&gt;999,999,-999)))</f>
        <v>7.6</v>
      </c>
      <c r="E47" s="11">
        <f>IFERROR(100/'Skjema total MA'!C47*C47,0)</f>
        <v>6.3885558854755677</v>
      </c>
      <c r="F47" s="144"/>
      <c r="G47" s="33"/>
      <c r="H47" s="158"/>
      <c r="I47" s="158"/>
      <c r="J47" s="37"/>
      <c r="K47" s="37"/>
      <c r="L47" s="158"/>
      <c r="M47" s="158"/>
      <c r="N47" s="147"/>
    </row>
    <row r="48" spans="1:14" s="3" customFormat="1" ht="15.75" x14ac:dyDescent="0.2">
      <c r="A48" s="38" t="s">
        <v>437</v>
      </c>
      <c r="B48" s="284">
        <v>328966.08030293399</v>
      </c>
      <c r="C48" s="285">
        <v>354033.691496944</v>
      </c>
      <c r="D48" s="258">
        <f t="shared" si="3"/>
        <v>7.6</v>
      </c>
      <c r="E48" s="27">
        <f>IFERROR(100/'Skjema total MA'!C48*C48,0)</f>
        <v>11.493984802670212</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719"/>
      <c r="F62" s="1012"/>
      <c r="G62" s="1012"/>
      <c r="H62" s="1012"/>
      <c r="I62" s="719"/>
      <c r="J62" s="1012"/>
      <c r="K62" s="1012"/>
      <c r="L62" s="1012"/>
      <c r="M62" s="719"/>
    </row>
    <row r="63" spans="1:14" x14ac:dyDescent="0.2">
      <c r="A63" s="143"/>
      <c r="B63" s="1010" t="s">
        <v>0</v>
      </c>
      <c r="C63" s="1011"/>
      <c r="D63" s="1015"/>
      <c r="E63" s="716"/>
      <c r="F63" s="1011" t="s">
        <v>1</v>
      </c>
      <c r="G63" s="1011"/>
      <c r="H63" s="1011"/>
      <c r="I63" s="718"/>
      <c r="J63" s="1010" t="s">
        <v>2</v>
      </c>
      <c r="K63" s="1011"/>
      <c r="L63" s="1011"/>
      <c r="M63" s="718"/>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719"/>
      <c r="F130" s="1012"/>
      <c r="G130" s="1012"/>
      <c r="H130" s="1012"/>
      <c r="I130" s="719"/>
      <c r="J130" s="1012"/>
      <c r="K130" s="1012"/>
      <c r="L130" s="1012"/>
      <c r="M130" s="719"/>
    </row>
    <row r="131" spans="1:14" s="3" customFormat="1" x14ac:dyDescent="0.2">
      <c r="A131" s="143"/>
      <c r="B131" s="1010" t="s">
        <v>0</v>
      </c>
      <c r="C131" s="1011"/>
      <c r="D131" s="1011"/>
      <c r="E131" s="717"/>
      <c r="F131" s="1010" t="s">
        <v>1</v>
      </c>
      <c r="G131" s="1011"/>
      <c r="H131" s="1011"/>
      <c r="I131" s="718"/>
      <c r="J131" s="1010" t="s">
        <v>2</v>
      </c>
      <c r="K131" s="1011"/>
      <c r="L131" s="1011"/>
      <c r="M131" s="718"/>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1415" priority="82">
      <formula>kvartal &lt; 4</formula>
    </cfRule>
  </conditionalFormatting>
  <conditionalFormatting sqref="B69">
    <cfRule type="expression" dxfId="1414" priority="61">
      <formula>kvartal &lt; 4</formula>
    </cfRule>
  </conditionalFormatting>
  <conditionalFormatting sqref="C69">
    <cfRule type="expression" dxfId="1413" priority="60">
      <formula>kvartal &lt; 4</formula>
    </cfRule>
  </conditionalFormatting>
  <conditionalFormatting sqref="B72">
    <cfRule type="expression" dxfId="1412" priority="59">
      <formula>kvartal &lt; 4</formula>
    </cfRule>
  </conditionalFormatting>
  <conditionalFormatting sqref="C72">
    <cfRule type="expression" dxfId="1411" priority="58">
      <formula>kvartal &lt; 4</formula>
    </cfRule>
  </conditionalFormatting>
  <conditionalFormatting sqref="B80">
    <cfRule type="expression" dxfId="1410" priority="57">
      <formula>kvartal &lt; 4</formula>
    </cfRule>
  </conditionalFormatting>
  <conditionalFormatting sqref="C80">
    <cfRule type="expression" dxfId="1409" priority="56">
      <formula>kvartal &lt; 4</formula>
    </cfRule>
  </conditionalFormatting>
  <conditionalFormatting sqref="B83">
    <cfRule type="expression" dxfId="1408" priority="55">
      <formula>kvartal &lt; 4</formula>
    </cfRule>
  </conditionalFormatting>
  <conditionalFormatting sqref="C83">
    <cfRule type="expression" dxfId="1407" priority="54">
      <formula>kvartal &lt; 4</formula>
    </cfRule>
  </conditionalFormatting>
  <conditionalFormatting sqref="B90">
    <cfRule type="expression" dxfId="1406" priority="53">
      <formula>kvartal &lt; 4</formula>
    </cfRule>
  </conditionalFormatting>
  <conditionalFormatting sqref="C90">
    <cfRule type="expression" dxfId="1405" priority="52">
      <formula>kvartal &lt; 4</formula>
    </cfRule>
  </conditionalFormatting>
  <conditionalFormatting sqref="B93">
    <cfRule type="expression" dxfId="1404" priority="51">
      <formula>kvartal &lt; 4</formula>
    </cfRule>
  </conditionalFormatting>
  <conditionalFormatting sqref="C93">
    <cfRule type="expression" dxfId="1403" priority="50">
      <formula>kvartal &lt; 4</formula>
    </cfRule>
  </conditionalFormatting>
  <conditionalFormatting sqref="B101">
    <cfRule type="expression" dxfId="1402" priority="49">
      <formula>kvartal &lt; 4</formula>
    </cfRule>
  </conditionalFormatting>
  <conditionalFormatting sqref="C101">
    <cfRule type="expression" dxfId="1401" priority="48">
      <formula>kvartal &lt; 4</formula>
    </cfRule>
  </conditionalFormatting>
  <conditionalFormatting sqref="B104">
    <cfRule type="expression" dxfId="1400" priority="47">
      <formula>kvartal &lt; 4</formula>
    </cfRule>
  </conditionalFormatting>
  <conditionalFormatting sqref="C104">
    <cfRule type="expression" dxfId="1399" priority="46">
      <formula>kvartal &lt; 4</formula>
    </cfRule>
  </conditionalFormatting>
  <conditionalFormatting sqref="B115">
    <cfRule type="expression" dxfId="1398" priority="45">
      <formula>kvartal &lt; 4</formula>
    </cfRule>
  </conditionalFormatting>
  <conditionalFormatting sqref="C115">
    <cfRule type="expression" dxfId="1397" priority="44">
      <formula>kvartal &lt; 4</formula>
    </cfRule>
  </conditionalFormatting>
  <conditionalFormatting sqref="B123">
    <cfRule type="expression" dxfId="1396" priority="43">
      <formula>kvartal &lt; 4</formula>
    </cfRule>
  </conditionalFormatting>
  <conditionalFormatting sqref="C123">
    <cfRule type="expression" dxfId="1395" priority="42">
      <formula>kvartal &lt; 4</formula>
    </cfRule>
  </conditionalFormatting>
  <conditionalFormatting sqref="F70">
    <cfRule type="expression" dxfId="1394" priority="41">
      <formula>kvartal &lt; 4</formula>
    </cfRule>
  </conditionalFormatting>
  <conditionalFormatting sqref="G70">
    <cfRule type="expression" dxfId="1393" priority="40">
      <formula>kvartal &lt; 4</formula>
    </cfRule>
  </conditionalFormatting>
  <conditionalFormatting sqref="F71:G71">
    <cfRule type="expression" dxfId="1392" priority="39">
      <formula>kvartal &lt; 4</formula>
    </cfRule>
  </conditionalFormatting>
  <conditionalFormatting sqref="F73:G74">
    <cfRule type="expression" dxfId="1391" priority="38">
      <formula>kvartal &lt; 4</formula>
    </cfRule>
  </conditionalFormatting>
  <conditionalFormatting sqref="F81:G82">
    <cfRule type="expression" dxfId="1390" priority="37">
      <formula>kvartal &lt; 4</formula>
    </cfRule>
  </conditionalFormatting>
  <conditionalFormatting sqref="F84:G85">
    <cfRule type="expression" dxfId="1389" priority="36">
      <formula>kvartal &lt; 4</formula>
    </cfRule>
  </conditionalFormatting>
  <conditionalFormatting sqref="F91:G92">
    <cfRule type="expression" dxfId="1388" priority="35">
      <formula>kvartal &lt; 4</formula>
    </cfRule>
  </conditionalFormatting>
  <conditionalFormatting sqref="F94:G95">
    <cfRule type="expression" dxfId="1387" priority="34">
      <formula>kvartal &lt; 4</formula>
    </cfRule>
  </conditionalFormatting>
  <conditionalFormatting sqref="F102:G103">
    <cfRule type="expression" dxfId="1386" priority="33">
      <formula>kvartal &lt; 4</formula>
    </cfRule>
  </conditionalFormatting>
  <conditionalFormatting sqref="F105:G106">
    <cfRule type="expression" dxfId="1385" priority="32">
      <formula>kvartal &lt; 4</formula>
    </cfRule>
  </conditionalFormatting>
  <conditionalFormatting sqref="F115">
    <cfRule type="expression" dxfId="1384" priority="31">
      <formula>kvartal &lt; 4</formula>
    </cfRule>
  </conditionalFormatting>
  <conditionalFormatting sqref="G115">
    <cfRule type="expression" dxfId="1383" priority="30">
      <formula>kvartal &lt; 4</formula>
    </cfRule>
  </conditionalFormatting>
  <conditionalFormatting sqref="F123:G123">
    <cfRule type="expression" dxfId="1382" priority="29">
      <formula>kvartal &lt; 4</formula>
    </cfRule>
  </conditionalFormatting>
  <conditionalFormatting sqref="F69:G69">
    <cfRule type="expression" dxfId="1381" priority="28">
      <formula>kvartal &lt; 4</formula>
    </cfRule>
  </conditionalFormatting>
  <conditionalFormatting sqref="F72:G72">
    <cfRule type="expression" dxfId="1380" priority="27">
      <formula>kvartal &lt; 4</formula>
    </cfRule>
  </conditionalFormatting>
  <conditionalFormatting sqref="F80:G80">
    <cfRule type="expression" dxfId="1379" priority="26">
      <formula>kvartal &lt; 4</formula>
    </cfRule>
  </conditionalFormatting>
  <conditionalFormatting sqref="F83:G83">
    <cfRule type="expression" dxfId="1378" priority="25">
      <formula>kvartal &lt; 4</formula>
    </cfRule>
  </conditionalFormatting>
  <conditionalFormatting sqref="F90:G90">
    <cfRule type="expression" dxfId="1377" priority="24">
      <formula>kvartal &lt; 4</formula>
    </cfRule>
  </conditionalFormatting>
  <conditionalFormatting sqref="F93">
    <cfRule type="expression" dxfId="1376" priority="23">
      <formula>kvartal &lt; 4</formula>
    </cfRule>
  </conditionalFormatting>
  <conditionalFormatting sqref="G93">
    <cfRule type="expression" dxfId="1375" priority="22">
      <formula>kvartal &lt; 4</formula>
    </cfRule>
  </conditionalFormatting>
  <conditionalFormatting sqref="F101">
    <cfRule type="expression" dxfId="1374" priority="21">
      <formula>kvartal &lt; 4</formula>
    </cfRule>
  </conditionalFormatting>
  <conditionalFormatting sqref="G101">
    <cfRule type="expression" dxfId="1373" priority="20">
      <formula>kvartal &lt; 4</formula>
    </cfRule>
  </conditionalFormatting>
  <conditionalFormatting sqref="G104">
    <cfRule type="expression" dxfId="1372" priority="19">
      <formula>kvartal &lt; 4</formula>
    </cfRule>
  </conditionalFormatting>
  <conditionalFormatting sqref="F104">
    <cfRule type="expression" dxfId="1371" priority="18">
      <formula>kvartal &lt; 4</formula>
    </cfRule>
  </conditionalFormatting>
  <conditionalFormatting sqref="J69:K73">
    <cfRule type="expression" dxfId="1370" priority="17">
      <formula>kvartal &lt; 4</formula>
    </cfRule>
  </conditionalFormatting>
  <conditionalFormatting sqref="J74:K74">
    <cfRule type="expression" dxfId="1369" priority="16">
      <formula>kvartal &lt; 4</formula>
    </cfRule>
  </conditionalFormatting>
  <conditionalFormatting sqref="J80:K85">
    <cfRule type="expression" dxfId="1368" priority="15">
      <formula>kvartal &lt; 4</formula>
    </cfRule>
  </conditionalFormatting>
  <conditionalFormatting sqref="J90:K95">
    <cfRule type="expression" dxfId="1367" priority="14">
      <formula>kvartal &lt; 4</formula>
    </cfRule>
  </conditionalFormatting>
  <conditionalFormatting sqref="J101:K106">
    <cfRule type="expression" dxfId="1366" priority="13">
      <formula>kvartal &lt; 4</formula>
    </cfRule>
  </conditionalFormatting>
  <conditionalFormatting sqref="J115:K115">
    <cfRule type="expression" dxfId="1365" priority="12">
      <formula>kvartal &lt; 4</formula>
    </cfRule>
  </conditionalFormatting>
  <conditionalFormatting sqref="J123:K123">
    <cfRule type="expression" dxfId="1364" priority="11">
      <formula>kvartal &lt; 4</formula>
    </cfRule>
  </conditionalFormatting>
  <conditionalFormatting sqref="A50:A52">
    <cfRule type="expression" dxfId="1363" priority="8">
      <formula>kvartal &lt; 4</formula>
    </cfRule>
  </conditionalFormatting>
  <conditionalFormatting sqref="A69:A74">
    <cfRule type="expression" dxfId="1362" priority="7">
      <formula>kvartal &lt; 4</formula>
    </cfRule>
  </conditionalFormatting>
  <conditionalFormatting sqref="A80:A85">
    <cfRule type="expression" dxfId="1361" priority="6">
      <formula>kvartal &lt; 4</formula>
    </cfRule>
  </conditionalFormatting>
  <conditionalFormatting sqref="A90:A95">
    <cfRule type="expression" dxfId="1360" priority="5">
      <formula>kvartal &lt; 4</formula>
    </cfRule>
  </conditionalFormatting>
  <conditionalFormatting sqref="A101:A106">
    <cfRule type="expression" dxfId="1359" priority="4">
      <formula>kvartal &lt; 4</formula>
    </cfRule>
  </conditionalFormatting>
  <conditionalFormatting sqref="A115">
    <cfRule type="expression" dxfId="1358" priority="3">
      <formula>kvartal &lt; 4</formula>
    </cfRule>
  </conditionalFormatting>
  <conditionalFormatting sqref="A123">
    <cfRule type="expression" dxfId="1357"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70</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v>115408.92872</v>
      </c>
      <c r="G7" s="310">
        <v>76751</v>
      </c>
      <c r="H7" s="351">
        <f>IF(F7=0, "    ---- ", IF(ABS(ROUND(100/F7*G7-100,1))&lt;999,ROUND(100/F7*G7-100,1),IF(ROUND(100/F7*G7-100,1)&gt;999,999,-999)))</f>
        <v>-33.5</v>
      </c>
      <c r="I7" s="159">
        <f>IFERROR(100/'Skjema total MA'!F7*G7,0)</f>
        <v>0.83202047963986681</v>
      </c>
      <c r="J7" s="311">
        <f t="shared" ref="J7:K12" si="0">SUM(B7,F7)</f>
        <v>115408.92872</v>
      </c>
      <c r="K7" s="312">
        <f t="shared" si="0"/>
        <v>76751</v>
      </c>
      <c r="L7" s="425">
        <f>IF(J7=0, "    ---- ", IF(ABS(ROUND(100/J7*K7-100,1))&lt;999,ROUND(100/J7*K7-100,1),IF(ROUND(100/J7*K7-100,1)&gt;999,999,-999)))</f>
        <v>-33.5</v>
      </c>
      <c r="M7" s="11">
        <f>IFERROR(100/'Skjema total MA'!I7*K7,0)</f>
        <v>0.53395307733935649</v>
      </c>
    </row>
    <row r="8" spans="1:14" ht="15.75" x14ac:dyDescent="0.2">
      <c r="A8" s="21" t="s">
        <v>25</v>
      </c>
      <c r="B8" s="284"/>
      <c r="C8" s="285"/>
      <c r="D8" s="165"/>
      <c r="E8" s="27"/>
      <c r="F8" s="288"/>
      <c r="G8" s="289"/>
      <c r="H8" s="165"/>
      <c r="I8" s="175"/>
      <c r="J8" s="233"/>
      <c r="K8" s="290"/>
      <c r="L8" s="165"/>
      <c r="M8" s="27"/>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v>1306992.8840000001</v>
      </c>
      <c r="G10" s="314">
        <v>18015</v>
      </c>
      <c r="H10" s="170">
        <f t="shared" ref="H10:H12" si="1">IF(F10=0, "    ---- ", IF(ABS(ROUND(100/F10*G10-100,1))&lt;999,ROUND(100/F10*G10-100,1),IF(ROUND(100/F10*G10-100,1)&gt;999,999,-999)))</f>
        <v>-98.6</v>
      </c>
      <c r="I10" s="159">
        <f>IFERROR(100/'Skjema total MA'!F10*G10,0)</f>
        <v>2.5450277385063533E-2</v>
      </c>
      <c r="J10" s="311">
        <f t="shared" si="0"/>
        <v>1306992.8840000001</v>
      </c>
      <c r="K10" s="312">
        <f t="shared" si="0"/>
        <v>18015</v>
      </c>
      <c r="L10" s="426">
        <f t="shared" ref="L10:L12" si="2">IF(J10=0, "    ---- ", IF(ABS(ROUND(100/J10*K10-100,1))&lt;999,ROUND(100/J10*K10-100,1),IF(ROUND(100/J10*K10-100,1)&gt;999,999,-999)))</f>
        <v>-98.6</v>
      </c>
      <c r="M10" s="11">
        <f>IFERROR(100/'Skjema total MA'!I10*K10,0)</f>
        <v>2.041722319784877E-2</v>
      </c>
    </row>
    <row r="11" spans="1:14" s="43" customFormat="1" ht="15.75" x14ac:dyDescent="0.2">
      <c r="A11" s="13" t="s">
        <v>427</v>
      </c>
      <c r="B11" s="313"/>
      <c r="C11" s="314"/>
      <c r="D11" s="170"/>
      <c r="E11" s="11"/>
      <c r="F11" s="313">
        <v>15151.85</v>
      </c>
      <c r="G11" s="314">
        <v>18015</v>
      </c>
      <c r="H11" s="170">
        <f t="shared" si="1"/>
        <v>18.899999999999999</v>
      </c>
      <c r="I11" s="159">
        <f>IFERROR(100/'Skjema total MA'!F11*G11,0)</f>
        <v>1.3131661254779661</v>
      </c>
      <c r="J11" s="311">
        <f t="shared" si="0"/>
        <v>15151.85</v>
      </c>
      <c r="K11" s="312">
        <f t="shared" si="0"/>
        <v>18015</v>
      </c>
      <c r="L11" s="426">
        <f t="shared" si="2"/>
        <v>18.899999999999999</v>
      </c>
      <c r="M11" s="11">
        <f>IFERROR(100/'Skjema total MA'!I11*K11,0)</f>
        <v>1.2791817383562067</v>
      </c>
      <c r="N11" s="142"/>
    </row>
    <row r="12" spans="1:14" s="43" customFormat="1" ht="15.75" x14ac:dyDescent="0.2">
      <c r="A12" s="41" t="s">
        <v>428</v>
      </c>
      <c r="B12" s="315"/>
      <c r="C12" s="316"/>
      <c r="D12" s="168"/>
      <c r="E12" s="36"/>
      <c r="F12" s="315">
        <v>4459.6310000000003</v>
      </c>
      <c r="G12" s="316">
        <v>1165686.0644799999</v>
      </c>
      <c r="H12" s="168">
        <f t="shared" si="1"/>
        <v>999</v>
      </c>
      <c r="I12" s="168">
        <f>IFERROR(100/'Skjema total MA'!F12*G12,0)</f>
        <v>86.707713642960357</v>
      </c>
      <c r="J12" s="317">
        <f t="shared" si="0"/>
        <v>4459.6310000000003</v>
      </c>
      <c r="K12" s="318">
        <f t="shared" si="0"/>
        <v>1165686.0644799999</v>
      </c>
      <c r="L12" s="427">
        <f t="shared" si="2"/>
        <v>999</v>
      </c>
      <c r="M12" s="36">
        <f>IFERROR(100/'Skjema total MA'!I12*K12,0)</f>
        <v>86.519728798896907</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v>62888.516000000003</v>
      </c>
      <c r="G22" s="321">
        <v>18562</v>
      </c>
      <c r="H22" s="351">
        <f t="shared" ref="H22:H35" si="3">IF(F22=0, "    ---- ", IF(ABS(ROUND(100/F22*G22-100,1))&lt;999,ROUND(100/F22*G22-100,1),IF(ROUND(100/F22*G22-100,1)&gt;999,999,-999)))</f>
        <v>-70.5</v>
      </c>
      <c r="I22" s="11">
        <f>IFERROR(100/'Skjema total MA'!F22*G22,0)</f>
        <v>1.8120329405809448</v>
      </c>
      <c r="J22" s="319">
        <f t="shared" ref="J22:K35" si="4">SUM(B22,F22)</f>
        <v>62888.516000000003</v>
      </c>
      <c r="K22" s="319">
        <f t="shared" si="4"/>
        <v>18562</v>
      </c>
      <c r="L22" s="425">
        <f t="shared" ref="L22:L35" si="5">IF(J22=0, "    ---- ", IF(ABS(ROUND(100/J22*K22-100,1))&lt;999,ROUND(100/J22*K22-100,1),IF(ROUND(100/J22*K22-100,1)&gt;999,999,-999)))</f>
        <v>-70.5</v>
      </c>
      <c r="M22" s="24">
        <f>IFERROR(100/'Skjema total MA'!I22*K22,0)</f>
        <v>0.58540317596862579</v>
      </c>
    </row>
    <row r="23" spans="1:14" ht="15.75" x14ac:dyDescent="0.2">
      <c r="A23" s="723" t="s">
        <v>429</v>
      </c>
      <c r="B23" s="284"/>
      <c r="C23" s="284"/>
      <c r="D23" s="165"/>
      <c r="E23" s="11"/>
      <c r="F23" s="293">
        <v>1284.9590000000001</v>
      </c>
      <c r="G23" s="293">
        <v>253</v>
      </c>
      <c r="H23" s="165">
        <f t="shared" si="3"/>
        <v>-80.3</v>
      </c>
      <c r="I23" s="416">
        <f>IFERROR(100/'Skjema total MA'!F23*G23,0)</f>
        <v>0.17023955758355855</v>
      </c>
      <c r="J23" s="293">
        <f t="shared" ref="J23:J26" si="6">SUM(B23,F23)</f>
        <v>1284.9590000000001</v>
      </c>
      <c r="K23" s="293">
        <f t="shared" ref="K23:K26" si="7">SUM(C23,G23)</f>
        <v>253</v>
      </c>
      <c r="L23" s="165">
        <f t="shared" si="5"/>
        <v>-80.3</v>
      </c>
      <c r="M23" s="23">
        <f>IFERROR(100/'Skjema total MA'!I23*K23,0)</f>
        <v>1.8092395401184916E-2</v>
      </c>
    </row>
    <row r="24" spans="1:14" ht="15.75" x14ac:dyDescent="0.2">
      <c r="A24" s="723" t="s">
        <v>430</v>
      </c>
      <c r="B24" s="284"/>
      <c r="C24" s="284"/>
      <c r="D24" s="165"/>
      <c r="E24" s="11"/>
      <c r="F24" s="293">
        <v>73.034999999999997</v>
      </c>
      <c r="G24" s="293">
        <v>0</v>
      </c>
      <c r="H24" s="165">
        <f t="shared" si="3"/>
        <v>-100</v>
      </c>
      <c r="I24" s="416">
        <f>IFERROR(100/'Skjema total MA'!F24*G24,0)</f>
        <v>0</v>
      </c>
      <c r="J24" s="293">
        <f t="shared" si="6"/>
        <v>73.034999999999997</v>
      </c>
      <c r="K24" s="293">
        <f t="shared" si="7"/>
        <v>0</v>
      </c>
      <c r="L24" s="165">
        <f t="shared" si="5"/>
        <v>-100</v>
      </c>
      <c r="M24" s="23">
        <f>IFERROR(100/'Skjema total MA'!I24*K24,0)</f>
        <v>0</v>
      </c>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v>61530.521999999997</v>
      </c>
      <c r="G26" s="293">
        <v>18309</v>
      </c>
      <c r="H26" s="165">
        <f t="shared" si="3"/>
        <v>-70.2</v>
      </c>
      <c r="I26" s="416">
        <f>IFERROR(100/'Skjema total MA'!F26*G26,0)</f>
        <v>2.1387289557211453</v>
      </c>
      <c r="J26" s="293">
        <f t="shared" si="6"/>
        <v>61530.521999999997</v>
      </c>
      <c r="K26" s="293">
        <f t="shared" si="7"/>
        <v>18309</v>
      </c>
      <c r="L26" s="165">
        <f t="shared" si="5"/>
        <v>-70.2</v>
      </c>
      <c r="M26" s="23">
        <f>IFERROR(100/'Skjema total MA'!I26*K26,0)</f>
        <v>2.1387289557211453</v>
      </c>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v>1143627.5009999999</v>
      </c>
      <c r="G29" s="311">
        <v>20100</v>
      </c>
      <c r="H29" s="170">
        <f t="shared" si="3"/>
        <v>-98.2</v>
      </c>
      <c r="I29" s="11">
        <f>IFERROR(100/'Skjema total MA'!F29*G29,0)</f>
        <v>8.5590944982442962E-2</v>
      </c>
      <c r="J29" s="235">
        <f t="shared" si="4"/>
        <v>1143627.5009999999</v>
      </c>
      <c r="K29" s="235">
        <f t="shared" si="4"/>
        <v>20100</v>
      </c>
      <c r="L29" s="426">
        <f t="shared" si="5"/>
        <v>-98.2</v>
      </c>
      <c r="M29" s="24">
        <f>IFERROR(100/'Skjema total MA'!I29*K29,0)</f>
        <v>2.9769884830731091E-2</v>
      </c>
      <c r="N29" s="147"/>
    </row>
    <row r="30" spans="1:14" s="3" customFormat="1" ht="15.75" x14ac:dyDescent="0.2">
      <c r="A30" s="723" t="s">
        <v>429</v>
      </c>
      <c r="B30" s="284"/>
      <c r="C30" s="284"/>
      <c r="D30" s="165"/>
      <c r="E30" s="11"/>
      <c r="F30" s="293">
        <v>123449.45299999999</v>
      </c>
      <c r="G30" s="293">
        <v>18015</v>
      </c>
      <c r="H30" s="165">
        <f t="shared" si="3"/>
        <v>-85.4</v>
      </c>
      <c r="I30" s="416">
        <f>IFERROR(100/'Skjema total MA'!F30*G30,0)</f>
        <v>0.52944744301089453</v>
      </c>
      <c r="J30" s="293">
        <f t="shared" ref="J30:J33" si="8">SUM(B30,F30)</f>
        <v>123449.45299999999</v>
      </c>
      <c r="K30" s="293">
        <f t="shared" ref="K30:K33" si="9">SUM(C30,G30)</f>
        <v>18015</v>
      </c>
      <c r="L30" s="165">
        <f t="shared" si="5"/>
        <v>-85.4</v>
      </c>
      <c r="M30" s="23">
        <f>IFERROR(100/'Skjema total MA'!I30*K30,0)</f>
        <v>0.11199089113096801</v>
      </c>
      <c r="N30" s="147"/>
    </row>
    <row r="31" spans="1:14" s="3" customFormat="1" ht="15.75" x14ac:dyDescent="0.2">
      <c r="A31" s="723" t="s">
        <v>430</v>
      </c>
      <c r="B31" s="284"/>
      <c r="C31" s="284"/>
      <c r="D31" s="165"/>
      <c r="E31" s="11"/>
      <c r="F31" s="293">
        <v>663414.73499999999</v>
      </c>
      <c r="G31" s="293">
        <v>0</v>
      </c>
      <c r="H31" s="165">
        <f t="shared" si="3"/>
        <v>-100</v>
      </c>
      <c r="I31" s="416">
        <f>IFERROR(100/'Skjema total MA'!F31*G31,0)</f>
        <v>0</v>
      </c>
      <c r="J31" s="293">
        <f t="shared" si="8"/>
        <v>663414.73499999999</v>
      </c>
      <c r="K31" s="293">
        <f t="shared" si="9"/>
        <v>0</v>
      </c>
      <c r="L31" s="165">
        <f t="shared" si="5"/>
        <v>-100</v>
      </c>
      <c r="M31" s="23">
        <f>IFERROR(100/'Skjema total MA'!I31*K31,0)</f>
        <v>0</v>
      </c>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v>356763.31300000002</v>
      </c>
      <c r="G33" s="293">
        <v>2085</v>
      </c>
      <c r="H33" s="165">
        <f t="shared" si="3"/>
        <v>-99.4</v>
      </c>
      <c r="I33" s="416">
        <f>IFERROR(100/'Skjema total MA'!F34*G33,0)</f>
        <v>0.2666585026311924</v>
      </c>
      <c r="J33" s="293">
        <f t="shared" si="8"/>
        <v>356763.31300000002</v>
      </c>
      <c r="K33" s="293">
        <f t="shared" si="9"/>
        <v>2085</v>
      </c>
      <c r="L33" s="165">
        <f t="shared" si="5"/>
        <v>-99.4</v>
      </c>
      <c r="M33" s="23">
        <f>IFERROR(100/'Skjema total MA'!I34*K33,0)</f>
        <v>0.25683933086980704</v>
      </c>
    </row>
    <row r="34" spans="1:14" ht="15.75" x14ac:dyDescent="0.2">
      <c r="A34" s="13" t="s">
        <v>427</v>
      </c>
      <c r="B34" s="235"/>
      <c r="C34" s="312"/>
      <c r="D34" s="170"/>
      <c r="E34" s="11"/>
      <c r="F34" s="311">
        <v>7202.9989999999998</v>
      </c>
      <c r="G34" s="312">
        <v>20100</v>
      </c>
      <c r="H34" s="170">
        <f t="shared" si="3"/>
        <v>179.1</v>
      </c>
      <c r="I34" s="11">
        <f>IFERROR(100/'Skjema total MA'!F34*G34,0)</f>
        <v>2.5706647016244446</v>
      </c>
      <c r="J34" s="235">
        <f t="shared" si="4"/>
        <v>7202.9989999999998</v>
      </c>
      <c r="K34" s="235">
        <f t="shared" si="4"/>
        <v>20100</v>
      </c>
      <c r="L34" s="426">
        <f t="shared" si="5"/>
        <v>179.1</v>
      </c>
      <c r="M34" s="24">
        <f>IFERROR(100/'Skjema total MA'!I34*K34,0)</f>
        <v>2.4760050601837511</v>
      </c>
    </row>
    <row r="35" spans="1:14" ht="15.75" x14ac:dyDescent="0.2">
      <c r="A35" s="13" t="s">
        <v>428</v>
      </c>
      <c r="B35" s="235"/>
      <c r="C35" s="312"/>
      <c r="D35" s="170"/>
      <c r="E35" s="11"/>
      <c r="F35" s="311">
        <v>14003.125</v>
      </c>
      <c r="G35" s="312">
        <v>337000.28779999999</v>
      </c>
      <c r="H35" s="170">
        <f t="shared" si="3"/>
        <v>999</v>
      </c>
      <c r="I35" s="11">
        <f>IFERROR(100/'Skjema total MA'!F35*G35,0)</f>
        <v>78.450418390934502</v>
      </c>
      <c r="J35" s="235">
        <f t="shared" si="4"/>
        <v>14003.125</v>
      </c>
      <c r="K35" s="235">
        <f t="shared" si="4"/>
        <v>337000.28779999999</v>
      </c>
      <c r="L35" s="426">
        <f t="shared" si="5"/>
        <v>999</v>
      </c>
      <c r="M35" s="24">
        <f>IFERROR(100/'Skjema total MA'!I35*K35,0)</f>
        <v>86.152883869785754</v>
      </c>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c r="C47" s="314"/>
      <c r="D47" s="425"/>
      <c r="E47" s="11"/>
      <c r="F47" s="144"/>
      <c r="G47" s="33"/>
      <c r="H47" s="158"/>
      <c r="I47" s="158"/>
      <c r="J47" s="37"/>
      <c r="K47" s="37"/>
      <c r="L47" s="158"/>
      <c r="M47" s="158"/>
      <c r="N47" s="147"/>
    </row>
    <row r="48" spans="1:14" s="3" customFormat="1" ht="15.75" x14ac:dyDescent="0.2">
      <c r="A48" s="38" t="s">
        <v>437</v>
      </c>
      <c r="B48" s="284"/>
      <c r="C48" s="285"/>
      <c r="D48" s="258"/>
      <c r="E48" s="27"/>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v>760625.92099999997</v>
      </c>
      <c r="G87" s="353">
        <v>21297</v>
      </c>
      <c r="H87" s="170">
        <f t="shared" ref="H87:H111" si="10">IF(F87=0, "    ---- ", IF(ABS(ROUND(100/F87*G87-100,1))&lt;999,ROUND(100/F87*G87-100,1),IF(ROUND(100/F87*G87-100,1)&gt;999,999,-999)))</f>
        <v>-97.2</v>
      </c>
      <c r="I87" s="11">
        <f>IFERROR(100/'Skjema total MA'!F87*G87,0)</f>
        <v>4.8082013607094473E-3</v>
      </c>
      <c r="J87" s="312">
        <f t="shared" ref="J87:K111" si="11">SUM(B87,F87)</f>
        <v>760625.92099999997</v>
      </c>
      <c r="K87" s="235">
        <f t="shared" si="11"/>
        <v>21297</v>
      </c>
      <c r="L87" s="426">
        <f t="shared" ref="L87:L111" si="12">IF(J87=0, "    ---- ", IF(ABS(ROUND(100/J87*K87-100,1))&lt;999,ROUND(100/J87*K87-100,1),IF(ROUND(100/J87*K87-100,1)&gt;999,999,-999)))</f>
        <v>-97.2</v>
      </c>
      <c r="M87" s="11">
        <f>IFERROR(100/'Skjema total MA'!I87*K87,0)</f>
        <v>2.5316753083992243E-3</v>
      </c>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v>760625.92099999997</v>
      </c>
      <c r="G89" s="144">
        <v>21297</v>
      </c>
      <c r="H89" s="165">
        <f t="shared" si="10"/>
        <v>-97.2</v>
      </c>
      <c r="I89" s="27">
        <f>IFERROR(100/'Skjema total MA'!F89*G89,0)</f>
        <v>4.8684377948101619E-3</v>
      </c>
      <c r="J89" s="290">
        <f t="shared" si="11"/>
        <v>760625.92099999997</v>
      </c>
      <c r="K89" s="44">
        <f t="shared" si="11"/>
        <v>21297</v>
      </c>
      <c r="L89" s="258">
        <f t="shared" si="12"/>
        <v>-97.2</v>
      </c>
      <c r="M89" s="27">
        <f>IFERROR(100/'Skjema total MA'!I89*K89,0)</f>
        <v>4.8318731985729424E-3</v>
      </c>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v>760625.92099999997</v>
      </c>
      <c r="G93" s="284">
        <v>21297</v>
      </c>
      <c r="H93" s="165">
        <f t="shared" ref="H93:H94" si="13">IF(F93=0, "    ---- ", IF(ABS(ROUND(100/F93*G93-100,1))&lt;999,ROUND(100/F93*G93-100,1),IF(ROUND(100/F93*G93-100,1)&gt;999,999,-999)))</f>
        <v>-97.2</v>
      </c>
      <c r="I93" s="27">
        <f>IFERROR(100/'Skjema total MA'!F93*G93,0)</f>
        <v>4.8695682768800713E-3</v>
      </c>
      <c r="J93" s="290">
        <f t="shared" ref="J93:J94" si="14">SUM(B93,F93)</f>
        <v>760625.92099999997</v>
      </c>
      <c r="K93" s="44">
        <f t="shared" ref="K93:K94" si="15">SUM(C93,G93)</f>
        <v>21297</v>
      </c>
      <c r="L93" s="258">
        <f t="shared" ref="L93:L94" si="16">IF(J93=0, "    ---- ", IF(ABS(ROUND(100/J93*K93-100,1))&lt;999,ROUND(100/J93*K93-100,1),IF(ROUND(100/J93*K93-100,1)&gt;999,999,-999)))</f>
        <v>-97.2</v>
      </c>
      <c r="M93" s="27">
        <f>IFERROR(100/'Skjema total MA'!I93*K93,0)</f>
        <v>4.8329867614079211E-3</v>
      </c>
    </row>
    <row r="94" spans="1:13" x14ac:dyDescent="0.2">
      <c r="A94" s="299" t="s">
        <v>12</v>
      </c>
      <c r="B94" s="234"/>
      <c r="C94" s="292"/>
      <c r="D94" s="165"/>
      <c r="E94" s="416"/>
      <c r="F94" s="284">
        <v>760625.92099999997</v>
      </c>
      <c r="G94" s="284">
        <v>21297</v>
      </c>
      <c r="H94" s="165">
        <f t="shared" si="13"/>
        <v>-97.2</v>
      </c>
      <c r="I94" s="27">
        <f>IFERROR(100/'Skjema total MA'!F94*G94,0)</f>
        <v>99.495874215636832</v>
      </c>
      <c r="J94" s="290">
        <f t="shared" si="14"/>
        <v>760625.92099999997</v>
      </c>
      <c r="K94" s="44">
        <f t="shared" si="15"/>
        <v>21297</v>
      </c>
      <c r="L94" s="258">
        <f t="shared" si="16"/>
        <v>-97.2</v>
      </c>
      <c r="M94" s="27">
        <f>IFERROR(100/'Skjema total MA'!I94*K94,0)</f>
        <v>99.495874215636832</v>
      </c>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v>760625.92099999997</v>
      </c>
      <c r="G107" s="144">
        <v>18.986000000000001</v>
      </c>
      <c r="H107" s="165">
        <f t="shared" si="10"/>
        <v>-100</v>
      </c>
      <c r="I107" s="27">
        <f>IFERROR(100/'Skjema total MA'!F107*G107,0)</f>
        <v>1.0309616865021447E-2</v>
      </c>
      <c r="J107" s="290">
        <f t="shared" si="11"/>
        <v>760625.92099999997</v>
      </c>
      <c r="K107" s="44">
        <f t="shared" si="11"/>
        <v>18.986000000000001</v>
      </c>
      <c r="L107" s="258">
        <f t="shared" si="12"/>
        <v>-100</v>
      </c>
      <c r="M107" s="27">
        <f>IFERROR(100/'Skjema total MA'!I107*K107,0)</f>
        <v>4.1021266815499284E-4</v>
      </c>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v>561486.08799999999</v>
      </c>
      <c r="G109" s="233">
        <v>0</v>
      </c>
      <c r="H109" s="165">
        <f t="shared" si="10"/>
        <v>-100</v>
      </c>
      <c r="I109" s="27">
        <f>IFERROR(100/'Skjema total MA'!F109*G109,0)</f>
        <v>0</v>
      </c>
      <c r="J109" s="290">
        <f t="shared" si="11"/>
        <v>561486.08799999999</v>
      </c>
      <c r="K109" s="44">
        <f t="shared" si="11"/>
        <v>0</v>
      </c>
      <c r="L109" s="258">
        <f t="shared" si="12"/>
        <v>-100</v>
      </c>
      <c r="M109" s="27">
        <f>IFERROR(100/'Skjema total MA'!I109*K109,0)</f>
        <v>0</v>
      </c>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v>72665.77</v>
      </c>
      <c r="G111" s="158">
        <v>21297</v>
      </c>
      <c r="H111" s="170">
        <f t="shared" si="10"/>
        <v>-70.7</v>
      </c>
      <c r="I111" s="11">
        <f>IFERROR(100/'Skjema total MA'!F111*G111,0)</f>
        <v>5.2446691610546554E-2</v>
      </c>
      <c r="J111" s="312">
        <f t="shared" si="11"/>
        <v>72665.77</v>
      </c>
      <c r="K111" s="235">
        <f t="shared" si="11"/>
        <v>21297</v>
      </c>
      <c r="L111" s="426">
        <f t="shared" si="12"/>
        <v>-70.7</v>
      </c>
      <c r="M111" s="11">
        <f>IFERROR(100/'Skjema total MA'!I111*K111,0)</f>
        <v>5.1463806823503183E-2</v>
      </c>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v>72665.77</v>
      </c>
      <c r="G113" s="144">
        <v>21297</v>
      </c>
      <c r="H113" s="165">
        <f t="shared" ref="H113:H125" si="17">IF(F113=0, "    ---- ", IF(ABS(ROUND(100/F113*G113-100,1))&lt;999,ROUND(100/F113*G113-100,1),IF(ROUND(100/F113*G113-100,1)&gt;999,999,-999)))</f>
        <v>-70.7</v>
      </c>
      <c r="I113" s="27">
        <f>IFERROR(100/'Skjema total MA'!F113*G113,0)</f>
        <v>5.2453856545266977E-2</v>
      </c>
      <c r="J113" s="290">
        <f t="shared" ref="J113:K125" si="18">SUM(B113,F113)</f>
        <v>72665.77</v>
      </c>
      <c r="K113" s="44">
        <f t="shared" si="18"/>
        <v>21297</v>
      </c>
      <c r="L113" s="258">
        <f t="shared" ref="L113:L125" si="19">IF(J113=0, "    ---- ", IF(ABS(ROUND(100/J113*K113-100,1))&lt;999,ROUND(100/J113*K113-100,1),IF(ROUND(100/J113*K113-100,1)&gt;999,999,-999)))</f>
        <v>-70.7</v>
      </c>
      <c r="M113" s="27">
        <f>IFERROR(100/'Skjema total MA'!I113*K113,0)</f>
        <v>5.2453622756161576E-2</v>
      </c>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v>72665.77</v>
      </c>
      <c r="G117" s="233">
        <v>21297</v>
      </c>
      <c r="H117" s="165">
        <f t="shared" si="17"/>
        <v>-70.7</v>
      </c>
      <c r="I117" s="27">
        <f>IFERROR(100/'Skjema total MA'!F117*G117,0)</f>
        <v>9.2829202268527575E-2</v>
      </c>
      <c r="J117" s="290">
        <f t="shared" si="18"/>
        <v>72665.77</v>
      </c>
      <c r="K117" s="44">
        <f t="shared" si="18"/>
        <v>21297</v>
      </c>
      <c r="L117" s="258">
        <f t="shared" si="19"/>
        <v>-70.7</v>
      </c>
      <c r="M117" s="27">
        <f>IFERROR(100/'Skjema total MA'!I117*K117,0)</f>
        <v>9.282847005597894E-2</v>
      </c>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v>242738.31899999999</v>
      </c>
      <c r="G119" s="158">
        <v>336479.10541000002</v>
      </c>
      <c r="H119" s="170">
        <f t="shared" si="17"/>
        <v>38.6</v>
      </c>
      <c r="I119" s="11">
        <f>IFERROR(100/'Skjema total MA'!F119*G119,0)</f>
        <v>0.78146902657376505</v>
      </c>
      <c r="J119" s="312">
        <f t="shared" si="18"/>
        <v>242738.31899999999</v>
      </c>
      <c r="K119" s="235">
        <f t="shared" si="18"/>
        <v>336479.10541000002</v>
      </c>
      <c r="L119" s="426">
        <f t="shared" si="19"/>
        <v>38.6</v>
      </c>
      <c r="M119" s="11">
        <f>IFERROR(100/'Skjema total MA'!I119*K119,0)</f>
        <v>0.77034929352751036</v>
      </c>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v>242738.31899999999</v>
      </c>
      <c r="G121" s="144">
        <v>336479.10541000002</v>
      </c>
      <c r="H121" s="165">
        <f t="shared" si="17"/>
        <v>38.6</v>
      </c>
      <c r="I121" s="27">
        <f>IFERROR(100/'Skjema total MA'!F121*G121,0)</f>
        <v>0.78146902657376505</v>
      </c>
      <c r="J121" s="290">
        <f t="shared" si="18"/>
        <v>242738.31899999999</v>
      </c>
      <c r="K121" s="44">
        <f t="shared" si="18"/>
        <v>336479.10541000002</v>
      </c>
      <c r="L121" s="258">
        <f t="shared" si="19"/>
        <v>38.6</v>
      </c>
      <c r="M121" s="27">
        <f>IFERROR(100/'Skjema total MA'!I121*K121,0)</f>
        <v>0.78132080931081382</v>
      </c>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v>242738.31899999999</v>
      </c>
      <c r="G125" s="233">
        <v>336479</v>
      </c>
      <c r="H125" s="165">
        <f t="shared" si="17"/>
        <v>38.6</v>
      </c>
      <c r="I125" s="27">
        <f>IFERROR(100/'Skjema total MA'!F125*G125,0)</f>
        <v>1.4988703919428303</v>
      </c>
      <c r="J125" s="290">
        <f t="shared" si="18"/>
        <v>242738.31899999999</v>
      </c>
      <c r="K125" s="44">
        <f t="shared" si="18"/>
        <v>336479</v>
      </c>
      <c r="L125" s="258">
        <f t="shared" si="19"/>
        <v>38.6</v>
      </c>
      <c r="M125" s="27">
        <f>IFERROR(100/'Skjema total MA'!I125*K125,0)</f>
        <v>1.4988128398942708</v>
      </c>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356" priority="132">
      <formula>kvartal &lt; 4</formula>
    </cfRule>
  </conditionalFormatting>
  <conditionalFormatting sqref="B69">
    <cfRule type="expression" dxfId="1355" priority="100">
      <formula>kvartal &lt; 4</formula>
    </cfRule>
  </conditionalFormatting>
  <conditionalFormatting sqref="C69">
    <cfRule type="expression" dxfId="1354" priority="99">
      <formula>kvartal &lt; 4</formula>
    </cfRule>
  </conditionalFormatting>
  <conditionalFormatting sqref="B72">
    <cfRule type="expression" dxfId="1353" priority="98">
      <formula>kvartal &lt; 4</formula>
    </cfRule>
  </conditionalFormatting>
  <conditionalFormatting sqref="C72">
    <cfRule type="expression" dxfId="1352" priority="97">
      <formula>kvartal &lt; 4</formula>
    </cfRule>
  </conditionalFormatting>
  <conditionalFormatting sqref="B80">
    <cfRule type="expression" dxfId="1351" priority="96">
      <formula>kvartal &lt; 4</formula>
    </cfRule>
  </conditionalFormatting>
  <conditionalFormatting sqref="C80">
    <cfRule type="expression" dxfId="1350" priority="95">
      <formula>kvartal &lt; 4</formula>
    </cfRule>
  </conditionalFormatting>
  <conditionalFormatting sqref="B83">
    <cfRule type="expression" dxfId="1349" priority="94">
      <formula>kvartal &lt; 4</formula>
    </cfRule>
  </conditionalFormatting>
  <conditionalFormatting sqref="C83">
    <cfRule type="expression" dxfId="1348" priority="93">
      <formula>kvartal &lt; 4</formula>
    </cfRule>
  </conditionalFormatting>
  <conditionalFormatting sqref="B90">
    <cfRule type="expression" dxfId="1347" priority="84">
      <formula>kvartal &lt; 4</formula>
    </cfRule>
  </conditionalFormatting>
  <conditionalFormatting sqref="C90">
    <cfRule type="expression" dxfId="1346" priority="83">
      <formula>kvartal &lt; 4</formula>
    </cfRule>
  </conditionalFormatting>
  <conditionalFormatting sqref="B93">
    <cfRule type="expression" dxfId="1345" priority="82">
      <formula>kvartal &lt; 4</formula>
    </cfRule>
  </conditionalFormatting>
  <conditionalFormatting sqref="C93">
    <cfRule type="expression" dxfId="1344" priority="81">
      <formula>kvartal &lt; 4</formula>
    </cfRule>
  </conditionalFormatting>
  <conditionalFormatting sqref="B101">
    <cfRule type="expression" dxfId="1343" priority="80">
      <formula>kvartal &lt; 4</formula>
    </cfRule>
  </conditionalFormatting>
  <conditionalFormatting sqref="C101">
    <cfRule type="expression" dxfId="1342" priority="79">
      <formula>kvartal &lt; 4</formula>
    </cfRule>
  </conditionalFormatting>
  <conditionalFormatting sqref="B104">
    <cfRule type="expression" dxfId="1341" priority="78">
      <formula>kvartal &lt; 4</formula>
    </cfRule>
  </conditionalFormatting>
  <conditionalFormatting sqref="C104">
    <cfRule type="expression" dxfId="1340" priority="77">
      <formula>kvartal &lt; 4</formula>
    </cfRule>
  </conditionalFormatting>
  <conditionalFormatting sqref="B115">
    <cfRule type="expression" dxfId="1339" priority="76">
      <formula>kvartal &lt; 4</formula>
    </cfRule>
  </conditionalFormatting>
  <conditionalFormatting sqref="C115">
    <cfRule type="expression" dxfId="1338" priority="75">
      <formula>kvartal &lt; 4</formula>
    </cfRule>
  </conditionalFormatting>
  <conditionalFormatting sqref="B123">
    <cfRule type="expression" dxfId="1337" priority="74">
      <formula>kvartal &lt; 4</formula>
    </cfRule>
  </conditionalFormatting>
  <conditionalFormatting sqref="C123">
    <cfRule type="expression" dxfId="1336" priority="73">
      <formula>kvartal &lt; 4</formula>
    </cfRule>
  </conditionalFormatting>
  <conditionalFormatting sqref="F70">
    <cfRule type="expression" dxfId="1335" priority="72">
      <formula>kvartal &lt; 4</formula>
    </cfRule>
  </conditionalFormatting>
  <conditionalFormatting sqref="G70">
    <cfRule type="expression" dxfId="1334" priority="71">
      <formula>kvartal &lt; 4</formula>
    </cfRule>
  </conditionalFormatting>
  <conditionalFormatting sqref="F71:G71">
    <cfRule type="expression" dxfId="1333" priority="70">
      <formula>kvartal &lt; 4</formula>
    </cfRule>
  </conditionalFormatting>
  <conditionalFormatting sqref="F73:G74">
    <cfRule type="expression" dxfId="1332" priority="69">
      <formula>kvartal &lt; 4</formula>
    </cfRule>
  </conditionalFormatting>
  <conditionalFormatting sqref="F81:G82">
    <cfRule type="expression" dxfId="1331" priority="68">
      <formula>kvartal &lt; 4</formula>
    </cfRule>
  </conditionalFormatting>
  <conditionalFormatting sqref="F84:G85">
    <cfRule type="expression" dxfId="1330" priority="67">
      <formula>kvartal &lt; 4</formula>
    </cfRule>
  </conditionalFormatting>
  <conditionalFormatting sqref="F91:G92">
    <cfRule type="expression" dxfId="1329" priority="62">
      <formula>kvartal &lt; 4</formula>
    </cfRule>
  </conditionalFormatting>
  <conditionalFormatting sqref="F94:G95">
    <cfRule type="expression" dxfId="1328" priority="61">
      <formula>kvartal &lt; 4</formula>
    </cfRule>
  </conditionalFormatting>
  <conditionalFormatting sqref="F102:G103">
    <cfRule type="expression" dxfId="1327" priority="60">
      <formula>kvartal &lt; 4</formula>
    </cfRule>
  </conditionalFormatting>
  <conditionalFormatting sqref="F105:G106">
    <cfRule type="expression" dxfId="1326" priority="59">
      <formula>kvartal &lt; 4</formula>
    </cfRule>
  </conditionalFormatting>
  <conditionalFormatting sqref="F115">
    <cfRule type="expression" dxfId="1325" priority="58">
      <formula>kvartal &lt; 4</formula>
    </cfRule>
  </conditionalFormatting>
  <conditionalFormatting sqref="G115">
    <cfRule type="expression" dxfId="1324" priority="57">
      <formula>kvartal &lt; 4</formula>
    </cfRule>
  </conditionalFormatting>
  <conditionalFormatting sqref="F123:G123">
    <cfRule type="expression" dxfId="1323" priority="56">
      <formula>kvartal &lt; 4</formula>
    </cfRule>
  </conditionalFormatting>
  <conditionalFormatting sqref="F69:G69">
    <cfRule type="expression" dxfId="1322" priority="55">
      <formula>kvartal &lt; 4</formula>
    </cfRule>
  </conditionalFormatting>
  <conditionalFormatting sqref="F72:G72">
    <cfRule type="expression" dxfId="1321" priority="54">
      <formula>kvartal &lt; 4</formula>
    </cfRule>
  </conditionalFormatting>
  <conditionalFormatting sqref="F80:G80">
    <cfRule type="expression" dxfId="1320" priority="53">
      <formula>kvartal &lt; 4</formula>
    </cfRule>
  </conditionalFormatting>
  <conditionalFormatting sqref="F83:G83">
    <cfRule type="expression" dxfId="1319" priority="52">
      <formula>kvartal &lt; 4</formula>
    </cfRule>
  </conditionalFormatting>
  <conditionalFormatting sqref="F90:G90">
    <cfRule type="expression" dxfId="1318" priority="46">
      <formula>kvartal &lt; 4</formula>
    </cfRule>
  </conditionalFormatting>
  <conditionalFormatting sqref="F93">
    <cfRule type="expression" dxfId="1317" priority="45">
      <formula>kvartal &lt; 4</formula>
    </cfRule>
  </conditionalFormatting>
  <conditionalFormatting sqref="G93">
    <cfRule type="expression" dxfId="1316" priority="44">
      <formula>kvartal &lt; 4</formula>
    </cfRule>
  </conditionalFormatting>
  <conditionalFormatting sqref="F101">
    <cfRule type="expression" dxfId="1315" priority="43">
      <formula>kvartal &lt; 4</formula>
    </cfRule>
  </conditionalFormatting>
  <conditionalFormatting sqref="G101">
    <cfRule type="expression" dxfId="1314" priority="42">
      <formula>kvartal &lt; 4</formula>
    </cfRule>
  </conditionalFormatting>
  <conditionalFormatting sqref="G104">
    <cfRule type="expression" dxfId="1313" priority="41">
      <formula>kvartal &lt; 4</formula>
    </cfRule>
  </conditionalFormatting>
  <conditionalFormatting sqref="F104">
    <cfRule type="expression" dxfId="1312" priority="40">
      <formula>kvartal &lt; 4</formula>
    </cfRule>
  </conditionalFormatting>
  <conditionalFormatting sqref="J69:K73">
    <cfRule type="expression" dxfId="1311" priority="39">
      <formula>kvartal &lt; 4</formula>
    </cfRule>
  </conditionalFormatting>
  <conditionalFormatting sqref="J74:K74">
    <cfRule type="expression" dxfId="1310" priority="38">
      <formula>kvartal &lt; 4</formula>
    </cfRule>
  </conditionalFormatting>
  <conditionalFormatting sqref="J80:K85">
    <cfRule type="expression" dxfId="1309" priority="37">
      <formula>kvartal &lt; 4</formula>
    </cfRule>
  </conditionalFormatting>
  <conditionalFormatting sqref="J90:K92 J95:K95">
    <cfRule type="expression" dxfId="1308" priority="34">
      <formula>kvartal &lt; 4</formula>
    </cfRule>
  </conditionalFormatting>
  <conditionalFormatting sqref="J101:K106">
    <cfRule type="expression" dxfId="1307" priority="33">
      <formula>kvartal &lt; 4</formula>
    </cfRule>
  </conditionalFormatting>
  <conditionalFormatting sqref="J115:K115">
    <cfRule type="expression" dxfId="1306" priority="32">
      <formula>kvartal &lt; 4</formula>
    </cfRule>
  </conditionalFormatting>
  <conditionalFormatting sqref="J123:K123">
    <cfRule type="expression" dxfId="1305" priority="31">
      <formula>kvartal &lt; 4</formula>
    </cfRule>
  </conditionalFormatting>
  <conditionalFormatting sqref="A50:A52">
    <cfRule type="expression" dxfId="1304" priority="12">
      <formula>kvartal &lt; 4</formula>
    </cfRule>
  </conditionalFormatting>
  <conditionalFormatting sqref="A69:A74">
    <cfRule type="expression" dxfId="1303" priority="10">
      <formula>kvartal &lt; 4</formula>
    </cfRule>
  </conditionalFormatting>
  <conditionalFormatting sqref="A80:A85">
    <cfRule type="expression" dxfId="1302" priority="9">
      <formula>kvartal &lt; 4</formula>
    </cfRule>
  </conditionalFormatting>
  <conditionalFormatting sqref="A90:A95">
    <cfRule type="expression" dxfId="1301" priority="6">
      <formula>kvartal &lt; 4</formula>
    </cfRule>
  </conditionalFormatting>
  <conditionalFormatting sqref="A101:A106">
    <cfRule type="expression" dxfId="1300" priority="5">
      <formula>kvartal &lt; 4</formula>
    </cfRule>
  </conditionalFormatting>
  <conditionalFormatting sqref="A115">
    <cfRule type="expression" dxfId="1299" priority="4">
      <formula>kvartal &lt; 4</formula>
    </cfRule>
  </conditionalFormatting>
  <conditionalFormatting sqref="A123">
    <cfRule type="expression" dxfId="1298" priority="3">
      <formula>kvartal &lt; 4</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475</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5386.0964000000004</v>
      </c>
      <c r="C7" s="310">
        <v>4678</v>
      </c>
      <c r="D7" s="351">
        <f>IF(B7=0, "    ---- ", IF(ABS(ROUND(100/B7*C7-100,1))&lt;999,ROUND(100/B7*C7-100,1),IF(ROUND(100/B7*C7-100,1)&gt;999,999,-999)))</f>
        <v>-13.1</v>
      </c>
      <c r="E7" s="11">
        <f>IFERROR(100/'Skjema total MA'!C7*C7,0)</f>
        <v>9.0844534164482169E-2</v>
      </c>
      <c r="F7" s="309">
        <v>649749.78677000001</v>
      </c>
      <c r="G7" s="310">
        <v>663170</v>
      </c>
      <c r="H7" s="351">
        <f>IF(F7=0, "    ---- ", IF(ABS(ROUND(100/F7*G7-100,1))&lt;999,ROUND(100/F7*G7-100,1),IF(ROUND(100/F7*G7-100,1)&gt;999,999,-999)))</f>
        <v>2.1</v>
      </c>
      <c r="I7" s="159">
        <f>IFERROR(100/'Skjema total MA'!F7*G7,0)</f>
        <v>7.1891053078496761</v>
      </c>
      <c r="J7" s="311">
        <f t="shared" ref="J7:K12" si="0">SUM(B7,F7)</f>
        <v>655135.88317000004</v>
      </c>
      <c r="K7" s="312">
        <f t="shared" si="0"/>
        <v>667848</v>
      </c>
      <c r="L7" s="425">
        <f>IF(J7=0, "    ---- ", IF(ABS(ROUND(100/J7*K7-100,1))&lt;999,ROUND(100/J7*K7-100,1),IF(ROUND(100/J7*K7-100,1)&gt;999,999,-999)))</f>
        <v>1.9</v>
      </c>
      <c r="M7" s="11">
        <f>IFERROR(100/'Skjema total MA'!I7*K7,0)</f>
        <v>4.646186952546997</v>
      </c>
    </row>
    <row r="8" spans="1:14" ht="15.75" x14ac:dyDescent="0.2">
      <c r="A8" s="21" t="s">
        <v>25</v>
      </c>
      <c r="B8" s="284">
        <v>5355.3471599998702</v>
      </c>
      <c r="C8" s="285">
        <v>4964.4956400000001</v>
      </c>
      <c r="D8" s="165">
        <f t="shared" ref="D8:D10" si="1">IF(B8=0, "    ---- ", IF(ABS(ROUND(100/B8*C8-100,1))&lt;999,ROUND(100/B8*C8-100,1),IF(ROUND(100/B8*C8-100,1)&gt;999,999,-999)))</f>
        <v>-7.3</v>
      </c>
      <c r="E8" s="27">
        <f>IFERROR(100/'Skjema total MA'!C8*C8,0)</f>
        <v>0.14854640196806848</v>
      </c>
      <c r="F8" s="288"/>
      <c r="G8" s="289"/>
      <c r="H8" s="165"/>
      <c r="I8" s="175"/>
      <c r="J8" s="233">
        <f t="shared" si="0"/>
        <v>5355.3471599998702</v>
      </c>
      <c r="K8" s="290">
        <f t="shared" si="0"/>
        <v>4964.4956400000001</v>
      </c>
      <c r="L8" s="165">
        <f t="shared" ref="L8:L9" si="2">IF(J8=0, "    ---- ", IF(ABS(ROUND(100/J8*K8-100,1))&lt;999,ROUND(100/J8*K8-100,1),IF(ROUND(100/J8*K8-100,1)&gt;999,999,-999)))</f>
        <v>-7.3</v>
      </c>
      <c r="M8" s="27">
        <f>IFERROR(100/'Skjema total MA'!I8*K8,0)</f>
        <v>0.14854640196806848</v>
      </c>
    </row>
    <row r="9" spans="1:14" ht="15.75" x14ac:dyDescent="0.2">
      <c r="A9" s="21" t="s">
        <v>24</v>
      </c>
      <c r="B9" s="284">
        <v>2175.96191</v>
      </c>
      <c r="C9" s="285">
        <v>1978.69706</v>
      </c>
      <c r="D9" s="165">
        <f t="shared" si="1"/>
        <v>-9.1</v>
      </c>
      <c r="E9" s="27">
        <f>IFERROR(100/'Skjema total MA'!C9*C9,0)</f>
        <v>0.18530106746945774</v>
      </c>
      <c r="F9" s="288"/>
      <c r="G9" s="289"/>
      <c r="H9" s="165"/>
      <c r="I9" s="175"/>
      <c r="J9" s="233">
        <f t="shared" si="0"/>
        <v>2175.96191</v>
      </c>
      <c r="K9" s="290">
        <f t="shared" si="0"/>
        <v>1978.69706</v>
      </c>
      <c r="L9" s="165">
        <f t="shared" si="2"/>
        <v>-9.1</v>
      </c>
      <c r="M9" s="27">
        <f>IFERROR(100/'Skjema total MA'!I9*K9,0)</f>
        <v>0.18530106746945774</v>
      </c>
    </row>
    <row r="10" spans="1:14" ht="15.75" x14ac:dyDescent="0.2">
      <c r="A10" s="13" t="s">
        <v>426</v>
      </c>
      <c r="B10" s="313">
        <v>387456.75264000002</v>
      </c>
      <c r="C10" s="314">
        <v>343420</v>
      </c>
      <c r="D10" s="170">
        <f t="shared" si="1"/>
        <v>-11.4</v>
      </c>
      <c r="E10" s="11">
        <f>IFERROR(100/'Skjema total MA'!C10*C10,0)</f>
        <v>1.9681079146203764</v>
      </c>
      <c r="F10" s="313">
        <v>4293755.9707599999</v>
      </c>
      <c r="G10" s="314">
        <v>4218929</v>
      </c>
      <c r="H10" s="170">
        <f t="shared" ref="H10:H12" si="3">IF(F10=0, "    ---- ", IF(ABS(ROUND(100/F10*G10-100,1))&lt;999,ROUND(100/F10*G10-100,1),IF(ROUND(100/F10*G10-100,1)&gt;999,999,-999)))</f>
        <v>-1.7</v>
      </c>
      <c r="I10" s="159">
        <f>IFERROR(100/'Skjema total MA'!F10*G10,0)</f>
        <v>5.9601950218089756</v>
      </c>
      <c r="J10" s="311">
        <f t="shared" si="0"/>
        <v>4681212.7233999996</v>
      </c>
      <c r="K10" s="312">
        <f t="shared" si="0"/>
        <v>4562349</v>
      </c>
      <c r="L10" s="426">
        <f t="shared" ref="L10:L12" si="4">IF(J10=0, "    ---- ", IF(ABS(ROUND(100/J10*K10-100,1))&lt;999,ROUND(100/J10*K10-100,1),IF(ROUND(100/J10*K10-100,1)&gt;999,999,-999)))</f>
        <v>-2.5</v>
      </c>
      <c r="M10" s="11">
        <f>IFERROR(100/'Skjema total MA'!I10*K10,0)</f>
        <v>5.1707187254777764</v>
      </c>
    </row>
    <row r="11" spans="1:14" s="43" customFormat="1" ht="15.75" x14ac:dyDescent="0.2">
      <c r="A11" s="13" t="s">
        <v>427</v>
      </c>
      <c r="B11" s="313"/>
      <c r="C11" s="314"/>
      <c r="D11" s="170"/>
      <c r="E11" s="11"/>
      <c r="F11" s="313">
        <v>27660.105490000002</v>
      </c>
      <c r="G11" s="314">
        <v>49472</v>
      </c>
      <c r="H11" s="170">
        <f t="shared" si="3"/>
        <v>78.900000000000006</v>
      </c>
      <c r="I11" s="159">
        <f>IFERROR(100/'Skjema total MA'!F11*G11,0)</f>
        <v>3.6061590096944731</v>
      </c>
      <c r="J11" s="311">
        <f t="shared" si="0"/>
        <v>27660.105490000002</v>
      </c>
      <c r="K11" s="312">
        <f t="shared" si="0"/>
        <v>49472</v>
      </c>
      <c r="L11" s="426">
        <f t="shared" si="4"/>
        <v>78.900000000000006</v>
      </c>
      <c r="M11" s="11">
        <f>IFERROR(100/'Skjema total MA'!I11*K11,0)</f>
        <v>3.512832581735124</v>
      </c>
      <c r="N11" s="142"/>
    </row>
    <row r="12" spans="1:14" s="43" customFormat="1" ht="15.75" x14ac:dyDescent="0.2">
      <c r="A12" s="41" t="s">
        <v>428</v>
      </c>
      <c r="B12" s="315"/>
      <c r="C12" s="316"/>
      <c r="D12" s="168"/>
      <c r="E12" s="36"/>
      <c r="F12" s="315">
        <v>3354.8115400000002</v>
      </c>
      <c r="G12" s="316">
        <v>6489</v>
      </c>
      <c r="H12" s="168">
        <f t="shared" si="3"/>
        <v>93.4</v>
      </c>
      <c r="I12" s="168">
        <f>IFERROR(100/'Skjema total MA'!F12*G12,0)</f>
        <v>0.48267399857796212</v>
      </c>
      <c r="J12" s="317">
        <f t="shared" si="0"/>
        <v>3354.8115400000002</v>
      </c>
      <c r="K12" s="318">
        <f t="shared" si="0"/>
        <v>6489</v>
      </c>
      <c r="L12" s="427">
        <f t="shared" si="4"/>
        <v>93.4</v>
      </c>
      <c r="M12" s="36">
        <f>IFERROR(100/'Skjema total MA'!I12*K12,0)</f>
        <v>0.48162754731608498</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v>8425.4527699999999</v>
      </c>
      <c r="C22" s="313">
        <v>7897</v>
      </c>
      <c r="D22" s="351">
        <f t="shared" ref="D22:D35" si="5">IF(B22=0, "    ---- ", IF(ABS(ROUND(100/B22*C22-100,1))&lt;999,ROUND(100/B22*C22-100,1),IF(ROUND(100/B22*C22-100,1)&gt;999,999,-999)))</f>
        <v>-6.3</v>
      </c>
      <c r="E22" s="11">
        <f>IFERROR(100/'Skjema total MA'!C22*C22,0)</f>
        <v>0.36791291516912628</v>
      </c>
      <c r="F22" s="321">
        <v>425007.59876999998</v>
      </c>
      <c r="G22" s="321">
        <v>299599</v>
      </c>
      <c r="H22" s="351">
        <f t="shared" ref="H22:H35" si="6">IF(F22=0, "    ---- ", IF(ABS(ROUND(100/F22*G22-100,1))&lt;999,ROUND(100/F22*G22-100,1),IF(ROUND(100/F22*G22-100,1)&gt;999,999,-999)))</f>
        <v>-29.5</v>
      </c>
      <c r="I22" s="11">
        <f>IFERROR(100/'Skjema total MA'!F22*G22,0)</f>
        <v>29.247023864083101</v>
      </c>
      <c r="J22" s="319">
        <f t="shared" ref="J22:K35" si="7">SUM(B22,F22)</f>
        <v>433433.05153999996</v>
      </c>
      <c r="K22" s="319">
        <f t="shared" si="7"/>
        <v>307496</v>
      </c>
      <c r="L22" s="425">
        <f t="shared" ref="L22:L35" si="8">IF(J22=0, "    ---- ", IF(ABS(ROUND(100/J22*K22-100,1))&lt;999,ROUND(100/J22*K22-100,1),IF(ROUND(100/J22*K22-100,1)&gt;999,999,-999)))</f>
        <v>-29.1</v>
      </c>
      <c r="M22" s="24">
        <f>IFERROR(100/'Skjema total MA'!I22*K22,0)</f>
        <v>9.6977230361840618</v>
      </c>
    </row>
    <row r="23" spans="1:14" ht="15.75" x14ac:dyDescent="0.2">
      <c r="A23" s="723" t="s">
        <v>429</v>
      </c>
      <c r="B23" s="284">
        <v>8420.3688299999994</v>
      </c>
      <c r="C23" s="284">
        <v>7896.0466100000003</v>
      </c>
      <c r="D23" s="165">
        <f t="shared" si="5"/>
        <v>-6.2</v>
      </c>
      <c r="E23" s="11">
        <f>IFERROR(100/'Skjema total MA'!C23*C23,0)</f>
        <v>0.63180328286779142</v>
      </c>
      <c r="F23" s="293">
        <v>6586.43066</v>
      </c>
      <c r="G23" s="293">
        <v>6405</v>
      </c>
      <c r="H23" s="165">
        <f t="shared" si="6"/>
        <v>-2.8</v>
      </c>
      <c r="I23" s="416">
        <f>IFERROR(100/'Skjema total MA'!F23*G23,0)</f>
        <v>4.3098196297339628</v>
      </c>
      <c r="J23" s="293">
        <f t="shared" ref="J23:J26" si="9">SUM(B23,F23)</f>
        <v>15006.799489999999</v>
      </c>
      <c r="K23" s="293">
        <f t="shared" ref="K23:K26" si="10">SUM(C23,G23)</f>
        <v>14301.046610000001</v>
      </c>
      <c r="L23" s="165">
        <f t="shared" si="8"/>
        <v>-4.7</v>
      </c>
      <c r="M23" s="23">
        <f>IFERROR(100/'Skjema total MA'!I23*K23,0)</f>
        <v>1.022688497703143</v>
      </c>
    </row>
    <row r="24" spans="1:14" ht="15.75" x14ac:dyDescent="0.2">
      <c r="A24" s="723" t="s">
        <v>430</v>
      </c>
      <c r="B24" s="284">
        <v>5.0839400000000001</v>
      </c>
      <c r="C24" s="284">
        <v>0.95338999999999996</v>
      </c>
      <c r="D24" s="165">
        <f t="shared" si="5"/>
        <v>-81.2</v>
      </c>
      <c r="E24" s="11">
        <f>IFERROR(100/'Skjema total MA'!C24*C24,0)</f>
        <v>4.5354626805261629E-3</v>
      </c>
      <c r="F24" s="293">
        <v>-122.95415</v>
      </c>
      <c r="G24" s="293">
        <v>162</v>
      </c>
      <c r="H24" s="165">
        <f t="shared" si="6"/>
        <v>-231.8</v>
      </c>
      <c r="I24" s="416">
        <f>IFERROR(100/'Skjema total MA'!F24*G24,0)</f>
        <v>13.237662621008171</v>
      </c>
      <c r="J24" s="293">
        <f t="shared" si="9"/>
        <v>-117.87021</v>
      </c>
      <c r="K24" s="293">
        <f t="shared" si="10"/>
        <v>162.95339000000001</v>
      </c>
      <c r="L24" s="165">
        <f t="shared" si="8"/>
        <v>-238.2</v>
      </c>
      <c r="M24" s="23">
        <f>IFERROR(100/'Skjema total MA'!I24*K24,0)</f>
        <v>0.73255359173313872</v>
      </c>
    </row>
    <row r="25" spans="1:14" ht="15.75" x14ac:dyDescent="0.2">
      <c r="A25" s="723" t="s">
        <v>431</v>
      </c>
      <c r="B25" s="284"/>
      <c r="C25" s="284"/>
      <c r="D25" s="165"/>
      <c r="E25" s="11"/>
      <c r="F25" s="293">
        <v>6069.2559600000004</v>
      </c>
      <c r="G25" s="293">
        <v>7559</v>
      </c>
      <c r="H25" s="165">
        <f t="shared" si="6"/>
        <v>24.5</v>
      </c>
      <c r="I25" s="416">
        <f>IFERROR(100/'Skjema total MA'!F25*G25,0)</f>
        <v>40.931990393301376</v>
      </c>
      <c r="J25" s="293">
        <f t="shared" si="9"/>
        <v>6069.2559600000004</v>
      </c>
      <c r="K25" s="293">
        <f t="shared" si="10"/>
        <v>7559</v>
      </c>
      <c r="L25" s="165">
        <f t="shared" si="8"/>
        <v>24.5</v>
      </c>
      <c r="M25" s="23">
        <f>IFERROR(100/'Skjema total MA'!I25*K25,0)</f>
        <v>16.651900377202768</v>
      </c>
    </row>
    <row r="26" spans="1:14" ht="15.75" x14ac:dyDescent="0.2">
      <c r="A26" s="723" t="s">
        <v>432</v>
      </c>
      <c r="B26" s="284"/>
      <c r="C26" s="284"/>
      <c r="D26" s="165"/>
      <c r="E26" s="11"/>
      <c r="F26" s="293">
        <v>412474.86629999999</v>
      </c>
      <c r="G26" s="293">
        <v>285473</v>
      </c>
      <c r="H26" s="165">
        <f t="shared" si="6"/>
        <v>-30.8</v>
      </c>
      <c r="I26" s="416">
        <f>IFERROR(100/'Skjema total MA'!F26*G26,0)</f>
        <v>33.346953475153342</v>
      </c>
      <c r="J26" s="293">
        <f t="shared" si="9"/>
        <v>412474.86629999999</v>
      </c>
      <c r="K26" s="293">
        <f t="shared" si="10"/>
        <v>285473</v>
      </c>
      <c r="L26" s="165">
        <f t="shared" si="8"/>
        <v>-30.8</v>
      </c>
      <c r="M26" s="23">
        <f>IFERROR(100/'Skjema total MA'!I26*K26,0)</f>
        <v>33.346953475153342</v>
      </c>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v>2657265.1137399999</v>
      </c>
      <c r="C29" s="235">
        <v>2426787</v>
      </c>
      <c r="D29" s="170">
        <f t="shared" si="5"/>
        <v>-8.6999999999999993</v>
      </c>
      <c r="E29" s="11">
        <f>IFERROR(100/'Skjema total MA'!C29*C29,0)</f>
        <v>5.511153378906406</v>
      </c>
      <c r="F29" s="311">
        <v>3990952.8287</v>
      </c>
      <c r="G29" s="311">
        <v>3702524</v>
      </c>
      <c r="H29" s="170">
        <f t="shared" si="6"/>
        <v>-7.2</v>
      </c>
      <c r="I29" s="11">
        <f>IFERROR(100/'Skjema total MA'!F29*G29,0)</f>
        <v>15.7662949243868</v>
      </c>
      <c r="J29" s="235">
        <f t="shared" si="7"/>
        <v>6648217.9424399994</v>
      </c>
      <c r="K29" s="235">
        <f t="shared" si="7"/>
        <v>6129311</v>
      </c>
      <c r="L29" s="426">
        <f t="shared" si="8"/>
        <v>-7.8</v>
      </c>
      <c r="M29" s="24">
        <f>IFERROR(100/'Skjema total MA'!I29*K29,0)</f>
        <v>9.0780538587926962</v>
      </c>
      <c r="N29" s="147"/>
    </row>
    <row r="30" spans="1:14" s="3" customFormat="1" ht="15.75" x14ac:dyDescent="0.2">
      <c r="A30" s="723" t="s">
        <v>429</v>
      </c>
      <c r="B30" s="284">
        <v>1524451.8129740199</v>
      </c>
      <c r="C30" s="284">
        <v>1392228.3564114701</v>
      </c>
      <c r="D30" s="165">
        <f t="shared" si="5"/>
        <v>-8.6999999999999993</v>
      </c>
      <c r="E30" s="11">
        <f>IFERROR(100/'Skjema total MA'!C30*C30,0)</f>
        <v>10.976666834683567</v>
      </c>
      <c r="F30" s="293">
        <v>723163.10069999902</v>
      </c>
      <c r="G30" s="293">
        <v>578126</v>
      </c>
      <c r="H30" s="165">
        <f t="shared" si="6"/>
        <v>-20.100000000000001</v>
      </c>
      <c r="I30" s="416">
        <f>IFERROR(100/'Skjema total MA'!F30*G30,0)</f>
        <v>16.990692891374763</v>
      </c>
      <c r="J30" s="293">
        <f t="shared" ref="J30:J33" si="11">SUM(B30,F30)</f>
        <v>2247614.9136740188</v>
      </c>
      <c r="K30" s="293">
        <f t="shared" ref="K30:K33" si="12">SUM(C30,G30)</f>
        <v>1970354.3564114701</v>
      </c>
      <c r="L30" s="165">
        <f t="shared" si="8"/>
        <v>-12.3</v>
      </c>
      <c r="M30" s="23">
        <f>IFERROR(100/'Skjema total MA'!I30*K30,0)</f>
        <v>12.248778252473244</v>
      </c>
      <c r="N30" s="147"/>
    </row>
    <row r="31" spans="1:14" s="3" customFormat="1" ht="15.75" x14ac:dyDescent="0.2">
      <c r="A31" s="723" t="s">
        <v>430</v>
      </c>
      <c r="B31" s="284">
        <v>1132813.30076598</v>
      </c>
      <c r="C31" s="284">
        <v>1034558.64358853</v>
      </c>
      <c r="D31" s="165">
        <f t="shared" si="5"/>
        <v>-8.6999999999999993</v>
      </c>
      <c r="E31" s="11">
        <f>IFERROR(100/'Skjema total MA'!C31*C31,0)</f>
        <v>4.2231187825326257</v>
      </c>
      <c r="F31" s="293">
        <v>987500.15478999901</v>
      </c>
      <c r="G31" s="293">
        <v>777364</v>
      </c>
      <c r="H31" s="165">
        <f t="shared" si="6"/>
        <v>-21.3</v>
      </c>
      <c r="I31" s="416">
        <f>IFERROR(100/'Skjema total MA'!F31*G31,0)</f>
        <v>10.603014389294636</v>
      </c>
      <c r="J31" s="293">
        <f t="shared" si="11"/>
        <v>2120313.4555559792</v>
      </c>
      <c r="K31" s="293">
        <f t="shared" si="12"/>
        <v>1811922.6435885299</v>
      </c>
      <c r="L31" s="165">
        <f t="shared" si="8"/>
        <v>-14.5</v>
      </c>
      <c r="M31" s="23">
        <f>IFERROR(100/'Skjema total MA'!I31*K31,0)</f>
        <v>5.6926712572079854</v>
      </c>
      <c r="N31" s="147"/>
    </row>
    <row r="32" spans="1:14" ht="15.75" x14ac:dyDescent="0.2">
      <c r="A32" s="723" t="s">
        <v>431</v>
      </c>
      <c r="B32" s="284"/>
      <c r="C32" s="284"/>
      <c r="D32" s="165"/>
      <c r="E32" s="11"/>
      <c r="F32" s="293">
        <v>563142.37401999999</v>
      </c>
      <c r="G32" s="293">
        <v>533122</v>
      </c>
      <c r="H32" s="165">
        <f t="shared" si="6"/>
        <v>-5.3</v>
      </c>
      <c r="I32" s="416">
        <f>IFERROR(100/'Skjema total MA'!F32*G32,0)</f>
        <v>9.9798426144691597</v>
      </c>
      <c r="J32" s="293">
        <f t="shared" si="11"/>
        <v>563142.37401999999</v>
      </c>
      <c r="K32" s="293">
        <f t="shared" si="12"/>
        <v>533122</v>
      </c>
      <c r="L32" s="165">
        <f t="shared" si="8"/>
        <v>-5.3</v>
      </c>
      <c r="M32" s="23">
        <f>IFERROR(100/'Skjema total MA'!I32*K32,0)</f>
        <v>6.8564501380687153</v>
      </c>
    </row>
    <row r="33" spans="1:14" ht="15.75" x14ac:dyDescent="0.2">
      <c r="A33" s="723" t="s">
        <v>432</v>
      </c>
      <c r="B33" s="284"/>
      <c r="C33" s="284"/>
      <c r="D33" s="165"/>
      <c r="E33" s="11"/>
      <c r="F33" s="293">
        <v>1717147.1991900001</v>
      </c>
      <c r="G33" s="293">
        <v>1813912</v>
      </c>
      <c r="H33" s="165">
        <f t="shared" si="6"/>
        <v>5.6</v>
      </c>
      <c r="I33" s="416">
        <f>IFERROR(100/'Skjema total MA'!F33*G33,0)</f>
        <v>24.486967756261233</v>
      </c>
      <c r="J33" s="293">
        <f t="shared" si="11"/>
        <v>1717147.1991900001</v>
      </c>
      <c r="K33" s="293">
        <f t="shared" si="12"/>
        <v>1813912</v>
      </c>
      <c r="L33" s="165">
        <f t="shared" si="8"/>
        <v>5.6</v>
      </c>
      <c r="M33" s="23">
        <f>IFERROR(100/'Skjema total MA'!I33*K33,0)</f>
        <v>24.486967756261233</v>
      </c>
    </row>
    <row r="34" spans="1:14" ht="15.75" x14ac:dyDescent="0.2">
      <c r="A34" s="13" t="s">
        <v>427</v>
      </c>
      <c r="B34" s="235"/>
      <c r="C34" s="312"/>
      <c r="D34" s="170"/>
      <c r="E34" s="11"/>
      <c r="F34" s="311">
        <v>25915.372090000001</v>
      </c>
      <c r="G34" s="312">
        <v>43352</v>
      </c>
      <c r="H34" s="170">
        <f t="shared" si="6"/>
        <v>67.3</v>
      </c>
      <c r="I34" s="11">
        <f>IFERROR(100/'Skjema total MA'!F34*G34,0)</f>
        <v>5.5444505544688019</v>
      </c>
      <c r="J34" s="235">
        <f t="shared" si="7"/>
        <v>25915.372090000001</v>
      </c>
      <c r="K34" s="235">
        <f t="shared" si="7"/>
        <v>43352</v>
      </c>
      <c r="L34" s="426">
        <f t="shared" si="8"/>
        <v>67.3</v>
      </c>
      <c r="M34" s="24">
        <f>IFERROR(100/'Skjema total MA'!I34*K34,0)</f>
        <v>5.3402871327903476</v>
      </c>
    </row>
    <row r="35" spans="1:14" ht="15.75" x14ac:dyDescent="0.2">
      <c r="A35" s="13" t="s">
        <v>428</v>
      </c>
      <c r="B35" s="235">
        <v>135.08957000000001</v>
      </c>
      <c r="C35" s="312">
        <v>24</v>
      </c>
      <c r="D35" s="170">
        <f t="shared" si="5"/>
        <v>-82.2</v>
      </c>
      <c r="E35" s="11">
        <f>IFERROR(100/'Skjema total MA'!C35*C35,0)</f>
        <v>-6.2490830007726941E-2</v>
      </c>
      <c r="F35" s="311">
        <v>17118.424439999999</v>
      </c>
      <c r="G35" s="312">
        <v>10154</v>
      </c>
      <c r="H35" s="170">
        <f t="shared" si="6"/>
        <v>-40.700000000000003</v>
      </c>
      <c r="I35" s="11">
        <f>IFERROR(100/'Skjema total MA'!F35*G35,0)</f>
        <v>2.3637533176657097</v>
      </c>
      <c r="J35" s="235">
        <f t="shared" si="7"/>
        <v>17253.514009999999</v>
      </c>
      <c r="K35" s="235">
        <f t="shared" si="7"/>
        <v>10178</v>
      </c>
      <c r="L35" s="426">
        <f t="shared" si="8"/>
        <v>-41</v>
      </c>
      <c r="M35" s="24">
        <f>IFERROR(100/'Skjema total MA'!I35*K35,0)</f>
        <v>2.6019682586949986</v>
      </c>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c r="C47" s="314"/>
      <c r="D47" s="425"/>
      <c r="E47" s="11"/>
      <c r="F47" s="144"/>
      <c r="G47" s="33"/>
      <c r="H47" s="158"/>
      <c r="I47" s="158"/>
      <c r="J47" s="37"/>
      <c r="K47" s="37"/>
      <c r="L47" s="158"/>
      <c r="M47" s="158"/>
      <c r="N47" s="147"/>
    </row>
    <row r="48" spans="1:14" s="3" customFormat="1" ht="15.75" x14ac:dyDescent="0.2">
      <c r="A48" s="38" t="s">
        <v>437</v>
      </c>
      <c r="B48" s="284"/>
      <c r="C48" s="285"/>
      <c r="D48" s="258"/>
      <c r="E48" s="27"/>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v>786164.63916000002</v>
      </c>
      <c r="C66" s="354">
        <v>791042.72874000005</v>
      </c>
      <c r="D66" s="351">
        <f t="shared" ref="D66:D111" si="13">IF(B66=0, "    ---- ", IF(ABS(ROUND(100/B66*C66-100,1))&lt;999,ROUND(100/B66*C66-100,1),IF(ROUND(100/B66*C66-100,1)&gt;999,999,-999)))</f>
        <v>0.6</v>
      </c>
      <c r="E66" s="11">
        <f>IFERROR(100/'Skjema total MA'!C66*C66,0)</f>
        <v>10.161816422916402</v>
      </c>
      <c r="F66" s="353">
        <v>4480986.98379</v>
      </c>
      <c r="G66" s="353">
        <v>5334921.6937600002</v>
      </c>
      <c r="H66" s="351">
        <f t="shared" ref="H66:H111" si="14">IF(F66=0, "    ---- ", IF(ABS(ROUND(100/F66*G66-100,1))&lt;999,ROUND(100/F66*G66-100,1),IF(ROUND(100/F66*G66-100,1)&gt;999,999,-999)))</f>
        <v>19.100000000000001</v>
      </c>
      <c r="I66" s="11">
        <f>IFERROR(100/'Skjema total MA'!F66*G66,0)</f>
        <v>12.221938439719176</v>
      </c>
      <c r="J66" s="312">
        <f t="shared" ref="J66:K86" si="15">SUM(B66,F66)</f>
        <v>5267151.6229499998</v>
      </c>
      <c r="K66" s="319">
        <f t="shared" si="15"/>
        <v>6125964.4225000003</v>
      </c>
      <c r="L66" s="426">
        <f t="shared" ref="L66:L111" si="16">IF(J66=0, "    ---- ", IF(ABS(ROUND(100/J66*K66-100,1))&lt;999,ROUND(100/J66*K66-100,1),IF(ROUND(100/J66*K66-100,1)&gt;999,999,-999)))</f>
        <v>16.3</v>
      </c>
      <c r="M66" s="11">
        <f>IFERROR(100/'Skjema total MA'!I66*K66,0)</f>
        <v>11.91014699613093</v>
      </c>
    </row>
    <row r="67" spans="1:14" x14ac:dyDescent="0.2">
      <c r="A67" s="418" t="s">
        <v>9</v>
      </c>
      <c r="B67" s="44">
        <v>173998.1342</v>
      </c>
      <c r="C67" s="144">
        <v>138140</v>
      </c>
      <c r="D67" s="165">
        <f t="shared" si="13"/>
        <v>-20.6</v>
      </c>
      <c r="E67" s="27">
        <f>IFERROR(100/'Skjema total MA'!C67*C67,0)</f>
        <v>2.854323492220312</v>
      </c>
      <c r="F67" s="233"/>
      <c r="G67" s="144"/>
      <c r="H67" s="165"/>
      <c r="I67" s="27"/>
      <c r="J67" s="290">
        <f t="shared" si="15"/>
        <v>173998.1342</v>
      </c>
      <c r="K67" s="44">
        <f t="shared" si="15"/>
        <v>138140</v>
      </c>
      <c r="L67" s="258">
        <f t="shared" si="16"/>
        <v>-20.6</v>
      </c>
      <c r="M67" s="27">
        <f>IFERROR(100/'Skjema total MA'!I67*K67,0)</f>
        <v>2.854323492220312</v>
      </c>
    </row>
    <row r="68" spans="1:14" x14ac:dyDescent="0.2">
      <c r="A68" s="21" t="s">
        <v>10</v>
      </c>
      <c r="B68" s="295">
        <v>34856.668400000002</v>
      </c>
      <c r="C68" s="296">
        <v>39168.216160000004</v>
      </c>
      <c r="D68" s="165">
        <f t="shared" si="13"/>
        <v>12.4</v>
      </c>
      <c r="E68" s="27">
        <f>IFERROR(100/'Skjema total MA'!C68*C68,0)</f>
        <v>87.125250978862624</v>
      </c>
      <c r="F68" s="295">
        <v>4163733.4497799999</v>
      </c>
      <c r="G68" s="296">
        <v>5002718.8186900001</v>
      </c>
      <c r="H68" s="165">
        <f t="shared" si="14"/>
        <v>20.100000000000001</v>
      </c>
      <c r="I68" s="27">
        <f>IFERROR(100/'Skjema total MA'!F68*G68,0)</f>
        <v>11.903616769449341</v>
      </c>
      <c r="J68" s="290">
        <f t="shared" si="15"/>
        <v>4198590.1181800002</v>
      </c>
      <c r="K68" s="44">
        <f t="shared" si="15"/>
        <v>5041887.0348500004</v>
      </c>
      <c r="L68" s="258">
        <f t="shared" si="16"/>
        <v>20.100000000000001</v>
      </c>
      <c r="M68" s="27">
        <f>IFERROR(100/'Skjema total MA'!I68*K68,0)</f>
        <v>11.983995481083925</v>
      </c>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v>34856.668400000002</v>
      </c>
      <c r="C72" s="284">
        <v>39168.216160000004</v>
      </c>
      <c r="D72" s="165">
        <f t="shared" ref="D72" si="17">IF(B72=0, "    ---- ", IF(ABS(ROUND(100/B72*C72-100,1))&lt;999,ROUND(100/B72*C72-100,1),IF(ROUND(100/B72*C72-100,1)&gt;999,999,-999)))</f>
        <v>12.4</v>
      </c>
      <c r="E72" s="27">
        <f>IFERROR(100/'Skjema total MA'!C72*C72,0)</f>
        <v>96.181539311898987</v>
      </c>
      <c r="F72" s="284">
        <v>4163733.4497799999</v>
      </c>
      <c r="G72" s="284">
        <v>5002718.8186900001</v>
      </c>
      <c r="H72" s="165">
        <f t="shared" si="14"/>
        <v>20.100000000000001</v>
      </c>
      <c r="I72" s="416">
        <f>IFERROR(100/'Skjema total MA'!F72*G72,0)</f>
        <v>11.904341787192449</v>
      </c>
      <c r="J72" s="290">
        <f t="shared" ref="J72" si="18">SUM(B72,F72)</f>
        <v>4198590.1181800002</v>
      </c>
      <c r="K72" s="44">
        <f t="shared" ref="K72" si="19">SUM(C72,G72)</f>
        <v>5041887.0348500004</v>
      </c>
      <c r="L72" s="258">
        <f t="shared" ref="L72" si="20">IF(J72=0, "    ---- ", IF(ABS(ROUND(100/J72*K72-100,1))&lt;999,ROUND(100/J72*K72-100,1),IF(ROUND(100/J72*K72-100,1)&gt;999,999,-999)))</f>
        <v>20.100000000000001</v>
      </c>
      <c r="M72" s="27">
        <f>IFERROR(100/'Skjema total MA'!I72*K72,0)</f>
        <v>11.985930635775157</v>
      </c>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v>4163733.4497799999</v>
      </c>
      <c r="G74" s="284">
        <v>5002718.8186900001</v>
      </c>
      <c r="H74" s="165">
        <f t="shared" si="14"/>
        <v>20.100000000000001</v>
      </c>
      <c r="I74" s="416">
        <f>IFERROR(100/'Skjema total MA'!F74*G74,0)</f>
        <v>11.904344896093768</v>
      </c>
      <c r="J74" s="290">
        <f t="shared" ref="J74" si="21">SUM(B74,F74)</f>
        <v>4163733.4497799999</v>
      </c>
      <c r="K74" s="44">
        <f t="shared" ref="K74" si="22">SUM(C74,G74)</f>
        <v>5002718.8186900001</v>
      </c>
      <c r="L74" s="258">
        <f t="shared" ref="L74" si="23">IF(J74=0, "    ---- ", IF(ABS(ROUND(100/J74*K74-100,1))&lt;999,ROUND(100/J74*K74-100,1),IF(ROUND(100/J74*K74-100,1)&gt;999,999,-999)))</f>
        <v>20.100000000000001</v>
      </c>
      <c r="M74" s="27">
        <f>IFERROR(100/'Skjema total MA'!I74*K74,0)</f>
        <v>11.904344896093768</v>
      </c>
      <c r="N74" s="147"/>
    </row>
    <row r="75" spans="1:14" s="3" customFormat="1" x14ac:dyDescent="0.2">
      <c r="A75" s="21" t="s">
        <v>335</v>
      </c>
      <c r="B75" s="233">
        <v>352940.30366999999</v>
      </c>
      <c r="C75" s="144">
        <v>357513.80408999999</v>
      </c>
      <c r="D75" s="165">
        <f t="shared" si="13"/>
        <v>1.3</v>
      </c>
      <c r="E75" s="27">
        <f>IFERROR(100/'Skjema total MA'!C75*C75,0)</f>
        <v>54.984816339381481</v>
      </c>
      <c r="F75" s="233">
        <v>317253.53401</v>
      </c>
      <c r="G75" s="144">
        <v>332202.87507000001</v>
      </c>
      <c r="H75" s="165">
        <f t="shared" si="14"/>
        <v>4.7</v>
      </c>
      <c r="I75" s="27">
        <f>IFERROR(100/'Skjema total MA'!F75*G75,0)</f>
        <v>20.462241404193477</v>
      </c>
      <c r="J75" s="290">
        <f t="shared" si="15"/>
        <v>670193.83768</v>
      </c>
      <c r="K75" s="44">
        <f t="shared" si="15"/>
        <v>689716.67916000006</v>
      </c>
      <c r="L75" s="258">
        <f t="shared" si="16"/>
        <v>2.9</v>
      </c>
      <c r="M75" s="27">
        <f>IFERROR(100/'Skjema total MA'!I75*K75,0)</f>
        <v>30.334594591983624</v>
      </c>
      <c r="N75" s="147"/>
    </row>
    <row r="76" spans="1:14" s="3" customFormat="1" x14ac:dyDescent="0.2">
      <c r="A76" s="21" t="s">
        <v>334</v>
      </c>
      <c r="B76" s="233">
        <v>224369.53289</v>
      </c>
      <c r="C76" s="144">
        <v>256220.70848999999</v>
      </c>
      <c r="D76" s="165">
        <f t="shared" ref="D76" si="24">IF(B76=0, "    ---- ", IF(ABS(ROUND(100/B76*C76-100,1))&lt;999,ROUND(100/B76*C76-100,1),IF(ROUND(100/B76*C76-100,1)&gt;999,999,-999)))</f>
        <v>14.2</v>
      </c>
      <c r="E76" s="27">
        <f>IFERROR(100/'Skjema total MA'!C77*C76,0)</f>
        <v>5.3432608249312779</v>
      </c>
      <c r="F76" s="233"/>
      <c r="G76" s="144"/>
      <c r="H76" s="165"/>
      <c r="I76" s="27"/>
      <c r="J76" s="290">
        <f t="shared" ref="J76" si="25">SUM(B76,F76)</f>
        <v>224369.53289</v>
      </c>
      <c r="K76" s="44">
        <f t="shared" ref="K76" si="26">SUM(C76,G76)</f>
        <v>256220.70848999999</v>
      </c>
      <c r="L76" s="258">
        <f t="shared" ref="L76" si="27">IF(J76=0, "    ---- ", IF(ABS(ROUND(100/J76*K76-100,1))&lt;999,ROUND(100/J76*K76-100,1),IF(ROUND(100/J76*K76-100,1)&gt;999,999,-999)))</f>
        <v>14.2</v>
      </c>
      <c r="M76" s="27">
        <f>IFERROR(100/'Skjema total MA'!I77*K76,0)</f>
        <v>0.54737819188435777</v>
      </c>
      <c r="N76" s="147"/>
    </row>
    <row r="77" spans="1:14" ht="15.75" x14ac:dyDescent="0.2">
      <c r="A77" s="21" t="s">
        <v>443</v>
      </c>
      <c r="B77" s="233">
        <v>208854.8026</v>
      </c>
      <c r="C77" s="233">
        <v>177308.21616000001</v>
      </c>
      <c r="D77" s="165">
        <f t="shared" si="13"/>
        <v>-15.1</v>
      </c>
      <c r="E77" s="27">
        <f>IFERROR(100/'Skjema total MA'!C77*C77,0)</f>
        <v>3.6976091859614506</v>
      </c>
      <c r="F77" s="233">
        <v>4153820.7397699999</v>
      </c>
      <c r="G77" s="144">
        <v>4991985.2061900003</v>
      </c>
      <c r="H77" s="165">
        <f t="shared" si="14"/>
        <v>20.2</v>
      </c>
      <c r="I77" s="27">
        <f>IFERROR(100/'Skjema total MA'!F77*G77,0)</f>
        <v>11.881858621145804</v>
      </c>
      <c r="J77" s="290">
        <f t="shared" si="15"/>
        <v>4362675.5423699999</v>
      </c>
      <c r="K77" s="44">
        <f t="shared" si="15"/>
        <v>5169293.4223500006</v>
      </c>
      <c r="L77" s="258">
        <f t="shared" si="16"/>
        <v>18.5</v>
      </c>
      <c r="M77" s="27">
        <f>IFERROR(100/'Skjema total MA'!I77*K77,0)</f>
        <v>11.043441818271615</v>
      </c>
    </row>
    <row r="78" spans="1:14" x14ac:dyDescent="0.2">
      <c r="A78" s="21" t="s">
        <v>9</v>
      </c>
      <c r="B78" s="233">
        <v>173998.1342</v>
      </c>
      <c r="C78" s="144">
        <v>138140</v>
      </c>
      <c r="D78" s="165">
        <f t="shared" si="13"/>
        <v>-20.6</v>
      </c>
      <c r="E78" s="27">
        <f>IFERROR(100/'Skjema total MA'!C78*C78,0)</f>
        <v>2.9064833818217353</v>
      </c>
      <c r="F78" s="233"/>
      <c r="G78" s="144"/>
      <c r="H78" s="165"/>
      <c r="I78" s="27"/>
      <c r="J78" s="290">
        <f t="shared" si="15"/>
        <v>173998.1342</v>
      </c>
      <c r="K78" s="44">
        <f t="shared" si="15"/>
        <v>138140</v>
      </c>
      <c r="L78" s="258">
        <f t="shared" si="16"/>
        <v>-20.6</v>
      </c>
      <c r="M78" s="27">
        <f>IFERROR(100/'Skjema total MA'!I78*K78,0)</f>
        <v>2.9064833818217353</v>
      </c>
    </row>
    <row r="79" spans="1:14" x14ac:dyDescent="0.2">
      <c r="A79" s="38" t="s">
        <v>473</v>
      </c>
      <c r="B79" s="295">
        <v>34856.668400000002</v>
      </c>
      <c r="C79" s="296">
        <v>39168.216160000004</v>
      </c>
      <c r="D79" s="165">
        <f t="shared" si="13"/>
        <v>12.4</v>
      </c>
      <c r="E79" s="27">
        <f>IFERROR(100/'Skjema total MA'!C79*C79,0)</f>
        <v>92.400052682837327</v>
      </c>
      <c r="F79" s="295">
        <v>4153820.7397699999</v>
      </c>
      <c r="G79" s="296">
        <v>4991985.2061900003</v>
      </c>
      <c r="H79" s="165">
        <f t="shared" si="14"/>
        <v>20.2</v>
      </c>
      <c r="I79" s="27">
        <f>IFERROR(100/'Skjema total MA'!F79*G79,0)</f>
        <v>11.881858621145804</v>
      </c>
      <c r="J79" s="290">
        <f t="shared" si="15"/>
        <v>4188677.4081699997</v>
      </c>
      <c r="K79" s="44">
        <f t="shared" si="15"/>
        <v>5031153.4223500006</v>
      </c>
      <c r="L79" s="258">
        <f t="shared" si="16"/>
        <v>20.100000000000001</v>
      </c>
      <c r="M79" s="27">
        <f>IFERROR(100/'Skjema total MA'!I79*K79,0)</f>
        <v>11.963016133576689</v>
      </c>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v>34856.668400000002</v>
      </c>
      <c r="C83" s="284">
        <v>39168.216160000004</v>
      </c>
      <c r="D83" s="165">
        <f t="shared" ref="D83" si="28">IF(B83=0, "    ---- ", IF(ABS(ROUND(100/B83*C83-100,1))&lt;999,ROUND(100/B83*C83-100,1),IF(ROUND(100/B83*C83-100,1)&gt;999,999,-999)))</f>
        <v>12.4</v>
      </c>
      <c r="E83" s="27">
        <f>IFERROR(100/'Skjema total MA'!C83*C83,0)</f>
        <v>92.400052682837327</v>
      </c>
      <c r="F83" s="284">
        <v>4153820.7397699999</v>
      </c>
      <c r="G83" s="284">
        <v>4991985.2061900003</v>
      </c>
      <c r="H83" s="165">
        <f t="shared" si="14"/>
        <v>20.2</v>
      </c>
      <c r="I83" s="416">
        <f>IFERROR(100/'Skjema total MA'!F83*G83,0)</f>
        <v>11.881858621145804</v>
      </c>
      <c r="J83" s="290">
        <f t="shared" ref="J83" si="29">SUM(B83,F83)</f>
        <v>4188677.4081699997</v>
      </c>
      <c r="K83" s="44">
        <f t="shared" ref="K83" si="30">SUM(C83,G83)</f>
        <v>5031153.4223500006</v>
      </c>
      <c r="L83" s="258">
        <f t="shared" ref="L83" si="31">IF(J83=0, "    ---- ", IF(ABS(ROUND(100/J83*K83-100,1))&lt;999,ROUND(100/J83*K83-100,1),IF(ROUND(100/J83*K83-100,1)&gt;999,999,-999)))</f>
        <v>20.100000000000001</v>
      </c>
      <c r="M83" s="27">
        <f>IFERROR(100/'Skjema total MA'!I83*K83,0)</f>
        <v>11.963016133576689</v>
      </c>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v>4153820.7397699999</v>
      </c>
      <c r="G85" s="284">
        <v>4991985.2061900003</v>
      </c>
      <c r="H85" s="165">
        <f t="shared" si="14"/>
        <v>20.2</v>
      </c>
      <c r="I85" s="416">
        <f>IFERROR(100/'Skjema total MA'!F85*G85,0)</f>
        <v>11.88186172497438</v>
      </c>
      <c r="J85" s="290">
        <f t="shared" ref="J85" si="32">SUM(B85,F85)</f>
        <v>4153820.7397699999</v>
      </c>
      <c r="K85" s="44">
        <f t="shared" ref="K85" si="33">SUM(C85,G85)</f>
        <v>4991985.2061900003</v>
      </c>
      <c r="L85" s="258">
        <f t="shared" ref="L85" si="34">IF(J85=0, "    ---- ", IF(ABS(ROUND(100/J85*K85-100,1))&lt;999,ROUND(100/J85*K85-100,1),IF(ROUND(100/J85*K85-100,1)&gt;999,999,-999)))</f>
        <v>20.2</v>
      </c>
      <c r="M85" s="27">
        <f>IFERROR(100/'Skjema total MA'!I85*K85,0)</f>
        <v>11.88186172497438</v>
      </c>
    </row>
    <row r="86" spans="1:13" ht="15.75" x14ac:dyDescent="0.2">
      <c r="A86" s="21" t="s">
        <v>444</v>
      </c>
      <c r="B86" s="233"/>
      <c r="C86" s="144"/>
      <c r="D86" s="165"/>
      <c r="E86" s="27"/>
      <c r="F86" s="233">
        <v>9912.7100100000007</v>
      </c>
      <c r="G86" s="144">
        <v>10734</v>
      </c>
      <c r="H86" s="165">
        <f t="shared" si="14"/>
        <v>8.3000000000000007</v>
      </c>
      <c r="I86" s="27">
        <f>IFERROR(100/'Skjema total MA'!F86*G86,0)</f>
        <v>80.244666241545858</v>
      </c>
      <c r="J86" s="290">
        <f t="shared" si="15"/>
        <v>9912.7100100000007</v>
      </c>
      <c r="K86" s="44">
        <f t="shared" si="15"/>
        <v>10734</v>
      </c>
      <c r="L86" s="258">
        <f t="shared" si="16"/>
        <v>8.3000000000000007</v>
      </c>
      <c r="M86" s="27">
        <f>IFERROR(100/'Skjema total MA'!I86*K86,0)</f>
        <v>10.441991991204212</v>
      </c>
    </row>
    <row r="87" spans="1:13" ht="15.75" x14ac:dyDescent="0.2">
      <c r="A87" s="13" t="s">
        <v>426</v>
      </c>
      <c r="B87" s="354">
        <v>17665347.43048</v>
      </c>
      <c r="C87" s="354">
        <v>17671750</v>
      </c>
      <c r="D87" s="170">
        <f t="shared" si="13"/>
        <v>0</v>
      </c>
      <c r="E87" s="11">
        <f>IFERROR(100/'Skjema total MA'!C87*C87,0)</f>
        <v>4.4368950529208107</v>
      </c>
      <c r="F87" s="353">
        <v>47855546.707939997</v>
      </c>
      <c r="G87" s="353">
        <v>47458160</v>
      </c>
      <c r="H87" s="170">
        <f t="shared" si="14"/>
        <v>-0.8</v>
      </c>
      <c r="I87" s="11">
        <f>IFERROR(100/'Skjema total MA'!F87*G87,0)</f>
        <v>10.714579024687358</v>
      </c>
      <c r="J87" s="312">
        <f t="shared" ref="J87:K111" si="35">SUM(B87,F87)</f>
        <v>65520894.138420001</v>
      </c>
      <c r="K87" s="235">
        <f t="shared" si="35"/>
        <v>65129910</v>
      </c>
      <c r="L87" s="426">
        <f t="shared" si="16"/>
        <v>-0.6</v>
      </c>
      <c r="M87" s="11">
        <f>IFERROR(100/'Skjema total MA'!I87*K87,0)</f>
        <v>7.742301027621906</v>
      </c>
    </row>
    <row r="88" spans="1:13" x14ac:dyDescent="0.2">
      <c r="A88" s="21" t="s">
        <v>9</v>
      </c>
      <c r="B88" s="233">
        <v>12635526.333179999</v>
      </c>
      <c r="C88" s="144">
        <v>12214885</v>
      </c>
      <c r="D88" s="165">
        <f t="shared" si="13"/>
        <v>-3.3</v>
      </c>
      <c r="E88" s="27">
        <f>IFERROR(100/'Skjema total MA'!C88*C88,0)</f>
        <v>3.1922080754166697</v>
      </c>
      <c r="F88" s="233"/>
      <c r="G88" s="144"/>
      <c r="H88" s="165"/>
      <c r="I88" s="27"/>
      <c r="J88" s="290">
        <f t="shared" si="35"/>
        <v>12635526.333179999</v>
      </c>
      <c r="K88" s="44">
        <f t="shared" si="35"/>
        <v>12214885</v>
      </c>
      <c r="L88" s="258">
        <f t="shared" si="16"/>
        <v>-3.3</v>
      </c>
      <c r="M88" s="27">
        <f>IFERROR(100/'Skjema total MA'!I88*K88,0)</f>
        <v>3.1922080754166697</v>
      </c>
    </row>
    <row r="89" spans="1:13" x14ac:dyDescent="0.2">
      <c r="A89" s="21" t="s">
        <v>10</v>
      </c>
      <c r="B89" s="233">
        <v>1713829.27134</v>
      </c>
      <c r="C89" s="144">
        <v>1796861</v>
      </c>
      <c r="D89" s="165">
        <f t="shared" si="13"/>
        <v>4.8</v>
      </c>
      <c r="E89" s="27">
        <f>IFERROR(100/'Skjema total MA'!C89*C89,0)</f>
        <v>54.280073070570019</v>
      </c>
      <c r="F89" s="233">
        <v>46148186.99492</v>
      </c>
      <c r="G89" s="144">
        <v>45717629</v>
      </c>
      <c r="H89" s="165">
        <f t="shared" si="14"/>
        <v>-0.9</v>
      </c>
      <c r="I89" s="27">
        <f>IFERROR(100/'Skjema total MA'!F89*G89,0)</f>
        <v>10.450928906076401</v>
      </c>
      <c r="J89" s="290">
        <f t="shared" si="35"/>
        <v>47862016.266259998</v>
      </c>
      <c r="K89" s="44">
        <f t="shared" si="35"/>
        <v>47514490</v>
      </c>
      <c r="L89" s="258">
        <f t="shared" si="16"/>
        <v>-0.7</v>
      </c>
      <c r="M89" s="27">
        <f>IFERROR(100/'Skjema total MA'!I89*K89,0)</f>
        <v>10.780109441464154</v>
      </c>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v>1713829.27134</v>
      </c>
      <c r="C93" s="284">
        <v>1796861</v>
      </c>
      <c r="D93" s="165">
        <f t="shared" ref="D93" si="36">IF(B93=0, "    ---- ", IF(ABS(ROUND(100/B93*C93-100,1))&lt;999,ROUND(100/B93*C93-100,1),IF(ROUND(100/B93*C93-100,1)&gt;999,999,-999)))</f>
        <v>4.8</v>
      </c>
      <c r="E93" s="27">
        <f>IFERROR(100/'Skjema total MA'!C93*C93,0)</f>
        <v>54.280073070570019</v>
      </c>
      <c r="F93" s="284">
        <v>46148186.99492</v>
      </c>
      <c r="G93" s="284">
        <v>45717629</v>
      </c>
      <c r="H93" s="165">
        <f t="shared" si="14"/>
        <v>-0.9</v>
      </c>
      <c r="I93" s="416">
        <f>IFERROR(100/'Skjema total MA'!F93*G93,0)</f>
        <v>10.453355677915779</v>
      </c>
      <c r="J93" s="290">
        <f t="shared" ref="J93" si="37">SUM(B93,F93)</f>
        <v>47862016.266259998</v>
      </c>
      <c r="K93" s="44">
        <f t="shared" ref="K93" si="38">SUM(C93,G93)</f>
        <v>47514490</v>
      </c>
      <c r="L93" s="258">
        <f t="shared" ref="L93" si="39">IF(J93=0, "    ---- ", IF(ABS(ROUND(100/J93*K93-100,1))&lt;999,ROUND(100/J93*K93-100,1),IF(ROUND(100/J93*K93-100,1)&gt;999,999,-999)))</f>
        <v>-0.7</v>
      </c>
      <c r="M93" s="23">
        <f>IFERROR(100/'Skjema total MA'!I93*K93,0)</f>
        <v>10.782593846318687</v>
      </c>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v>46148186.99492</v>
      </c>
      <c r="G95" s="284">
        <v>45717629</v>
      </c>
      <c r="H95" s="165">
        <f t="shared" si="14"/>
        <v>-0.9</v>
      </c>
      <c r="I95" s="416">
        <f>IFERROR(100/'Skjema total MA'!F95*G95,0)</f>
        <v>10.453867315418856</v>
      </c>
      <c r="J95" s="290">
        <f t="shared" ref="J95" si="40">SUM(B95,F95)</f>
        <v>46148186.99492</v>
      </c>
      <c r="K95" s="44">
        <f t="shared" ref="K95" si="41">SUM(C95,G95)</f>
        <v>45717629</v>
      </c>
      <c r="L95" s="258">
        <f t="shared" ref="L95" si="42">IF(J95=0, "    ---- ", IF(ABS(ROUND(100/J95*K95-100,1))&lt;999,ROUND(100/J95*K95-100,1),IF(ROUND(100/J95*K95-100,1)&gt;999,999,-999)))</f>
        <v>-0.9</v>
      </c>
      <c r="M95" s="23">
        <f>IFERROR(100/'Skjema total MA'!I95*K95,0)</f>
        <v>10.453867315418856</v>
      </c>
    </row>
    <row r="96" spans="1:13" x14ac:dyDescent="0.2">
      <c r="A96" s="21" t="s">
        <v>333</v>
      </c>
      <c r="B96" s="233">
        <v>2138004.8590099998</v>
      </c>
      <c r="C96" s="144">
        <v>2409861</v>
      </c>
      <c r="D96" s="165">
        <f t="shared" si="13"/>
        <v>12.7</v>
      </c>
      <c r="E96" s="27">
        <f>IFERROR(100/'Skjema total MA'!C96*C96,0)</f>
        <v>63.958387331203639</v>
      </c>
      <c r="F96" s="233">
        <v>1707359.7130199999</v>
      </c>
      <c r="G96" s="144">
        <v>1740531</v>
      </c>
      <c r="H96" s="165">
        <f t="shared" si="14"/>
        <v>1.9</v>
      </c>
      <c r="I96" s="27">
        <f>IFERROR(100/'Skjema total MA'!F96*G96,0)</f>
        <v>31.759696950109049</v>
      </c>
      <c r="J96" s="290">
        <f t="shared" si="35"/>
        <v>3845364.5720299995</v>
      </c>
      <c r="K96" s="44">
        <f t="shared" si="35"/>
        <v>4150392</v>
      </c>
      <c r="L96" s="258">
        <f t="shared" si="16"/>
        <v>7.9</v>
      </c>
      <c r="M96" s="27">
        <f>IFERROR(100/'Skjema total MA'!I96*K96,0)</f>
        <v>44.877974989572529</v>
      </c>
    </row>
    <row r="97" spans="1:15" x14ac:dyDescent="0.2">
      <c r="A97" s="21" t="s">
        <v>332</v>
      </c>
      <c r="B97" s="233">
        <v>1177986.96695</v>
      </c>
      <c r="C97" s="144">
        <v>1250143</v>
      </c>
      <c r="D97" s="165">
        <f t="shared" ref="D97" si="43">IF(B97=0, "    ---- ", IF(ABS(ROUND(100/B97*C97-100,1))&lt;999,ROUND(100/B97*C97-100,1),IF(ROUND(100/B97*C97-100,1)&gt;999,999,-999)))</f>
        <v>6.1</v>
      </c>
      <c r="E97" s="27">
        <f>IFERROR(100/'Skjema total MA'!C98*C97,0)</f>
        <v>0.32768025456354216</v>
      </c>
      <c r="F97" s="233"/>
      <c r="G97" s="144"/>
      <c r="H97" s="165"/>
      <c r="I97" s="27"/>
      <c r="J97" s="290">
        <f t="shared" ref="J97" si="44">SUM(B97,F97)</f>
        <v>1177986.96695</v>
      </c>
      <c r="K97" s="44">
        <f t="shared" ref="K97" si="45">SUM(C97,G97)</f>
        <v>1250143</v>
      </c>
      <c r="L97" s="258">
        <f t="shared" ref="L97" si="46">IF(J97=0, "    ---- ", IF(ABS(ROUND(100/J97*K97-100,1))&lt;999,ROUND(100/J97*K97-100,1),IF(ROUND(100/J97*K97-100,1)&gt;999,999,-999)))</f>
        <v>6.1</v>
      </c>
      <c r="M97" s="27">
        <f>IFERROR(100/'Skjema total MA'!I98*K97,0)</f>
        <v>0.15268772542102693</v>
      </c>
    </row>
    <row r="98" spans="1:15" ht="15.75" x14ac:dyDescent="0.2">
      <c r="A98" s="21" t="s">
        <v>443</v>
      </c>
      <c r="B98" s="233">
        <v>14349355.604519999</v>
      </c>
      <c r="C98" s="233">
        <v>14011746</v>
      </c>
      <c r="D98" s="165">
        <f t="shared" si="13"/>
        <v>-2.4</v>
      </c>
      <c r="E98" s="27">
        <f>IFERROR(100/'Skjema total MA'!C98*C98,0)</f>
        <v>3.6726778425825635</v>
      </c>
      <c r="F98" s="295">
        <v>46062230.604510002</v>
      </c>
      <c r="G98" s="295">
        <v>45635142</v>
      </c>
      <c r="H98" s="165">
        <f t="shared" si="14"/>
        <v>-0.9</v>
      </c>
      <c r="I98" s="27">
        <f>IFERROR(100/'Skjema total MA'!F98*G98,0)</f>
        <v>10.436974025168247</v>
      </c>
      <c r="J98" s="290">
        <f t="shared" si="35"/>
        <v>60411586.209030002</v>
      </c>
      <c r="K98" s="44">
        <f t="shared" si="35"/>
        <v>59646888</v>
      </c>
      <c r="L98" s="258">
        <f t="shared" si="16"/>
        <v>-1.3</v>
      </c>
      <c r="M98" s="27">
        <f>IFERROR(100/'Skjema total MA'!I98*K98,0)</f>
        <v>7.2850447166146157</v>
      </c>
    </row>
    <row r="99" spans="1:15" x14ac:dyDescent="0.2">
      <c r="A99" s="21" t="s">
        <v>9</v>
      </c>
      <c r="B99" s="295">
        <v>12635526.333179999</v>
      </c>
      <c r="C99" s="296">
        <v>12214885</v>
      </c>
      <c r="D99" s="165">
        <f t="shared" si="13"/>
        <v>-3.3</v>
      </c>
      <c r="E99" s="27">
        <f>IFERROR(100/'Skjema total MA'!C99*C99,0)</f>
        <v>3.2297189753888444</v>
      </c>
      <c r="F99" s="233"/>
      <c r="G99" s="144"/>
      <c r="H99" s="165"/>
      <c r="I99" s="27"/>
      <c r="J99" s="290">
        <f t="shared" si="35"/>
        <v>12635526.333179999</v>
      </c>
      <c r="K99" s="44">
        <f t="shared" si="35"/>
        <v>12214885</v>
      </c>
      <c r="L99" s="258">
        <f t="shared" si="16"/>
        <v>-3.3</v>
      </c>
      <c r="M99" s="27">
        <f>IFERROR(100/'Skjema total MA'!I99*K99,0)</f>
        <v>3.2297189753888444</v>
      </c>
    </row>
    <row r="100" spans="1:15" x14ac:dyDescent="0.2">
      <c r="A100" s="38" t="s">
        <v>473</v>
      </c>
      <c r="B100" s="295">
        <v>1713829.27134</v>
      </c>
      <c r="C100" s="296">
        <v>1796861</v>
      </c>
      <c r="D100" s="165">
        <f t="shared" si="13"/>
        <v>4.8</v>
      </c>
      <c r="E100" s="27">
        <f>IFERROR(100/'Skjema total MA'!C100*C100,0)</f>
        <v>54.280079330317832</v>
      </c>
      <c r="F100" s="233">
        <v>46062230.604510002</v>
      </c>
      <c r="G100" s="233">
        <v>45635142</v>
      </c>
      <c r="H100" s="165">
        <f t="shared" si="14"/>
        <v>-0.9</v>
      </c>
      <c r="I100" s="27">
        <f>IFERROR(100/'Skjema total MA'!F100*G100,0)</f>
        <v>10.436974025168247</v>
      </c>
      <c r="J100" s="290">
        <f t="shared" si="35"/>
        <v>47776059.875849999</v>
      </c>
      <c r="K100" s="44">
        <f t="shared" si="35"/>
        <v>47432003</v>
      </c>
      <c r="L100" s="258">
        <f t="shared" si="16"/>
        <v>-0.7</v>
      </c>
      <c r="M100" s="27">
        <f>IFERROR(100/'Skjema total MA'!I100*K100,0)</f>
        <v>10.766412928239822</v>
      </c>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v>1713829.27134</v>
      </c>
      <c r="C104" s="284">
        <v>1796861</v>
      </c>
      <c r="D104" s="165">
        <f t="shared" ref="D104" si="47">IF(B104=0, "    ---- ", IF(ABS(ROUND(100/B104*C104-100,1))&lt;999,ROUND(100/B104*C104-100,1),IF(ROUND(100/B104*C104-100,1)&gt;999,999,-999)))</f>
        <v>4.8</v>
      </c>
      <c r="E104" s="27">
        <f>IFERROR(100/'Skjema total MA'!C104*C104,0)</f>
        <v>54.280079330317832</v>
      </c>
      <c r="F104" s="284">
        <v>46062230.604510002</v>
      </c>
      <c r="G104" s="284">
        <v>45635142</v>
      </c>
      <c r="H104" s="165">
        <f t="shared" si="14"/>
        <v>-0.9</v>
      </c>
      <c r="I104" s="416">
        <f>IFERROR(100/'Skjema total MA'!F104*G104,0)</f>
        <v>10.436974025168247</v>
      </c>
      <c r="J104" s="290">
        <f t="shared" ref="J104" si="48">SUM(B104,F104)</f>
        <v>47776059.875849999</v>
      </c>
      <c r="K104" s="44">
        <f t="shared" ref="K104" si="49">SUM(C104,G104)</f>
        <v>47432003</v>
      </c>
      <c r="L104" s="258">
        <f t="shared" ref="L104" si="50">IF(J104=0, "    ---- ", IF(ABS(ROUND(100/J104*K104-100,1))&lt;999,ROUND(100/J104*K104-100,1),IF(ROUND(100/J104*K104-100,1)&gt;999,999,-999)))</f>
        <v>-0.7</v>
      </c>
      <c r="M104" s="23">
        <f>IFERROR(100/'Skjema total MA'!I104*K104,0)</f>
        <v>10.766412928239822</v>
      </c>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v>46062230.604510002</v>
      </c>
      <c r="G106" s="284">
        <v>45635142</v>
      </c>
      <c r="H106" s="165">
        <f t="shared" si="14"/>
        <v>-0.9</v>
      </c>
      <c r="I106" s="416">
        <f>IFERROR(100/'Skjema total MA'!F106*G106,0)</f>
        <v>10.436976600909157</v>
      </c>
      <c r="J106" s="290">
        <f t="shared" ref="J106" si="51">SUM(B106,F106)</f>
        <v>46062230.604510002</v>
      </c>
      <c r="K106" s="44">
        <f t="shared" ref="K106" si="52">SUM(C106,G106)</f>
        <v>45635142</v>
      </c>
      <c r="L106" s="258">
        <f t="shared" ref="L106" si="53">IF(J106=0, "    ---- ", IF(ABS(ROUND(100/J106*K106-100,1))&lt;999,ROUND(100/J106*K106-100,1),IF(ROUND(100/J106*K106-100,1)&gt;999,999,-999)))</f>
        <v>-0.9</v>
      </c>
      <c r="M106" s="23">
        <f>IFERROR(100/'Skjema total MA'!I106*K106,0)</f>
        <v>10.436976600909157</v>
      </c>
    </row>
    <row r="107" spans="1:15" ht="15.75" x14ac:dyDescent="0.2">
      <c r="A107" s="21" t="s">
        <v>444</v>
      </c>
      <c r="B107" s="233"/>
      <c r="C107" s="144"/>
      <c r="D107" s="165"/>
      <c r="E107" s="27"/>
      <c r="F107" s="233">
        <v>85956.390409999905</v>
      </c>
      <c r="G107" s="144">
        <v>82487</v>
      </c>
      <c r="H107" s="165">
        <f t="shared" si="14"/>
        <v>-4</v>
      </c>
      <c r="I107" s="27">
        <f>IFERROR(100/'Skjema total MA'!F107*G107,0)</f>
        <v>44.791391885864542</v>
      </c>
      <c r="J107" s="290">
        <f t="shared" si="35"/>
        <v>85956.390409999905</v>
      </c>
      <c r="K107" s="44">
        <f t="shared" si="35"/>
        <v>82487</v>
      </c>
      <c r="L107" s="258">
        <f t="shared" si="16"/>
        <v>-4</v>
      </c>
      <c r="M107" s="27">
        <f>IFERROR(100/'Skjema total MA'!I107*K107,0)</f>
        <v>1.7822191276783363</v>
      </c>
    </row>
    <row r="108" spans="1:15" ht="15.75" x14ac:dyDescent="0.2">
      <c r="A108" s="21" t="s">
        <v>445</v>
      </c>
      <c r="B108" s="233">
        <v>9191678.7413400002</v>
      </c>
      <c r="C108" s="233">
        <v>9400925</v>
      </c>
      <c r="D108" s="165">
        <f t="shared" si="13"/>
        <v>2.2999999999999998</v>
      </c>
      <c r="E108" s="27">
        <f>IFERROR(100/'Skjema total MA'!C108*C108,0)</f>
        <v>2.8610288362741834</v>
      </c>
      <c r="F108" s="233"/>
      <c r="G108" s="233"/>
      <c r="H108" s="165"/>
      <c r="I108" s="27"/>
      <c r="J108" s="290">
        <f t="shared" si="35"/>
        <v>9191678.7413400002</v>
      </c>
      <c r="K108" s="44">
        <f t="shared" si="35"/>
        <v>9400925</v>
      </c>
      <c r="L108" s="258">
        <f t="shared" si="16"/>
        <v>2.2999999999999998</v>
      </c>
      <c r="M108" s="27">
        <f>IFERROR(100/'Skjema total MA'!I108*K108,0)</f>
        <v>2.7028513840052177</v>
      </c>
    </row>
    <row r="109" spans="1:15" ht="15.75" x14ac:dyDescent="0.2">
      <c r="A109" s="38" t="s">
        <v>481</v>
      </c>
      <c r="B109" s="233">
        <v>390124.84535000002</v>
      </c>
      <c r="C109" s="233">
        <v>399074</v>
      </c>
      <c r="D109" s="165">
        <f t="shared" si="13"/>
        <v>2.2999999999999998</v>
      </c>
      <c r="E109" s="27">
        <f>IFERROR(100/'Skjema total MA'!C109*C109,0)</f>
        <v>22.098271536382342</v>
      </c>
      <c r="F109" s="233">
        <v>17595765</v>
      </c>
      <c r="G109" s="233">
        <v>18444639.373890001</v>
      </c>
      <c r="H109" s="165">
        <f t="shared" si="14"/>
        <v>4.8</v>
      </c>
      <c r="I109" s="27">
        <f>IFERROR(100/'Skjema total MA'!F109*G109,0)</f>
        <v>11.553832110327987</v>
      </c>
      <c r="J109" s="290">
        <f t="shared" si="35"/>
        <v>17985889.845350001</v>
      </c>
      <c r="K109" s="44">
        <f t="shared" si="35"/>
        <v>18843713.373890001</v>
      </c>
      <c r="L109" s="258">
        <f t="shared" si="16"/>
        <v>4.8</v>
      </c>
      <c r="M109" s="27">
        <f>IFERROR(100/'Skjema total MA'!I109*K109,0)</f>
        <v>11.671779740195548</v>
      </c>
      <c r="O109" s="3"/>
    </row>
    <row r="110" spans="1:15" ht="15.75" x14ac:dyDescent="0.2">
      <c r="A110" s="21" t="s">
        <v>446</v>
      </c>
      <c r="B110" s="233">
        <v>548502.54885000002</v>
      </c>
      <c r="C110" s="233">
        <v>800790</v>
      </c>
      <c r="D110" s="165">
        <f t="shared" si="13"/>
        <v>46</v>
      </c>
      <c r="E110" s="27">
        <f>IFERROR(100/'Skjema total MA'!C110*C110,0)</f>
        <v>54.508944371606439</v>
      </c>
      <c r="F110" s="233"/>
      <c r="G110" s="233"/>
      <c r="H110" s="165"/>
      <c r="I110" s="27"/>
      <c r="J110" s="290">
        <f t="shared" si="35"/>
        <v>548502.54885000002</v>
      </c>
      <c r="K110" s="44">
        <f t="shared" si="35"/>
        <v>800790</v>
      </c>
      <c r="L110" s="258">
        <f t="shared" si="16"/>
        <v>46</v>
      </c>
      <c r="M110" s="27">
        <f>IFERROR(100/'Skjema total MA'!I110*K110,0)</f>
        <v>54.508944371606439</v>
      </c>
    </row>
    <row r="111" spans="1:15" ht="15.75" x14ac:dyDescent="0.2">
      <c r="A111" s="13" t="s">
        <v>427</v>
      </c>
      <c r="B111" s="311">
        <v>25894.019370000002</v>
      </c>
      <c r="C111" s="158">
        <v>43499</v>
      </c>
      <c r="D111" s="170">
        <f t="shared" si="13"/>
        <v>68</v>
      </c>
      <c r="E111" s="11">
        <f>IFERROR(100/'Skjema total MA'!C111*C111,0)</f>
        <v>5.6089069449919924</v>
      </c>
      <c r="F111" s="311">
        <v>10557784.981149999</v>
      </c>
      <c r="G111" s="158">
        <v>4517155</v>
      </c>
      <c r="H111" s="170">
        <f t="shared" si="14"/>
        <v>-57.2</v>
      </c>
      <c r="I111" s="11">
        <f>IFERROR(100/'Skjema total MA'!F111*G111,0)</f>
        <v>11.124094249990065</v>
      </c>
      <c r="J111" s="312">
        <f t="shared" si="35"/>
        <v>10583679.00052</v>
      </c>
      <c r="K111" s="235">
        <f t="shared" si="35"/>
        <v>4560654</v>
      </c>
      <c r="L111" s="426">
        <f t="shared" si="16"/>
        <v>-56.9</v>
      </c>
      <c r="M111" s="11">
        <f>IFERROR(100/'Skjema total MA'!I111*K111,0)</f>
        <v>11.020736086999911</v>
      </c>
    </row>
    <row r="112" spans="1:15" x14ac:dyDescent="0.2">
      <c r="A112" s="21" t="s">
        <v>9</v>
      </c>
      <c r="B112" s="233">
        <v>11598.147000000001</v>
      </c>
      <c r="C112" s="144">
        <v>31155</v>
      </c>
      <c r="D112" s="165">
        <f t="shared" ref="D112:D126" si="54">IF(B112=0, "    ---- ", IF(ABS(ROUND(100/B112*C112-100,1))&lt;999,ROUND(100/B112*C112-100,1),IF(ROUND(100/B112*C112-100,1)&gt;999,999,-999)))</f>
        <v>168.6</v>
      </c>
      <c r="E112" s="27">
        <f>IFERROR(100/'Skjema total MA'!C112*C112,0)</f>
        <v>6.4885772904400714</v>
      </c>
      <c r="F112" s="233"/>
      <c r="G112" s="144"/>
      <c r="H112" s="165"/>
      <c r="I112" s="27"/>
      <c r="J112" s="290">
        <f t="shared" ref="J112:K126" si="55">SUM(B112,F112)</f>
        <v>11598.147000000001</v>
      </c>
      <c r="K112" s="44">
        <f t="shared" si="55"/>
        <v>31155</v>
      </c>
      <c r="L112" s="258">
        <f t="shared" ref="L112:L126" si="56">IF(J112=0, "    ---- ", IF(ABS(ROUND(100/J112*K112-100,1))&lt;999,ROUND(100/J112*K112-100,1),IF(ROUND(100/J112*K112-100,1)&gt;999,999,-999)))</f>
        <v>168.6</v>
      </c>
      <c r="M112" s="27">
        <f>IFERROR(100/'Skjema total MA'!I112*K112,0)</f>
        <v>6.4285131521696908</v>
      </c>
    </row>
    <row r="113" spans="1:14" x14ac:dyDescent="0.2">
      <c r="A113" s="21" t="s">
        <v>10</v>
      </c>
      <c r="B113" s="233">
        <v>249.36847</v>
      </c>
      <c r="C113" s="144">
        <v>0</v>
      </c>
      <c r="D113" s="165">
        <f t="shared" si="54"/>
        <v>-100</v>
      </c>
      <c r="E113" s="27">
        <f>IFERROR(100/'Skjema total MA'!C113*C113,0)</f>
        <v>0</v>
      </c>
      <c r="F113" s="233">
        <v>10557784.981149999</v>
      </c>
      <c r="G113" s="144">
        <v>4517155</v>
      </c>
      <c r="H113" s="165">
        <f t="shared" ref="H113:H125" si="57">IF(F113=0, "    ---- ", IF(ABS(ROUND(100/F113*G113-100,1))&lt;999,ROUND(100/F113*G113-100,1),IF(ROUND(100/F113*G113-100,1)&gt;999,999,-999)))</f>
        <v>-57.2</v>
      </c>
      <c r="I113" s="27">
        <f>IFERROR(100/'Skjema total MA'!F113*G113,0)</f>
        <v>11.125613953267383</v>
      </c>
      <c r="J113" s="290">
        <f t="shared" si="55"/>
        <v>10558034.34962</v>
      </c>
      <c r="K113" s="44">
        <f t="shared" si="55"/>
        <v>4517155</v>
      </c>
      <c r="L113" s="258">
        <f t="shared" si="56"/>
        <v>-57.2</v>
      </c>
      <c r="M113" s="27">
        <f>IFERROR(100/'Skjema total MA'!I113*K113,0)</f>
        <v>11.125564365925202</v>
      </c>
    </row>
    <row r="114" spans="1:14" x14ac:dyDescent="0.2">
      <c r="A114" s="21" t="s">
        <v>26</v>
      </c>
      <c r="B114" s="233">
        <v>14046.5039</v>
      </c>
      <c r="C114" s="144">
        <v>12344</v>
      </c>
      <c r="D114" s="165">
        <f t="shared" si="54"/>
        <v>-12.1</v>
      </c>
      <c r="E114" s="27">
        <f>IFERROR(100/'Skjema total MA'!C114*C114,0)</f>
        <v>4.1815448311554757</v>
      </c>
      <c r="F114" s="233"/>
      <c r="G114" s="144"/>
      <c r="H114" s="165"/>
      <c r="I114" s="27"/>
      <c r="J114" s="290">
        <f t="shared" si="55"/>
        <v>14046.5039</v>
      </c>
      <c r="K114" s="44">
        <f t="shared" si="55"/>
        <v>12344</v>
      </c>
      <c r="L114" s="258">
        <f t="shared" si="56"/>
        <v>-12.1</v>
      </c>
      <c r="M114" s="27">
        <f>IFERROR(100/'Skjema total MA'!I114*K114,0)</f>
        <v>4.1665771345389171</v>
      </c>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v>11436.127860000001</v>
      </c>
      <c r="C116" s="233">
        <v>30847</v>
      </c>
      <c r="D116" s="165">
        <f t="shared" si="54"/>
        <v>169.7</v>
      </c>
      <c r="E116" s="27">
        <f>IFERROR(100/'Skjema total MA'!C116*C116,0)</f>
        <v>26.805424923728758</v>
      </c>
      <c r="F116" s="233"/>
      <c r="G116" s="233"/>
      <c r="H116" s="165"/>
      <c r="I116" s="27"/>
      <c r="J116" s="290">
        <f t="shared" si="55"/>
        <v>11436.127860000001</v>
      </c>
      <c r="K116" s="44">
        <f t="shared" si="55"/>
        <v>30847</v>
      </c>
      <c r="L116" s="258">
        <f t="shared" si="56"/>
        <v>169.7</v>
      </c>
      <c r="M116" s="27">
        <f>IFERROR(100/'Skjema total MA'!I116*K116,0)</f>
        <v>25.799637159095205</v>
      </c>
    </row>
    <row r="117" spans="1:14" ht="15.75" x14ac:dyDescent="0.2">
      <c r="A117" s="38" t="s">
        <v>481</v>
      </c>
      <c r="B117" s="233"/>
      <c r="C117" s="233"/>
      <c r="D117" s="165"/>
      <c r="E117" s="27"/>
      <c r="F117" s="233">
        <v>7283692</v>
      </c>
      <c r="G117" s="233">
        <v>2981091.8718099999</v>
      </c>
      <c r="H117" s="165">
        <f t="shared" si="57"/>
        <v>-59.1</v>
      </c>
      <c r="I117" s="27">
        <f>IFERROR(100/'Skjema total MA'!F117*G117,0)</f>
        <v>12.993960668137012</v>
      </c>
      <c r="J117" s="290">
        <f t="shared" si="55"/>
        <v>7283692</v>
      </c>
      <c r="K117" s="44">
        <f t="shared" si="55"/>
        <v>2981091.8718099999</v>
      </c>
      <c r="L117" s="258">
        <f t="shared" si="56"/>
        <v>-59.1</v>
      </c>
      <c r="M117" s="27">
        <f>IFERROR(100/'Skjema total MA'!I117*K117,0)</f>
        <v>12.993858175162549</v>
      </c>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v>30515.469949999999</v>
      </c>
      <c r="C119" s="158">
        <v>247629</v>
      </c>
      <c r="D119" s="170">
        <f t="shared" si="54"/>
        <v>711.5</v>
      </c>
      <c r="E119" s="11">
        <f>IFERROR(100/'Skjema total MA'!C119*C119,0)</f>
        <v>39.842676030600195</v>
      </c>
      <c r="F119" s="311">
        <v>8364702.05688</v>
      </c>
      <c r="G119" s="158">
        <v>5434276</v>
      </c>
      <c r="H119" s="170">
        <f t="shared" si="57"/>
        <v>-35</v>
      </c>
      <c r="I119" s="11">
        <f>IFERROR(100/'Skjema total MA'!F119*G119,0)</f>
        <v>12.621046322262847</v>
      </c>
      <c r="J119" s="312">
        <f t="shared" si="55"/>
        <v>8395217.5268300008</v>
      </c>
      <c r="K119" s="235">
        <f t="shared" si="55"/>
        <v>5681905</v>
      </c>
      <c r="L119" s="426">
        <f t="shared" si="56"/>
        <v>-32.299999999999997</v>
      </c>
      <c r="M119" s="11">
        <f>IFERROR(100/'Skjema total MA'!I119*K119,0)</f>
        <v>13.008390215811435</v>
      </c>
    </row>
    <row r="120" spans="1:14" x14ac:dyDescent="0.2">
      <c r="A120" s="21" t="s">
        <v>9</v>
      </c>
      <c r="B120" s="233">
        <v>49.346490000000003</v>
      </c>
      <c r="C120" s="144">
        <v>646</v>
      </c>
      <c r="D120" s="165">
        <f t="shared" si="54"/>
        <v>999</v>
      </c>
      <c r="E120" s="27">
        <f>IFERROR(100/'Skjema total MA'!C120*C120,0)</f>
        <v>0.29618615622220462</v>
      </c>
      <c r="F120" s="233"/>
      <c r="G120" s="144"/>
      <c r="H120" s="165"/>
      <c r="I120" s="27"/>
      <c r="J120" s="290">
        <f t="shared" si="55"/>
        <v>49.346490000000003</v>
      </c>
      <c r="K120" s="44">
        <f t="shared" si="55"/>
        <v>646</v>
      </c>
      <c r="L120" s="258">
        <f t="shared" si="56"/>
        <v>999</v>
      </c>
      <c r="M120" s="27">
        <f>IFERROR(100/'Skjema total MA'!I120*K120,0)</f>
        <v>0.29618615622220462</v>
      </c>
    </row>
    <row r="121" spans="1:14" x14ac:dyDescent="0.2">
      <c r="A121" s="21" t="s">
        <v>10</v>
      </c>
      <c r="B121" s="233">
        <v>13189.386109999999</v>
      </c>
      <c r="C121" s="144">
        <v>8168</v>
      </c>
      <c r="D121" s="165">
        <f t="shared" si="54"/>
        <v>-38.1</v>
      </c>
      <c r="E121" s="27">
        <f>IFERROR(100/'Skjema total MA'!C121*C121,0)</f>
        <v>100</v>
      </c>
      <c r="F121" s="233">
        <v>8364702.05688</v>
      </c>
      <c r="G121" s="144">
        <v>5434276</v>
      </c>
      <c r="H121" s="165">
        <f t="shared" si="57"/>
        <v>-35</v>
      </c>
      <c r="I121" s="27">
        <f>IFERROR(100/'Skjema total MA'!F121*G121,0)</f>
        <v>12.621046322262847</v>
      </c>
      <c r="J121" s="290">
        <f t="shared" si="55"/>
        <v>8377891.4429900004</v>
      </c>
      <c r="K121" s="44">
        <f t="shared" si="55"/>
        <v>5442444</v>
      </c>
      <c r="L121" s="258">
        <f t="shared" si="56"/>
        <v>-35</v>
      </c>
      <c r="M121" s="27">
        <f>IFERROR(100/'Skjema total MA'!I121*K121,0)</f>
        <v>12.637619044806241</v>
      </c>
    </row>
    <row r="122" spans="1:14" x14ac:dyDescent="0.2">
      <c r="A122" s="21" t="s">
        <v>26</v>
      </c>
      <c r="B122" s="233">
        <v>17276.737349999999</v>
      </c>
      <c r="C122" s="144">
        <v>238815</v>
      </c>
      <c r="D122" s="165">
        <f t="shared" si="54"/>
        <v>999</v>
      </c>
      <c r="E122" s="27">
        <f>IFERROR(100/'Skjema total MA'!C122*C122,0)</f>
        <v>60.422335770002782</v>
      </c>
      <c r="F122" s="233"/>
      <c r="G122" s="144"/>
      <c r="H122" s="165"/>
      <c r="I122" s="27"/>
      <c r="J122" s="290">
        <f t="shared" si="55"/>
        <v>17276.737349999999</v>
      </c>
      <c r="K122" s="44">
        <f t="shared" si="55"/>
        <v>238815</v>
      </c>
      <c r="L122" s="258">
        <f t="shared" si="56"/>
        <v>999</v>
      </c>
      <c r="M122" s="27">
        <f>IFERROR(100/'Skjema total MA'!I122*K122,0)</f>
        <v>60.422335770002782</v>
      </c>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v>2030.82609</v>
      </c>
      <c r="C125" s="233">
        <v>862</v>
      </c>
      <c r="D125" s="165">
        <f t="shared" si="54"/>
        <v>-57.6</v>
      </c>
      <c r="E125" s="27">
        <f>IFERROR(100/'Skjema total MA'!C125*C125,0)</f>
        <v>100</v>
      </c>
      <c r="F125" s="233">
        <v>5808062.0236400003</v>
      </c>
      <c r="G125" s="233">
        <v>2316891</v>
      </c>
      <c r="H125" s="165">
        <f t="shared" si="57"/>
        <v>-60.1</v>
      </c>
      <c r="I125" s="27">
        <f>IFERROR(100/'Skjema total MA'!F125*G125,0)</f>
        <v>10.320760942759627</v>
      </c>
      <c r="J125" s="290">
        <f t="shared" si="55"/>
        <v>5810092.8497299999</v>
      </c>
      <c r="K125" s="44">
        <f t="shared" si="55"/>
        <v>2317753</v>
      </c>
      <c r="L125" s="258">
        <f t="shared" si="56"/>
        <v>-60.1</v>
      </c>
      <c r="M125" s="27">
        <f>IFERROR(100/'Skjema total MA'!I125*K125,0)</f>
        <v>10.324204351842063</v>
      </c>
    </row>
    <row r="126" spans="1:14" ht="15.75" x14ac:dyDescent="0.2">
      <c r="A126" s="10" t="s">
        <v>446</v>
      </c>
      <c r="B126" s="45">
        <v>0</v>
      </c>
      <c r="C126" s="45">
        <v>121</v>
      </c>
      <c r="D126" s="166" t="str">
        <f t="shared" si="54"/>
        <v xml:space="preserve">    ---- </v>
      </c>
      <c r="E126" s="417">
        <f>IFERROR(100/'Skjema total MA'!C126*C126,0)</f>
        <v>100</v>
      </c>
      <c r="F126" s="45"/>
      <c r="G126" s="45"/>
      <c r="H126" s="166"/>
      <c r="I126" s="22"/>
      <c r="J126" s="291">
        <f t="shared" si="55"/>
        <v>0</v>
      </c>
      <c r="K126" s="45">
        <f t="shared" si="55"/>
        <v>121</v>
      </c>
      <c r="L126" s="259" t="str">
        <f t="shared" si="56"/>
        <v xml:space="preserve">    ---- </v>
      </c>
      <c r="M126" s="22">
        <f>IFERROR(100/'Skjema total MA'!I126*K126,0)</f>
        <v>100</v>
      </c>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97" priority="132">
      <formula>kvartal &lt; 4</formula>
    </cfRule>
  </conditionalFormatting>
  <conditionalFormatting sqref="B69">
    <cfRule type="expression" dxfId="1296" priority="100">
      <formula>kvartal &lt; 4</formula>
    </cfRule>
  </conditionalFormatting>
  <conditionalFormatting sqref="C69">
    <cfRule type="expression" dxfId="1295" priority="99">
      <formula>kvartal &lt; 4</formula>
    </cfRule>
  </conditionalFormatting>
  <conditionalFormatting sqref="B72">
    <cfRule type="expression" dxfId="1294" priority="98">
      <formula>kvartal &lt; 4</formula>
    </cfRule>
  </conditionalFormatting>
  <conditionalFormatting sqref="C72">
    <cfRule type="expression" dxfId="1293" priority="97">
      <formula>kvartal &lt; 4</formula>
    </cfRule>
  </conditionalFormatting>
  <conditionalFormatting sqref="B80">
    <cfRule type="expression" dxfId="1292" priority="96">
      <formula>kvartal &lt; 4</formula>
    </cfRule>
  </conditionalFormatting>
  <conditionalFormatting sqref="C80">
    <cfRule type="expression" dxfId="1291" priority="95">
      <formula>kvartal &lt; 4</formula>
    </cfRule>
  </conditionalFormatting>
  <conditionalFormatting sqref="B83">
    <cfRule type="expression" dxfId="1290" priority="94">
      <formula>kvartal &lt; 4</formula>
    </cfRule>
  </conditionalFormatting>
  <conditionalFormatting sqref="C83">
    <cfRule type="expression" dxfId="1289" priority="93">
      <formula>kvartal &lt; 4</formula>
    </cfRule>
  </conditionalFormatting>
  <conditionalFormatting sqref="B90">
    <cfRule type="expression" dxfId="1288" priority="84">
      <formula>kvartal &lt; 4</formula>
    </cfRule>
  </conditionalFormatting>
  <conditionalFormatting sqref="C90">
    <cfRule type="expression" dxfId="1287" priority="83">
      <formula>kvartal &lt; 4</formula>
    </cfRule>
  </conditionalFormatting>
  <conditionalFormatting sqref="B93">
    <cfRule type="expression" dxfId="1286" priority="82">
      <formula>kvartal &lt; 4</formula>
    </cfRule>
  </conditionalFormatting>
  <conditionalFormatting sqref="C93">
    <cfRule type="expression" dxfId="1285" priority="81">
      <formula>kvartal &lt; 4</formula>
    </cfRule>
  </conditionalFormatting>
  <conditionalFormatting sqref="B101">
    <cfRule type="expression" dxfId="1284" priority="80">
      <formula>kvartal &lt; 4</formula>
    </cfRule>
  </conditionalFormatting>
  <conditionalFormatting sqref="C101">
    <cfRule type="expression" dxfId="1283" priority="79">
      <formula>kvartal &lt; 4</formula>
    </cfRule>
  </conditionalFormatting>
  <conditionalFormatting sqref="B104">
    <cfRule type="expression" dxfId="1282" priority="78">
      <formula>kvartal &lt; 4</formula>
    </cfRule>
  </conditionalFormatting>
  <conditionalFormatting sqref="C104">
    <cfRule type="expression" dxfId="1281" priority="77">
      <formula>kvartal &lt; 4</formula>
    </cfRule>
  </conditionalFormatting>
  <conditionalFormatting sqref="B115">
    <cfRule type="expression" dxfId="1280" priority="76">
      <formula>kvartal &lt; 4</formula>
    </cfRule>
  </conditionalFormatting>
  <conditionalFormatting sqref="C115">
    <cfRule type="expression" dxfId="1279" priority="75">
      <formula>kvartal &lt; 4</formula>
    </cfRule>
  </conditionalFormatting>
  <conditionalFormatting sqref="B123">
    <cfRule type="expression" dxfId="1278" priority="74">
      <formula>kvartal &lt; 4</formula>
    </cfRule>
  </conditionalFormatting>
  <conditionalFormatting sqref="C123">
    <cfRule type="expression" dxfId="1277" priority="73">
      <formula>kvartal &lt; 4</formula>
    </cfRule>
  </conditionalFormatting>
  <conditionalFormatting sqref="F70">
    <cfRule type="expression" dxfId="1276" priority="72">
      <formula>kvartal &lt; 4</formula>
    </cfRule>
  </conditionalFormatting>
  <conditionalFormatting sqref="G70">
    <cfRule type="expression" dxfId="1275" priority="71">
      <formula>kvartal &lt; 4</formula>
    </cfRule>
  </conditionalFormatting>
  <conditionalFormatting sqref="F71:G71">
    <cfRule type="expression" dxfId="1274" priority="70">
      <formula>kvartal &lt; 4</formula>
    </cfRule>
  </conditionalFormatting>
  <conditionalFormatting sqref="F73:G74">
    <cfRule type="expression" dxfId="1273" priority="69">
      <formula>kvartal &lt; 4</formula>
    </cfRule>
  </conditionalFormatting>
  <conditionalFormatting sqref="F81:G82">
    <cfRule type="expression" dxfId="1272" priority="68">
      <formula>kvartal &lt; 4</formula>
    </cfRule>
  </conditionalFormatting>
  <conditionalFormatting sqref="F84:G85">
    <cfRule type="expression" dxfId="1271" priority="67">
      <formula>kvartal &lt; 4</formula>
    </cfRule>
  </conditionalFormatting>
  <conditionalFormatting sqref="F91:G92">
    <cfRule type="expression" dxfId="1270" priority="62">
      <formula>kvartal &lt; 4</formula>
    </cfRule>
  </conditionalFormatting>
  <conditionalFormatting sqref="F94:G95">
    <cfRule type="expression" dxfId="1269" priority="61">
      <formula>kvartal &lt; 4</formula>
    </cfRule>
  </conditionalFormatting>
  <conditionalFormatting sqref="F102:G103">
    <cfRule type="expression" dxfId="1268" priority="60">
      <formula>kvartal &lt; 4</formula>
    </cfRule>
  </conditionalFormatting>
  <conditionalFormatting sqref="F105:G106">
    <cfRule type="expression" dxfId="1267" priority="59">
      <formula>kvartal &lt; 4</formula>
    </cfRule>
  </conditionalFormatting>
  <conditionalFormatting sqref="F115">
    <cfRule type="expression" dxfId="1266" priority="58">
      <formula>kvartal &lt; 4</formula>
    </cfRule>
  </conditionalFormatting>
  <conditionalFormatting sqref="G115">
    <cfRule type="expression" dxfId="1265" priority="57">
      <formula>kvartal &lt; 4</formula>
    </cfRule>
  </conditionalFormatting>
  <conditionalFormatting sqref="F123:G123">
    <cfRule type="expression" dxfId="1264" priority="56">
      <formula>kvartal &lt; 4</formula>
    </cfRule>
  </conditionalFormatting>
  <conditionalFormatting sqref="F69:G69">
    <cfRule type="expression" dxfId="1263" priority="55">
      <formula>kvartal &lt; 4</formula>
    </cfRule>
  </conditionalFormatting>
  <conditionalFormatting sqref="F72:G72">
    <cfRule type="expression" dxfId="1262" priority="54">
      <formula>kvartal &lt; 4</formula>
    </cfRule>
  </conditionalFormatting>
  <conditionalFormatting sqref="F80:G80">
    <cfRule type="expression" dxfId="1261" priority="53">
      <formula>kvartal &lt; 4</formula>
    </cfRule>
  </conditionalFormatting>
  <conditionalFormatting sqref="F83:G83">
    <cfRule type="expression" dxfId="1260" priority="52">
      <formula>kvartal &lt; 4</formula>
    </cfRule>
  </conditionalFormatting>
  <conditionalFormatting sqref="F90:G90">
    <cfRule type="expression" dxfId="1259" priority="46">
      <formula>kvartal &lt; 4</formula>
    </cfRule>
  </conditionalFormatting>
  <conditionalFormatting sqref="F93">
    <cfRule type="expression" dxfId="1258" priority="45">
      <formula>kvartal &lt; 4</formula>
    </cfRule>
  </conditionalFormatting>
  <conditionalFormatting sqref="G93">
    <cfRule type="expression" dxfId="1257" priority="44">
      <formula>kvartal &lt; 4</formula>
    </cfRule>
  </conditionalFormatting>
  <conditionalFormatting sqref="F101">
    <cfRule type="expression" dxfId="1256" priority="43">
      <formula>kvartal &lt; 4</formula>
    </cfRule>
  </conditionalFormatting>
  <conditionalFormatting sqref="G101">
    <cfRule type="expression" dxfId="1255" priority="42">
      <formula>kvartal &lt; 4</formula>
    </cfRule>
  </conditionalFormatting>
  <conditionalFormatting sqref="G104">
    <cfRule type="expression" dxfId="1254" priority="41">
      <formula>kvartal &lt; 4</formula>
    </cfRule>
  </conditionalFormatting>
  <conditionalFormatting sqref="F104">
    <cfRule type="expression" dxfId="1253" priority="40">
      <formula>kvartal &lt; 4</formula>
    </cfRule>
  </conditionalFormatting>
  <conditionalFormatting sqref="J69:K71 J73:K73">
    <cfRule type="expression" dxfId="1252" priority="39">
      <formula>kvartal &lt; 4</formula>
    </cfRule>
  </conditionalFormatting>
  <conditionalFormatting sqref="J80:K82 J84:K84">
    <cfRule type="expression" dxfId="1251" priority="37">
      <formula>kvartal &lt; 4</formula>
    </cfRule>
  </conditionalFormatting>
  <conditionalFormatting sqref="J90:K92 J94:K94">
    <cfRule type="expression" dxfId="1250" priority="34">
      <formula>kvartal &lt; 4</formula>
    </cfRule>
  </conditionalFormatting>
  <conditionalFormatting sqref="J101:K103 J105:K105">
    <cfRule type="expression" dxfId="1249" priority="33">
      <formula>kvartal &lt; 4</formula>
    </cfRule>
  </conditionalFormatting>
  <conditionalFormatting sqref="J115:K115">
    <cfRule type="expression" dxfId="1248" priority="32">
      <formula>kvartal &lt; 4</formula>
    </cfRule>
  </conditionalFormatting>
  <conditionalFormatting sqref="J123:K123">
    <cfRule type="expression" dxfId="1247" priority="31">
      <formula>kvartal &lt; 4</formula>
    </cfRule>
  </conditionalFormatting>
  <conditionalFormatting sqref="A50:A52">
    <cfRule type="expression" dxfId="1246" priority="12">
      <formula>kvartal &lt; 4</formula>
    </cfRule>
  </conditionalFormatting>
  <conditionalFormatting sqref="A69:A74">
    <cfRule type="expression" dxfId="1245" priority="10">
      <formula>kvartal &lt; 4</formula>
    </cfRule>
  </conditionalFormatting>
  <conditionalFormatting sqref="A80:A85">
    <cfRule type="expression" dxfId="1244" priority="9">
      <formula>kvartal &lt; 4</formula>
    </cfRule>
  </conditionalFormatting>
  <conditionalFormatting sqref="A90:A95">
    <cfRule type="expression" dxfId="1243" priority="6">
      <formula>kvartal &lt; 4</formula>
    </cfRule>
  </conditionalFormatting>
  <conditionalFormatting sqref="A101:A106">
    <cfRule type="expression" dxfId="1242" priority="5">
      <formula>kvartal &lt; 4</formula>
    </cfRule>
  </conditionalFormatting>
  <conditionalFormatting sqref="A115">
    <cfRule type="expression" dxfId="1241" priority="4">
      <formula>kvartal &lt; 4</formula>
    </cfRule>
  </conditionalFormatting>
  <conditionalFormatting sqref="A123">
    <cfRule type="expression" dxfId="1240" priority="3">
      <formula>kvartal &lt; 4</formula>
    </cfRule>
  </conditionalFormatting>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93</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781497.89300000004</v>
      </c>
      <c r="C7" s="310">
        <v>849188.40295999998</v>
      </c>
      <c r="D7" s="351">
        <f>IF(B7=0, "    ---- ", IF(ABS(ROUND(100/B7*C7-100,1))&lt;999,ROUND(100/B7*C7-100,1),IF(ROUND(100/B7*C7-100,1)&gt;999,999,-999)))</f>
        <v>8.6999999999999993</v>
      </c>
      <c r="E7" s="11">
        <f>IFERROR(100/'Skjema total MA'!C7*C7,0)</f>
        <v>16.490834733813973</v>
      </c>
      <c r="F7" s="309">
        <v>1677692.3089999999</v>
      </c>
      <c r="G7" s="310">
        <v>1128837.3155400001</v>
      </c>
      <c r="H7" s="351">
        <f>IF(F7=0, "    ---- ", IF(ABS(ROUND(100/F7*G7-100,1))&lt;999,ROUND(100/F7*G7-100,1),IF(ROUND(100/F7*G7-100,1)&gt;999,999,-999)))</f>
        <v>-32.700000000000003</v>
      </c>
      <c r="I7" s="159">
        <f>IFERROR(100/'Skjema total MA'!F7*G7,0)</f>
        <v>12.237179511810536</v>
      </c>
      <c r="J7" s="311">
        <f t="shared" ref="J7:K12" si="0">SUM(B7,F7)</f>
        <v>2459190.202</v>
      </c>
      <c r="K7" s="312">
        <f t="shared" si="0"/>
        <v>1978025.7185</v>
      </c>
      <c r="L7" s="425">
        <f>IF(J7=0, "    ---- ", IF(ABS(ROUND(100/J7*K7-100,1))&lt;999,ROUND(100/J7*K7-100,1),IF(ROUND(100/J7*K7-100,1)&gt;999,999,-999)))</f>
        <v>-19.600000000000001</v>
      </c>
      <c r="M7" s="11">
        <f>IFERROR(100/'Skjema total MA'!I7*K7,0)</f>
        <v>13.761031380040215</v>
      </c>
    </row>
    <row r="8" spans="1:14" ht="15.75" x14ac:dyDescent="0.2">
      <c r="A8" s="21" t="s">
        <v>25</v>
      </c>
      <c r="B8" s="284">
        <v>356557.69900000002</v>
      </c>
      <c r="C8" s="285">
        <v>306045.67793000001</v>
      </c>
      <c r="D8" s="165">
        <f t="shared" ref="D8:D10" si="1">IF(B8=0, "    ---- ", IF(ABS(ROUND(100/B8*C8-100,1))&lt;999,ROUND(100/B8*C8-100,1),IF(ROUND(100/B8*C8-100,1)&gt;999,999,-999)))</f>
        <v>-14.2</v>
      </c>
      <c r="E8" s="27">
        <f>IFERROR(100/'Skjema total MA'!C8*C8,0)</f>
        <v>9.1574225442123272</v>
      </c>
      <c r="F8" s="288"/>
      <c r="G8" s="289"/>
      <c r="H8" s="165"/>
      <c r="I8" s="175"/>
      <c r="J8" s="233">
        <f t="shared" si="0"/>
        <v>356557.69900000002</v>
      </c>
      <c r="K8" s="290">
        <f t="shared" si="0"/>
        <v>306045.67793000001</v>
      </c>
      <c r="L8" s="165">
        <f t="shared" ref="L8:L9" si="2">IF(J8=0, "    ---- ", IF(ABS(ROUND(100/J8*K8-100,1))&lt;999,ROUND(100/J8*K8-100,1),IF(ROUND(100/J8*K8-100,1)&gt;999,999,-999)))</f>
        <v>-14.2</v>
      </c>
      <c r="M8" s="27">
        <f>IFERROR(100/'Skjema total MA'!I8*K8,0)</f>
        <v>9.1574225442123272</v>
      </c>
    </row>
    <row r="9" spans="1:14" ht="15.75" x14ac:dyDescent="0.2">
      <c r="A9" s="21" t="s">
        <v>24</v>
      </c>
      <c r="B9" s="284">
        <v>55439.631000000001</v>
      </c>
      <c r="C9" s="285">
        <v>83339.659849934993</v>
      </c>
      <c r="D9" s="165">
        <f t="shared" si="1"/>
        <v>50.3</v>
      </c>
      <c r="E9" s="27">
        <f>IFERROR(100/'Skjema total MA'!C9*C9,0)</f>
        <v>7.8045943691524267</v>
      </c>
      <c r="F9" s="288"/>
      <c r="G9" s="289"/>
      <c r="H9" s="165"/>
      <c r="I9" s="175"/>
      <c r="J9" s="233">
        <f t="shared" si="0"/>
        <v>55439.631000000001</v>
      </c>
      <c r="K9" s="290">
        <f t="shared" si="0"/>
        <v>83339.659849934993</v>
      </c>
      <c r="L9" s="165">
        <f t="shared" si="2"/>
        <v>50.3</v>
      </c>
      <c r="M9" s="27">
        <f>IFERROR(100/'Skjema total MA'!I9*K9,0)</f>
        <v>7.8045943691524267</v>
      </c>
    </row>
    <row r="10" spans="1:14" ht="15.75" x14ac:dyDescent="0.2">
      <c r="A10" s="13" t="s">
        <v>426</v>
      </c>
      <c r="B10" s="313">
        <v>4136361.9980000001</v>
      </c>
      <c r="C10" s="314">
        <v>4247831.8080900004</v>
      </c>
      <c r="D10" s="170">
        <f t="shared" si="1"/>
        <v>2.7</v>
      </c>
      <c r="E10" s="11">
        <f>IFERROR(100/'Skjema total MA'!C10*C10,0)</f>
        <v>24.343926974195192</v>
      </c>
      <c r="F10" s="313">
        <v>10991542.947000001</v>
      </c>
      <c r="G10" s="314">
        <v>10384436.47597</v>
      </c>
      <c r="H10" s="170">
        <f t="shared" ref="H10:H12" si="3">IF(F10=0, "    ---- ", IF(ABS(ROUND(100/F10*G10-100,1))&lt;999,ROUND(100/F10*G10-100,1),IF(ROUND(100/F10*G10-100,1)&gt;999,999,-999)))</f>
        <v>-5.5</v>
      </c>
      <c r="I10" s="159">
        <f>IFERROR(100/'Skjema total MA'!F10*G10,0)</f>
        <v>14.670374066112025</v>
      </c>
      <c r="J10" s="311">
        <f t="shared" si="0"/>
        <v>15127904.945</v>
      </c>
      <c r="K10" s="312">
        <f t="shared" si="0"/>
        <v>14632268.284060001</v>
      </c>
      <c r="L10" s="426">
        <f t="shared" ref="L10:L12" si="4">IF(J10=0, "    ---- ", IF(ABS(ROUND(100/J10*K10-100,1))&lt;999,ROUND(100/J10*K10-100,1),IF(ROUND(100/J10*K10-100,1)&gt;999,999,-999)))</f>
        <v>-3.3</v>
      </c>
      <c r="M10" s="11">
        <f>IFERROR(100/'Skjema total MA'!I10*K10,0)</f>
        <v>16.583418675906561</v>
      </c>
    </row>
    <row r="11" spans="1:14" s="43" customFormat="1" ht="15.75" x14ac:dyDescent="0.2">
      <c r="A11" s="13" t="s">
        <v>427</v>
      </c>
      <c r="B11" s="313"/>
      <c r="C11" s="314"/>
      <c r="D11" s="170"/>
      <c r="E11" s="11"/>
      <c r="F11" s="313">
        <v>13551.844999999999</v>
      </c>
      <c r="G11" s="314">
        <v>30203.943510000001</v>
      </c>
      <c r="H11" s="170">
        <f t="shared" si="3"/>
        <v>122.9</v>
      </c>
      <c r="I11" s="159">
        <f>IFERROR(100/'Skjema total MA'!F11*G11,0)</f>
        <v>2.2016539257941745</v>
      </c>
      <c r="J11" s="311">
        <f t="shared" si="0"/>
        <v>13551.844999999999</v>
      </c>
      <c r="K11" s="312">
        <f t="shared" si="0"/>
        <v>30203.943510000001</v>
      </c>
      <c r="L11" s="426">
        <f t="shared" si="4"/>
        <v>122.9</v>
      </c>
      <c r="M11" s="11">
        <f>IFERROR(100/'Skjema total MA'!I11*K11,0)</f>
        <v>2.144675712702441</v>
      </c>
      <c r="N11" s="142"/>
    </row>
    <row r="12" spans="1:14" s="43" customFormat="1" ht="15.75" x14ac:dyDescent="0.2">
      <c r="A12" s="41" t="s">
        <v>428</v>
      </c>
      <c r="B12" s="315"/>
      <c r="C12" s="316"/>
      <c r="D12" s="168"/>
      <c r="E12" s="36"/>
      <c r="F12" s="315">
        <v>30250.344000000001</v>
      </c>
      <c r="G12" s="316">
        <v>24649.74538</v>
      </c>
      <c r="H12" s="168">
        <f t="shared" si="3"/>
        <v>-18.5</v>
      </c>
      <c r="I12" s="168">
        <f>IFERROR(100/'Skjema total MA'!F12*G12,0)</f>
        <v>1.8335323110638386</v>
      </c>
      <c r="J12" s="317">
        <f t="shared" si="0"/>
        <v>30250.344000000001</v>
      </c>
      <c r="K12" s="318">
        <f t="shared" si="0"/>
        <v>24649.74538</v>
      </c>
      <c r="L12" s="427">
        <f t="shared" si="4"/>
        <v>-18.5</v>
      </c>
      <c r="M12" s="36">
        <f>IFERROR(100/'Skjema total MA'!I12*K12,0)</f>
        <v>1.8295571597064875</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v>7655.3639999999996</v>
      </c>
      <c r="C22" s="313">
        <v>6788.3105999999998</v>
      </c>
      <c r="D22" s="351">
        <f t="shared" ref="D22:D37" si="5">IF(B22=0, "    ---- ", IF(ABS(ROUND(100/B22*C22-100,1))&lt;999,ROUND(100/B22*C22-100,1),IF(ROUND(100/B22*C22-100,1)&gt;999,999,-999)))</f>
        <v>-11.3</v>
      </c>
      <c r="E22" s="11">
        <f>IFERROR(100/'Skjema total MA'!C22*C22,0)</f>
        <v>0.31626024337336717</v>
      </c>
      <c r="F22" s="321">
        <v>510839.83600000001</v>
      </c>
      <c r="G22" s="321">
        <v>300680.07704</v>
      </c>
      <c r="H22" s="351">
        <f t="shared" ref="H22:H35" si="6">IF(F22=0, "    ---- ", IF(ABS(ROUND(100/F22*G22-100,1))&lt;999,ROUND(100/F22*G22-100,1),IF(ROUND(100/F22*G22-100,1)&gt;999,999,-999)))</f>
        <v>-41.1</v>
      </c>
      <c r="I22" s="11">
        <f>IFERROR(100/'Skjema total MA'!F22*G22,0)</f>
        <v>29.352559216296534</v>
      </c>
      <c r="J22" s="319">
        <f t="shared" ref="J22:K35" si="7">SUM(B22,F22)</f>
        <v>518495.2</v>
      </c>
      <c r="K22" s="319">
        <f t="shared" si="7"/>
        <v>307468.38764000003</v>
      </c>
      <c r="L22" s="425">
        <f t="shared" ref="L22:L37" si="8">IF(J22=0, "    ---- ", IF(ABS(ROUND(100/J22*K22-100,1))&lt;999,ROUND(100/J22*K22-100,1),IF(ROUND(100/J22*K22-100,1)&gt;999,999,-999)))</f>
        <v>-40.700000000000003</v>
      </c>
      <c r="M22" s="24">
        <f>IFERROR(100/'Skjema total MA'!I22*K22,0)</f>
        <v>9.6968522052800665</v>
      </c>
    </row>
    <row r="23" spans="1:14" ht="15.75" x14ac:dyDescent="0.2">
      <c r="A23" s="723" t="s">
        <v>429</v>
      </c>
      <c r="B23" s="284">
        <v>1085.163</v>
      </c>
      <c r="C23" s="284">
        <v>945.85887738794304</v>
      </c>
      <c r="D23" s="165">
        <f t="shared" si="5"/>
        <v>-12.8</v>
      </c>
      <c r="E23" s="11">
        <f>IFERROR(100/'Skjema total MA'!C23*C23,0)</f>
        <v>7.5683031443420798E-2</v>
      </c>
      <c r="F23" s="293">
        <v>61397.754130000001</v>
      </c>
      <c r="G23" s="293">
        <v>72614.838710000098</v>
      </c>
      <c r="H23" s="165">
        <f t="shared" si="6"/>
        <v>18.3</v>
      </c>
      <c r="I23" s="416">
        <f>IFERROR(100/'Skjema total MA'!F23*G23,0)</f>
        <v>48.861336031588451</v>
      </c>
      <c r="J23" s="293">
        <f t="shared" ref="J23:J26" si="9">SUM(B23,F23)</f>
        <v>62482.917130000002</v>
      </c>
      <c r="K23" s="293">
        <f t="shared" ref="K23:K26" si="10">SUM(C23,G23)</f>
        <v>73560.697587388044</v>
      </c>
      <c r="L23" s="165">
        <f t="shared" si="8"/>
        <v>17.7</v>
      </c>
      <c r="M23" s="23">
        <f>IFERROR(100/'Skjema total MA'!I23*K23,0)</f>
        <v>5.2604317262372087</v>
      </c>
    </row>
    <row r="24" spans="1:14" ht="15.75" x14ac:dyDescent="0.2">
      <c r="A24" s="723" t="s">
        <v>430</v>
      </c>
      <c r="B24" s="284">
        <v>6570.201</v>
      </c>
      <c r="C24" s="284">
        <v>5842.4517226120597</v>
      </c>
      <c r="D24" s="165">
        <f t="shared" si="5"/>
        <v>-11.1</v>
      </c>
      <c r="E24" s="11">
        <f>IFERROR(100/'Skjema total MA'!C24*C24,0)</f>
        <v>27.79368542850543</v>
      </c>
      <c r="F24" s="293">
        <v>0.95399999999999996</v>
      </c>
      <c r="G24" s="293">
        <v>0</v>
      </c>
      <c r="H24" s="165">
        <f t="shared" si="6"/>
        <v>-100</v>
      </c>
      <c r="I24" s="416">
        <f>IFERROR(100/'Skjema total MA'!F24*G24,0)</f>
        <v>0</v>
      </c>
      <c r="J24" s="293">
        <f t="shared" si="9"/>
        <v>6571.1549999999997</v>
      </c>
      <c r="K24" s="293">
        <f t="shared" si="10"/>
        <v>5842.4517226120597</v>
      </c>
      <c r="L24" s="165">
        <f t="shared" si="8"/>
        <v>-11.1</v>
      </c>
      <c r="M24" s="23">
        <f>IFERROR(100/'Skjema total MA'!I24*K24,0)</f>
        <v>26.264620784673014</v>
      </c>
    </row>
    <row r="25" spans="1:14" ht="15.75" x14ac:dyDescent="0.2">
      <c r="A25" s="723" t="s">
        <v>431</v>
      </c>
      <c r="B25" s="284"/>
      <c r="C25" s="284"/>
      <c r="D25" s="165"/>
      <c r="E25" s="11"/>
      <c r="F25" s="293">
        <v>325.86446999999998</v>
      </c>
      <c r="G25" s="293">
        <v>294.05</v>
      </c>
      <c r="H25" s="165">
        <f t="shared" si="6"/>
        <v>-9.8000000000000007</v>
      </c>
      <c r="I25" s="416">
        <f>IFERROR(100/'Skjema total MA'!F25*G25,0)</f>
        <v>1.5922809598029199</v>
      </c>
      <c r="J25" s="293">
        <f t="shared" si="9"/>
        <v>325.86446999999998</v>
      </c>
      <c r="K25" s="293">
        <f t="shared" si="10"/>
        <v>294.05</v>
      </c>
      <c r="L25" s="165">
        <f t="shared" si="8"/>
        <v>-9.8000000000000007</v>
      </c>
      <c r="M25" s="23">
        <f>IFERROR(100/'Skjema total MA'!I25*K25,0)</f>
        <v>0.64776971899940128</v>
      </c>
    </row>
    <row r="26" spans="1:14" ht="15.75" x14ac:dyDescent="0.2">
      <c r="A26" s="723" t="s">
        <v>432</v>
      </c>
      <c r="B26" s="284"/>
      <c r="C26" s="284"/>
      <c r="D26" s="165"/>
      <c r="E26" s="11"/>
      <c r="F26" s="293">
        <v>449115.2634</v>
      </c>
      <c r="G26" s="293">
        <v>227771.18833</v>
      </c>
      <c r="H26" s="165">
        <f t="shared" si="6"/>
        <v>-49.3</v>
      </c>
      <c r="I26" s="416">
        <f>IFERROR(100/'Skjema total MA'!F26*G26,0)</f>
        <v>26.606632571980185</v>
      </c>
      <c r="J26" s="293">
        <f t="shared" si="9"/>
        <v>449115.2634</v>
      </c>
      <c r="K26" s="293">
        <f t="shared" si="10"/>
        <v>227771.18833</v>
      </c>
      <c r="L26" s="165">
        <f t="shared" si="8"/>
        <v>-49.3</v>
      </c>
      <c r="M26" s="23">
        <f>IFERROR(100/'Skjema total MA'!I26*K26,0)</f>
        <v>26.606632571980185</v>
      </c>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v>222045.68400000001</v>
      </c>
      <c r="C28" s="290">
        <v>243817.32619001</v>
      </c>
      <c r="D28" s="165">
        <f t="shared" si="5"/>
        <v>9.8000000000000007</v>
      </c>
      <c r="E28" s="11">
        <f>IFERROR(100/'Skjema total MA'!C28*C28,0)</f>
        <v>10.035994960559831</v>
      </c>
      <c r="F28" s="233"/>
      <c r="G28" s="290"/>
      <c r="H28" s="165"/>
      <c r="I28" s="27"/>
      <c r="J28" s="44">
        <f t="shared" si="7"/>
        <v>222045.68400000001</v>
      </c>
      <c r="K28" s="44">
        <f t="shared" si="7"/>
        <v>243817.32619001</v>
      </c>
      <c r="L28" s="258">
        <f t="shared" si="8"/>
        <v>9.8000000000000007</v>
      </c>
      <c r="M28" s="23">
        <f>IFERROR(100/'Skjema total MA'!I28*K28,0)</f>
        <v>10.035994960559831</v>
      </c>
    </row>
    <row r="29" spans="1:14" s="3" customFormat="1" ht="15.75" x14ac:dyDescent="0.2">
      <c r="A29" s="13" t="s">
        <v>426</v>
      </c>
      <c r="B29" s="235">
        <v>8379435.4440000001</v>
      </c>
      <c r="C29" s="235">
        <v>7610184.1621300001</v>
      </c>
      <c r="D29" s="170">
        <f t="shared" si="5"/>
        <v>-9.1999999999999993</v>
      </c>
      <c r="E29" s="11">
        <f>IFERROR(100/'Skjema total MA'!C29*C29,0)</f>
        <v>17.282477679014583</v>
      </c>
      <c r="F29" s="311">
        <v>6723163.199</v>
      </c>
      <c r="G29" s="311">
        <v>6241890.6635600002</v>
      </c>
      <c r="H29" s="170">
        <f t="shared" si="6"/>
        <v>-7.2</v>
      </c>
      <c r="I29" s="11">
        <f>IFERROR(100/'Skjema total MA'!F29*G29,0)</f>
        <v>26.579568177671064</v>
      </c>
      <c r="J29" s="235">
        <f t="shared" si="7"/>
        <v>15102598.642999999</v>
      </c>
      <c r="K29" s="235">
        <f t="shared" si="7"/>
        <v>13852074.825690001</v>
      </c>
      <c r="L29" s="426">
        <f t="shared" si="8"/>
        <v>-8.3000000000000007</v>
      </c>
      <c r="M29" s="24">
        <f>IFERROR(100/'Skjema total MA'!I29*K29,0)</f>
        <v>20.516152847137352</v>
      </c>
      <c r="N29" s="147"/>
    </row>
    <row r="30" spans="1:14" s="3" customFormat="1" ht="15.75" x14ac:dyDescent="0.2">
      <c r="A30" s="723" t="s">
        <v>429</v>
      </c>
      <c r="B30" s="284">
        <v>1187801.9480000001</v>
      </c>
      <c r="C30" s="284">
        <v>1060375.7948712299</v>
      </c>
      <c r="D30" s="165">
        <f t="shared" si="5"/>
        <v>-10.7</v>
      </c>
      <c r="E30" s="11">
        <f>IFERROR(100/'Skjema total MA'!C30*C30,0)</f>
        <v>8.3602605608933995</v>
      </c>
      <c r="F30" s="293">
        <v>564339.58799999999</v>
      </c>
      <c r="G30" s="293">
        <v>541055.81770999997</v>
      </c>
      <c r="H30" s="165">
        <f t="shared" si="6"/>
        <v>-4.0999999999999996</v>
      </c>
      <c r="I30" s="416">
        <f>IFERROR(100/'Skjema total MA'!F30*G30,0)</f>
        <v>15.901227821966591</v>
      </c>
      <c r="J30" s="293">
        <f t="shared" ref="J30:J33" si="11">SUM(B30,F30)</f>
        <v>1752141.5360000001</v>
      </c>
      <c r="K30" s="293">
        <f t="shared" ref="K30:K33" si="12">SUM(C30,G30)</f>
        <v>1601431.6125812298</v>
      </c>
      <c r="L30" s="165">
        <f t="shared" si="8"/>
        <v>-8.6</v>
      </c>
      <c r="M30" s="23">
        <f>IFERROR(100/'Skjema total MA'!I30*K30,0)</f>
        <v>9.9553568347640873</v>
      </c>
      <c r="N30" s="147"/>
    </row>
    <row r="31" spans="1:14" s="3" customFormat="1" ht="15.75" x14ac:dyDescent="0.2">
      <c r="A31" s="723" t="s">
        <v>430</v>
      </c>
      <c r="B31" s="284">
        <v>7191633.4960000003</v>
      </c>
      <c r="C31" s="284">
        <v>6549808.3672587704</v>
      </c>
      <c r="D31" s="165">
        <f t="shared" si="5"/>
        <v>-8.9</v>
      </c>
      <c r="E31" s="11">
        <f>IFERROR(100/'Skjema total MA'!C31*C31,0)</f>
        <v>26.736636834635721</v>
      </c>
      <c r="F31" s="293">
        <v>1709440.736</v>
      </c>
      <c r="G31" s="293">
        <v>1381287.35653</v>
      </c>
      <c r="H31" s="165">
        <f t="shared" si="6"/>
        <v>-19.2</v>
      </c>
      <c r="I31" s="416">
        <f>IFERROR(100/'Skjema total MA'!F31*G31,0)</f>
        <v>18.840349845166923</v>
      </c>
      <c r="J31" s="293">
        <f t="shared" si="11"/>
        <v>8901074.2320000008</v>
      </c>
      <c r="K31" s="293">
        <f t="shared" si="12"/>
        <v>7931095.7237887699</v>
      </c>
      <c r="L31" s="165">
        <f t="shared" si="8"/>
        <v>-10.9</v>
      </c>
      <c r="M31" s="23">
        <f>IFERROR(100/'Skjema total MA'!I31*K31,0)</f>
        <v>24.917797028883768</v>
      </c>
      <c r="N31" s="147"/>
    </row>
    <row r="32" spans="1:14" ht="15.75" x14ac:dyDescent="0.2">
      <c r="A32" s="723" t="s">
        <v>431</v>
      </c>
      <c r="B32" s="284"/>
      <c r="C32" s="284"/>
      <c r="D32" s="165"/>
      <c r="E32" s="11"/>
      <c r="F32" s="293">
        <v>2064004.43</v>
      </c>
      <c r="G32" s="293">
        <v>1925322.81709</v>
      </c>
      <c r="H32" s="165">
        <f t="shared" si="6"/>
        <v>-6.7</v>
      </c>
      <c r="I32" s="416">
        <f>IFERROR(100/'Skjema total MA'!F32*G32,0)</f>
        <v>36.041316427768116</v>
      </c>
      <c r="J32" s="293">
        <f t="shared" si="11"/>
        <v>2064004.43</v>
      </c>
      <c r="K32" s="293">
        <f t="shared" si="12"/>
        <v>1925322.81709</v>
      </c>
      <c r="L32" s="165">
        <f t="shared" si="8"/>
        <v>-6.7</v>
      </c>
      <c r="M32" s="23">
        <f>IFERROR(100/'Skjema total MA'!I32*K32,0)</f>
        <v>24.761461532376416</v>
      </c>
    </row>
    <row r="33" spans="1:14" ht="15.75" x14ac:dyDescent="0.2">
      <c r="A33" s="723" t="s">
        <v>432</v>
      </c>
      <c r="B33" s="284"/>
      <c r="C33" s="284"/>
      <c r="D33" s="165"/>
      <c r="E33" s="11"/>
      <c r="F33" s="293">
        <v>2385378.4449999998</v>
      </c>
      <c r="G33" s="293">
        <v>2394224.6722300001</v>
      </c>
      <c r="H33" s="165">
        <f t="shared" si="6"/>
        <v>0.4</v>
      </c>
      <c r="I33" s="416">
        <f>IFERROR(100/'Skjema total MA'!F33*G33,0)</f>
        <v>32.320918738142275</v>
      </c>
      <c r="J33" s="293">
        <f t="shared" si="11"/>
        <v>2385378.4449999998</v>
      </c>
      <c r="K33" s="293">
        <f t="shared" si="12"/>
        <v>2394224.6722300001</v>
      </c>
      <c r="L33" s="165">
        <f t="shared" si="8"/>
        <v>0.4</v>
      </c>
      <c r="M33" s="23">
        <f>IFERROR(100/'Skjema total MA'!I33*K33,0)</f>
        <v>32.320918738142275</v>
      </c>
    </row>
    <row r="34" spans="1:14" ht="15.75" x14ac:dyDescent="0.2">
      <c r="A34" s="13" t="s">
        <v>427</v>
      </c>
      <c r="B34" s="235">
        <v>10821.306</v>
      </c>
      <c r="C34" s="312">
        <v>11119.151</v>
      </c>
      <c r="D34" s="170">
        <f t="shared" si="5"/>
        <v>2.8</v>
      </c>
      <c r="E34" s="11">
        <f>IFERROR(100/'Skjema total MA'!C34*C34,0)</f>
        <v>37.196979696980954</v>
      </c>
      <c r="F34" s="311">
        <v>18477.473000000002</v>
      </c>
      <c r="G34" s="312">
        <v>13306.8305099999</v>
      </c>
      <c r="H34" s="170">
        <f t="shared" si="6"/>
        <v>-28</v>
      </c>
      <c r="I34" s="11">
        <f>IFERROR(100/'Skjema total MA'!F34*G34,0)</f>
        <v>1.7018606707739279</v>
      </c>
      <c r="J34" s="235">
        <f t="shared" si="7"/>
        <v>29298.779000000002</v>
      </c>
      <c r="K34" s="235">
        <f t="shared" si="7"/>
        <v>24425.9815099999</v>
      </c>
      <c r="L34" s="426">
        <f t="shared" si="8"/>
        <v>-16.600000000000001</v>
      </c>
      <c r="M34" s="24">
        <f>IFERROR(100/'Skjema total MA'!I34*K34,0)</f>
        <v>3.0088981999360445</v>
      </c>
    </row>
    <row r="35" spans="1:14" ht="15.75" x14ac:dyDescent="0.2">
      <c r="A35" s="13" t="s">
        <v>428</v>
      </c>
      <c r="B35" s="235">
        <v>752.60199999999998</v>
      </c>
      <c r="C35" s="312">
        <v>64.365129999999994</v>
      </c>
      <c r="D35" s="170">
        <f t="shared" si="5"/>
        <v>-91.4</v>
      </c>
      <c r="E35" s="11">
        <f>IFERROR(100/'Skjema total MA'!C35*C35,0)</f>
        <v>-0.16759293321896854</v>
      </c>
      <c r="F35" s="311">
        <v>35697.862000000001</v>
      </c>
      <c r="G35" s="312">
        <v>18875.59145</v>
      </c>
      <c r="H35" s="170">
        <f t="shared" si="6"/>
        <v>-47.1</v>
      </c>
      <c r="I35" s="11">
        <f>IFERROR(100/'Skjema total MA'!F35*G35,0)</f>
        <v>4.3940557329958638</v>
      </c>
      <c r="J35" s="235">
        <f t="shared" si="7"/>
        <v>36450.464</v>
      </c>
      <c r="K35" s="235">
        <f t="shared" si="7"/>
        <v>18939.956579999998</v>
      </c>
      <c r="L35" s="426">
        <f t="shared" si="8"/>
        <v>-48</v>
      </c>
      <c r="M35" s="24">
        <f>IFERROR(100/'Skjema total MA'!I35*K35,0)</f>
        <v>4.8419302261958617</v>
      </c>
    </row>
    <row r="36" spans="1:14" ht="15.75" x14ac:dyDescent="0.2">
      <c r="A36" s="12" t="s">
        <v>277</v>
      </c>
      <c r="B36" s="235">
        <v>64.135000000000005</v>
      </c>
      <c r="C36" s="312">
        <v>68.897999999999996</v>
      </c>
      <c r="D36" s="170">
        <f t="shared" si="5"/>
        <v>7.4</v>
      </c>
      <c r="E36" s="11">
        <f>100/'Skjema total MA'!C36*C36</f>
        <v>0.79688656979298156</v>
      </c>
      <c r="F36" s="322"/>
      <c r="G36" s="323"/>
      <c r="H36" s="170"/>
      <c r="I36" s="432"/>
      <c r="J36" s="235">
        <f t="shared" ref="J36:J37" si="13">SUM(B36,F36)</f>
        <v>64.135000000000005</v>
      </c>
      <c r="K36" s="235">
        <f t="shared" ref="K36:K37" si="14">SUM(C36,G36)</f>
        <v>68.897999999999996</v>
      </c>
      <c r="L36" s="426">
        <f t="shared" si="8"/>
        <v>7.4</v>
      </c>
      <c r="M36" s="24">
        <f>IFERROR(100/'Skjema total MA'!I36*K36,0)</f>
        <v>0.79688656979298156</v>
      </c>
    </row>
    <row r="37" spans="1:14" ht="15.75" x14ac:dyDescent="0.2">
      <c r="A37" s="12" t="s">
        <v>434</v>
      </c>
      <c r="B37" s="235">
        <v>444432.64299999998</v>
      </c>
      <c r="C37" s="312">
        <v>419323.37143</v>
      </c>
      <c r="D37" s="170">
        <f t="shared" si="5"/>
        <v>-5.6</v>
      </c>
      <c r="E37" s="11">
        <f>100/'Skjema total MA'!C37*C37</f>
        <v>14.447913772276298</v>
      </c>
      <c r="F37" s="322"/>
      <c r="G37" s="324"/>
      <c r="H37" s="170"/>
      <c r="I37" s="432"/>
      <c r="J37" s="235">
        <f t="shared" si="13"/>
        <v>444432.64299999998</v>
      </c>
      <c r="K37" s="235">
        <f t="shared" si="14"/>
        <v>419323.37143</v>
      </c>
      <c r="L37" s="426">
        <f t="shared" si="8"/>
        <v>-5.6</v>
      </c>
      <c r="M37" s="24">
        <f>IFERROR(100/'Skjema total MA'!I37*K37,0)</f>
        <v>14.447913772276298</v>
      </c>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695694.28499999992</v>
      </c>
      <c r="C47" s="314">
        <v>813636.2884699998</v>
      </c>
      <c r="D47" s="425">
        <f t="shared" ref="D47:D48" si="15">IF(B47=0, "    ---- ", IF(ABS(ROUND(100/B47*C47-100,1))&lt;999,ROUND(100/B47*C47-100,1),IF(ROUND(100/B47*C47-100,1)&gt;999,999,-999)))</f>
        <v>17</v>
      </c>
      <c r="E47" s="11">
        <f>IFERROR(100/'Skjema total MA'!C47*C47,0)</f>
        <v>14.68210801453167</v>
      </c>
      <c r="F47" s="144"/>
      <c r="G47" s="33"/>
      <c r="H47" s="158"/>
      <c r="I47" s="158"/>
      <c r="J47" s="37"/>
      <c r="K47" s="37"/>
      <c r="L47" s="158"/>
      <c r="M47" s="158"/>
      <c r="N47" s="147"/>
    </row>
    <row r="48" spans="1:14" s="3" customFormat="1" ht="15.75" x14ac:dyDescent="0.2">
      <c r="A48" s="38" t="s">
        <v>437</v>
      </c>
      <c r="B48" s="284">
        <v>249055.215</v>
      </c>
      <c r="C48" s="285">
        <v>287745.29499999998</v>
      </c>
      <c r="D48" s="258">
        <f t="shared" si="15"/>
        <v>15.5</v>
      </c>
      <c r="E48" s="27">
        <f>IFERROR(100/'Skjema total MA'!C48*C48,0)</f>
        <v>9.3418793951095065</v>
      </c>
      <c r="F48" s="144"/>
      <c r="G48" s="33"/>
      <c r="H48" s="144"/>
      <c r="I48" s="144"/>
      <c r="J48" s="33"/>
      <c r="K48" s="33"/>
      <c r="L48" s="158"/>
      <c r="M48" s="158"/>
      <c r="N48" s="147"/>
    </row>
    <row r="49" spans="1:14" s="3" customFormat="1" ht="15.75" x14ac:dyDescent="0.2">
      <c r="A49" s="38" t="s">
        <v>438</v>
      </c>
      <c r="B49" s="44">
        <v>446639.06999999995</v>
      </c>
      <c r="C49" s="290">
        <v>525890.99346999987</v>
      </c>
      <c r="D49" s="258">
        <f>IF(B49=0, "    ---- ", IF(ABS(ROUND(100/B49*C49-100,1))&lt;999,ROUND(100/B49*C49-100,1),IF(ROUND(100/B49*C49-100,1)&gt;999,999,-999)))</f>
        <v>17.7</v>
      </c>
      <c r="E49" s="27">
        <f>IFERROR(100/'Skjema total MA'!C49*C49,0)</f>
        <v>21.364474869448316</v>
      </c>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v>432730.99200000003</v>
      </c>
      <c r="C51" s="294">
        <v>512107.68346999999</v>
      </c>
      <c r="D51" s="258">
        <f t="shared" ref="D51:D57" si="16">IF(B51=0, "    ---- ", IF(ABS(ROUND(100/B51*C51-100,1))&lt;999,ROUND(100/B51*C51-100,1),IF(ROUND(100/B51*C51-100,1)&gt;999,999,-999)))</f>
        <v>18.3</v>
      </c>
      <c r="E51" s="27">
        <f>IFERROR(100/'Skjema total MA'!C51*C51,0)</f>
        <v>21.404329900218737</v>
      </c>
      <c r="F51" s="144"/>
      <c r="G51" s="33"/>
      <c r="H51" s="144"/>
      <c r="I51" s="144"/>
      <c r="J51" s="33"/>
      <c r="K51" s="33"/>
      <c r="L51" s="158"/>
      <c r="M51" s="158"/>
      <c r="N51" s="147"/>
    </row>
    <row r="52" spans="1:14" s="3" customFormat="1" x14ac:dyDescent="0.2">
      <c r="A52" s="299" t="s">
        <v>8</v>
      </c>
      <c r="B52" s="293">
        <v>13908.077999999899</v>
      </c>
      <c r="C52" s="294">
        <v>13783.309999999899</v>
      </c>
      <c r="D52" s="258">
        <f t="shared" si="16"/>
        <v>-0.9</v>
      </c>
      <c r="E52" s="27">
        <f>IFERROR(100/'Skjema total MA'!C52*C52,0)</f>
        <v>19.982086368964364</v>
      </c>
      <c r="F52" s="144"/>
      <c r="G52" s="33"/>
      <c r="H52" s="144"/>
      <c r="I52" s="144"/>
      <c r="J52" s="33"/>
      <c r="K52" s="33"/>
      <c r="L52" s="158"/>
      <c r="M52" s="158"/>
      <c r="N52" s="147"/>
    </row>
    <row r="53" spans="1:14" s="3" customFormat="1" ht="15.75" x14ac:dyDescent="0.2">
      <c r="A53" s="39" t="s">
        <v>439</v>
      </c>
      <c r="B53" s="313">
        <v>20151.143</v>
      </c>
      <c r="C53" s="314">
        <v>11246.955</v>
      </c>
      <c r="D53" s="426">
        <f t="shared" si="16"/>
        <v>-44.2</v>
      </c>
      <c r="E53" s="11">
        <f>IFERROR(100/'Skjema total MA'!C53*C53,0)</f>
        <v>7.8920152155181702</v>
      </c>
      <c r="F53" s="144"/>
      <c r="G53" s="33"/>
      <c r="H53" s="144"/>
      <c r="I53" s="144"/>
      <c r="J53" s="33"/>
      <c r="K53" s="33"/>
      <c r="L53" s="158"/>
      <c r="M53" s="158"/>
      <c r="N53" s="147"/>
    </row>
    <row r="54" spans="1:14" s="3" customFormat="1" ht="15.75" x14ac:dyDescent="0.2">
      <c r="A54" s="38" t="s">
        <v>437</v>
      </c>
      <c r="B54" s="284">
        <v>14967.832</v>
      </c>
      <c r="C54" s="285">
        <v>11246.955</v>
      </c>
      <c r="D54" s="258">
        <f t="shared" si="16"/>
        <v>-24.9</v>
      </c>
      <c r="E54" s="27">
        <f>IFERROR(100/'Skjema total MA'!C54*C54,0)</f>
        <v>7.9449216859783238</v>
      </c>
      <c r="F54" s="144"/>
      <c r="G54" s="33"/>
      <c r="H54" s="144"/>
      <c r="I54" s="144"/>
      <c r="J54" s="33"/>
      <c r="K54" s="33"/>
      <c r="L54" s="158"/>
      <c r="M54" s="158"/>
      <c r="N54" s="147"/>
    </row>
    <row r="55" spans="1:14" s="3" customFormat="1" ht="15.75" x14ac:dyDescent="0.2">
      <c r="A55" s="38" t="s">
        <v>438</v>
      </c>
      <c r="B55" s="284">
        <v>5183.3109999999997</v>
      </c>
      <c r="C55" s="285">
        <v>0</v>
      </c>
      <c r="D55" s="258">
        <f t="shared" si="16"/>
        <v>-100</v>
      </c>
      <c r="E55" s="27">
        <f>IFERROR(100/'Skjema total MA'!C55*C55,0)</f>
        <v>0</v>
      </c>
      <c r="F55" s="144"/>
      <c r="G55" s="33"/>
      <c r="H55" s="144"/>
      <c r="I55" s="144"/>
      <c r="J55" s="33"/>
      <c r="K55" s="33"/>
      <c r="L55" s="158"/>
      <c r="M55" s="158"/>
      <c r="N55" s="147"/>
    </row>
    <row r="56" spans="1:14" s="3" customFormat="1" ht="15.75" x14ac:dyDescent="0.2">
      <c r="A56" s="39" t="s">
        <v>440</v>
      </c>
      <c r="B56" s="313">
        <v>244207.54800000001</v>
      </c>
      <c r="C56" s="314">
        <v>45.795999999999999</v>
      </c>
      <c r="D56" s="426">
        <f t="shared" si="16"/>
        <v>-100</v>
      </c>
      <c r="E56" s="11">
        <f>IFERROR(100/'Skjema total MA'!C56*C56,0)</f>
        <v>4.2130643301510146E-2</v>
      </c>
      <c r="F56" s="144"/>
      <c r="G56" s="33"/>
      <c r="H56" s="144"/>
      <c r="I56" s="144"/>
      <c r="J56" s="33"/>
      <c r="K56" s="33"/>
      <c r="L56" s="158"/>
      <c r="M56" s="158"/>
      <c r="N56" s="147"/>
    </row>
    <row r="57" spans="1:14" s="3" customFormat="1" ht="15.75" x14ac:dyDescent="0.2">
      <c r="A57" s="38" t="s">
        <v>437</v>
      </c>
      <c r="B57" s="284">
        <v>244207.54800000001</v>
      </c>
      <c r="C57" s="285">
        <v>45.795999999999999</v>
      </c>
      <c r="D57" s="258">
        <f t="shared" si="16"/>
        <v>-100</v>
      </c>
      <c r="E57" s="27">
        <f>IFERROR(100/'Skjema total MA'!C57*C57,0)</f>
        <v>4.2130643301510146E-2</v>
      </c>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v>3564601.2709999997</v>
      </c>
      <c r="C66" s="354">
        <v>3471510.4553699996</v>
      </c>
      <c r="D66" s="351">
        <f t="shared" ref="D66:D111" si="17">IF(B66=0, "    ---- ", IF(ABS(ROUND(100/B66*C66-100,1))&lt;999,ROUND(100/B66*C66-100,1),IF(ROUND(100/B66*C66-100,1)&gt;999,999,-999)))</f>
        <v>-2.6</v>
      </c>
      <c r="E66" s="11">
        <f>IFERROR(100/'Skjema total MA'!C66*C66,0)</f>
        <v>44.595381103995535</v>
      </c>
      <c r="F66" s="353">
        <v>10975843.16</v>
      </c>
      <c r="G66" s="353">
        <v>12041129.576469999</v>
      </c>
      <c r="H66" s="351">
        <f t="shared" ref="H66:H111" si="18">IF(F66=0, "    ---- ", IF(ABS(ROUND(100/F66*G66-100,1))&lt;999,ROUND(100/F66*G66-100,1),IF(ROUND(100/F66*G66-100,1)&gt;999,999,-999)))</f>
        <v>9.6999999999999993</v>
      </c>
      <c r="I66" s="11">
        <f>IFERROR(100/'Skjema total MA'!F66*G66,0)</f>
        <v>27.5853991634837</v>
      </c>
      <c r="J66" s="312">
        <f t="shared" ref="J66:K86" si="19">SUM(B66,F66)</f>
        <v>14540444.431</v>
      </c>
      <c r="K66" s="319">
        <f t="shared" si="19"/>
        <v>15512640.031839998</v>
      </c>
      <c r="L66" s="426">
        <f t="shared" ref="L66:L111" si="20">IF(J66=0, "    ---- ", IF(ABS(ROUND(100/J66*K66-100,1))&lt;999,ROUND(100/J66*K66-100,1),IF(ROUND(100/J66*K66-100,1)&gt;999,999,-999)))</f>
        <v>6.7</v>
      </c>
      <c r="M66" s="11">
        <f>IFERROR(100/'Skjema total MA'!I66*K66,0)</f>
        <v>30.159793680597328</v>
      </c>
    </row>
    <row r="67" spans="1:14" x14ac:dyDescent="0.2">
      <c r="A67" s="418" t="s">
        <v>9</v>
      </c>
      <c r="B67" s="44">
        <v>2283477.2609999999</v>
      </c>
      <c r="C67" s="144">
        <v>1876263.1405</v>
      </c>
      <c r="D67" s="165">
        <f t="shared" si="17"/>
        <v>-17.8</v>
      </c>
      <c r="E67" s="27">
        <f>IFERROR(100/'Skjema total MA'!C67*C67,0)</f>
        <v>38.768365133315548</v>
      </c>
      <c r="F67" s="233"/>
      <c r="G67" s="144"/>
      <c r="H67" s="165"/>
      <c r="I67" s="27"/>
      <c r="J67" s="290">
        <f t="shared" si="19"/>
        <v>2283477.2609999999</v>
      </c>
      <c r="K67" s="44">
        <f t="shared" si="19"/>
        <v>1876263.1405</v>
      </c>
      <c r="L67" s="258">
        <f t="shared" si="20"/>
        <v>-17.8</v>
      </c>
      <c r="M67" s="27">
        <f>IFERROR(100/'Skjema total MA'!I67*K67,0)</f>
        <v>38.768365133315548</v>
      </c>
    </row>
    <row r="68" spans="1:14" x14ac:dyDescent="0.2">
      <c r="A68" s="21" t="s">
        <v>10</v>
      </c>
      <c r="B68" s="295"/>
      <c r="C68" s="296"/>
      <c r="D68" s="165"/>
      <c r="E68" s="27"/>
      <c r="F68" s="295">
        <v>9777102.7430000007</v>
      </c>
      <c r="G68" s="296">
        <v>10749840.33986</v>
      </c>
      <c r="H68" s="165">
        <f t="shared" si="18"/>
        <v>9.9</v>
      </c>
      <c r="I68" s="27">
        <f>IFERROR(100/'Skjema total MA'!F68*G68,0)</f>
        <v>25.578487293828818</v>
      </c>
      <c r="J68" s="290">
        <f t="shared" si="19"/>
        <v>9777102.7430000007</v>
      </c>
      <c r="K68" s="44">
        <f t="shared" si="19"/>
        <v>10749840.33986</v>
      </c>
      <c r="L68" s="258">
        <f t="shared" si="20"/>
        <v>9.9</v>
      </c>
      <c r="M68" s="27">
        <f>IFERROR(100/'Skjema total MA'!I68*K68,0)</f>
        <v>25.551155185508549</v>
      </c>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v>9777102.7430000007</v>
      </c>
      <c r="G72" s="284">
        <v>10749840.33986</v>
      </c>
      <c r="H72" s="165">
        <f t="shared" si="18"/>
        <v>9.9</v>
      </c>
      <c r="I72" s="416">
        <f>IFERROR(100/'Skjema total MA'!F72*G72,0)</f>
        <v>25.580045211685981</v>
      </c>
      <c r="J72" s="290">
        <f t="shared" ref="J72" si="21">SUM(B72,F72)</f>
        <v>9777102.7430000007</v>
      </c>
      <c r="K72" s="44">
        <f t="shared" ref="K72" si="22">SUM(C72,G72)</f>
        <v>10749840.33986</v>
      </c>
      <c r="L72" s="258">
        <f t="shared" si="20"/>
        <v>9.9</v>
      </c>
      <c r="M72" s="23">
        <f>IFERROR(100/'Skjema total MA'!I72*K72,0)</f>
        <v>25.555281141488898</v>
      </c>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v>9777102.7430000007</v>
      </c>
      <c r="G74" s="284">
        <v>10749840.33986</v>
      </c>
      <c r="H74" s="165">
        <f t="shared" si="18"/>
        <v>9.9</v>
      </c>
      <c r="I74" s="416">
        <f>IFERROR(100/'Skjema total MA'!F74*G74,0)</f>
        <v>25.58005189209198</v>
      </c>
      <c r="J74" s="290">
        <f t="shared" ref="J74" si="23">SUM(B74,F74)</f>
        <v>9777102.7430000007</v>
      </c>
      <c r="K74" s="44">
        <f t="shared" ref="K74" si="24">SUM(C74,G74)</f>
        <v>10749840.33986</v>
      </c>
      <c r="L74" s="258">
        <f t="shared" si="20"/>
        <v>9.9</v>
      </c>
      <c r="M74" s="23">
        <f>IFERROR(100/'Skjema total MA'!I74*K74,0)</f>
        <v>25.58005189209198</v>
      </c>
      <c r="N74" s="147"/>
    </row>
    <row r="75" spans="1:14" s="3" customFormat="1" x14ac:dyDescent="0.2">
      <c r="A75" s="21" t="s">
        <v>335</v>
      </c>
      <c r="B75" s="233">
        <v>179902.49299999999</v>
      </c>
      <c r="C75" s="144">
        <v>292690.79399999999</v>
      </c>
      <c r="D75" s="165">
        <f t="shared" si="17"/>
        <v>62.7</v>
      </c>
      <c r="E75" s="27">
        <f>IFERROR(100/'Skjema total MA'!C75*C75,0)</f>
        <v>45.015183660618519</v>
      </c>
      <c r="F75" s="233">
        <v>1198740.4169999999</v>
      </c>
      <c r="G75" s="144">
        <v>1291289.23661</v>
      </c>
      <c r="H75" s="165">
        <f t="shared" si="18"/>
        <v>7.7</v>
      </c>
      <c r="I75" s="27">
        <f>IFERROR(100/'Skjema total MA'!F75*G75,0)</f>
        <v>79.537758595806508</v>
      </c>
      <c r="J75" s="290">
        <f t="shared" si="19"/>
        <v>1378642.91</v>
      </c>
      <c r="K75" s="44">
        <f t="shared" si="19"/>
        <v>1583980.03061</v>
      </c>
      <c r="L75" s="258">
        <f t="shared" si="20"/>
        <v>14.9</v>
      </c>
      <c r="M75" s="27">
        <f>IFERROR(100/'Skjema total MA'!I75*K75,0)</f>
        <v>69.665405408016369</v>
      </c>
      <c r="N75" s="147"/>
    </row>
    <row r="76" spans="1:14" s="3" customFormat="1" x14ac:dyDescent="0.2">
      <c r="A76" s="21" t="s">
        <v>334</v>
      </c>
      <c r="B76" s="233">
        <v>1101221.517</v>
      </c>
      <c r="C76" s="144">
        <v>1302556.5208699999</v>
      </c>
      <c r="D76" s="165">
        <f t="shared" ref="D76" si="25">IF(B76=0, "    ---- ", IF(ABS(ROUND(100/B76*C76-100,1))&lt;999,ROUND(100/B76*C76-100,1),IF(ROUND(100/B76*C76-100,1)&gt;999,999,-999)))</f>
        <v>18.3</v>
      </c>
      <c r="E76" s="27">
        <f>IFERROR(100/'Skjema total MA'!C77*C76,0)</f>
        <v>27.163687397637059</v>
      </c>
      <c r="F76" s="233"/>
      <c r="G76" s="144"/>
      <c r="H76" s="165"/>
      <c r="I76" s="27"/>
      <c r="J76" s="290">
        <f t="shared" ref="J76" si="26">SUM(B76,F76)</f>
        <v>1101221.517</v>
      </c>
      <c r="K76" s="44">
        <f t="shared" ref="K76" si="27">SUM(C76,G76)</f>
        <v>1302556.5208699999</v>
      </c>
      <c r="L76" s="258">
        <f t="shared" ref="L76" si="28">IF(J76=0, "    ---- ", IF(ABS(ROUND(100/J76*K76-100,1))&lt;999,ROUND(100/J76*K76-100,1),IF(ROUND(100/J76*K76-100,1)&gt;999,999,-999)))</f>
        <v>18.3</v>
      </c>
      <c r="M76" s="27">
        <f>IFERROR(100/'Skjema total MA'!I77*K76,0)</f>
        <v>2.7827221204051407</v>
      </c>
      <c r="N76" s="147"/>
    </row>
    <row r="77" spans="1:14" ht="15.75" x14ac:dyDescent="0.2">
      <c r="A77" s="21" t="s">
        <v>443</v>
      </c>
      <c r="B77" s="233">
        <v>2217264.835</v>
      </c>
      <c r="C77" s="233">
        <v>1821165.5085</v>
      </c>
      <c r="D77" s="165">
        <f t="shared" si="17"/>
        <v>-17.899999999999999</v>
      </c>
      <c r="E77" s="27">
        <f>IFERROR(100/'Skjema total MA'!C77*C77,0)</f>
        <v>37.978828388353662</v>
      </c>
      <c r="F77" s="233">
        <v>9777102.7430000007</v>
      </c>
      <c r="G77" s="144">
        <v>10749840.33986</v>
      </c>
      <c r="H77" s="165">
        <f t="shared" si="18"/>
        <v>9.9</v>
      </c>
      <c r="I77" s="27">
        <f>IFERROR(100/'Skjema total MA'!F77*G77,0)</f>
        <v>25.586630937873217</v>
      </c>
      <c r="J77" s="290">
        <f t="shared" si="19"/>
        <v>11994367.578000002</v>
      </c>
      <c r="K77" s="44">
        <f t="shared" si="19"/>
        <v>12571005.84836</v>
      </c>
      <c r="L77" s="258">
        <f t="shared" si="20"/>
        <v>4.8</v>
      </c>
      <c r="M77" s="27">
        <f>IFERROR(100/'Skjema total MA'!I77*K77,0)</f>
        <v>26.856121396259212</v>
      </c>
    </row>
    <row r="78" spans="1:14" x14ac:dyDescent="0.2">
      <c r="A78" s="21" t="s">
        <v>9</v>
      </c>
      <c r="B78" s="233">
        <v>2217264.835</v>
      </c>
      <c r="C78" s="144">
        <v>1821165.5085</v>
      </c>
      <c r="D78" s="165">
        <f t="shared" si="17"/>
        <v>-17.899999999999999</v>
      </c>
      <c r="E78" s="27">
        <f>IFERROR(100/'Skjema total MA'!C78*C78,0)</f>
        <v>38.317556725077317</v>
      </c>
      <c r="F78" s="233"/>
      <c r="G78" s="144"/>
      <c r="H78" s="165"/>
      <c r="I78" s="27"/>
      <c r="J78" s="290">
        <f t="shared" si="19"/>
        <v>2217264.835</v>
      </c>
      <c r="K78" s="44">
        <f t="shared" si="19"/>
        <v>1821165.5085</v>
      </c>
      <c r="L78" s="258">
        <f t="shared" si="20"/>
        <v>-17.899999999999999</v>
      </c>
      <c r="M78" s="27">
        <f>IFERROR(100/'Skjema total MA'!I78*K78,0)</f>
        <v>38.317556725077317</v>
      </c>
    </row>
    <row r="79" spans="1:14" x14ac:dyDescent="0.2">
      <c r="A79" s="38" t="s">
        <v>473</v>
      </c>
      <c r="B79" s="295"/>
      <c r="C79" s="296"/>
      <c r="D79" s="165"/>
      <c r="E79" s="27"/>
      <c r="F79" s="295">
        <v>9777102.7430000007</v>
      </c>
      <c r="G79" s="296">
        <v>10749840.33986</v>
      </c>
      <c r="H79" s="165">
        <f t="shared" si="18"/>
        <v>9.9</v>
      </c>
      <c r="I79" s="27">
        <f>IFERROR(100/'Skjema total MA'!F79*G79,0)</f>
        <v>25.586630937873217</v>
      </c>
      <c r="J79" s="290">
        <f t="shared" si="19"/>
        <v>9777102.7430000007</v>
      </c>
      <c r="K79" s="44">
        <f t="shared" si="19"/>
        <v>10749840.33986</v>
      </c>
      <c r="L79" s="258">
        <f t="shared" si="20"/>
        <v>9.9</v>
      </c>
      <c r="M79" s="27">
        <f>IFERROR(100/'Skjema total MA'!I79*K79,0)</f>
        <v>25.560841147843728</v>
      </c>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v>9777102.7430000007</v>
      </c>
      <c r="G83" s="284">
        <v>10749840.33986</v>
      </c>
      <c r="H83" s="165">
        <f t="shared" ref="H83" si="29">IF(F83=0, "    ---- ", IF(ABS(ROUND(100/F83*G83-100,1))&lt;999,ROUND(100/F83*G83-100,1),IF(ROUND(100/F83*G83-100,1)&gt;999,999,-999)))</f>
        <v>9.9</v>
      </c>
      <c r="I83" s="27">
        <f>IFERROR(100/'Skjema total MA'!F83*G83,0)</f>
        <v>25.586630937873217</v>
      </c>
      <c r="J83" s="290">
        <f t="shared" ref="J83" si="30">SUM(B83,F83)</f>
        <v>9777102.7430000007</v>
      </c>
      <c r="K83" s="44">
        <f t="shared" ref="K83" si="31">SUM(C83,G83)</f>
        <v>10749840.33986</v>
      </c>
      <c r="L83" s="258">
        <f t="shared" ref="L83" si="32">IF(J83=0, "    ---- ", IF(ABS(ROUND(100/J83*K83-100,1))&lt;999,ROUND(100/J83*K83-100,1),IF(ROUND(100/J83*K83-100,1)&gt;999,999,-999)))</f>
        <v>9.9</v>
      </c>
      <c r="M83" s="23">
        <f>IFERROR(100/'Skjema total MA'!I83*K83,0)</f>
        <v>25.560841147843728</v>
      </c>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v>9777102.7430000007</v>
      </c>
      <c r="G85" s="284">
        <v>10749840.33986</v>
      </c>
      <c r="H85" s="165">
        <f t="shared" ref="H85" si="33">IF(F85=0, "    ---- ", IF(ABS(ROUND(100/F85*G85-100,1))&lt;999,ROUND(100/F85*G85-100,1),IF(ROUND(100/F85*G85-100,1)&gt;999,999,-999)))</f>
        <v>9.9</v>
      </c>
      <c r="I85" s="27">
        <f>IFERROR(100/'Skjema total MA'!F85*G85,0)</f>
        <v>25.586637621719476</v>
      </c>
      <c r="J85" s="290">
        <f t="shared" ref="J85" si="34">SUM(B85,F85)</f>
        <v>9777102.7430000007</v>
      </c>
      <c r="K85" s="44">
        <f t="shared" ref="K85" si="35">SUM(C85,G85)</f>
        <v>10749840.33986</v>
      </c>
      <c r="L85" s="258">
        <f t="shared" ref="L85" si="36">IF(J85=0, "    ---- ", IF(ABS(ROUND(100/J85*K85-100,1))&lt;999,ROUND(100/J85*K85-100,1),IF(ROUND(100/J85*K85-100,1)&gt;999,999,-999)))</f>
        <v>9.9</v>
      </c>
      <c r="M85" s="23">
        <f>IFERROR(100/'Skjema total MA'!I85*K85,0)</f>
        <v>25.586637621719476</v>
      </c>
    </row>
    <row r="86" spans="1:13" ht="15.75" x14ac:dyDescent="0.2">
      <c r="A86" s="21" t="s">
        <v>444</v>
      </c>
      <c r="B86" s="233">
        <v>66212.426000000007</v>
      </c>
      <c r="C86" s="144">
        <v>55097.631999999998</v>
      </c>
      <c r="D86" s="165">
        <f t="shared" si="17"/>
        <v>-16.8</v>
      </c>
      <c r="E86" s="27">
        <f>IFERROR(100/'Skjema total MA'!C86*C86,0)</f>
        <v>61.616753534739381</v>
      </c>
      <c r="F86" s="233"/>
      <c r="G86" s="144"/>
      <c r="H86" s="165"/>
      <c r="I86" s="27"/>
      <c r="J86" s="290">
        <f t="shared" si="19"/>
        <v>66212.426000000007</v>
      </c>
      <c r="K86" s="44">
        <f t="shared" si="19"/>
        <v>55097.631999999998</v>
      </c>
      <c r="L86" s="258">
        <f t="shared" si="20"/>
        <v>-16.8</v>
      </c>
      <c r="M86" s="27">
        <f>IFERROR(100/'Skjema total MA'!I86*K86,0)</f>
        <v>53.598754618810965</v>
      </c>
    </row>
    <row r="87" spans="1:13" ht="15.75" x14ac:dyDescent="0.2">
      <c r="A87" s="13" t="s">
        <v>426</v>
      </c>
      <c r="B87" s="354">
        <v>171454478.76400003</v>
      </c>
      <c r="C87" s="354">
        <v>169195734.30090997</v>
      </c>
      <c r="D87" s="170">
        <f t="shared" si="17"/>
        <v>-1.3</v>
      </c>
      <c r="E87" s="11">
        <f>IFERROR(100/'Skjema total MA'!C87*C87,0)</f>
        <v>42.480440052344072</v>
      </c>
      <c r="F87" s="353">
        <v>140177685.09599999</v>
      </c>
      <c r="G87" s="353">
        <v>135955308.12292999</v>
      </c>
      <c r="H87" s="170">
        <f t="shared" si="18"/>
        <v>-3</v>
      </c>
      <c r="I87" s="11">
        <f>IFERROR(100/'Skjema total MA'!F87*G87,0)</f>
        <v>30.694487369692641</v>
      </c>
      <c r="J87" s="312">
        <f t="shared" ref="J87:K111" si="37">SUM(B87,F87)</f>
        <v>311632163.86000001</v>
      </c>
      <c r="K87" s="235">
        <f t="shared" si="37"/>
        <v>305151042.42383993</v>
      </c>
      <c r="L87" s="426">
        <f t="shared" si="20"/>
        <v>-2.1</v>
      </c>
      <c r="M87" s="11">
        <f>IFERROR(100/'Skjema total MA'!I87*K87,0)</f>
        <v>36.274750407884667</v>
      </c>
    </row>
    <row r="88" spans="1:13" x14ac:dyDescent="0.2">
      <c r="A88" s="21" t="s">
        <v>9</v>
      </c>
      <c r="B88" s="233">
        <v>164336765.57300001</v>
      </c>
      <c r="C88" s="144">
        <v>160855400.45394</v>
      </c>
      <c r="D88" s="165">
        <f t="shared" si="17"/>
        <v>-2.1</v>
      </c>
      <c r="E88" s="27">
        <f>IFERROR(100/'Skjema total MA'!C88*C88,0)</f>
        <v>42.037555679275698</v>
      </c>
      <c r="F88" s="233"/>
      <c r="G88" s="144"/>
      <c r="H88" s="165"/>
      <c r="I88" s="27"/>
      <c r="J88" s="290">
        <f t="shared" si="37"/>
        <v>164336765.57300001</v>
      </c>
      <c r="K88" s="44">
        <f t="shared" si="37"/>
        <v>160855400.45394</v>
      </c>
      <c r="L88" s="258">
        <f t="shared" si="20"/>
        <v>-2.1</v>
      </c>
      <c r="M88" s="27">
        <f>IFERROR(100/'Skjema total MA'!I88*K88,0)</f>
        <v>42.037555679275698</v>
      </c>
    </row>
    <row r="89" spans="1:13" x14ac:dyDescent="0.2">
      <c r="A89" s="21" t="s">
        <v>10</v>
      </c>
      <c r="B89" s="233">
        <v>48135.366999999998</v>
      </c>
      <c r="C89" s="144">
        <v>48307.640659999997</v>
      </c>
      <c r="D89" s="165">
        <f t="shared" si="17"/>
        <v>0.4</v>
      </c>
      <c r="E89" s="27">
        <f>IFERROR(100/'Skjema total MA'!C89*C89,0)</f>
        <v>1.459290543281667</v>
      </c>
      <c r="F89" s="233">
        <v>137037354.27599999</v>
      </c>
      <c r="G89" s="144">
        <v>132215525.49546</v>
      </c>
      <c r="H89" s="165">
        <f t="shared" si="18"/>
        <v>-3.5</v>
      </c>
      <c r="I89" s="27">
        <f>IFERROR(100/'Skjema total MA'!F89*G89,0)</f>
        <v>30.224118954913088</v>
      </c>
      <c r="J89" s="290">
        <f t="shared" si="37"/>
        <v>137085489.64300001</v>
      </c>
      <c r="K89" s="44">
        <f t="shared" si="37"/>
        <v>132263833.13612001</v>
      </c>
      <c r="L89" s="258">
        <f t="shared" si="20"/>
        <v>-3.5</v>
      </c>
      <c r="M89" s="27">
        <f>IFERROR(100/'Skjema total MA'!I89*K89,0)</f>
        <v>30.008079563832563</v>
      </c>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v>48135.366999999998</v>
      </c>
      <c r="C93" s="284">
        <v>48307.640659999997</v>
      </c>
      <c r="D93" s="165">
        <f t="shared" ref="D93" si="38">IF(B93=0, "    ---- ", IF(ABS(ROUND(100/B93*C93-100,1))&lt;999,ROUND(100/B93*C93-100,1),IF(ROUND(100/B93*C93-100,1)&gt;999,999,-999)))</f>
        <v>0.4</v>
      </c>
      <c r="E93" s="27">
        <f>IFERROR(100/'Skjema total MA'!C93*C93,0)</f>
        <v>1.459290543281667</v>
      </c>
      <c r="F93" s="284">
        <v>137037354.27599999</v>
      </c>
      <c r="G93" s="284">
        <v>132215525.49546</v>
      </c>
      <c r="H93" s="165">
        <f t="shared" ref="H93" si="39">IF(F93=0, "    ---- ", IF(ABS(ROUND(100/F93*G93-100,1))&lt;999,ROUND(100/F93*G93-100,1),IF(ROUND(100/F93*G93-100,1)&gt;999,999,-999)))</f>
        <v>-3.5</v>
      </c>
      <c r="I93" s="27">
        <f>IFERROR(100/'Skjema total MA'!F93*G93,0)</f>
        <v>30.231137186632871</v>
      </c>
      <c r="J93" s="290">
        <f t="shared" ref="J93" si="40">SUM(B93,F93)</f>
        <v>137085489.64300001</v>
      </c>
      <c r="K93" s="44">
        <f t="shared" ref="K93" si="41">SUM(C93,G93)</f>
        <v>132263833.13612001</v>
      </c>
      <c r="L93" s="258">
        <f t="shared" ref="L93" si="42">IF(J93=0, "    ---- ", IF(ABS(ROUND(100/J93*K93-100,1))&lt;999,ROUND(100/J93*K93-100,1),IF(ROUND(100/J93*K93-100,1)&gt;999,999,-999)))</f>
        <v>-3.5</v>
      </c>
      <c r="M93" s="23">
        <f>IFERROR(100/'Skjema total MA'!I93*K93,0)</f>
        <v>30.01499528383971</v>
      </c>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v>137037354.27599999</v>
      </c>
      <c r="G95" s="284">
        <v>132215525.49546</v>
      </c>
      <c r="H95" s="165">
        <f t="shared" ref="H95" si="43">IF(F95=0, "    ---- ", IF(ABS(ROUND(100/F95*G95-100,1))&lt;999,ROUND(100/F95*G95-100,1),IF(ROUND(100/F95*G95-100,1)&gt;999,999,-999)))</f>
        <v>-3.5</v>
      </c>
      <c r="I95" s="27">
        <f>IFERROR(100/'Skjema total MA'!F95*G95,0)</f>
        <v>30.232616843885708</v>
      </c>
      <c r="J95" s="290">
        <f t="shared" ref="J95" si="44">SUM(B95,F95)</f>
        <v>137037354.27599999</v>
      </c>
      <c r="K95" s="44">
        <f t="shared" ref="K95" si="45">SUM(C95,G95)</f>
        <v>132215525.49546</v>
      </c>
      <c r="L95" s="258">
        <f t="shared" ref="L95" si="46">IF(J95=0, "    ---- ", IF(ABS(ROUND(100/J95*K95-100,1))&lt;999,ROUND(100/J95*K95-100,1),IF(ROUND(100/J95*K95-100,1)&gt;999,999,-999)))</f>
        <v>-3.5</v>
      </c>
      <c r="M95" s="23">
        <f>IFERROR(100/'Skjema total MA'!I95*K95,0)</f>
        <v>30.232616843885708</v>
      </c>
    </row>
    <row r="96" spans="1:13" x14ac:dyDescent="0.2">
      <c r="A96" s="21" t="s">
        <v>333</v>
      </c>
      <c r="B96" s="233">
        <v>720179.11699999997</v>
      </c>
      <c r="C96" s="144">
        <v>1357996.6658300001</v>
      </c>
      <c r="D96" s="165">
        <f t="shared" si="17"/>
        <v>88.6</v>
      </c>
      <c r="E96" s="27">
        <f>IFERROR(100/'Skjema total MA'!C96*C96,0)</f>
        <v>36.041612668796354</v>
      </c>
      <c r="F96" s="233">
        <v>3140330.82</v>
      </c>
      <c r="G96" s="144">
        <v>3739782.6274700002</v>
      </c>
      <c r="H96" s="165">
        <f t="shared" si="18"/>
        <v>19.100000000000001</v>
      </c>
      <c r="I96" s="27">
        <f>IFERROR(100/'Skjema total MA'!F96*G96,0)</f>
        <v>68.240303049890969</v>
      </c>
      <c r="J96" s="290">
        <f t="shared" si="37"/>
        <v>3860509.9369999999</v>
      </c>
      <c r="K96" s="44">
        <f t="shared" si="37"/>
        <v>5097779.2933</v>
      </c>
      <c r="L96" s="258">
        <f t="shared" si="20"/>
        <v>32</v>
      </c>
      <c r="M96" s="27">
        <f>IFERROR(100/'Skjema total MA'!I96*K96,0)</f>
        <v>55.122025010427478</v>
      </c>
    </row>
    <row r="97" spans="1:15" x14ac:dyDescent="0.2">
      <c r="A97" s="21" t="s">
        <v>332</v>
      </c>
      <c r="B97" s="233">
        <v>6349398.7070000004</v>
      </c>
      <c r="C97" s="144">
        <v>6934029.54048</v>
      </c>
      <c r="D97" s="165">
        <f t="shared" ref="D97" si="47">IF(B97=0, "    ---- ", IF(ABS(ROUND(100/B97*C97-100,1))&lt;999,ROUND(100/B97*C97-100,1),IF(ROUND(100/B97*C97-100,1)&gt;999,999,-999)))</f>
        <v>9.1999999999999993</v>
      </c>
      <c r="E97" s="27">
        <f>IFERROR(100/'Skjema total MA'!C98*C97,0)</f>
        <v>1.8175077290962776</v>
      </c>
      <c r="F97" s="233"/>
      <c r="G97" s="144"/>
      <c r="H97" s="165"/>
      <c r="I97" s="27"/>
      <c r="J97" s="290">
        <f t="shared" ref="J97" si="48">SUM(B97,F97)</f>
        <v>6349398.7070000004</v>
      </c>
      <c r="K97" s="44">
        <f t="shared" ref="K97" si="49">SUM(C97,G97)</f>
        <v>6934029.54048</v>
      </c>
      <c r="L97" s="258">
        <f t="shared" ref="L97" si="50">IF(J97=0, "    ---- ", IF(ABS(ROUND(100/J97*K97-100,1))&lt;999,ROUND(100/J97*K97-100,1),IF(ROUND(100/J97*K97-100,1)&gt;999,999,-999)))</f>
        <v>9.1999999999999993</v>
      </c>
      <c r="M97" s="27">
        <f>IFERROR(100/'Skjema total MA'!I98*K97,0)</f>
        <v>0.8468960739196234</v>
      </c>
    </row>
    <row r="98" spans="1:15" ht="15.75" x14ac:dyDescent="0.2">
      <c r="A98" s="21" t="s">
        <v>443</v>
      </c>
      <c r="B98" s="233">
        <v>161036116.99600002</v>
      </c>
      <c r="C98" s="233">
        <v>157630253.60459998</v>
      </c>
      <c r="D98" s="165">
        <f t="shared" si="17"/>
        <v>-2.1</v>
      </c>
      <c r="E98" s="27">
        <f>IFERROR(100/'Skjema total MA'!C98*C98,0)</f>
        <v>41.317130622713591</v>
      </c>
      <c r="F98" s="295">
        <v>137037354.27599999</v>
      </c>
      <c r="G98" s="295">
        <v>132215525.49546</v>
      </c>
      <c r="H98" s="165">
        <f t="shared" si="18"/>
        <v>-3.5</v>
      </c>
      <c r="I98" s="27">
        <f>IFERROR(100/'Skjema total MA'!F98*G98,0)</f>
        <v>30.238319524021335</v>
      </c>
      <c r="J98" s="290">
        <f t="shared" si="37"/>
        <v>298073471.27200001</v>
      </c>
      <c r="K98" s="44">
        <f t="shared" si="37"/>
        <v>289845779.10005999</v>
      </c>
      <c r="L98" s="258">
        <f t="shared" si="20"/>
        <v>-2.8</v>
      </c>
      <c r="M98" s="27">
        <f>IFERROR(100/'Skjema total MA'!I98*K98,0)</f>
        <v>35.40066435093712</v>
      </c>
    </row>
    <row r="99" spans="1:15" x14ac:dyDescent="0.2">
      <c r="A99" s="21" t="s">
        <v>9</v>
      </c>
      <c r="B99" s="295">
        <v>160987981.62900001</v>
      </c>
      <c r="C99" s="296">
        <v>157581945.96393999</v>
      </c>
      <c r="D99" s="165">
        <f t="shared" si="17"/>
        <v>-2.1</v>
      </c>
      <c r="E99" s="27">
        <f>IFERROR(100/'Skjema total MA'!C99*C99,0)</f>
        <v>41.666000216820422</v>
      </c>
      <c r="F99" s="233"/>
      <c r="G99" s="144"/>
      <c r="H99" s="165"/>
      <c r="I99" s="27"/>
      <c r="J99" s="290">
        <f t="shared" si="37"/>
        <v>160987981.62900001</v>
      </c>
      <c r="K99" s="44">
        <f t="shared" si="37"/>
        <v>157581945.96393999</v>
      </c>
      <c r="L99" s="258">
        <f t="shared" si="20"/>
        <v>-2.1</v>
      </c>
      <c r="M99" s="27">
        <f>IFERROR(100/'Skjema total MA'!I99*K99,0)</f>
        <v>41.666000216820422</v>
      </c>
    </row>
    <row r="100" spans="1:15" x14ac:dyDescent="0.2">
      <c r="A100" s="38" t="s">
        <v>473</v>
      </c>
      <c r="B100" s="295">
        <v>48135.366999999998</v>
      </c>
      <c r="C100" s="296">
        <v>48307.640659999997</v>
      </c>
      <c r="D100" s="165">
        <f t="shared" si="17"/>
        <v>0.4</v>
      </c>
      <c r="E100" s="27">
        <f>IFERROR(100/'Skjema total MA'!C100*C100,0)</f>
        <v>1.4592907115716169</v>
      </c>
      <c r="F100" s="233">
        <v>137037354.27599999</v>
      </c>
      <c r="G100" s="233">
        <v>132215525.49546</v>
      </c>
      <c r="H100" s="165">
        <f t="shared" si="18"/>
        <v>-3.5</v>
      </c>
      <c r="I100" s="27">
        <f>IFERROR(100/'Skjema total MA'!F100*G100,0)</f>
        <v>30.238319524021335</v>
      </c>
      <c r="J100" s="290">
        <f t="shared" si="37"/>
        <v>137085489.64300001</v>
      </c>
      <c r="K100" s="44">
        <f t="shared" si="37"/>
        <v>132263833.13612001</v>
      </c>
      <c r="L100" s="258">
        <f t="shared" si="20"/>
        <v>-3.5</v>
      </c>
      <c r="M100" s="27">
        <f>IFERROR(100/'Skjema total MA'!I100*K100,0)</f>
        <v>30.022072713549058</v>
      </c>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v>48135.366999999998</v>
      </c>
      <c r="C104" s="284">
        <v>48307.640659999997</v>
      </c>
      <c r="D104" s="165">
        <f t="shared" ref="D104" si="51">IF(B104=0, "    ---- ", IF(ABS(ROUND(100/B104*C104-100,1))&lt;999,ROUND(100/B104*C104-100,1),IF(ROUND(100/B104*C104-100,1)&gt;999,999,-999)))</f>
        <v>0.4</v>
      </c>
      <c r="E104" s="27">
        <f>IFERROR(100/'Skjema total MA'!C104*C104,0)</f>
        <v>1.4592907115716169</v>
      </c>
      <c r="F104" s="284">
        <v>137037354.27599999</v>
      </c>
      <c r="G104" s="284">
        <v>132215525.49546</v>
      </c>
      <c r="H104" s="165">
        <f t="shared" ref="H104" si="52">IF(F104=0, "    ---- ", IF(ABS(ROUND(100/F104*G104-100,1))&lt;999,ROUND(100/F104*G104-100,1),IF(ROUND(100/F104*G104-100,1)&gt;999,999,-999)))</f>
        <v>-3.5</v>
      </c>
      <c r="I104" s="27">
        <f>IFERROR(100/'Skjema total MA'!F104*G104,0)</f>
        <v>30.238319524021335</v>
      </c>
      <c r="J104" s="290">
        <f t="shared" ref="J104" si="53">SUM(B104,F104)</f>
        <v>137085489.64300001</v>
      </c>
      <c r="K104" s="44">
        <f t="shared" ref="K104" si="54">SUM(C104,G104)</f>
        <v>132263833.13612001</v>
      </c>
      <c r="L104" s="258">
        <f t="shared" ref="L104" si="55">IF(J104=0, "    ---- ", IF(ABS(ROUND(100/J104*K104-100,1))&lt;999,ROUND(100/J104*K104-100,1),IF(ROUND(100/J104*K104-100,1)&gt;999,999,-999)))</f>
        <v>-3.5</v>
      </c>
      <c r="M104" s="23">
        <f>IFERROR(100/'Skjema total MA'!I104*K104,0)</f>
        <v>30.022072713549058</v>
      </c>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v>137037354.27599999</v>
      </c>
      <c r="G106" s="284">
        <v>132215525.49546</v>
      </c>
      <c r="H106" s="165">
        <f t="shared" ref="H106" si="56">IF(F106=0, "    ---- ", IF(ABS(ROUND(100/F106*G106-100,1))&lt;999,ROUND(100/F106*G106-100,1),IF(ROUND(100/F106*G106-100,1)&gt;999,999,-999)))</f>
        <v>-3.5</v>
      </c>
      <c r="I106" s="27">
        <f>IFERROR(100/'Skjema total MA'!F106*G106,0)</f>
        <v>30.238326986536471</v>
      </c>
      <c r="J106" s="290">
        <f t="shared" ref="J106" si="57">SUM(B106,F106)</f>
        <v>137037354.27599999</v>
      </c>
      <c r="K106" s="44">
        <f t="shared" ref="K106" si="58">SUM(C106,G106)</f>
        <v>132215525.49546</v>
      </c>
      <c r="L106" s="258">
        <f t="shared" ref="L106" si="59">IF(J106=0, "    ---- ", IF(ABS(ROUND(100/J106*K106-100,1))&lt;999,ROUND(100/J106*K106-100,1),IF(ROUND(100/J106*K106-100,1)&gt;999,999,-999)))</f>
        <v>-3.5</v>
      </c>
      <c r="M106" s="23">
        <f>IFERROR(100/'Skjema total MA'!I106*K106,0)</f>
        <v>30.238326986536471</v>
      </c>
    </row>
    <row r="107" spans="1:15" ht="15.75" x14ac:dyDescent="0.2">
      <c r="A107" s="21" t="s">
        <v>444</v>
      </c>
      <c r="B107" s="233">
        <v>3348783.9440000001</v>
      </c>
      <c r="C107" s="144">
        <v>3273454.49</v>
      </c>
      <c r="D107" s="165">
        <f t="shared" si="17"/>
        <v>-2.2000000000000002</v>
      </c>
      <c r="E107" s="27">
        <f>IFERROR(100/'Skjema total MA'!C107*C107,0)</f>
        <v>73.657227523851475</v>
      </c>
      <c r="F107" s="233"/>
      <c r="G107" s="144"/>
      <c r="H107" s="165"/>
      <c r="I107" s="27"/>
      <c r="J107" s="290">
        <f t="shared" si="37"/>
        <v>3348783.9440000001</v>
      </c>
      <c r="K107" s="44">
        <f t="shared" si="37"/>
        <v>3273454.49</v>
      </c>
      <c r="L107" s="258">
        <f t="shared" si="20"/>
        <v>-2.2000000000000002</v>
      </c>
      <c r="M107" s="27">
        <f>IFERROR(100/'Skjema total MA'!I107*K107,0)</f>
        <v>70.726456358729664</v>
      </c>
    </row>
    <row r="108" spans="1:15" ht="15.75" x14ac:dyDescent="0.2">
      <c r="A108" s="21" t="s">
        <v>445</v>
      </c>
      <c r="B108" s="233">
        <v>143824402.62</v>
      </c>
      <c r="C108" s="233">
        <v>141065939.65685001</v>
      </c>
      <c r="D108" s="165">
        <f t="shared" si="17"/>
        <v>-1.9</v>
      </c>
      <c r="E108" s="27">
        <f>IFERROR(100/'Skjema total MA'!C108*C108,0)</f>
        <v>42.931277632186386</v>
      </c>
      <c r="F108" s="233">
        <v>19905186.077</v>
      </c>
      <c r="G108" s="233">
        <v>18321077.66316</v>
      </c>
      <c r="H108" s="165">
        <f t="shared" si="18"/>
        <v>-8</v>
      </c>
      <c r="I108" s="27">
        <f>IFERROR(100/'Skjema total MA'!F108*G108,0)</f>
        <v>95.275284305289119</v>
      </c>
      <c r="J108" s="290">
        <f t="shared" si="37"/>
        <v>163729588.697</v>
      </c>
      <c r="K108" s="44">
        <f t="shared" si="37"/>
        <v>159387017.32001001</v>
      </c>
      <c r="L108" s="258">
        <f t="shared" si="20"/>
        <v>-2.7</v>
      </c>
      <c r="M108" s="27">
        <f>IFERROR(100/'Skjema total MA'!I108*K108,0)</f>
        <v>45.825216173499165</v>
      </c>
    </row>
    <row r="109" spans="1:15" ht="15.75" x14ac:dyDescent="0.2">
      <c r="A109" s="38" t="s">
        <v>481</v>
      </c>
      <c r="B109" s="233">
        <v>359794.54</v>
      </c>
      <c r="C109" s="233">
        <v>411417.75599999999</v>
      </c>
      <c r="D109" s="165">
        <f t="shared" si="17"/>
        <v>14.3</v>
      </c>
      <c r="E109" s="27">
        <f>IFERROR(100/'Skjema total MA'!C109*C109,0)</f>
        <v>22.781793068396077</v>
      </c>
      <c r="F109" s="233">
        <v>40181421.615000002</v>
      </c>
      <c r="G109" s="233">
        <v>40385752.162639998</v>
      </c>
      <c r="H109" s="165">
        <f t="shared" si="18"/>
        <v>0.5</v>
      </c>
      <c r="I109" s="27">
        <f>IFERROR(100/'Skjema total MA'!F109*G109,0)</f>
        <v>25.29787602120242</v>
      </c>
      <c r="J109" s="290">
        <f t="shared" si="37"/>
        <v>40541216.155000001</v>
      </c>
      <c r="K109" s="44">
        <f t="shared" si="37"/>
        <v>40797169.918639995</v>
      </c>
      <c r="L109" s="258">
        <f t="shared" si="20"/>
        <v>0.6</v>
      </c>
      <c r="M109" s="27">
        <f>IFERROR(100/'Skjema total MA'!I109*K109,0)</f>
        <v>25.269731706569587</v>
      </c>
      <c r="O109" s="3"/>
    </row>
    <row r="110" spans="1:15" ht="15.75" x14ac:dyDescent="0.2">
      <c r="A110" s="21" t="s">
        <v>446</v>
      </c>
      <c r="B110" s="233">
        <v>355704</v>
      </c>
      <c r="C110" s="233">
        <v>668308.34565999999</v>
      </c>
      <c r="D110" s="165">
        <f t="shared" si="17"/>
        <v>87.9</v>
      </c>
      <c r="E110" s="27">
        <f>IFERROR(100/'Skjema total MA'!C110*C110,0)</f>
        <v>45.491055628393546</v>
      </c>
      <c r="F110" s="233"/>
      <c r="G110" s="233"/>
      <c r="H110" s="165"/>
      <c r="I110" s="27"/>
      <c r="J110" s="290">
        <f t="shared" si="37"/>
        <v>355704</v>
      </c>
      <c r="K110" s="44">
        <f t="shared" si="37"/>
        <v>668308.34565999999</v>
      </c>
      <c r="L110" s="258">
        <f t="shared" si="20"/>
        <v>87.9</v>
      </c>
      <c r="M110" s="27">
        <f>IFERROR(100/'Skjema total MA'!I110*K110,0)</f>
        <v>45.491055628393546</v>
      </c>
    </row>
    <row r="111" spans="1:15" ht="15.75" x14ac:dyDescent="0.2">
      <c r="A111" s="13" t="s">
        <v>427</v>
      </c>
      <c r="B111" s="311">
        <v>117249.001</v>
      </c>
      <c r="C111" s="158">
        <v>295001.88800000004</v>
      </c>
      <c r="D111" s="170">
        <f t="shared" si="17"/>
        <v>151.6</v>
      </c>
      <c r="E111" s="11">
        <f>IFERROR(100/'Skjema total MA'!C111*C111,0)</f>
        <v>38.038532802798912</v>
      </c>
      <c r="F111" s="311">
        <v>12161231.388</v>
      </c>
      <c r="G111" s="158">
        <v>5649372.9629800003</v>
      </c>
      <c r="H111" s="170">
        <f t="shared" si="18"/>
        <v>-53.5</v>
      </c>
      <c r="I111" s="11">
        <f>IFERROR(100/'Skjema total MA'!F111*G111,0)</f>
        <v>13.912331388569832</v>
      </c>
      <c r="J111" s="312">
        <f t="shared" si="37"/>
        <v>12278480.389</v>
      </c>
      <c r="K111" s="235">
        <f t="shared" si="37"/>
        <v>5944374.8509800006</v>
      </c>
      <c r="L111" s="426">
        <f t="shared" si="20"/>
        <v>-51.6</v>
      </c>
      <c r="M111" s="11">
        <f>IFERROR(100/'Skjema total MA'!I111*K111,0)</f>
        <v>14.364471945218822</v>
      </c>
    </row>
    <row r="112" spans="1:15" x14ac:dyDescent="0.2">
      <c r="A112" s="21" t="s">
        <v>9</v>
      </c>
      <c r="B112" s="233">
        <v>5605.4290000000001</v>
      </c>
      <c r="C112" s="144">
        <v>12143.983</v>
      </c>
      <c r="D112" s="165">
        <f t="shared" ref="D112:D125" si="60">IF(B112=0, "    ---- ", IF(ABS(ROUND(100/B112*C112-100,1))&lt;999,ROUND(100/B112*C112-100,1),IF(ROUND(100/B112*C112-100,1)&gt;999,999,-999)))</f>
        <v>116.6</v>
      </c>
      <c r="E112" s="27">
        <f>IFERROR(100/'Skjema total MA'!C112*C112,0)</f>
        <v>2.5291982766583305</v>
      </c>
      <c r="F112" s="233">
        <v>11434.885</v>
      </c>
      <c r="G112" s="144">
        <v>4486.2449999999999</v>
      </c>
      <c r="H112" s="165">
        <f t="shared" ref="H112:H125" si="61">IF(F112=0, "    ---- ", IF(ABS(ROUND(100/F112*G112-100,1))&lt;999,ROUND(100/F112*G112-100,1),IF(ROUND(100/F112*G112-100,1)&gt;999,999,-999)))</f>
        <v>-60.8</v>
      </c>
      <c r="I112" s="27">
        <f>IFERROR(100/'Skjema total MA'!F112*G112,0)</f>
        <v>100</v>
      </c>
      <c r="J112" s="290">
        <f t="shared" ref="J112:K125" si="62">SUM(B112,F112)</f>
        <v>17040.313999999998</v>
      </c>
      <c r="K112" s="44">
        <f t="shared" si="62"/>
        <v>16630.227999999999</v>
      </c>
      <c r="L112" s="258">
        <f t="shared" ref="L112:L125" si="63">IF(J112=0, "    ---- ", IF(ABS(ROUND(100/J112*K112-100,1))&lt;999,ROUND(100/J112*K112-100,1),IF(ROUND(100/J112*K112-100,1)&gt;999,999,-999)))</f>
        <v>-2.4</v>
      </c>
      <c r="M112" s="27">
        <f>IFERROR(100/'Skjema total MA'!I112*K112,0)</f>
        <v>3.4314761489834904</v>
      </c>
    </row>
    <row r="113" spans="1:14" x14ac:dyDescent="0.2">
      <c r="A113" s="21" t="s">
        <v>10</v>
      </c>
      <c r="B113" s="233"/>
      <c r="C113" s="144"/>
      <c r="D113" s="165"/>
      <c r="E113" s="27"/>
      <c r="F113" s="233">
        <v>12149796.503</v>
      </c>
      <c r="G113" s="144">
        <v>5643826.2569800001</v>
      </c>
      <c r="H113" s="165">
        <f t="shared" si="61"/>
        <v>-53.5</v>
      </c>
      <c r="I113" s="27">
        <f>IFERROR(100/'Skjema total MA'!F113*G113,0)</f>
        <v>13.900570636711274</v>
      </c>
      <c r="J113" s="290">
        <f t="shared" si="62"/>
        <v>12149796.503</v>
      </c>
      <c r="K113" s="44">
        <f t="shared" si="62"/>
        <v>5643826.2569800001</v>
      </c>
      <c r="L113" s="258">
        <f t="shared" si="63"/>
        <v>-53.5</v>
      </c>
      <c r="M113" s="27">
        <f>IFERROR(100/'Skjema total MA'!I113*K113,0)</f>
        <v>13.900508681267237</v>
      </c>
    </row>
    <row r="114" spans="1:14" x14ac:dyDescent="0.2">
      <c r="A114" s="21" t="s">
        <v>26</v>
      </c>
      <c r="B114" s="233">
        <v>111643.572</v>
      </c>
      <c r="C114" s="144">
        <v>282857.90500000003</v>
      </c>
      <c r="D114" s="165">
        <f t="shared" si="60"/>
        <v>153.4</v>
      </c>
      <c r="E114" s="27">
        <f>IFERROR(100/'Skjema total MA'!C114*C114,0)</f>
        <v>95.818455168844523</v>
      </c>
      <c r="F114" s="233">
        <v>0</v>
      </c>
      <c r="G114" s="144">
        <v>1060.461</v>
      </c>
      <c r="H114" s="165" t="str">
        <f t="shared" si="61"/>
        <v xml:space="preserve">    ---- </v>
      </c>
      <c r="I114" s="27">
        <f>IFERROR(100/'Skjema total MA'!F114*G114,0)</f>
        <v>100</v>
      </c>
      <c r="J114" s="290">
        <f t="shared" si="62"/>
        <v>111643.572</v>
      </c>
      <c r="K114" s="44">
        <f t="shared" si="62"/>
        <v>283918.36600000004</v>
      </c>
      <c r="L114" s="258">
        <f t="shared" si="63"/>
        <v>154.30000000000001</v>
      </c>
      <c r="M114" s="27">
        <f>IFERROR(100/'Skjema total MA'!I114*K114,0)</f>
        <v>95.833422865461074</v>
      </c>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v>502.11200000000002</v>
      </c>
      <c r="C116" s="233">
        <v>7357.549</v>
      </c>
      <c r="D116" s="165">
        <f t="shared" si="60"/>
        <v>999</v>
      </c>
      <c r="E116" s="27">
        <f>IFERROR(100/'Skjema total MA'!C116*C116,0)</f>
        <v>6.3935626589994357</v>
      </c>
      <c r="F116" s="233">
        <v>11434.885</v>
      </c>
      <c r="G116" s="233">
        <v>4486.2449999999999</v>
      </c>
      <c r="H116" s="165">
        <f t="shared" si="61"/>
        <v>-60.8</v>
      </c>
      <c r="I116" s="27">
        <f>IFERROR(100/'Skjema total MA'!F116*G116,0)</f>
        <v>100</v>
      </c>
      <c r="J116" s="290">
        <f t="shared" si="62"/>
        <v>11936.996999999999</v>
      </c>
      <c r="K116" s="44">
        <f t="shared" si="62"/>
        <v>11843.794</v>
      </c>
      <c r="L116" s="258">
        <f t="shared" si="63"/>
        <v>-0.8</v>
      </c>
      <c r="M116" s="27">
        <f>IFERROR(100/'Skjema total MA'!I116*K116,0)</f>
        <v>9.9058445809015083</v>
      </c>
    </row>
    <row r="117" spans="1:14" ht="15.75" x14ac:dyDescent="0.2">
      <c r="A117" s="38" t="s">
        <v>481</v>
      </c>
      <c r="B117" s="233"/>
      <c r="C117" s="233"/>
      <c r="D117" s="165"/>
      <c r="E117" s="27"/>
      <c r="F117" s="233">
        <v>10638906.517000001</v>
      </c>
      <c r="G117" s="233">
        <v>427137.0405</v>
      </c>
      <c r="H117" s="165">
        <f t="shared" si="61"/>
        <v>-96</v>
      </c>
      <c r="I117" s="27">
        <f>IFERROR(100/'Skjema total MA'!F117*G117,0)</f>
        <v>1.8618016964339932</v>
      </c>
      <c r="J117" s="290">
        <f t="shared" si="62"/>
        <v>10638906.517000001</v>
      </c>
      <c r="K117" s="44">
        <f t="shared" si="62"/>
        <v>427137.0405</v>
      </c>
      <c r="L117" s="258">
        <f t="shared" si="63"/>
        <v>-96</v>
      </c>
      <c r="M117" s="27">
        <f>IFERROR(100/'Skjema total MA'!I117*K117,0)</f>
        <v>1.8617870110275492</v>
      </c>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v>297226.049</v>
      </c>
      <c r="C119" s="158">
        <v>167869.03399999999</v>
      </c>
      <c r="D119" s="170">
        <f t="shared" si="60"/>
        <v>-43.5</v>
      </c>
      <c r="E119" s="11">
        <f>IFERROR(100/'Skjema total MA'!C119*C119,0)</f>
        <v>27.009564862079195</v>
      </c>
      <c r="F119" s="311">
        <v>21425981.335999999</v>
      </c>
      <c r="G119" s="158">
        <v>9518006.6640000008</v>
      </c>
      <c r="H119" s="170">
        <f t="shared" si="61"/>
        <v>-55.6</v>
      </c>
      <c r="I119" s="11">
        <f>IFERROR(100/'Skjema total MA'!F119*G119,0)</f>
        <v>22.105465935471532</v>
      </c>
      <c r="J119" s="312">
        <f t="shared" si="62"/>
        <v>21723207.384999998</v>
      </c>
      <c r="K119" s="235">
        <f t="shared" si="62"/>
        <v>9685875.6980000008</v>
      </c>
      <c r="L119" s="426">
        <f t="shared" si="63"/>
        <v>-55.4</v>
      </c>
      <c r="M119" s="11">
        <f>IFERROR(100/'Skjema total MA'!I119*K119,0)</f>
        <v>22.175247678626967</v>
      </c>
    </row>
    <row r="120" spans="1:14" x14ac:dyDescent="0.2">
      <c r="A120" s="21" t="s">
        <v>9</v>
      </c>
      <c r="B120" s="233">
        <v>159195.53</v>
      </c>
      <c r="C120" s="144">
        <v>11441.120999999999</v>
      </c>
      <c r="D120" s="165">
        <f t="shared" si="60"/>
        <v>-92.8</v>
      </c>
      <c r="E120" s="27">
        <f>IFERROR(100/'Skjema total MA'!C120*C120,0)</f>
        <v>5.2456681917386163</v>
      </c>
      <c r="F120" s="233"/>
      <c r="G120" s="144"/>
      <c r="H120" s="165"/>
      <c r="I120" s="27"/>
      <c r="J120" s="290">
        <f t="shared" si="62"/>
        <v>159195.53</v>
      </c>
      <c r="K120" s="44">
        <f t="shared" si="62"/>
        <v>11441.120999999999</v>
      </c>
      <c r="L120" s="258">
        <f t="shared" si="63"/>
        <v>-92.8</v>
      </c>
      <c r="M120" s="27">
        <f>IFERROR(100/'Skjema total MA'!I120*K120,0)</f>
        <v>5.2456681917386163</v>
      </c>
    </row>
    <row r="121" spans="1:14" x14ac:dyDescent="0.2">
      <c r="A121" s="21" t="s">
        <v>10</v>
      </c>
      <c r="B121" s="233"/>
      <c r="C121" s="144"/>
      <c r="D121" s="165"/>
      <c r="E121" s="27"/>
      <c r="F121" s="233">
        <v>21425981.335999999</v>
      </c>
      <c r="G121" s="144">
        <v>9518006.6640000008</v>
      </c>
      <c r="H121" s="165">
        <f t="shared" si="61"/>
        <v>-55.6</v>
      </c>
      <c r="I121" s="27">
        <f>IFERROR(100/'Skjema total MA'!F121*G121,0)</f>
        <v>22.105465935471532</v>
      </c>
      <c r="J121" s="290">
        <f t="shared" si="62"/>
        <v>21425981.335999999</v>
      </c>
      <c r="K121" s="44">
        <f t="shared" si="62"/>
        <v>9518006.6640000008</v>
      </c>
      <c r="L121" s="258">
        <f t="shared" si="63"/>
        <v>-55.6</v>
      </c>
      <c r="M121" s="27">
        <f>IFERROR(100/'Skjema total MA'!I121*K121,0)</f>
        <v>22.101273303971364</v>
      </c>
    </row>
    <row r="122" spans="1:14" x14ac:dyDescent="0.2">
      <c r="A122" s="21" t="s">
        <v>26</v>
      </c>
      <c r="B122" s="233">
        <v>138030.519</v>
      </c>
      <c r="C122" s="144">
        <v>156427.913</v>
      </c>
      <c r="D122" s="165">
        <f t="shared" si="60"/>
        <v>13.3</v>
      </c>
      <c r="E122" s="27">
        <f>IFERROR(100/'Skjema total MA'!C122*C122,0)</f>
        <v>39.577664229997211</v>
      </c>
      <c r="F122" s="233"/>
      <c r="G122" s="144"/>
      <c r="H122" s="165"/>
      <c r="I122" s="27"/>
      <c r="J122" s="290">
        <f t="shared" si="62"/>
        <v>138030.519</v>
      </c>
      <c r="K122" s="44">
        <f t="shared" si="62"/>
        <v>156427.913</v>
      </c>
      <c r="L122" s="258">
        <f t="shared" si="63"/>
        <v>13.3</v>
      </c>
      <c r="M122" s="27">
        <f>IFERROR(100/'Skjema total MA'!I122*K122,0)</f>
        <v>39.577664229997211</v>
      </c>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v>6398.9260000000004</v>
      </c>
      <c r="C124" s="233">
        <v>2107.1</v>
      </c>
      <c r="D124" s="165">
        <f t="shared" si="60"/>
        <v>-67.099999999999994</v>
      </c>
      <c r="E124" s="27">
        <f>IFERROR(100/'Skjema total MA'!C124*C124,0)</f>
        <v>3.2219097816330802</v>
      </c>
      <c r="F124" s="233">
        <v>44396.533000000003</v>
      </c>
      <c r="G124" s="233">
        <v>13877.877</v>
      </c>
      <c r="H124" s="165">
        <f t="shared" si="61"/>
        <v>-68.7</v>
      </c>
      <c r="I124" s="27">
        <f>IFERROR(100/'Skjema total MA'!F124*G124,0)</f>
        <v>100</v>
      </c>
      <c r="J124" s="290">
        <f t="shared" si="62"/>
        <v>50795.459000000003</v>
      </c>
      <c r="K124" s="44">
        <f t="shared" si="62"/>
        <v>15984.977000000001</v>
      </c>
      <c r="L124" s="258">
        <f t="shared" si="63"/>
        <v>-68.5</v>
      </c>
      <c r="M124" s="27">
        <f>IFERROR(100/'Skjema total MA'!I124*K124,0)</f>
        <v>20.163454264912247</v>
      </c>
    </row>
    <row r="125" spans="1:14" ht="15.75" x14ac:dyDescent="0.2">
      <c r="A125" s="38" t="s">
        <v>481</v>
      </c>
      <c r="B125" s="233">
        <v>398.26600000000002</v>
      </c>
      <c r="C125" s="233">
        <v>0</v>
      </c>
      <c r="D125" s="165">
        <f t="shared" si="60"/>
        <v>-100</v>
      </c>
      <c r="E125" s="27">
        <f>IFERROR(100/'Skjema total MA'!C125*C125,0)</f>
        <v>0</v>
      </c>
      <c r="F125" s="233">
        <v>17125498.921999998</v>
      </c>
      <c r="G125" s="233">
        <v>796431.39821677597</v>
      </c>
      <c r="H125" s="165">
        <f t="shared" si="61"/>
        <v>-95.3</v>
      </c>
      <c r="I125" s="27">
        <f>IFERROR(100/'Skjema total MA'!F125*G125,0)</f>
        <v>3.5477620951107065</v>
      </c>
      <c r="J125" s="290">
        <f t="shared" si="62"/>
        <v>17125897.187999997</v>
      </c>
      <c r="K125" s="44">
        <f t="shared" si="62"/>
        <v>796431.39821677597</v>
      </c>
      <c r="L125" s="258">
        <f t="shared" si="63"/>
        <v>-95.3</v>
      </c>
      <c r="M125" s="27">
        <f>IFERROR(100/'Skjema total MA'!I125*K125,0)</f>
        <v>3.5476258718738785</v>
      </c>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v>889241.11300000001</v>
      </c>
      <c r="C134" s="312">
        <v>1321247.9210000001</v>
      </c>
      <c r="D134" s="351">
        <f t="shared" ref="D134:D137" si="64">IF(B134=0, "    ---- ", IF(ABS(ROUND(100/B134*C134-100,1))&lt;999,ROUND(100/B134*C134-100,1),IF(ROUND(100/B134*C134-100,1)&gt;999,999,-999)))</f>
        <v>48.6</v>
      </c>
      <c r="E134" s="11">
        <f>IFERROR(100/'Skjema total MA'!C134*C134,0)</f>
        <v>2.2174179754566667</v>
      </c>
      <c r="F134" s="319"/>
      <c r="G134" s="320"/>
      <c r="H134" s="429"/>
      <c r="I134" s="24"/>
      <c r="J134" s="321">
        <f t="shared" ref="J134:K137" si="65">SUM(B134,F134)</f>
        <v>889241.11300000001</v>
      </c>
      <c r="K134" s="321">
        <f t="shared" si="65"/>
        <v>1321247.9210000001</v>
      </c>
      <c r="L134" s="425">
        <f t="shared" ref="L134:L137" si="66">IF(J134=0, "    ---- ", IF(ABS(ROUND(100/J134*K134-100,1))&lt;999,ROUND(100/J134*K134-100,1),IF(ROUND(100/J134*K134-100,1)&gt;999,999,-999)))</f>
        <v>48.6</v>
      </c>
      <c r="M134" s="11">
        <f>IFERROR(100/'Skjema total MA'!I134*K134,0)</f>
        <v>2.2113335653971862</v>
      </c>
      <c r="N134" s="147"/>
    </row>
    <row r="135" spans="1:14" s="3" customFormat="1" ht="15.75" x14ac:dyDescent="0.2">
      <c r="A135" s="13" t="s">
        <v>453</v>
      </c>
      <c r="B135" s="235">
        <v>11838689.231000001</v>
      </c>
      <c r="C135" s="312">
        <v>16401740.38037</v>
      </c>
      <c r="D135" s="170">
        <f t="shared" si="64"/>
        <v>38.5</v>
      </c>
      <c r="E135" s="11">
        <f>IFERROR(100/'Skjema total MA'!C135*C135,0)</f>
        <v>2.1186404131203482</v>
      </c>
      <c r="F135" s="235"/>
      <c r="G135" s="312"/>
      <c r="H135" s="430"/>
      <c r="I135" s="24"/>
      <c r="J135" s="311">
        <f t="shared" si="65"/>
        <v>11838689.231000001</v>
      </c>
      <c r="K135" s="311">
        <f t="shared" si="65"/>
        <v>16401740.38037</v>
      </c>
      <c r="L135" s="426">
        <f t="shared" si="66"/>
        <v>38.5</v>
      </c>
      <c r="M135" s="11">
        <f>IFERROR(100/'Skjema total MA'!I135*K135,0)</f>
        <v>2.1116801229411331</v>
      </c>
      <c r="N135" s="147"/>
    </row>
    <row r="136" spans="1:14" s="3" customFormat="1" ht="15.75" x14ac:dyDescent="0.2">
      <c r="A136" s="13" t="s">
        <v>450</v>
      </c>
      <c r="B136" s="235">
        <v>6832881.0180000002</v>
      </c>
      <c r="C136" s="312">
        <v>3467275.9040000001</v>
      </c>
      <c r="D136" s="170">
        <f t="shared" si="64"/>
        <v>-49.3</v>
      </c>
      <c r="E136" s="11">
        <f>IFERROR(100/'Skjema total MA'!C136*C136,0)</f>
        <v>99.73267338779371</v>
      </c>
      <c r="F136" s="235"/>
      <c r="G136" s="312"/>
      <c r="H136" s="430"/>
      <c r="I136" s="24"/>
      <c r="J136" s="311">
        <f t="shared" si="65"/>
        <v>6832881.0180000002</v>
      </c>
      <c r="K136" s="311">
        <f t="shared" si="65"/>
        <v>3467275.9040000001</v>
      </c>
      <c r="L136" s="426">
        <f t="shared" si="66"/>
        <v>-49.3</v>
      </c>
      <c r="M136" s="11">
        <f>IFERROR(100/'Skjema total MA'!I136*K136,0)</f>
        <v>89.991161922996369</v>
      </c>
      <c r="N136" s="147"/>
    </row>
    <row r="137" spans="1:14" s="3" customFormat="1" ht="15.75" x14ac:dyDescent="0.2">
      <c r="A137" s="41" t="s">
        <v>451</v>
      </c>
      <c r="B137" s="279">
        <v>0</v>
      </c>
      <c r="C137" s="318">
        <v>10460.601000000001</v>
      </c>
      <c r="D137" s="168" t="str">
        <f t="shared" si="64"/>
        <v xml:space="preserve">    ---- </v>
      </c>
      <c r="E137" s="9">
        <f>IFERROR(100/'Skjema total MA'!C137*C137,0)</f>
        <v>0.22403601774750773</v>
      </c>
      <c r="F137" s="279"/>
      <c r="G137" s="318"/>
      <c r="H137" s="431"/>
      <c r="I137" s="36"/>
      <c r="J137" s="317">
        <f t="shared" si="65"/>
        <v>0</v>
      </c>
      <c r="K137" s="317">
        <f t="shared" si="65"/>
        <v>10460.601000000001</v>
      </c>
      <c r="L137" s="427" t="str">
        <f t="shared" si="66"/>
        <v xml:space="preserve">    ---- </v>
      </c>
      <c r="M137" s="36">
        <f>IFERROR(100/'Skjema total MA'!I137*K137,0)</f>
        <v>0.22403601774750773</v>
      </c>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39" priority="132">
      <formula>kvartal &lt; 4</formula>
    </cfRule>
  </conditionalFormatting>
  <conditionalFormatting sqref="B69">
    <cfRule type="expression" dxfId="1238" priority="100">
      <formula>kvartal &lt; 4</formula>
    </cfRule>
  </conditionalFormatting>
  <conditionalFormatting sqref="C69">
    <cfRule type="expression" dxfId="1237" priority="99">
      <formula>kvartal &lt; 4</formula>
    </cfRule>
  </conditionalFormatting>
  <conditionalFormatting sqref="B72">
    <cfRule type="expression" dxfId="1236" priority="98">
      <formula>kvartal &lt; 4</formula>
    </cfRule>
  </conditionalFormatting>
  <conditionalFormatting sqref="C72">
    <cfRule type="expression" dxfId="1235" priority="97">
      <formula>kvartal &lt; 4</formula>
    </cfRule>
  </conditionalFormatting>
  <conditionalFormatting sqref="B80">
    <cfRule type="expression" dxfId="1234" priority="96">
      <formula>kvartal &lt; 4</formula>
    </cfRule>
  </conditionalFormatting>
  <conditionalFormatting sqref="C80">
    <cfRule type="expression" dxfId="1233" priority="95">
      <formula>kvartal &lt; 4</formula>
    </cfRule>
  </conditionalFormatting>
  <conditionalFormatting sqref="B83">
    <cfRule type="expression" dxfId="1232" priority="94">
      <formula>kvartal &lt; 4</formula>
    </cfRule>
  </conditionalFormatting>
  <conditionalFormatting sqref="C83">
    <cfRule type="expression" dxfId="1231" priority="93">
      <formula>kvartal &lt; 4</formula>
    </cfRule>
  </conditionalFormatting>
  <conditionalFormatting sqref="B90">
    <cfRule type="expression" dxfId="1230" priority="84">
      <formula>kvartal &lt; 4</formula>
    </cfRule>
  </conditionalFormatting>
  <conditionalFormatting sqref="C90">
    <cfRule type="expression" dxfId="1229" priority="83">
      <formula>kvartal &lt; 4</formula>
    </cfRule>
  </conditionalFormatting>
  <conditionalFormatting sqref="B93">
    <cfRule type="expression" dxfId="1228" priority="82">
      <formula>kvartal &lt; 4</formula>
    </cfRule>
  </conditionalFormatting>
  <conditionalFormatting sqref="C93">
    <cfRule type="expression" dxfId="1227" priority="81">
      <formula>kvartal &lt; 4</formula>
    </cfRule>
  </conditionalFormatting>
  <conditionalFormatting sqref="B101">
    <cfRule type="expression" dxfId="1226" priority="80">
      <formula>kvartal &lt; 4</formula>
    </cfRule>
  </conditionalFormatting>
  <conditionalFormatting sqref="C101">
    <cfRule type="expression" dxfId="1225" priority="79">
      <formula>kvartal &lt; 4</formula>
    </cfRule>
  </conditionalFormatting>
  <conditionalFormatting sqref="B104">
    <cfRule type="expression" dxfId="1224" priority="78">
      <formula>kvartal &lt; 4</formula>
    </cfRule>
  </conditionalFormatting>
  <conditionalFormatting sqref="C104">
    <cfRule type="expression" dxfId="1223" priority="77">
      <formula>kvartal &lt; 4</formula>
    </cfRule>
  </conditionalFormatting>
  <conditionalFormatting sqref="B115">
    <cfRule type="expression" dxfId="1222" priority="76">
      <formula>kvartal &lt; 4</formula>
    </cfRule>
  </conditionalFormatting>
  <conditionalFormatting sqref="C115">
    <cfRule type="expression" dxfId="1221" priority="75">
      <formula>kvartal &lt; 4</formula>
    </cfRule>
  </conditionalFormatting>
  <conditionalFormatting sqref="B123">
    <cfRule type="expression" dxfId="1220" priority="74">
      <formula>kvartal &lt; 4</formula>
    </cfRule>
  </conditionalFormatting>
  <conditionalFormatting sqref="C123">
    <cfRule type="expression" dxfId="1219" priority="73">
      <formula>kvartal &lt; 4</formula>
    </cfRule>
  </conditionalFormatting>
  <conditionalFormatting sqref="F70">
    <cfRule type="expression" dxfId="1218" priority="72">
      <formula>kvartal &lt; 4</formula>
    </cfRule>
  </conditionalFormatting>
  <conditionalFormatting sqref="G70">
    <cfRule type="expression" dxfId="1217" priority="71">
      <formula>kvartal &lt; 4</formula>
    </cfRule>
  </conditionalFormatting>
  <conditionalFormatting sqref="F71:G71">
    <cfRule type="expression" dxfId="1216" priority="70">
      <formula>kvartal &lt; 4</formula>
    </cfRule>
  </conditionalFormatting>
  <conditionalFormatting sqref="F73:G74">
    <cfRule type="expression" dxfId="1215" priority="69">
      <formula>kvartal &lt; 4</formula>
    </cfRule>
  </conditionalFormatting>
  <conditionalFormatting sqref="F81:G82">
    <cfRule type="expression" dxfId="1214" priority="68">
      <formula>kvartal &lt; 4</formula>
    </cfRule>
  </conditionalFormatting>
  <conditionalFormatting sqref="F84:G85">
    <cfRule type="expression" dxfId="1213" priority="67">
      <formula>kvartal &lt; 4</formula>
    </cfRule>
  </conditionalFormatting>
  <conditionalFormatting sqref="F91:G92">
    <cfRule type="expression" dxfId="1212" priority="62">
      <formula>kvartal &lt; 4</formula>
    </cfRule>
  </conditionalFormatting>
  <conditionalFormatting sqref="F94:G95">
    <cfRule type="expression" dxfId="1211" priority="61">
      <formula>kvartal &lt; 4</formula>
    </cfRule>
  </conditionalFormatting>
  <conditionalFormatting sqref="F102:G103">
    <cfRule type="expression" dxfId="1210" priority="60">
      <formula>kvartal &lt; 4</formula>
    </cfRule>
  </conditionalFormatting>
  <conditionalFormatting sqref="F105:G106">
    <cfRule type="expression" dxfId="1209" priority="59">
      <formula>kvartal &lt; 4</formula>
    </cfRule>
  </conditionalFormatting>
  <conditionalFormatting sqref="F115">
    <cfRule type="expression" dxfId="1208" priority="58">
      <formula>kvartal &lt; 4</formula>
    </cfRule>
  </conditionalFormatting>
  <conditionalFormatting sqref="G115">
    <cfRule type="expression" dxfId="1207" priority="57">
      <formula>kvartal &lt; 4</formula>
    </cfRule>
  </conditionalFormatting>
  <conditionalFormatting sqref="F123:G123">
    <cfRule type="expression" dxfId="1206" priority="56">
      <formula>kvartal &lt; 4</formula>
    </cfRule>
  </conditionalFormatting>
  <conditionalFormatting sqref="F69:G69">
    <cfRule type="expression" dxfId="1205" priority="55">
      <formula>kvartal &lt; 4</formula>
    </cfRule>
  </conditionalFormatting>
  <conditionalFormatting sqref="F72:G72">
    <cfRule type="expression" dxfId="1204" priority="54">
      <formula>kvartal &lt; 4</formula>
    </cfRule>
  </conditionalFormatting>
  <conditionalFormatting sqref="F80:G80">
    <cfRule type="expression" dxfId="1203" priority="53">
      <formula>kvartal &lt; 4</formula>
    </cfRule>
  </conditionalFormatting>
  <conditionalFormatting sqref="F83:G83">
    <cfRule type="expression" dxfId="1202" priority="52">
      <formula>kvartal &lt; 4</formula>
    </cfRule>
  </conditionalFormatting>
  <conditionalFormatting sqref="F90:G90">
    <cfRule type="expression" dxfId="1201" priority="46">
      <formula>kvartal &lt; 4</formula>
    </cfRule>
  </conditionalFormatting>
  <conditionalFormatting sqref="F93">
    <cfRule type="expression" dxfId="1200" priority="45">
      <formula>kvartal &lt; 4</formula>
    </cfRule>
  </conditionalFormatting>
  <conditionalFormatting sqref="G93">
    <cfRule type="expression" dxfId="1199" priority="44">
      <formula>kvartal &lt; 4</formula>
    </cfRule>
  </conditionalFormatting>
  <conditionalFormatting sqref="F101">
    <cfRule type="expression" dxfId="1198" priority="43">
      <formula>kvartal &lt; 4</formula>
    </cfRule>
  </conditionalFormatting>
  <conditionalFormatting sqref="G101">
    <cfRule type="expression" dxfId="1197" priority="42">
      <formula>kvartal &lt; 4</formula>
    </cfRule>
  </conditionalFormatting>
  <conditionalFormatting sqref="G104">
    <cfRule type="expression" dxfId="1196" priority="41">
      <formula>kvartal &lt; 4</formula>
    </cfRule>
  </conditionalFormatting>
  <conditionalFormatting sqref="F104">
    <cfRule type="expression" dxfId="1195" priority="40">
      <formula>kvartal &lt; 4</formula>
    </cfRule>
  </conditionalFormatting>
  <conditionalFormatting sqref="J69:K71 J73:K73">
    <cfRule type="expression" dxfId="1194" priority="39">
      <formula>kvartal &lt; 4</formula>
    </cfRule>
  </conditionalFormatting>
  <conditionalFormatting sqref="J80:K82 J84:K84">
    <cfRule type="expression" dxfId="1193" priority="37">
      <formula>kvartal &lt; 4</formula>
    </cfRule>
  </conditionalFormatting>
  <conditionalFormatting sqref="J90:K92 J94:K94">
    <cfRule type="expression" dxfId="1192" priority="34">
      <formula>kvartal &lt; 4</formula>
    </cfRule>
  </conditionalFormatting>
  <conditionalFormatting sqref="J101:K103 J105:K105">
    <cfRule type="expression" dxfId="1191" priority="33">
      <formula>kvartal &lt; 4</formula>
    </cfRule>
  </conditionalFormatting>
  <conditionalFormatting sqref="J115:K115">
    <cfRule type="expression" dxfId="1190" priority="32">
      <formula>kvartal &lt; 4</formula>
    </cfRule>
  </conditionalFormatting>
  <conditionalFormatting sqref="J123:K123">
    <cfRule type="expression" dxfId="1189" priority="31">
      <formula>kvartal &lt; 4</formula>
    </cfRule>
  </conditionalFormatting>
  <conditionalFormatting sqref="A50:A52">
    <cfRule type="expression" dxfId="1188" priority="12">
      <formula>kvartal &lt; 4</formula>
    </cfRule>
  </conditionalFormatting>
  <conditionalFormatting sqref="A69:A74">
    <cfRule type="expression" dxfId="1187" priority="10">
      <formula>kvartal &lt; 4</formula>
    </cfRule>
  </conditionalFormatting>
  <conditionalFormatting sqref="A80:A85">
    <cfRule type="expression" dxfId="1186" priority="9">
      <formula>kvartal &lt; 4</formula>
    </cfRule>
  </conditionalFormatting>
  <conditionalFormatting sqref="A90:A95">
    <cfRule type="expression" dxfId="1185" priority="6">
      <formula>kvartal &lt; 4</formula>
    </cfRule>
  </conditionalFormatting>
  <conditionalFormatting sqref="A101:A106">
    <cfRule type="expression" dxfId="1184" priority="5">
      <formula>kvartal &lt; 4</formula>
    </cfRule>
  </conditionalFormatting>
  <conditionalFormatting sqref="A115">
    <cfRule type="expression" dxfId="1183" priority="4">
      <formula>kvartal &lt; 4</formula>
    </cfRule>
  </conditionalFormatting>
  <conditionalFormatting sqref="A123">
    <cfRule type="expression" dxfId="1182" priority="3">
      <formula>kvartal &lt; 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80" zoomScaleNormal="80" workbookViewId="0">
      <selection activeCell="A4" sqref="A4"/>
    </sheetView>
  </sheetViews>
  <sheetFormatPr baseColWidth="10" defaultColWidth="11.42578125" defaultRowHeight="18.75" x14ac:dyDescent="0.3"/>
  <cols>
    <col min="10" max="11" width="16.7109375" customWidth="1"/>
    <col min="12" max="12" width="22.28515625" style="74" customWidth="1"/>
    <col min="13" max="14" width="15.7109375" style="74" bestFit="1" customWidth="1"/>
    <col min="15" max="15" width="22.7109375" customWidth="1"/>
    <col min="16" max="16" width="13.42578125" customWidth="1"/>
    <col min="17" max="17" width="13.71093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4" t="s">
        <v>53</v>
      </c>
      <c r="O4" s="74"/>
    </row>
    <row r="5" spans="1:15" x14ac:dyDescent="0.3">
      <c r="A5" s="75" t="s">
        <v>513</v>
      </c>
      <c r="B5" s="74"/>
      <c r="C5" s="74"/>
      <c r="D5" s="74"/>
      <c r="E5" s="74"/>
      <c r="F5" s="74"/>
      <c r="G5" s="74"/>
      <c r="H5" s="74"/>
      <c r="I5" s="78"/>
      <c r="J5" s="74"/>
      <c r="K5" s="74"/>
      <c r="L5" s="74" t="s">
        <v>0</v>
      </c>
      <c r="O5" s="74"/>
    </row>
    <row r="6" spans="1:15" x14ac:dyDescent="0.3">
      <c r="A6" s="74"/>
      <c r="B6" s="74"/>
      <c r="C6" s="74"/>
      <c r="D6" s="74"/>
      <c r="E6" s="74"/>
      <c r="F6" s="74"/>
      <c r="G6" s="74"/>
      <c r="H6" s="74"/>
      <c r="I6" s="74"/>
      <c r="J6" s="74"/>
      <c r="K6" s="74"/>
      <c r="M6" s="74">
        <v>2021</v>
      </c>
      <c r="N6" s="74">
        <v>2022</v>
      </c>
      <c r="O6" s="74"/>
    </row>
    <row r="7" spans="1:15" x14ac:dyDescent="0.3">
      <c r="A7" s="74"/>
      <c r="B7" s="74"/>
      <c r="C7" s="74"/>
      <c r="D7" s="74"/>
      <c r="E7" s="74"/>
      <c r="F7" s="74"/>
      <c r="G7" s="74"/>
      <c r="H7" s="74"/>
      <c r="I7" s="74"/>
      <c r="J7" s="74"/>
      <c r="K7" s="74"/>
      <c r="L7" s="74" t="s">
        <v>471</v>
      </c>
      <c r="M7" s="76">
        <f>'Tabel 1.1'!B9</f>
        <v>82704</v>
      </c>
      <c r="N7" s="76">
        <f>'Tabel 1.1'!C9</f>
        <v>0</v>
      </c>
      <c r="O7" s="74"/>
    </row>
    <row r="8" spans="1:15" x14ac:dyDescent="0.3">
      <c r="A8" s="74"/>
      <c r="B8" s="74"/>
      <c r="C8" s="74"/>
      <c r="D8" s="74"/>
      <c r="E8" s="74"/>
      <c r="F8" s="74"/>
      <c r="G8" s="74"/>
      <c r="H8" s="74"/>
      <c r="I8" s="74"/>
      <c r="J8" s="74"/>
      <c r="K8" s="74"/>
      <c r="L8" s="74" t="s">
        <v>516</v>
      </c>
      <c r="M8" s="76">
        <f>'Tabel 1.1'!B10</f>
        <v>434013.95000000007</v>
      </c>
      <c r="N8" s="76">
        <f>'Tabel 1.1'!C10</f>
        <v>446524.26718999993</v>
      </c>
      <c r="O8" s="74"/>
    </row>
    <row r="9" spans="1:15" x14ac:dyDescent="0.3">
      <c r="A9" s="74"/>
      <c r="B9" s="74"/>
      <c r="C9" s="74"/>
      <c r="D9" s="74"/>
      <c r="E9" s="74"/>
      <c r="F9" s="74"/>
      <c r="G9" s="74"/>
      <c r="H9" s="74"/>
      <c r="I9" s="74"/>
      <c r="J9" s="74"/>
      <c r="K9" s="74"/>
      <c r="L9" s="74" t="s">
        <v>55</v>
      </c>
      <c r="M9" s="76">
        <f>'Tabel 1.1'!B11</f>
        <v>3243248.1995000001</v>
      </c>
      <c r="N9" s="76">
        <f>'Tabel 1.1'!C11</f>
        <v>3309302.7250000001</v>
      </c>
      <c r="O9" s="74"/>
    </row>
    <row r="10" spans="1:15" x14ac:dyDescent="0.3">
      <c r="A10" s="74"/>
      <c r="B10" s="74"/>
      <c r="C10" s="74"/>
      <c r="D10" s="74"/>
      <c r="E10" s="74"/>
      <c r="F10" s="74"/>
      <c r="G10" s="74"/>
      <c r="H10" s="74"/>
      <c r="I10" s="74"/>
      <c r="J10" s="74"/>
      <c r="K10" s="74"/>
      <c r="L10" s="74" t="s">
        <v>56</v>
      </c>
      <c r="M10" s="76">
        <f>'Tabel 1.1'!B12</f>
        <v>375779</v>
      </c>
      <c r="N10" s="76">
        <f>'Tabel 1.1'!C12</f>
        <v>422091</v>
      </c>
      <c r="O10" s="74"/>
    </row>
    <row r="11" spans="1:15" x14ac:dyDescent="0.3">
      <c r="A11" s="74"/>
      <c r="B11" s="74"/>
      <c r="C11" s="74"/>
      <c r="D11" s="74"/>
      <c r="E11" s="74"/>
      <c r="F11" s="74"/>
      <c r="G11" s="74"/>
      <c r="H11" s="74"/>
      <c r="I11" s="74"/>
      <c r="J11" s="74"/>
      <c r="K11" s="74"/>
      <c r="L11" s="74" t="s">
        <v>472</v>
      </c>
      <c r="M11" s="76">
        <f>'Tabel 1.1'!B13</f>
        <v>10960</v>
      </c>
      <c r="N11" s="76">
        <f>'Tabel 1.1'!C13</f>
        <v>32885</v>
      </c>
      <c r="O11" s="74"/>
    </row>
    <row r="12" spans="1:15" x14ac:dyDescent="0.3">
      <c r="A12" s="74"/>
      <c r="B12" s="74"/>
      <c r="C12" s="74"/>
      <c r="D12" s="74"/>
      <c r="E12" s="74"/>
      <c r="F12" s="74"/>
      <c r="G12" s="74"/>
      <c r="H12" s="74"/>
      <c r="I12" s="74"/>
      <c r="J12" s="74"/>
      <c r="K12" s="74"/>
      <c r="L12" s="74" t="s">
        <v>462</v>
      </c>
      <c r="M12" s="76">
        <f>'Tabel 1.1'!B14</f>
        <v>3074791.8314700001</v>
      </c>
      <c r="N12" s="76">
        <f>'Tabel 1.1'!C14</f>
        <v>3294986.7741700001</v>
      </c>
      <c r="O12" s="74"/>
    </row>
    <row r="13" spans="1:15" x14ac:dyDescent="0.3">
      <c r="A13" s="74"/>
      <c r="B13" s="74"/>
      <c r="C13" s="74"/>
      <c r="D13" s="74"/>
      <c r="E13" s="74"/>
      <c r="F13" s="74"/>
      <c r="G13" s="74"/>
      <c r="H13" s="74"/>
      <c r="I13" s="74"/>
      <c r="J13" s="74"/>
      <c r="K13" s="74"/>
      <c r="L13" s="74" t="s">
        <v>57</v>
      </c>
      <c r="M13" s="76">
        <f>'Tabel 1.1'!B15</f>
        <v>458515</v>
      </c>
      <c r="N13" s="76">
        <f>'Tabel 1.1'!C15</f>
        <v>505151</v>
      </c>
      <c r="O13" s="74"/>
    </row>
    <row r="14" spans="1:15" x14ac:dyDescent="0.3">
      <c r="A14" s="74"/>
      <c r="B14" s="74"/>
      <c r="C14" s="74"/>
      <c r="D14" s="74"/>
      <c r="E14" s="74"/>
      <c r="F14" s="74"/>
      <c r="G14" s="74"/>
      <c r="H14" s="74"/>
      <c r="I14" s="74"/>
      <c r="J14" s="74"/>
      <c r="K14" s="74"/>
      <c r="L14" s="74" t="s">
        <v>58</v>
      </c>
      <c r="M14" s="76">
        <f>'Tabel 1.1'!B16</f>
        <v>7999.02</v>
      </c>
      <c r="N14" s="76">
        <f>'Tabel 1.1'!C16</f>
        <v>9115.4689999999991</v>
      </c>
      <c r="O14" s="74"/>
    </row>
    <row r="15" spans="1:15" x14ac:dyDescent="0.3">
      <c r="A15" s="74"/>
      <c r="B15" s="74"/>
      <c r="C15" s="74"/>
      <c r="D15" s="74"/>
      <c r="E15" s="74"/>
      <c r="F15" s="74"/>
      <c r="G15" s="74"/>
      <c r="H15" s="74"/>
      <c r="I15" s="74"/>
      <c r="J15" s="74"/>
      <c r="K15" s="74"/>
      <c r="L15" s="74" t="s">
        <v>59</v>
      </c>
      <c r="M15" s="76">
        <f>'Tabel 1.1'!B17</f>
        <v>1910669.1639999999</v>
      </c>
      <c r="N15" s="76">
        <f>'Tabel 1.1'!C17</f>
        <v>2060959.4780000001</v>
      </c>
      <c r="O15" s="74"/>
    </row>
    <row r="16" spans="1:15" x14ac:dyDescent="0.3">
      <c r="A16" s="74"/>
      <c r="B16" s="74"/>
      <c r="C16" s="74"/>
      <c r="D16" s="74"/>
      <c r="E16" s="74"/>
      <c r="F16" s="74"/>
      <c r="G16" s="74"/>
      <c r="H16" s="74"/>
      <c r="I16" s="74"/>
      <c r="J16" s="74"/>
      <c r="K16" s="74"/>
      <c r="L16" s="74" t="s">
        <v>60</v>
      </c>
      <c r="M16" s="76">
        <f>'Tabel 1.1'!B18</f>
        <v>726294</v>
      </c>
      <c r="N16" s="76">
        <f>'Tabel 1.1'!C18</f>
        <v>822113</v>
      </c>
      <c r="O16" s="74"/>
    </row>
    <row r="17" spans="1:15" x14ac:dyDescent="0.3">
      <c r="A17" s="74"/>
      <c r="B17" s="74"/>
      <c r="C17" s="74"/>
      <c r="D17" s="74"/>
      <c r="E17" s="74"/>
      <c r="F17" s="74"/>
      <c r="G17" s="74"/>
      <c r="H17" s="74"/>
      <c r="I17" s="74"/>
      <c r="J17" s="74"/>
      <c r="K17" s="74"/>
      <c r="L17" s="74" t="s">
        <v>61</v>
      </c>
      <c r="M17" s="76">
        <f>'Tabel 1.1'!B19</f>
        <v>34165.241999999998</v>
      </c>
      <c r="N17" s="76">
        <f>'Tabel 1.1'!C19</f>
        <v>37620.57</v>
      </c>
      <c r="O17" s="74"/>
    </row>
    <row r="18" spans="1:15" x14ac:dyDescent="0.3">
      <c r="A18" s="74"/>
      <c r="B18" s="74"/>
      <c r="C18" s="74"/>
      <c r="D18" s="74"/>
      <c r="E18" s="74"/>
      <c r="F18" s="74"/>
      <c r="G18" s="74"/>
      <c r="H18" s="74"/>
      <c r="I18" s="74"/>
      <c r="J18" s="74"/>
      <c r="K18" s="74"/>
      <c r="L18" s="74" t="s">
        <v>62</v>
      </c>
      <c r="M18" s="76">
        <f>'Tabel 1.1'!B20</f>
        <v>535456.72047683294</v>
      </c>
      <c r="N18" s="76">
        <f>'Tabel 1.1'!C20</f>
        <v>594471.87462945096</v>
      </c>
      <c r="O18" s="74"/>
    </row>
    <row r="19" spans="1:15" x14ac:dyDescent="0.3">
      <c r="A19" s="74"/>
      <c r="B19" s="74"/>
      <c r="C19" s="74"/>
      <c r="D19" s="74"/>
      <c r="E19" s="74"/>
      <c r="F19" s="74"/>
      <c r="G19" s="74"/>
      <c r="H19" s="74"/>
      <c r="I19" s="74"/>
      <c r="J19" s="74"/>
      <c r="K19" s="74"/>
      <c r="L19" s="74" t="s">
        <v>63</v>
      </c>
      <c r="M19" s="76">
        <f>'Tabel 1.1'!B21</f>
        <v>50026045.50818</v>
      </c>
      <c r="N19" s="76">
        <f>'Tabel 1.1'!C21</f>
        <v>49973107.937069997</v>
      </c>
      <c r="O19" s="74"/>
    </row>
    <row r="20" spans="1:15" x14ac:dyDescent="0.3">
      <c r="A20" s="74"/>
      <c r="B20" s="74"/>
      <c r="C20" s="74"/>
      <c r="D20" s="74"/>
      <c r="E20" s="74"/>
      <c r="F20" s="74"/>
      <c r="G20" s="74"/>
      <c r="H20" s="74"/>
      <c r="I20" s="74"/>
      <c r="J20" s="74"/>
      <c r="K20" s="74"/>
      <c r="L20" s="74" t="s">
        <v>64</v>
      </c>
      <c r="M20" s="76">
        <f>'Tabel 1.1'!B22</f>
        <v>253776.878</v>
      </c>
      <c r="N20" s="76">
        <f>'Tabel 1.1'!C22</f>
        <v>318629.58999999997</v>
      </c>
      <c r="O20" s="74"/>
    </row>
    <row r="21" spans="1:15" x14ac:dyDescent="0.3">
      <c r="A21" s="74"/>
      <c r="B21" s="74"/>
      <c r="C21" s="74"/>
      <c r="D21" s="74"/>
      <c r="E21" s="74"/>
      <c r="F21" s="74"/>
      <c r="G21" s="74"/>
      <c r="H21" s="74"/>
      <c r="I21" s="74"/>
      <c r="J21" s="74"/>
      <c r="K21" s="74"/>
      <c r="L21" s="74" t="s">
        <v>463</v>
      </c>
      <c r="M21" s="76">
        <f>'Tabel 1.1'!B23</f>
        <v>112320</v>
      </c>
      <c r="N21" s="76">
        <f>'Tabel 1.1'!C23</f>
        <v>101798</v>
      </c>
      <c r="O21" s="74"/>
    </row>
    <row r="22" spans="1:15" x14ac:dyDescent="0.3">
      <c r="A22" s="74"/>
      <c r="B22" s="74"/>
      <c r="C22" s="74"/>
      <c r="D22" s="74"/>
      <c r="E22" s="74"/>
      <c r="F22" s="74"/>
      <c r="G22" s="74"/>
      <c r="H22" s="74"/>
      <c r="I22" s="74"/>
      <c r="J22" s="74"/>
      <c r="K22" s="74"/>
      <c r="L22" s="74" t="s">
        <v>476</v>
      </c>
      <c r="M22" s="76">
        <f>'Tabel 1.1'!B24</f>
        <v>0</v>
      </c>
      <c r="N22" s="76">
        <f>'Tabel 1.1'!C24</f>
        <v>22009</v>
      </c>
      <c r="O22" s="74"/>
    </row>
    <row r="23" spans="1:15" x14ac:dyDescent="0.3">
      <c r="A23" s="74"/>
      <c r="B23" s="74"/>
      <c r="C23" s="74"/>
      <c r="D23" s="74"/>
      <c r="E23" s="74"/>
      <c r="F23" s="74"/>
      <c r="G23" s="74"/>
      <c r="H23" s="74"/>
      <c r="I23" s="74"/>
      <c r="J23" s="74"/>
      <c r="K23" s="74"/>
      <c r="L23" s="74" t="s">
        <v>65</v>
      </c>
      <c r="M23" s="76">
        <f>'Tabel 1.1'!B25</f>
        <v>1552615</v>
      </c>
      <c r="N23" s="76">
        <f>'Tabel 1.1'!C25</f>
        <v>1622443.7601219299</v>
      </c>
      <c r="O23" s="74"/>
    </row>
    <row r="24" spans="1:15" x14ac:dyDescent="0.3">
      <c r="A24" s="74"/>
      <c r="B24" s="74"/>
      <c r="C24" s="74"/>
      <c r="D24" s="74"/>
      <c r="E24" s="74"/>
      <c r="F24" s="74"/>
      <c r="G24" s="74"/>
      <c r="H24" s="74"/>
      <c r="I24" s="74"/>
      <c r="J24" s="74"/>
      <c r="K24" s="74"/>
      <c r="L24" s="74" t="s">
        <v>66</v>
      </c>
      <c r="M24" s="76">
        <f>'Tabel 1.1'!B26</f>
        <v>7476722</v>
      </c>
      <c r="N24" s="76">
        <f>'Tabel 1.1'!C26</f>
        <v>8323811</v>
      </c>
      <c r="O24" s="74"/>
    </row>
    <row r="25" spans="1:15" x14ac:dyDescent="0.3">
      <c r="A25" s="74"/>
      <c r="B25" s="74"/>
      <c r="C25" s="74"/>
      <c r="D25" s="74"/>
      <c r="E25" s="74"/>
      <c r="F25" s="74"/>
      <c r="G25" s="74"/>
      <c r="H25" s="74"/>
      <c r="I25" s="74"/>
      <c r="J25" s="74"/>
      <c r="K25" s="74"/>
      <c r="L25" s="74" t="s">
        <v>455</v>
      </c>
      <c r="M25" s="76">
        <f>'Tabel 1.1'!B27</f>
        <v>331132.55263506202</v>
      </c>
      <c r="N25" s="76">
        <f>'Tabel 1.1'!C27</f>
        <v>356049.57687832625</v>
      </c>
      <c r="O25" s="74"/>
    </row>
    <row r="26" spans="1:15" s="140" customFormat="1" x14ac:dyDescent="0.3">
      <c r="A26" s="74"/>
      <c r="B26" s="74"/>
      <c r="C26" s="74"/>
      <c r="D26" s="74"/>
      <c r="E26" s="74"/>
      <c r="F26" s="74"/>
      <c r="G26" s="74"/>
      <c r="H26" s="74"/>
      <c r="I26" s="74"/>
      <c r="J26" s="74"/>
      <c r="K26" s="74"/>
      <c r="L26" s="74" t="s">
        <v>505</v>
      </c>
      <c r="M26" s="76">
        <f>'Tabel 1.1'!B28</f>
        <v>799976.18833000003</v>
      </c>
      <c r="N26" s="76">
        <f>'Tabel 1.1'!C28</f>
        <v>803617.72874000005</v>
      </c>
      <c r="O26" s="74"/>
    </row>
    <row r="27" spans="1:15" x14ac:dyDescent="0.3">
      <c r="A27" s="74"/>
      <c r="B27" s="74"/>
      <c r="C27" s="74"/>
      <c r="D27" s="74"/>
      <c r="E27" s="74"/>
      <c r="F27" s="74"/>
      <c r="G27" s="74"/>
      <c r="H27" s="74"/>
      <c r="I27" s="74"/>
      <c r="J27" s="74"/>
      <c r="K27" s="74"/>
      <c r="L27" s="74" t="s">
        <v>506</v>
      </c>
      <c r="M27" s="76">
        <f>'Tabel 1.1'!B29</f>
        <v>5938754.0609999998</v>
      </c>
      <c r="N27" s="76">
        <f>'Tabel 1.1'!C29</f>
        <v>6462440.2763999999</v>
      </c>
      <c r="O27" s="74"/>
    </row>
    <row r="28" spans="1:15" x14ac:dyDescent="0.3">
      <c r="A28" s="74"/>
      <c r="B28" s="74"/>
      <c r="C28" s="74"/>
      <c r="D28" s="74"/>
      <c r="E28" s="74"/>
      <c r="F28" s="74"/>
      <c r="G28" s="74"/>
      <c r="H28" s="74"/>
      <c r="I28" s="74"/>
      <c r="J28" s="74"/>
      <c r="K28" s="74"/>
      <c r="L28" s="74" t="s">
        <v>68</v>
      </c>
      <c r="M28" s="76">
        <f>'Tabel 1.1'!B30</f>
        <v>1344</v>
      </c>
      <c r="N28" s="76">
        <f>'Tabel 1.1'!C30</f>
        <v>8426</v>
      </c>
    </row>
    <row r="29" spans="1:15" x14ac:dyDescent="0.3">
      <c r="A29" s="74"/>
      <c r="B29" s="74"/>
      <c r="C29" s="74"/>
      <c r="D29" s="74"/>
      <c r="E29" s="74"/>
      <c r="F29" s="74"/>
      <c r="G29" s="74"/>
      <c r="H29" s="74"/>
      <c r="I29" s="74"/>
      <c r="J29" s="74"/>
      <c r="K29" s="74"/>
      <c r="L29" s="74" t="s">
        <v>69</v>
      </c>
      <c r="M29" s="76">
        <f>'Tabel 1.1'!B31</f>
        <v>589319.00377000007</v>
      </c>
      <c r="N29" s="76">
        <f>'Tabel 1.1'!C31</f>
        <v>683873</v>
      </c>
    </row>
    <row r="30" spans="1:15" x14ac:dyDescent="0.3">
      <c r="A30" s="74"/>
      <c r="B30" s="74"/>
      <c r="C30" s="74"/>
      <c r="D30" s="74"/>
      <c r="E30" s="74"/>
      <c r="F30" s="74"/>
      <c r="G30" s="74"/>
      <c r="H30" s="74"/>
      <c r="I30" s="74"/>
      <c r="J30" s="74"/>
      <c r="K30" s="74"/>
      <c r="L30" s="74" t="s">
        <v>467</v>
      </c>
      <c r="M30" s="76">
        <f>'Tabel 1.1'!B32</f>
        <v>1909</v>
      </c>
      <c r="N30" s="76">
        <f>'Tabel 1.1'!C32</f>
        <v>2052</v>
      </c>
    </row>
    <row r="31" spans="1:15" x14ac:dyDescent="0.3">
      <c r="A31" s="75" t="s">
        <v>514</v>
      </c>
      <c r="B31" s="74"/>
      <c r="C31" s="74"/>
      <c r="D31" s="74"/>
      <c r="E31" s="74"/>
      <c r="F31" s="74"/>
      <c r="G31" s="74"/>
      <c r="H31" s="74"/>
      <c r="I31" s="78"/>
      <c r="J31" s="74"/>
      <c r="K31" s="74"/>
      <c r="L31" s="74" t="s">
        <v>479</v>
      </c>
      <c r="M31" s="76">
        <f>'Tabel 1.1'!B33</f>
        <v>0</v>
      </c>
      <c r="N31" s="76">
        <f>'Tabel 1.1'!C33</f>
        <v>2177</v>
      </c>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f>M6</f>
        <v>2021</v>
      </c>
      <c r="N36" s="74">
        <f>N6</f>
        <v>2022</v>
      </c>
    </row>
    <row r="37" spans="1:15" x14ac:dyDescent="0.3">
      <c r="A37" s="74"/>
      <c r="B37" s="74"/>
      <c r="C37" s="74"/>
      <c r="D37" s="74"/>
      <c r="E37" s="74"/>
      <c r="F37" s="74"/>
      <c r="G37" s="74"/>
      <c r="H37" s="74"/>
      <c r="I37" s="74"/>
      <c r="J37" s="74"/>
      <c r="K37" s="74"/>
      <c r="L37" s="78" t="s">
        <v>54</v>
      </c>
      <c r="M37" s="77">
        <f>'Tabel 1.1'!B37</f>
        <v>2301876.503</v>
      </c>
      <c r="N37" s="77">
        <f>'Tabel 1.1'!C37</f>
        <v>2459229.94924</v>
      </c>
    </row>
    <row r="38" spans="1:15" x14ac:dyDescent="0.3">
      <c r="A38" s="74"/>
      <c r="B38" s="74"/>
      <c r="C38" s="74"/>
      <c r="D38" s="74"/>
      <c r="E38" s="74"/>
      <c r="F38" s="74"/>
      <c r="G38" s="74"/>
      <c r="H38" s="74"/>
      <c r="I38" s="74"/>
      <c r="J38" s="74"/>
      <c r="K38" s="74"/>
      <c r="L38" s="74" t="s">
        <v>55</v>
      </c>
      <c r="M38" s="77">
        <f>'Tabel 1.1'!B38</f>
        <v>11851242.041999999</v>
      </c>
      <c r="N38" s="77">
        <f>'Tabel 1.1'!C38</f>
        <v>13338462.421</v>
      </c>
    </row>
    <row r="39" spans="1:15" x14ac:dyDescent="0.3">
      <c r="A39" s="74"/>
      <c r="B39" s="74"/>
      <c r="C39" s="74"/>
      <c r="D39" s="74"/>
      <c r="E39" s="74"/>
      <c r="F39" s="74"/>
      <c r="G39" s="74"/>
      <c r="H39" s="74"/>
      <c r="I39" s="74"/>
      <c r="J39" s="74"/>
      <c r="K39" s="74"/>
      <c r="L39" s="74" t="s">
        <v>57</v>
      </c>
      <c r="M39" s="77">
        <f>'Tabel 1.1'!B39</f>
        <v>0</v>
      </c>
      <c r="N39" s="77">
        <f>'Tabel 1.1'!C39</f>
        <v>0</v>
      </c>
    </row>
    <row r="40" spans="1:15" x14ac:dyDescent="0.3">
      <c r="A40" s="74"/>
      <c r="B40" s="74"/>
      <c r="C40" s="74"/>
      <c r="D40" s="74"/>
      <c r="E40" s="74"/>
      <c r="F40" s="74"/>
      <c r="G40" s="74"/>
      <c r="H40" s="74"/>
      <c r="I40" s="74"/>
      <c r="J40" s="74"/>
      <c r="K40" s="74"/>
      <c r="L40" s="78" t="s">
        <v>60</v>
      </c>
      <c r="M40" s="77">
        <f>'Tabel 1.1'!B40</f>
        <v>3714294</v>
      </c>
      <c r="N40" s="77">
        <f>'Tabel 1.1'!C40</f>
        <v>4461954</v>
      </c>
    </row>
    <row r="41" spans="1:15" x14ac:dyDescent="0.3">
      <c r="A41" s="74"/>
      <c r="B41" s="74"/>
      <c r="C41" s="74"/>
      <c r="D41" s="74"/>
      <c r="E41" s="74"/>
      <c r="F41" s="74"/>
      <c r="G41" s="74"/>
      <c r="H41" s="74"/>
      <c r="I41" s="74"/>
      <c r="J41" s="74"/>
      <c r="K41" s="74"/>
      <c r="L41" s="74" t="s">
        <v>63</v>
      </c>
      <c r="M41" s="77">
        <f>'Tabel 1.1'!B41</f>
        <v>135009.071</v>
      </c>
      <c r="N41" s="77">
        <f>'Tabel 1.1'!C41</f>
        <v>163946.05499999999</v>
      </c>
      <c r="O41" s="74"/>
    </row>
    <row r="42" spans="1:15" x14ac:dyDescent="0.3">
      <c r="A42" s="74"/>
      <c r="B42" s="74"/>
      <c r="C42" s="74"/>
      <c r="D42" s="74"/>
      <c r="E42" s="74"/>
      <c r="F42" s="74"/>
      <c r="G42" s="74"/>
      <c r="H42" s="74"/>
      <c r="I42" s="74"/>
      <c r="J42" s="74"/>
      <c r="K42" s="74"/>
      <c r="L42" s="78" t="s">
        <v>65</v>
      </c>
      <c r="M42" s="77">
        <f>'Tabel 1.1'!B42</f>
        <v>17865814</v>
      </c>
      <c r="N42" s="77">
        <f>'Tabel 1.1'!C42</f>
        <v>13776102.835759997</v>
      </c>
      <c r="O42" s="74"/>
    </row>
    <row r="43" spans="1:15" x14ac:dyDescent="0.3">
      <c r="A43" s="74"/>
      <c r="B43" s="74"/>
      <c r="C43" s="74"/>
      <c r="D43" s="74"/>
      <c r="E43" s="74"/>
      <c r="F43" s="74"/>
      <c r="G43" s="74"/>
      <c r="H43" s="74"/>
      <c r="I43" s="74"/>
      <c r="J43" s="74"/>
      <c r="K43" s="74"/>
      <c r="L43" s="78" t="s">
        <v>70</v>
      </c>
      <c r="M43" s="77">
        <f>'Tabel 1.1'!B43</f>
        <v>178297.44472</v>
      </c>
      <c r="N43" s="77">
        <f>'Tabel 1.1'!C43</f>
        <v>95313</v>
      </c>
      <c r="O43" s="74"/>
    </row>
    <row r="44" spans="1:15" x14ac:dyDescent="0.3">
      <c r="A44" s="74"/>
      <c r="B44" s="74"/>
      <c r="C44" s="74"/>
      <c r="D44" s="74"/>
      <c r="E44" s="74"/>
      <c r="F44" s="74"/>
      <c r="G44" s="74"/>
      <c r="H44" s="74"/>
      <c r="I44" s="74"/>
      <c r="J44" s="74"/>
      <c r="K44" s="74"/>
      <c r="L44" s="74" t="s">
        <v>505</v>
      </c>
      <c r="M44" s="77">
        <f>'Tabel 1.1'!B44</f>
        <v>5555744.3693300001</v>
      </c>
      <c r="N44" s="77">
        <f>'Tabel 1.1'!C44</f>
        <v>6297690.6937600002</v>
      </c>
      <c r="O44" s="74"/>
    </row>
    <row r="45" spans="1:15" x14ac:dyDescent="0.3">
      <c r="A45" s="74"/>
      <c r="B45" s="74"/>
      <c r="C45" s="74"/>
      <c r="D45" s="74"/>
      <c r="E45" s="74"/>
      <c r="F45" s="74"/>
      <c r="G45" s="74"/>
      <c r="H45" s="74"/>
      <c r="I45" s="74"/>
      <c r="J45" s="74"/>
      <c r="K45" s="74"/>
      <c r="L45" s="74" t="s">
        <v>506</v>
      </c>
      <c r="M45" s="77">
        <f>'Tabel 1.1'!B45</f>
        <v>13164375.305</v>
      </c>
      <c r="N45" s="77">
        <f>'Tabel 1.1'!C45</f>
        <v>13470646.969049999</v>
      </c>
      <c r="O45" s="74"/>
    </row>
    <row r="46" spans="1:15" x14ac:dyDescent="0.3">
      <c r="A46" s="74"/>
      <c r="B46" s="74"/>
      <c r="C46" s="74"/>
      <c r="D46" s="74"/>
      <c r="E46" s="74"/>
      <c r="F46" s="74"/>
      <c r="G46" s="74"/>
      <c r="H46" s="74"/>
      <c r="I46" s="74"/>
      <c r="J46" s="74"/>
      <c r="K46" s="74"/>
      <c r="L46" s="78"/>
      <c r="M46" s="77"/>
      <c r="N46" s="77"/>
      <c r="O46" s="74"/>
    </row>
    <row r="47" spans="1:15" x14ac:dyDescent="0.3">
      <c r="A47" s="74"/>
      <c r="B47" s="74"/>
      <c r="C47" s="74"/>
      <c r="D47" s="74"/>
      <c r="E47" s="74"/>
      <c r="F47" s="74"/>
      <c r="G47" s="74"/>
      <c r="H47" s="74"/>
      <c r="I47" s="74"/>
      <c r="J47" s="74"/>
      <c r="K47" s="74"/>
      <c r="M47" s="76"/>
      <c r="N47" s="76"/>
      <c r="O47" s="74"/>
    </row>
    <row r="48" spans="1:15" x14ac:dyDescent="0.3">
      <c r="A48" s="74"/>
      <c r="B48" s="74"/>
      <c r="C48" s="74"/>
      <c r="D48" s="74"/>
      <c r="E48" s="74"/>
      <c r="F48" s="74"/>
      <c r="G48" s="74"/>
      <c r="H48" s="74"/>
      <c r="I48" s="74"/>
      <c r="J48" s="74"/>
      <c r="K48" s="74"/>
      <c r="M48" s="76"/>
      <c r="N48" s="76"/>
      <c r="O48" s="74"/>
    </row>
    <row r="49" spans="1:15" x14ac:dyDescent="0.3">
      <c r="A49" s="74"/>
      <c r="B49" s="74"/>
      <c r="C49" s="74"/>
      <c r="D49" s="74"/>
      <c r="E49" s="74"/>
      <c r="F49" s="74"/>
      <c r="G49" s="74"/>
      <c r="H49" s="74"/>
      <c r="I49" s="74"/>
      <c r="J49" s="74"/>
      <c r="K49" s="74"/>
      <c r="M49" s="76"/>
      <c r="N49" s="76"/>
      <c r="O49" s="74"/>
    </row>
    <row r="50" spans="1:15" x14ac:dyDescent="0.3">
      <c r="A50" s="74"/>
      <c r="B50" s="74"/>
      <c r="C50" s="74"/>
      <c r="D50" s="74"/>
      <c r="E50" s="74"/>
      <c r="F50" s="74"/>
      <c r="G50" s="74"/>
      <c r="H50" s="74"/>
      <c r="I50" s="74"/>
      <c r="J50" s="74"/>
      <c r="K50" s="74"/>
      <c r="M50" s="76"/>
      <c r="N50" s="76"/>
      <c r="O50" s="74"/>
    </row>
    <row r="51" spans="1:15" x14ac:dyDescent="0.3">
      <c r="A51" s="74"/>
      <c r="B51" s="74"/>
      <c r="C51" s="74"/>
      <c r="D51" s="74"/>
      <c r="E51" s="74"/>
      <c r="F51" s="74"/>
      <c r="G51" s="74"/>
      <c r="H51" s="74"/>
      <c r="I51" s="74"/>
      <c r="J51" s="74"/>
      <c r="K51" s="74"/>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L54" s="74" t="s">
        <v>72</v>
      </c>
      <c r="O54" s="74"/>
    </row>
    <row r="55" spans="1:15" x14ac:dyDescent="0.3">
      <c r="A55" s="74"/>
      <c r="B55" s="74"/>
      <c r="C55" s="74"/>
      <c r="D55" s="74"/>
      <c r="E55" s="74"/>
      <c r="F55" s="74"/>
      <c r="G55" s="74"/>
      <c r="H55" s="74"/>
      <c r="I55" s="74"/>
      <c r="J55" s="74"/>
      <c r="K55" s="74"/>
      <c r="L55" s="74" t="s">
        <v>0</v>
      </c>
      <c r="O55" s="74"/>
    </row>
    <row r="56" spans="1:15" x14ac:dyDescent="0.3">
      <c r="A56" s="75" t="s">
        <v>509</v>
      </c>
      <c r="B56" s="74"/>
      <c r="C56" s="74"/>
      <c r="D56" s="74"/>
      <c r="E56" s="74"/>
      <c r="F56" s="74"/>
      <c r="G56" s="74"/>
      <c r="H56" s="74"/>
      <c r="I56" s="78"/>
      <c r="J56" s="74"/>
      <c r="K56" s="74"/>
      <c r="M56" s="74">
        <f>M6</f>
        <v>2021</v>
      </c>
      <c r="N56" s="74">
        <f>N6</f>
        <v>2022</v>
      </c>
      <c r="O56" s="74"/>
    </row>
    <row r="57" spans="1:15" x14ac:dyDescent="0.3">
      <c r="A57" s="74"/>
      <c r="B57" s="74"/>
      <c r="C57" s="74"/>
      <c r="D57" s="74"/>
      <c r="E57" s="74"/>
      <c r="F57" s="74"/>
      <c r="G57" s="74"/>
      <c r="H57" s="74"/>
      <c r="I57" s="74"/>
      <c r="J57" s="74"/>
      <c r="K57" s="74"/>
      <c r="L57" s="74" t="s">
        <v>471</v>
      </c>
      <c r="M57" s="76">
        <f>'Tabel 1.1'!G9</f>
        <v>0</v>
      </c>
      <c r="N57" s="76">
        <f>'Tabel 1.1'!H9</f>
        <v>0</v>
      </c>
      <c r="O57" s="74"/>
    </row>
    <row r="58" spans="1:15" x14ac:dyDescent="0.3">
      <c r="A58" s="74"/>
      <c r="B58" s="74"/>
      <c r="C58" s="74"/>
      <c r="D58" s="74"/>
      <c r="E58" s="74"/>
      <c r="F58" s="74"/>
      <c r="G58" s="74"/>
      <c r="H58" s="74"/>
      <c r="I58" s="74"/>
      <c r="J58" s="74"/>
      <c r="K58" s="74"/>
      <c r="L58" s="74" t="s">
        <v>516</v>
      </c>
      <c r="M58" s="76">
        <f>'Tabel 1.1'!G10</f>
        <v>1398802.868</v>
      </c>
      <c r="N58" s="76">
        <f>'Tabel 1.1'!H10</f>
        <v>1474107.35818</v>
      </c>
      <c r="O58" s="74"/>
    </row>
    <row r="59" spans="1:15" x14ac:dyDescent="0.3">
      <c r="A59" s="74"/>
      <c r="B59" s="74"/>
      <c r="C59" s="74"/>
      <c r="D59" s="74"/>
      <c r="E59" s="74"/>
      <c r="F59" s="74"/>
      <c r="G59" s="74"/>
      <c r="H59" s="74"/>
      <c r="I59" s="74"/>
      <c r="J59" s="74"/>
      <c r="K59" s="74"/>
      <c r="L59" s="74" t="s">
        <v>55</v>
      </c>
      <c r="M59" s="76">
        <f>'Tabel 1.1'!G11</f>
        <v>193517916</v>
      </c>
      <c r="N59" s="76">
        <f>'Tabel 1.1'!H11</f>
        <v>187258081.98107001</v>
      </c>
      <c r="O59" s="74"/>
    </row>
    <row r="60" spans="1:15" x14ac:dyDescent="0.3">
      <c r="A60" s="74"/>
      <c r="B60" s="74"/>
      <c r="C60" s="74"/>
      <c r="D60" s="74"/>
      <c r="E60" s="74"/>
      <c r="F60" s="74"/>
      <c r="G60" s="74"/>
      <c r="H60" s="74"/>
      <c r="I60" s="74"/>
      <c r="J60" s="74"/>
      <c r="K60" s="74"/>
      <c r="L60" s="74" t="s">
        <v>56</v>
      </c>
      <c r="M60" s="76">
        <f>'Tabel 1.1'!G12</f>
        <v>572507</v>
      </c>
      <c r="N60" s="76">
        <f>'Tabel 1.1'!H12</f>
        <v>620181</v>
      </c>
      <c r="O60" s="74"/>
    </row>
    <row r="61" spans="1:15" x14ac:dyDescent="0.3">
      <c r="A61" s="74"/>
      <c r="B61" s="74"/>
      <c r="C61" s="74"/>
      <c r="D61" s="74"/>
      <c r="E61" s="74"/>
      <c r="F61" s="74"/>
      <c r="G61" s="74"/>
      <c r="H61" s="74"/>
      <c r="I61" s="74"/>
      <c r="J61" s="74"/>
      <c r="K61" s="74"/>
      <c r="L61" s="74" t="s">
        <v>472</v>
      </c>
      <c r="M61" s="76">
        <f>'Tabel 1.1'!G13</f>
        <v>0</v>
      </c>
      <c r="N61" s="76">
        <f>'Tabel 1.1'!H13</f>
        <v>0</v>
      </c>
      <c r="O61" s="74"/>
    </row>
    <row r="62" spans="1:15" x14ac:dyDescent="0.3">
      <c r="A62" s="74"/>
      <c r="B62" s="74"/>
      <c r="C62" s="74"/>
      <c r="D62" s="74"/>
      <c r="E62" s="74"/>
      <c r="F62" s="74"/>
      <c r="G62" s="74"/>
      <c r="H62" s="74"/>
      <c r="I62" s="74"/>
      <c r="J62" s="74"/>
      <c r="K62" s="74"/>
      <c r="L62" s="74" t="s">
        <v>462</v>
      </c>
      <c r="M62" s="76">
        <f>'Tabel 1.1'!G14</f>
        <v>4274504.1585400002</v>
      </c>
      <c r="N62" s="76">
        <f>'Tabel 1.1'!H14</f>
        <v>4825016.0006900001</v>
      </c>
      <c r="O62" s="74"/>
    </row>
    <row r="63" spans="1:15" x14ac:dyDescent="0.3">
      <c r="A63" s="74"/>
      <c r="B63" s="74"/>
      <c r="C63" s="74"/>
      <c r="D63" s="74"/>
      <c r="E63" s="74"/>
      <c r="F63" s="74"/>
      <c r="G63" s="74"/>
      <c r="H63" s="74"/>
      <c r="I63" s="74"/>
      <c r="J63" s="74"/>
      <c r="K63" s="74"/>
      <c r="L63" s="74" t="s">
        <v>57</v>
      </c>
      <c r="M63" s="76">
        <f>'Tabel 1.1'!G15</f>
        <v>1050219</v>
      </c>
      <c r="N63" s="76">
        <f>'Tabel 1.1'!H15</f>
        <v>1264588</v>
      </c>
      <c r="O63" s="74"/>
    </row>
    <row r="64" spans="1:15" x14ac:dyDescent="0.3">
      <c r="A64" s="74"/>
      <c r="B64" s="74"/>
      <c r="C64" s="74"/>
      <c r="D64" s="74"/>
      <c r="E64" s="74"/>
      <c r="F64" s="74"/>
      <c r="G64" s="74"/>
      <c r="H64" s="74"/>
      <c r="I64" s="74"/>
      <c r="J64" s="74"/>
      <c r="K64" s="74"/>
      <c r="L64" s="74" t="s">
        <v>59</v>
      </c>
      <c r="M64" s="76">
        <f>'Tabel 1.1'!G16</f>
        <v>0</v>
      </c>
      <c r="N64" s="76">
        <f>'Tabel 1.1'!H16</f>
        <v>0</v>
      </c>
      <c r="O64" s="74"/>
    </row>
    <row r="65" spans="1:15" x14ac:dyDescent="0.3">
      <c r="A65" s="74"/>
      <c r="B65" s="74"/>
      <c r="C65" s="74"/>
      <c r="D65" s="74"/>
      <c r="E65" s="74"/>
      <c r="F65" s="74"/>
      <c r="G65" s="74"/>
      <c r="H65" s="74"/>
      <c r="I65" s="74"/>
      <c r="J65" s="74"/>
      <c r="K65" s="74"/>
      <c r="L65" s="74" t="s">
        <v>60</v>
      </c>
      <c r="M65" s="76">
        <f>'Tabel 1.1'!G18</f>
        <v>8230173</v>
      </c>
      <c r="N65" s="76">
        <f>'Tabel 1.1'!H18</f>
        <v>8842879</v>
      </c>
      <c r="O65" s="74"/>
    </row>
    <row r="66" spans="1:15" x14ac:dyDescent="0.3">
      <c r="A66" s="74"/>
      <c r="B66" s="74"/>
      <c r="C66" s="74"/>
      <c r="D66" s="74"/>
      <c r="E66" s="74"/>
      <c r="F66" s="74"/>
      <c r="G66" s="74"/>
      <c r="H66" s="74"/>
      <c r="I66" s="74"/>
      <c r="J66" s="74"/>
      <c r="K66" s="74"/>
      <c r="L66" s="74" t="s">
        <v>61</v>
      </c>
      <c r="M66" s="76">
        <f>'Tabel 1.1'!G19</f>
        <v>22010.537</v>
      </c>
      <c r="N66" s="76">
        <f>'Tabel 1.1'!H19</f>
        <v>15305</v>
      </c>
      <c r="O66" s="74"/>
    </row>
    <row r="67" spans="1:15" x14ac:dyDescent="0.3">
      <c r="A67" s="74"/>
      <c r="B67" s="74"/>
      <c r="C67" s="74"/>
      <c r="D67" s="74"/>
      <c r="E67" s="74"/>
      <c r="F67" s="74"/>
      <c r="G67" s="74"/>
      <c r="H67" s="74"/>
      <c r="I67" s="74"/>
      <c r="J67" s="74"/>
      <c r="K67" s="74"/>
      <c r="L67" s="74" t="s">
        <v>62</v>
      </c>
      <c r="M67" s="76">
        <f>'Tabel 1.1'!G20</f>
        <v>556565.27800000005</v>
      </c>
      <c r="N67" s="76">
        <f>'Tabel 1.1'!H20</f>
        <v>549814.80638066796</v>
      </c>
      <c r="O67" s="74"/>
    </row>
    <row r="68" spans="1:15" x14ac:dyDescent="0.3">
      <c r="A68" s="74"/>
      <c r="B68" s="74"/>
      <c r="C68" s="74"/>
      <c r="D68" s="74"/>
      <c r="E68" s="74"/>
      <c r="F68" s="74"/>
      <c r="G68" s="74"/>
      <c r="H68" s="74"/>
      <c r="I68" s="74"/>
      <c r="J68" s="74"/>
      <c r="K68" s="74"/>
      <c r="L68" s="74" t="s">
        <v>63</v>
      </c>
      <c r="M68" s="76">
        <f>'Tabel 1.1'!G21</f>
        <v>574122994.44806004</v>
      </c>
      <c r="N68" s="76">
        <f>'Tabel 1.1'!H21</f>
        <v>651711055.01066995</v>
      </c>
      <c r="O68" s="74"/>
    </row>
    <row r="69" spans="1:15" x14ac:dyDescent="0.3">
      <c r="A69" s="74"/>
      <c r="B69" s="74"/>
      <c r="C69" s="74"/>
      <c r="D69" s="74"/>
      <c r="E69" s="74"/>
      <c r="F69" s="74"/>
      <c r="G69" s="74"/>
      <c r="H69" s="74"/>
      <c r="I69" s="74"/>
      <c r="J69" s="74"/>
      <c r="K69" s="74"/>
      <c r="L69" s="74" t="s">
        <v>64</v>
      </c>
      <c r="M69" s="76">
        <f>'Tabel 1.1'!G22</f>
        <v>72087.316999999995</v>
      </c>
      <c r="N69" s="76">
        <f>'Tabel 1.1'!H22</f>
        <v>105413.077</v>
      </c>
      <c r="O69" s="74"/>
    </row>
    <row r="70" spans="1:15" x14ac:dyDescent="0.3">
      <c r="A70" s="74"/>
      <c r="B70" s="74"/>
      <c r="C70" s="74"/>
      <c r="D70" s="74"/>
      <c r="E70" s="74"/>
      <c r="F70" s="74"/>
      <c r="G70" s="74"/>
      <c r="H70" s="74"/>
      <c r="I70" s="74"/>
      <c r="J70" s="74"/>
      <c r="K70" s="74"/>
      <c r="L70" s="74" t="s">
        <v>470</v>
      </c>
      <c r="M70" s="76">
        <f>'Tabel 1.1'!G23</f>
        <v>0</v>
      </c>
      <c r="N70" s="76">
        <f>'Tabel 1.1'!H23</f>
        <v>0</v>
      </c>
      <c r="O70" s="74"/>
    </row>
    <row r="71" spans="1:15" x14ac:dyDescent="0.3">
      <c r="A71" s="74"/>
      <c r="B71" s="74"/>
      <c r="C71" s="74"/>
      <c r="D71" s="74"/>
      <c r="E71" s="74"/>
      <c r="F71" s="74"/>
      <c r="G71" s="74"/>
      <c r="H71" s="74"/>
      <c r="I71" s="74"/>
      <c r="J71" s="74"/>
      <c r="K71" s="74"/>
      <c r="L71" s="74" t="s">
        <v>476</v>
      </c>
      <c r="M71" s="76">
        <f>'Tabel 1.1'!G24</f>
        <v>0</v>
      </c>
      <c r="N71" s="76">
        <f>'Tabel 1.1'!H24</f>
        <v>0</v>
      </c>
      <c r="O71" s="74"/>
    </row>
    <row r="72" spans="1:15" x14ac:dyDescent="0.3">
      <c r="A72" s="74"/>
      <c r="B72" s="74"/>
      <c r="C72" s="74"/>
      <c r="D72" s="74"/>
      <c r="E72" s="74"/>
      <c r="F72" s="74"/>
      <c r="G72" s="74"/>
      <c r="H72" s="74"/>
      <c r="I72" s="74"/>
      <c r="J72" s="74"/>
      <c r="K72" s="74"/>
      <c r="L72" s="74" t="s">
        <v>65</v>
      </c>
      <c r="M72" s="76">
        <f>'Tabel 1.1'!G25</f>
        <v>55808862</v>
      </c>
      <c r="N72" s="76">
        <f>'Tabel 1.1'!H25</f>
        <v>54578179.999995381</v>
      </c>
      <c r="O72" s="74"/>
    </row>
    <row r="73" spans="1:15" x14ac:dyDescent="0.3">
      <c r="A73" s="74"/>
      <c r="B73" s="74"/>
      <c r="C73" s="74"/>
      <c r="D73" s="74"/>
      <c r="E73" s="74"/>
      <c r="F73" s="74"/>
      <c r="G73" s="74"/>
      <c r="H73" s="74"/>
      <c r="I73" s="74"/>
      <c r="J73" s="74"/>
      <c r="K73" s="74"/>
      <c r="L73" s="74" t="s">
        <v>66</v>
      </c>
      <c r="M73" s="76">
        <f>'Tabel 1.1'!G26</f>
        <v>102259830</v>
      </c>
      <c r="N73" s="76">
        <f>'Tabel 1.1'!H26</f>
        <v>106050686</v>
      </c>
      <c r="O73" s="74"/>
    </row>
    <row r="74" spans="1:15" x14ac:dyDescent="0.3">
      <c r="A74" s="74"/>
      <c r="B74" s="74"/>
      <c r="C74" s="74"/>
      <c r="D74" s="74"/>
      <c r="E74" s="74"/>
      <c r="F74" s="74"/>
      <c r="G74" s="74"/>
      <c r="H74" s="74"/>
      <c r="I74" s="74"/>
      <c r="J74" s="74"/>
      <c r="K74" s="74"/>
      <c r="L74" s="74" t="s">
        <v>505</v>
      </c>
      <c r="M74" s="76">
        <f>'Tabel 1.1'!G28</f>
        <v>20710069.296859998</v>
      </c>
      <c r="N74" s="76">
        <f>'Tabel 1.1'!H28</f>
        <v>20441957</v>
      </c>
      <c r="O74" s="74"/>
    </row>
    <row r="75" spans="1:15" x14ac:dyDescent="0.3">
      <c r="A75" s="74"/>
      <c r="B75" s="74"/>
      <c r="C75" s="74"/>
      <c r="D75" s="74"/>
      <c r="E75" s="74"/>
      <c r="F75" s="74"/>
      <c r="G75" s="74"/>
      <c r="H75" s="74"/>
      <c r="I75" s="74"/>
      <c r="J75" s="74"/>
      <c r="K75" s="74"/>
      <c r="L75" s="74" t="s">
        <v>506</v>
      </c>
      <c r="M75" s="76">
        <f>'Tabel 1.1'!G29</f>
        <v>196253398.08000004</v>
      </c>
      <c r="N75" s="76">
        <f>'Tabel 1.1'!H29</f>
        <v>197874814.02292997</v>
      </c>
      <c r="O75" s="74"/>
    </row>
    <row r="76" spans="1:15" x14ac:dyDescent="0.3">
      <c r="A76" s="74"/>
      <c r="B76" s="74"/>
      <c r="C76" s="74"/>
      <c r="D76" s="74"/>
      <c r="E76" s="74"/>
      <c r="F76" s="74"/>
      <c r="G76" s="74"/>
      <c r="H76" s="74"/>
      <c r="I76" s="74"/>
      <c r="J76" s="74"/>
      <c r="K76" s="74"/>
      <c r="L76" s="74" t="s">
        <v>94</v>
      </c>
      <c r="M76" s="76">
        <f>'Tabel 1.1'!G30</f>
        <v>0</v>
      </c>
      <c r="N76" s="76">
        <f>'Tabel 1.1'!H30</f>
        <v>0</v>
      </c>
      <c r="O76" s="74"/>
    </row>
    <row r="77" spans="1:15" x14ac:dyDescent="0.3">
      <c r="A77" s="74"/>
      <c r="B77" s="74"/>
      <c r="C77" s="74"/>
      <c r="D77" s="74"/>
      <c r="E77" s="74"/>
      <c r="F77" s="74"/>
      <c r="G77" s="74"/>
      <c r="H77" s="74"/>
      <c r="I77" s="74"/>
      <c r="J77" s="74"/>
      <c r="K77" s="74"/>
      <c r="L77" s="74" t="s">
        <v>95</v>
      </c>
      <c r="M77" s="76">
        <f>'Tabel 1.1'!G31</f>
        <v>0</v>
      </c>
      <c r="N77" s="76">
        <f>'Tabel 1.1'!H31</f>
        <v>0</v>
      </c>
      <c r="O77" s="74"/>
    </row>
    <row r="78" spans="1:15" x14ac:dyDescent="0.3">
      <c r="A78" s="74"/>
      <c r="B78" s="74"/>
      <c r="C78" s="74"/>
      <c r="D78" s="74"/>
      <c r="E78" s="74"/>
      <c r="F78" s="74"/>
      <c r="G78" s="74"/>
      <c r="H78" s="74"/>
      <c r="I78" s="74"/>
      <c r="J78" s="74"/>
      <c r="K78" s="74"/>
      <c r="L78" s="74" t="s">
        <v>468</v>
      </c>
      <c r="M78" s="76">
        <f>'Tabel 1.1'!G32</f>
        <v>0</v>
      </c>
      <c r="N78" s="76">
        <f>'Tabel 1.1'!H32</f>
        <v>0</v>
      </c>
      <c r="O78" s="74"/>
    </row>
    <row r="79" spans="1:15" x14ac:dyDescent="0.3">
      <c r="A79" s="74"/>
      <c r="B79" s="74"/>
      <c r="C79" s="74"/>
      <c r="D79" s="74"/>
      <c r="E79" s="74"/>
      <c r="F79" s="74"/>
      <c r="G79" s="74"/>
      <c r="H79" s="74"/>
      <c r="I79" s="74"/>
      <c r="J79" s="74"/>
      <c r="K79" s="74"/>
      <c r="L79" s="74" t="s">
        <v>479</v>
      </c>
      <c r="M79" s="76">
        <f>'Tabel 1.1'!G33</f>
        <v>0</v>
      </c>
      <c r="N79" s="76">
        <f>'Tabel 1.1'!H33</f>
        <v>5826</v>
      </c>
      <c r="O79" s="74"/>
    </row>
    <row r="80" spans="1:15" x14ac:dyDescent="0.3">
      <c r="A80" s="75" t="s">
        <v>510</v>
      </c>
      <c r="B80" s="74"/>
      <c r="C80" s="74"/>
      <c r="D80" s="74"/>
      <c r="E80" s="74"/>
      <c r="F80" s="74"/>
      <c r="G80" s="74"/>
      <c r="H80" s="74"/>
      <c r="I80" s="78"/>
      <c r="J80" s="74"/>
      <c r="K80" s="74"/>
      <c r="O80" s="74"/>
    </row>
    <row r="81" spans="1:15" x14ac:dyDescent="0.3">
      <c r="B81" s="74"/>
      <c r="C81" s="74"/>
      <c r="D81" s="74"/>
      <c r="E81" s="74"/>
      <c r="F81" s="74"/>
      <c r="G81" s="74"/>
      <c r="H81" s="74"/>
      <c r="I81" s="74"/>
      <c r="J81" s="74"/>
      <c r="K81" s="74"/>
      <c r="L81" s="74" t="s">
        <v>72</v>
      </c>
      <c r="O81" s="74"/>
    </row>
    <row r="82" spans="1:15" x14ac:dyDescent="0.3">
      <c r="A82" s="74"/>
      <c r="B82" s="74"/>
      <c r="C82" s="74"/>
      <c r="D82" s="74"/>
      <c r="E82" s="74"/>
      <c r="F82" s="74"/>
      <c r="G82" s="74"/>
      <c r="H82" s="74"/>
      <c r="I82" s="74"/>
      <c r="J82" s="74"/>
      <c r="K82" s="74"/>
      <c r="L82" s="74" t="s">
        <v>1</v>
      </c>
      <c r="O82" s="74"/>
    </row>
    <row r="83" spans="1:15" x14ac:dyDescent="0.3">
      <c r="A83" s="74"/>
      <c r="B83" s="74"/>
      <c r="C83" s="74"/>
      <c r="D83" s="74"/>
      <c r="E83" s="74"/>
      <c r="F83" s="74"/>
      <c r="G83" s="74"/>
      <c r="H83" s="74"/>
      <c r="I83" s="74"/>
      <c r="J83" s="74"/>
      <c r="K83" s="74"/>
      <c r="M83" s="74">
        <f>M6</f>
        <v>2021</v>
      </c>
      <c r="N83" s="74">
        <f>N6</f>
        <v>2022</v>
      </c>
      <c r="O83" s="74"/>
    </row>
    <row r="84" spans="1:15" x14ac:dyDescent="0.3">
      <c r="A84" s="74"/>
      <c r="B84" s="74"/>
      <c r="C84" s="74"/>
      <c r="D84" s="74"/>
      <c r="E84" s="74"/>
      <c r="F84" s="74"/>
      <c r="G84" s="74"/>
      <c r="H84" s="74"/>
      <c r="I84" s="74"/>
      <c r="J84" s="74"/>
      <c r="K84" s="74"/>
      <c r="L84" s="74" t="s">
        <v>516</v>
      </c>
      <c r="M84" s="76">
        <f>'Tabel 1.1'!G37</f>
        <v>29361437.739999998</v>
      </c>
      <c r="N84" s="76">
        <f>'Tabel 1.1'!H37</f>
        <v>26879329.206100002</v>
      </c>
      <c r="O84" s="74"/>
    </row>
    <row r="85" spans="1:15" x14ac:dyDescent="0.3">
      <c r="B85" s="74"/>
      <c r="C85" s="74"/>
      <c r="D85" s="74"/>
      <c r="E85" s="74"/>
      <c r="F85" s="74"/>
      <c r="G85" s="74"/>
      <c r="H85" s="74"/>
      <c r="I85" s="74"/>
      <c r="J85" s="74"/>
      <c r="K85" s="74"/>
      <c r="L85" s="74" t="s">
        <v>55</v>
      </c>
      <c r="M85" s="76">
        <f>'Tabel 1.1'!G38</f>
        <v>138747409.08115</v>
      </c>
      <c r="N85" s="76">
        <f>'Tabel 1.1'!H38</f>
        <v>138259318.398</v>
      </c>
      <c r="O85" s="74"/>
    </row>
    <row r="86" spans="1:15" x14ac:dyDescent="0.3">
      <c r="B86" s="74"/>
      <c r="C86" s="74"/>
      <c r="D86" s="74"/>
      <c r="E86" s="74"/>
      <c r="F86" s="74"/>
      <c r="G86" s="74"/>
      <c r="H86" s="74"/>
      <c r="I86" s="74"/>
      <c r="J86" s="74"/>
      <c r="K86" s="74"/>
      <c r="L86" s="74" t="s">
        <v>57</v>
      </c>
      <c r="M86" s="76">
        <f>'Tabel 1.1'!G39</f>
        <v>0</v>
      </c>
      <c r="N86" s="76">
        <f>'Tabel 1.1'!H39</f>
        <v>0</v>
      </c>
      <c r="O86" s="74"/>
    </row>
    <row r="87" spans="1:15" x14ac:dyDescent="0.3">
      <c r="B87" s="74"/>
      <c r="C87" s="74"/>
      <c r="D87" s="74"/>
      <c r="E87" s="74"/>
      <c r="F87" s="74"/>
      <c r="G87" s="74"/>
      <c r="H87" s="74"/>
      <c r="I87" s="74"/>
      <c r="J87" s="74"/>
      <c r="K87" s="74"/>
      <c r="L87" s="78" t="s">
        <v>60</v>
      </c>
      <c r="M87" s="76">
        <f>'Tabel 1.1'!G40</f>
        <v>43184431</v>
      </c>
      <c r="N87" s="76">
        <f>'Tabel 1.1'!H40</f>
        <v>45973809</v>
      </c>
      <c r="O87" s="74"/>
    </row>
    <row r="88" spans="1:15" x14ac:dyDescent="0.3">
      <c r="B88" s="74"/>
      <c r="C88" s="74"/>
      <c r="D88" s="74"/>
      <c r="E88" s="74"/>
      <c r="F88" s="74"/>
      <c r="G88" s="74"/>
      <c r="H88" s="74"/>
      <c r="I88" s="74"/>
      <c r="J88" s="74"/>
      <c r="K88" s="74"/>
      <c r="L88" s="74" t="s">
        <v>63</v>
      </c>
      <c r="M88" s="76">
        <f>'Tabel 1.1'!G41</f>
        <v>2234333.4679299998</v>
      </c>
      <c r="N88" s="76">
        <f>'Tabel 1.1'!H41</f>
        <v>2551713.4049300002</v>
      </c>
      <c r="O88" s="74"/>
    </row>
    <row r="89" spans="1:15" x14ac:dyDescent="0.3">
      <c r="B89" s="74"/>
      <c r="C89" s="74"/>
      <c r="D89" s="74"/>
      <c r="E89" s="74"/>
      <c r="F89" s="74"/>
      <c r="G89" s="74"/>
      <c r="H89" s="74"/>
      <c r="I89" s="74"/>
      <c r="J89" s="74"/>
      <c r="K89" s="74"/>
      <c r="L89" s="74" t="s">
        <v>65</v>
      </c>
      <c r="M89" s="76">
        <f>'Tabel 1.1'!G42</f>
        <v>125405208.52</v>
      </c>
      <c r="N89" s="76">
        <f>'Tabel 1.1'!H42</f>
        <v>118066460.00000003</v>
      </c>
      <c r="O89" s="74"/>
    </row>
    <row r="90" spans="1:15" x14ac:dyDescent="0.3">
      <c r="B90" s="74"/>
      <c r="C90" s="74"/>
      <c r="D90" s="74"/>
      <c r="E90" s="74"/>
      <c r="F90" s="74"/>
      <c r="G90" s="74"/>
      <c r="H90" s="74"/>
      <c r="I90" s="74"/>
      <c r="J90" s="74"/>
      <c r="K90" s="74"/>
      <c r="L90" s="74" t="s">
        <v>70</v>
      </c>
      <c r="M90" s="76">
        <f>'Tabel 1.1'!G43</f>
        <v>3211246.3059999999</v>
      </c>
      <c r="N90" s="76">
        <f>'Tabel 1.1'!H43</f>
        <v>59412</v>
      </c>
      <c r="O90" s="74"/>
    </row>
    <row r="91" spans="1:15" x14ac:dyDescent="0.3">
      <c r="A91" s="74"/>
      <c r="B91" s="74"/>
      <c r="C91" s="74"/>
      <c r="D91" s="74"/>
      <c r="E91" s="74"/>
      <c r="F91" s="74"/>
      <c r="G91" s="74"/>
      <c r="H91" s="74"/>
      <c r="I91" s="74"/>
      <c r="J91" s="74"/>
      <c r="K91" s="74"/>
      <c r="L91" s="74" t="s">
        <v>505</v>
      </c>
      <c r="M91" s="76">
        <f>'Tabel 1.1'!G44</f>
        <v>56140255.507399999</v>
      </c>
      <c r="N91" s="76">
        <f>'Tabel 1.1'!H44</f>
        <v>55379613</v>
      </c>
      <c r="O91" s="74"/>
    </row>
    <row r="92" spans="1:15" ht="18.75" customHeight="1" x14ac:dyDescent="0.3">
      <c r="A92" s="74"/>
      <c r="B92" s="74"/>
      <c r="C92" s="74"/>
      <c r="D92" s="74"/>
      <c r="E92" s="74"/>
      <c r="F92" s="74"/>
      <c r="G92" s="74"/>
      <c r="H92" s="74"/>
      <c r="I92" s="74"/>
      <c r="J92" s="74"/>
      <c r="K92" s="74"/>
      <c r="L92" s="74" t="s">
        <v>506</v>
      </c>
      <c r="M92" s="76">
        <f>'Tabel 1.1'!G45</f>
        <v>157892391.24199998</v>
      </c>
      <c r="N92" s="76">
        <f>'Tabel 1.1'!H45</f>
        <v>152581635.26245999</v>
      </c>
      <c r="O92" s="74"/>
    </row>
    <row r="93" spans="1:15" ht="18.75" customHeight="1" x14ac:dyDescent="0.3">
      <c r="A93" s="74"/>
      <c r="B93" s="74"/>
      <c r="C93" s="74"/>
      <c r="D93" s="74"/>
      <c r="E93" s="74"/>
      <c r="F93" s="74"/>
      <c r="G93" s="74"/>
      <c r="H93" s="74"/>
      <c r="I93" s="74"/>
      <c r="J93" s="74"/>
      <c r="K93" s="74"/>
      <c r="M93" s="76"/>
      <c r="O93" s="74"/>
    </row>
    <row r="94" spans="1:15" ht="18.75" customHeight="1" x14ac:dyDescent="0.3">
      <c r="A94" s="74"/>
      <c r="B94" s="74"/>
      <c r="C94" s="74"/>
      <c r="D94" s="74"/>
      <c r="E94" s="74"/>
      <c r="F94" s="74"/>
      <c r="G94" s="74"/>
      <c r="H94" s="74"/>
      <c r="I94" s="74"/>
      <c r="J94" s="74"/>
      <c r="K94" s="74"/>
      <c r="O94" s="74"/>
    </row>
    <row r="95" spans="1:15" ht="18.75" customHeight="1" x14ac:dyDescent="0.3">
      <c r="A95" s="74"/>
      <c r="B95" s="74"/>
      <c r="C95" s="74"/>
      <c r="D95" s="74"/>
      <c r="E95" s="74"/>
      <c r="F95" s="74"/>
      <c r="G95" s="74"/>
      <c r="H95" s="74"/>
      <c r="I95" s="74"/>
      <c r="J95" s="74"/>
      <c r="K95" s="74"/>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511</v>
      </c>
      <c r="B106" s="74"/>
      <c r="C106" s="74"/>
      <c r="D106" s="74"/>
      <c r="E106" s="74"/>
      <c r="F106" s="74"/>
      <c r="G106" s="74"/>
      <c r="H106" s="78"/>
      <c r="I106" s="74"/>
      <c r="J106" s="74"/>
      <c r="K106" s="74"/>
      <c r="L106" s="78" t="s">
        <v>73</v>
      </c>
      <c r="O106" s="74"/>
      <c r="Q106" s="74"/>
    </row>
    <row r="107" spans="1:17" ht="18.75" customHeight="1" x14ac:dyDescent="0.3">
      <c r="A107" s="74"/>
      <c r="B107" s="74"/>
      <c r="C107" s="74"/>
      <c r="D107" s="74"/>
      <c r="E107" s="74"/>
      <c r="F107" s="74"/>
      <c r="G107" s="74"/>
      <c r="H107" s="74"/>
      <c r="I107" s="74"/>
      <c r="J107" s="74"/>
      <c r="K107" s="74"/>
      <c r="L107" s="74" t="s">
        <v>0</v>
      </c>
      <c r="O107" s="74"/>
      <c r="Q107" s="74"/>
    </row>
    <row r="108" spans="1:17" ht="18.75" customHeight="1" x14ac:dyDescent="0.3">
      <c r="A108" s="74"/>
      <c r="B108" s="74"/>
      <c r="C108" s="74"/>
      <c r="D108" s="74"/>
      <c r="E108" s="74"/>
      <c r="F108" s="74"/>
      <c r="G108" s="74"/>
      <c r="H108" s="74"/>
      <c r="I108" s="74"/>
      <c r="J108" s="74"/>
      <c r="K108" s="74"/>
      <c r="M108" s="74">
        <f>M6</f>
        <v>2021</v>
      </c>
      <c r="N108" s="74">
        <f>N6</f>
        <v>2022</v>
      </c>
      <c r="O108" s="74"/>
      <c r="Q108" s="74"/>
    </row>
    <row r="109" spans="1:17" ht="18.75" customHeight="1" x14ac:dyDescent="0.3">
      <c r="A109" s="74"/>
      <c r="B109" s="74"/>
      <c r="C109" s="74"/>
      <c r="D109" s="74"/>
      <c r="E109" s="74"/>
      <c r="F109" s="74"/>
      <c r="G109" s="74"/>
      <c r="H109" s="74"/>
      <c r="I109" s="74"/>
      <c r="J109" s="74"/>
      <c r="K109" s="74"/>
      <c r="L109" s="74" t="s">
        <v>516</v>
      </c>
      <c r="M109" s="76">
        <f>'Storebrand Danica Pensjon'!B11-'Storebrand Danica Pensjon'!B12+'Storebrand Danica Pensjon'!B34-'Storebrand Danica Pensjon'!B35+'Storebrand Danica Pensjon'!B38-'Storebrand Danica Pensjon'!B39+'Storebrand Danica Pensjon'!B111-'Storebrand Danica Pensjon'!B119+'Storebrand Danica Pensjon'!B136-'Storebrand Danica Pensjon'!B137</f>
        <v>917.59400000000096</v>
      </c>
      <c r="N109" s="76">
        <f>'Storebrand Danica Pensjon'!C11-'Storebrand Danica Pensjon'!C12+'Storebrand Danica Pensjon'!C34-'Storebrand Danica Pensjon'!C35+'Storebrand Danica Pensjon'!C38-'Storebrand Danica Pensjon'!C39+'Storebrand Danica Pensjon'!C111-'Storebrand Danica Pensjon'!C119+'Storebrand Danica Pensjon'!C136-'Storebrand Danica Pensjon'!C137</f>
        <v>-4997.0770400000001</v>
      </c>
      <c r="O109" s="74"/>
      <c r="Q109" s="74"/>
    </row>
    <row r="110" spans="1:17" ht="18.75" customHeight="1" x14ac:dyDescent="0.3">
      <c r="A110" s="74"/>
      <c r="B110" s="74"/>
      <c r="C110" s="74"/>
      <c r="D110" s="74"/>
      <c r="E110" s="74"/>
      <c r="F110" s="74"/>
      <c r="G110" s="74"/>
      <c r="H110" s="74"/>
      <c r="I110" s="74"/>
      <c r="J110" s="74"/>
      <c r="K110" s="74"/>
      <c r="L110" s="74" t="s">
        <v>55</v>
      </c>
      <c r="M110" s="76">
        <f>'DNB Livsforsikring'!B11-'DNB Livsforsikring'!B12+'DNB Livsforsikring'!B34-'DNB Livsforsikring'!B35+'DNB Livsforsikring'!B38-'DNB Livsforsikring'!B39+'DNB Livsforsikring'!B111-'DNB Livsforsikring'!B119+'DNB Livsforsikring'!B136-'DNB Livsforsikring'!B137</f>
        <v>408944.98053999996</v>
      </c>
      <c r="N110" s="76">
        <f>'DNB Livsforsikring'!C11-'DNB Livsforsikring'!C12+'DNB Livsforsikring'!C34-'DNB Livsforsikring'!C35+'DNB Livsforsikring'!C38-'DNB Livsforsikring'!C39+'DNB Livsforsikring'!C111-'DNB Livsforsikring'!C119+'DNB Livsforsikring'!C136-'DNB Livsforsikring'!C137</f>
        <v>253788</v>
      </c>
      <c r="O110" s="74"/>
      <c r="Q110" s="74"/>
    </row>
    <row r="111" spans="1:17" ht="18.75" customHeight="1" x14ac:dyDescent="0.3">
      <c r="A111" s="74"/>
      <c r="B111" s="74"/>
      <c r="C111" s="74"/>
      <c r="D111" s="74"/>
      <c r="E111" s="74"/>
      <c r="F111" s="74"/>
      <c r="G111" s="74"/>
      <c r="H111" s="74"/>
      <c r="I111" s="74"/>
      <c r="J111" s="74"/>
      <c r="K111" s="74"/>
      <c r="L111" s="78" t="s">
        <v>60</v>
      </c>
      <c r="M111" s="76">
        <f>'Gjensidige Pensjon'!B11-'Gjensidige Pensjon'!B12+'Gjensidige Pensjon'!B34-'Gjensidige Pensjon'!B35+'Gjensidige Pensjon'!B38-'Gjensidige Pensjon'!B39+'Gjensidige Pensjon'!B111-'Gjensidige Pensjon'!B119+'Gjensidige Pensjon'!B136-'Gjensidige Pensjon'!B137</f>
        <v>-1853</v>
      </c>
      <c r="N111" s="76">
        <f>'Gjensidige Pensjon'!C11-'Gjensidige Pensjon'!C12+'Gjensidige Pensjon'!C34-'Gjensidige Pensjon'!C35+'Gjensidige Pensjon'!C38-'Gjensidige Pensjon'!C39+'Gjensidige Pensjon'!C111-'Gjensidige Pensjon'!C119+'Gjensidige Pensjon'!C136-'Gjensidige Pensjon'!C137</f>
        <v>74640</v>
      </c>
      <c r="O111" s="74"/>
      <c r="Q111" s="74"/>
    </row>
    <row r="112" spans="1:17" ht="18.75" customHeight="1" x14ac:dyDescent="0.3">
      <c r="A112" s="74"/>
      <c r="B112" s="74"/>
      <c r="C112" s="74"/>
      <c r="D112" s="74"/>
      <c r="E112" s="74"/>
      <c r="F112" s="74"/>
      <c r="G112" s="74"/>
      <c r="H112" s="74"/>
      <c r="I112" s="74"/>
      <c r="J112" s="74"/>
      <c r="K112" s="74"/>
      <c r="L112" s="78" t="s">
        <v>63</v>
      </c>
      <c r="M112" s="76">
        <f>KLP!B11-KLP!B12+KLP!B34-KLP!B35+KLP!B38-KLP!B39+KLP!B111-KLP!B119+KLP!B136-KLP!B137</f>
        <v>-8346122.3590000002</v>
      </c>
      <c r="N112" s="76">
        <f>KLP!C11-KLP!C12+KLP!C34-KLP!C35+KLP!C38-KLP!C39+KLP!C111-KLP!C119+KLP!C136-KLP!C137</f>
        <v>-4649405.9929999998</v>
      </c>
      <c r="O112" s="74"/>
      <c r="Q112" s="74"/>
    </row>
    <row r="113" spans="1:17" ht="18.75" customHeight="1" x14ac:dyDescent="0.3">
      <c r="A113" s="74"/>
      <c r="B113" s="74"/>
      <c r="C113" s="74"/>
      <c r="D113" s="74"/>
      <c r="E113" s="74"/>
      <c r="F113" s="74"/>
      <c r="G113" s="74"/>
      <c r="H113" s="74"/>
      <c r="I113" s="74"/>
      <c r="J113" s="74"/>
      <c r="K113" s="74"/>
      <c r="L113" s="74" t="s">
        <v>65</v>
      </c>
      <c r="M113" s="76">
        <f>'Nordea Liv '!B11-'Nordea Liv '!B12+'Nordea Liv '!B34-'Nordea Liv '!B35+'Nordea Liv '!B38-'Nordea Liv '!B39+'Nordea Liv '!B111-'Nordea Liv '!B119+'Nordea Liv '!B136-'Nordea Liv '!B137</f>
        <v>1913</v>
      </c>
      <c r="N113" s="76">
        <f>'Nordea Liv '!C11-'Nordea Liv '!C12+'Nordea Liv '!C34-'Nordea Liv '!C35+'Nordea Liv '!C38-'Nordea Liv '!C39+'Nordea Liv '!C111-'Nordea Liv '!C119+'Nordea Liv '!C136-'Nordea Liv '!C137</f>
        <v>-1634.9483999999202</v>
      </c>
      <c r="O113" s="74"/>
      <c r="Q113" s="74"/>
    </row>
    <row r="114" spans="1:17" ht="18.75" customHeight="1" x14ac:dyDescent="0.3">
      <c r="A114" s="74"/>
      <c r="B114" s="74"/>
      <c r="C114" s="74"/>
      <c r="D114" s="74"/>
      <c r="E114" s="74"/>
      <c r="F114" s="74"/>
      <c r="G114" s="74"/>
      <c r="H114" s="74"/>
      <c r="I114" s="74"/>
      <c r="J114" s="74"/>
      <c r="K114" s="74"/>
      <c r="L114" s="74" t="s">
        <v>505</v>
      </c>
      <c r="M114" s="76">
        <f>'Sparebank 1 Forsikring'!B11-'Sparebank 1 Forsikring'!B12+'Sparebank 1 Forsikring'!B34-'Sparebank 1 Forsikring'!B35+'Sparebank 1 Forsikring'!B38-'Sparebank 1 Forsikring'!B39+'Sparebank 1 Forsikring'!B111-'Sparebank 1 Forsikring'!B119+'Sparebank 1 Forsikring'!B136-'Sparebank 1 Forsikring'!B137</f>
        <v>-4756.5401499999971</v>
      </c>
      <c r="N114" s="76">
        <f>'Sparebank 1 Forsikring'!C11-'Sparebank 1 Forsikring'!C12+'Sparebank 1 Forsikring'!C34-'Sparebank 1 Forsikring'!C35+'Sparebank 1 Forsikring'!C38-'Sparebank 1 Forsikring'!C39+'Sparebank 1 Forsikring'!C111-'Sparebank 1 Forsikring'!C119+'Sparebank 1 Forsikring'!C136-'Sparebank 1 Forsikring'!C137</f>
        <v>-204154</v>
      </c>
      <c r="O114" s="74"/>
      <c r="Q114" s="74"/>
    </row>
    <row r="115" spans="1:17" ht="18.75" customHeight="1" x14ac:dyDescent="0.3">
      <c r="A115" s="74"/>
      <c r="B115" s="74"/>
      <c r="C115" s="74"/>
      <c r="D115" s="74"/>
      <c r="E115" s="74"/>
      <c r="F115" s="74"/>
      <c r="G115" s="74"/>
      <c r="H115" s="74"/>
      <c r="I115" s="74"/>
      <c r="J115" s="74"/>
      <c r="K115" s="74"/>
      <c r="L115" s="74" t="s">
        <v>506</v>
      </c>
      <c r="M115" s="76">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6662972.6740000006</v>
      </c>
      <c r="N115" s="76">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3595002.9428700004</v>
      </c>
      <c r="O115" s="74"/>
      <c r="Q115" s="74"/>
    </row>
    <row r="116" spans="1:17" ht="18.75" customHeight="1" x14ac:dyDescent="0.3">
      <c r="A116" s="74"/>
      <c r="B116" s="74"/>
      <c r="C116" s="74"/>
      <c r="D116" s="74"/>
      <c r="E116" s="74"/>
      <c r="F116" s="74"/>
      <c r="G116" s="74"/>
      <c r="H116" s="74"/>
      <c r="I116" s="74"/>
      <c r="J116" s="74"/>
      <c r="K116" s="74"/>
      <c r="M116" s="76"/>
      <c r="N116" s="76"/>
      <c r="O116" s="74"/>
      <c r="Q116" s="74"/>
    </row>
    <row r="117" spans="1:17" ht="18.75" customHeight="1" x14ac:dyDescent="0.3">
      <c r="A117" s="74"/>
      <c r="B117" s="74"/>
      <c r="C117" s="74"/>
      <c r="D117" s="74"/>
      <c r="E117" s="74"/>
      <c r="F117" s="74"/>
      <c r="G117" s="74"/>
      <c r="H117" s="74"/>
      <c r="I117" s="74"/>
      <c r="J117" s="74"/>
      <c r="K117" s="74"/>
      <c r="M117" s="76"/>
      <c r="N117" s="76"/>
      <c r="O117" s="74"/>
    </row>
    <row r="118" spans="1:17" ht="18.75" customHeight="1" x14ac:dyDescent="0.3">
      <c r="A118" s="74"/>
      <c r="B118" s="74"/>
      <c r="C118" s="74"/>
      <c r="D118" s="74"/>
      <c r="E118" s="74"/>
      <c r="F118" s="74"/>
      <c r="G118" s="74"/>
      <c r="H118" s="74"/>
      <c r="I118" s="74"/>
      <c r="J118" s="74"/>
      <c r="K118" s="74"/>
      <c r="M118" s="76"/>
      <c r="N118" s="76"/>
      <c r="O118" s="74"/>
    </row>
    <row r="119" spans="1:17" ht="18.75" customHeight="1" x14ac:dyDescent="0.3">
      <c r="A119" s="74"/>
      <c r="B119" s="74"/>
      <c r="C119" s="74"/>
      <c r="D119" s="74"/>
      <c r="E119" s="74"/>
      <c r="F119" s="74"/>
      <c r="G119" s="74"/>
      <c r="H119" s="74"/>
      <c r="I119" s="74"/>
      <c r="J119" s="74"/>
      <c r="K119" s="74"/>
      <c r="M119" s="76"/>
      <c r="N119" s="76"/>
      <c r="O119" s="74"/>
    </row>
    <row r="120" spans="1:17" ht="18.75" customHeight="1" x14ac:dyDescent="0.3">
      <c r="A120" s="74"/>
      <c r="B120" s="74"/>
      <c r="C120" s="74"/>
      <c r="D120" s="74"/>
      <c r="E120" s="74"/>
      <c r="F120" s="74"/>
      <c r="G120" s="74"/>
      <c r="H120" s="74"/>
      <c r="I120" s="74"/>
      <c r="J120" s="74"/>
      <c r="K120" s="74"/>
      <c r="M120" s="76"/>
      <c r="N120" s="76"/>
      <c r="O120" s="74"/>
    </row>
    <row r="121" spans="1:17" ht="18.75" customHeight="1" x14ac:dyDescent="0.3">
      <c r="A121" s="74"/>
      <c r="B121" s="74"/>
      <c r="C121" s="74"/>
      <c r="D121" s="74"/>
      <c r="E121" s="74"/>
      <c r="F121" s="74"/>
      <c r="G121" s="74"/>
      <c r="H121" s="74"/>
      <c r="I121" s="74"/>
      <c r="J121" s="74"/>
      <c r="K121" s="74"/>
      <c r="M121" s="76"/>
      <c r="N121" s="76"/>
      <c r="O121" s="74"/>
    </row>
    <row r="122" spans="1:17" ht="18.75" customHeight="1" x14ac:dyDescent="0.3">
      <c r="A122" s="74"/>
      <c r="B122" s="74"/>
      <c r="C122" s="74"/>
      <c r="D122" s="74"/>
      <c r="E122" s="74"/>
      <c r="F122" s="74"/>
      <c r="G122" s="74"/>
      <c r="H122" s="74"/>
      <c r="I122" s="74"/>
      <c r="J122" s="74"/>
      <c r="K122" s="74"/>
      <c r="M122" s="76"/>
      <c r="N122" s="76"/>
      <c r="O122" s="74"/>
    </row>
    <row r="123" spans="1:17" x14ac:dyDescent="0.3">
      <c r="A123" s="74"/>
      <c r="B123" s="74"/>
      <c r="C123" s="74"/>
      <c r="D123" s="74"/>
      <c r="E123" s="74"/>
      <c r="F123" s="74"/>
      <c r="G123" s="74"/>
      <c r="H123" s="74"/>
      <c r="I123" s="74"/>
      <c r="J123" s="74"/>
      <c r="K123" s="74"/>
      <c r="O123" s="74"/>
    </row>
    <row r="124" spans="1:17" x14ac:dyDescent="0.3">
      <c r="A124" s="74"/>
      <c r="B124" s="74"/>
      <c r="C124" s="74"/>
      <c r="D124" s="74"/>
      <c r="E124" s="74"/>
      <c r="F124" s="74"/>
      <c r="G124" s="74"/>
      <c r="H124" s="74"/>
      <c r="I124" s="74"/>
      <c r="J124" s="74"/>
      <c r="K124" s="74"/>
      <c r="O124" s="74"/>
    </row>
    <row r="125" spans="1:17" x14ac:dyDescent="0.3">
      <c r="A125" s="74"/>
      <c r="B125" s="74"/>
      <c r="C125" s="74"/>
      <c r="D125" s="74"/>
      <c r="E125" s="74"/>
      <c r="F125" s="74"/>
      <c r="G125" s="74"/>
      <c r="H125" s="74"/>
      <c r="I125" s="74"/>
      <c r="J125" s="74"/>
      <c r="K125" s="74"/>
      <c r="O125" s="74"/>
    </row>
    <row r="126" spans="1:17" x14ac:dyDescent="0.3">
      <c r="A126" s="74"/>
      <c r="B126" s="74"/>
      <c r="C126" s="74"/>
      <c r="D126" s="74"/>
      <c r="E126" s="74"/>
      <c r="F126" s="74"/>
      <c r="G126" s="74"/>
      <c r="H126" s="74"/>
      <c r="I126" s="74"/>
      <c r="J126" s="74"/>
      <c r="K126" s="74"/>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L129" s="78" t="s">
        <v>74</v>
      </c>
      <c r="O129" s="74"/>
    </row>
    <row r="130" spans="1:15" x14ac:dyDescent="0.3">
      <c r="A130" s="75" t="s">
        <v>512</v>
      </c>
      <c r="B130" s="74"/>
      <c r="C130" s="74"/>
      <c r="D130" s="74"/>
      <c r="E130" s="74"/>
      <c r="F130" s="74"/>
      <c r="G130" s="74"/>
      <c r="H130" s="78"/>
      <c r="I130" s="74"/>
      <c r="J130" s="74"/>
      <c r="K130" s="74"/>
      <c r="L130" s="74" t="s">
        <v>1</v>
      </c>
      <c r="O130" s="74"/>
    </row>
    <row r="131" spans="1:15" x14ac:dyDescent="0.3">
      <c r="B131" s="74"/>
      <c r="C131" s="74"/>
      <c r="D131" s="74"/>
      <c r="E131" s="74"/>
      <c r="F131" s="74"/>
      <c r="G131" s="74"/>
      <c r="H131" s="74"/>
      <c r="I131" s="74"/>
      <c r="J131" s="74"/>
      <c r="K131" s="74"/>
      <c r="M131" s="74">
        <f>M6</f>
        <v>2021</v>
      </c>
      <c r="N131" s="74">
        <f>N6</f>
        <v>2022</v>
      </c>
      <c r="O131" s="74"/>
    </row>
    <row r="132" spans="1:15" x14ac:dyDescent="0.3">
      <c r="A132" s="74"/>
      <c r="B132" s="74"/>
      <c r="C132" s="74"/>
      <c r="D132" s="74"/>
      <c r="E132" s="74"/>
      <c r="F132" s="74"/>
      <c r="G132" s="74"/>
      <c r="H132" s="74"/>
      <c r="I132" s="74"/>
      <c r="J132" s="74"/>
      <c r="K132" s="74"/>
      <c r="L132" s="74" t="s">
        <v>516</v>
      </c>
      <c r="M132" s="76">
        <f>'Storebrand Danica Pensjon'!F11-'Storebrand Danica Pensjon'!F12+'Storebrand Danica Pensjon'!F34-'Storebrand Danica Pensjon'!F35+'Storebrand Danica Pensjon'!F38-'Storebrand Danica Pensjon'!F39+'Storebrand Danica Pensjon'!F111-'Storebrand Danica Pensjon'!F119+'Storebrand Danica Pensjon'!F136-'Storebrand Danica Pensjon'!F137</f>
        <v>587775.53799999971</v>
      </c>
      <c r="N132" s="76">
        <f>'Storebrand Danica Pensjon'!G11-'Storebrand Danica Pensjon'!G12+'Storebrand Danica Pensjon'!G34-'Storebrand Danica Pensjon'!G35+'Storebrand Danica Pensjon'!G38-'Storebrand Danica Pensjon'!G39+'Storebrand Danica Pensjon'!G111-'Storebrand Danica Pensjon'!G119+'Storebrand Danica Pensjon'!G136-'Storebrand Danica Pensjon'!G137</f>
        <v>-657818.0637099999</v>
      </c>
      <c r="O132" s="74"/>
    </row>
    <row r="133" spans="1:15" x14ac:dyDescent="0.3">
      <c r="A133" s="74"/>
      <c r="B133" s="74"/>
      <c r="C133" s="74"/>
      <c r="D133" s="74"/>
      <c r="E133" s="74"/>
      <c r="F133" s="74"/>
      <c r="G133" s="74"/>
      <c r="H133" s="74"/>
      <c r="I133" s="74"/>
      <c r="J133" s="74"/>
      <c r="K133" s="74"/>
      <c r="L133" s="74" t="s">
        <v>55</v>
      </c>
      <c r="M133" s="76">
        <f>'DNB Livsforsikring'!F11-'DNB Livsforsikring'!F12+'DNB Livsforsikring'!F34-'DNB Livsforsikring'!F35+'DNB Livsforsikring'!F38-'DNB Livsforsikring'!F39+'DNB Livsforsikring'!F111-'DNB Livsforsikring'!F119+'DNB Livsforsikring'!F136-'DNB Livsforsikring'!F137</f>
        <v>-1350455</v>
      </c>
      <c r="N133" s="76">
        <f>'DNB Livsforsikring'!G11-'DNB Livsforsikring'!G12+'DNB Livsforsikring'!G34-'DNB Livsforsikring'!G35+'DNB Livsforsikring'!G38-'DNB Livsforsikring'!G39+'DNB Livsforsikring'!G111-'DNB Livsforsikring'!G119+'DNB Livsforsikring'!G136-'DNB Livsforsikring'!G137</f>
        <v>543730.58999999985</v>
      </c>
      <c r="O133" s="74"/>
    </row>
    <row r="134" spans="1:15" x14ac:dyDescent="0.3">
      <c r="A134" s="74"/>
      <c r="B134" s="74"/>
      <c r="C134" s="74"/>
      <c r="D134" s="74"/>
      <c r="E134" s="74"/>
      <c r="F134" s="74"/>
      <c r="G134" s="74"/>
      <c r="H134" s="74"/>
      <c r="I134" s="74"/>
      <c r="J134" s="74"/>
      <c r="K134" s="74"/>
      <c r="L134" s="74" t="s">
        <v>57</v>
      </c>
      <c r="M134" s="76">
        <f>'Frende Livsforsikring'!F11-'Frende Livsforsikring'!F12+'Frende Livsforsikring'!F34-'Frende Livsforsikring'!F35+'Frende Livsforsikring'!F38-'Frende Livsforsikring'!F39+'Frende Livsforsikring'!F111-'Frende Livsforsikring'!F119+'Frende Livsforsikring'!F136-'Frende Livsforsikring'!F137</f>
        <v>0</v>
      </c>
      <c r="N134" s="76">
        <f>'Frende Livsforsikring'!G11-'Frende Livsforsikring'!G12+'Frende Livsforsikring'!G34-'Frende Livsforsikring'!G35+'Frende Livsforsikring'!G38-'Frende Livsforsikring'!G39+'Frende Livsforsikring'!G111-'Frende Livsforsikring'!G119+'Frende Livsforsikring'!G136-'Frende Livsforsikring'!G137</f>
        <v>0</v>
      </c>
      <c r="O134" s="74"/>
    </row>
    <row r="135" spans="1:15" x14ac:dyDescent="0.3">
      <c r="A135" s="74"/>
      <c r="B135" s="74"/>
      <c r="C135" s="74"/>
      <c r="D135" s="74"/>
      <c r="E135" s="74"/>
      <c r="F135" s="74"/>
      <c r="G135" s="74"/>
      <c r="H135" s="74"/>
      <c r="I135" s="74"/>
      <c r="J135" s="74"/>
      <c r="K135" s="74"/>
      <c r="L135" s="78" t="s">
        <v>60</v>
      </c>
      <c r="M135" s="76">
        <f>'Gjensidige Pensjon'!F11-'Gjensidige Pensjon'!F12+'Gjensidige Pensjon'!F34-'Gjensidige Pensjon'!F35+'Gjensidige Pensjon'!F38-'Gjensidige Pensjon'!F39+'Gjensidige Pensjon'!F111-'Gjensidige Pensjon'!F119+'Gjensidige Pensjon'!F136-'Gjensidige Pensjon'!F137</f>
        <v>671451</v>
      </c>
      <c r="N135" s="76">
        <f>'Gjensidige Pensjon'!G11-'Gjensidige Pensjon'!G12+'Gjensidige Pensjon'!G34-'Gjensidige Pensjon'!G35+'Gjensidige Pensjon'!G38-'Gjensidige Pensjon'!G39+'Gjensidige Pensjon'!G111-'Gjensidige Pensjon'!G119+'Gjensidige Pensjon'!G136-'Gjensidige Pensjon'!G137</f>
        <v>4386610</v>
      </c>
      <c r="O135" s="74"/>
    </row>
    <row r="136" spans="1:15" x14ac:dyDescent="0.3">
      <c r="A136" s="74"/>
      <c r="B136" s="74"/>
      <c r="C136" s="74"/>
      <c r="D136" s="74"/>
      <c r="E136" s="74"/>
      <c r="F136" s="74"/>
      <c r="G136" s="74"/>
      <c r="H136" s="74"/>
      <c r="I136" s="74"/>
      <c r="J136" s="74"/>
      <c r="K136" s="74"/>
      <c r="L136" s="74" t="s">
        <v>63</v>
      </c>
      <c r="M136" s="76">
        <f>KLP!F11-KLP!F12+KLP!F34-KLP!F35+KLP!F38-KLP!F39+KLP!F111-KLP!F119+KLP!F136-KLP!F137</f>
        <v>0</v>
      </c>
      <c r="N136" s="76">
        <f>KLP!G11-KLP!G12+KLP!G34-KLP!G35+KLP!G38-KLP!G39+KLP!G111-KLP!G119+KLP!G136-KLP!G137</f>
        <v>376337.44099999999</v>
      </c>
      <c r="O136" s="74"/>
    </row>
    <row r="137" spans="1:15" x14ac:dyDescent="0.3">
      <c r="A137" s="74"/>
      <c r="B137" s="74"/>
      <c r="C137" s="74"/>
      <c r="D137" s="74"/>
      <c r="E137" s="74"/>
      <c r="F137" s="74"/>
      <c r="G137" s="74"/>
      <c r="H137" s="74"/>
      <c r="I137" s="74"/>
      <c r="J137" s="74"/>
      <c r="K137" s="74"/>
      <c r="L137" s="74" t="s">
        <v>65</v>
      </c>
      <c r="M137" s="76">
        <f>'Nordea Liv '!F11-'Nordea Liv '!F12+'Nordea Liv '!F34-'Nordea Liv '!F35+'Nordea Liv '!F38-'Nordea Liv '!F39+'Nordea Liv '!F111-'Nordea Liv '!F119+'Nordea Liv '!F136-'Nordea Liv '!F137</f>
        <v>638296</v>
      </c>
      <c r="N137" s="76">
        <f>'Nordea Liv '!G11-'Nordea Liv '!G12+'Nordea Liv '!G34-'Nordea Liv '!G35+'Nordea Liv '!G38-'Nordea Liv '!G39+'Nordea Liv '!G111-'Nordea Liv '!G119+'Nordea Liv '!G136-'Nordea Liv '!G137</f>
        <v>146328.8693599999</v>
      </c>
      <c r="O137" s="74"/>
    </row>
    <row r="138" spans="1:15" x14ac:dyDescent="0.3">
      <c r="A138" s="74"/>
      <c r="B138" s="74"/>
      <c r="C138" s="74"/>
      <c r="D138" s="74"/>
      <c r="E138" s="74"/>
      <c r="F138" s="74"/>
      <c r="G138" s="74"/>
      <c r="H138" s="74"/>
      <c r="I138" s="74"/>
      <c r="J138" s="74"/>
      <c r="K138" s="74"/>
      <c r="L138" s="74" t="s">
        <v>70</v>
      </c>
      <c r="M138" s="76">
        <f>'SHB Liv'!F11-'SHB Liv'!F12+'SHB Liv'!F34-'SHB Liv'!F35+'SHB Liv'!F38-'SHB Liv'!F39+'SHB Liv'!F111-'SHB Liv'!F119+'SHB Liv'!F136-'SHB Liv'!F137</f>
        <v>-166180.45599999998</v>
      </c>
      <c r="N138" s="76">
        <f>'SHB Liv'!G11-'SHB Liv'!G12+'SHB Liv'!G34-'SHB Liv'!G35+'SHB Liv'!G38-'SHB Liv'!G39+'SHB Liv'!G111-'SHB Liv'!G119+'SHB Liv'!G136-'SHB Liv'!G137</f>
        <v>-1779753.4576900001</v>
      </c>
      <c r="O138" s="74"/>
    </row>
    <row r="139" spans="1:15" x14ac:dyDescent="0.3">
      <c r="A139" s="74"/>
      <c r="B139" s="74"/>
      <c r="C139" s="74"/>
      <c r="D139" s="74"/>
      <c r="E139" s="74"/>
      <c r="F139" s="74"/>
      <c r="G139" s="74"/>
      <c r="H139" s="74"/>
      <c r="I139" s="74"/>
      <c r="J139" s="74"/>
      <c r="K139" s="74"/>
      <c r="L139" s="74" t="s">
        <v>505</v>
      </c>
      <c r="M139" s="76">
        <f>'Sparebank 1 Forsikring'!F11-'Sparebank 1 Forsikring'!F12+'Sparebank 1 Forsikring'!F34-'Sparebank 1 Forsikring'!F35+'Sparebank 1 Forsikring'!F38-'Sparebank 1 Forsikring'!F39+'Sparebank 1 Forsikring'!F111-'Sparebank 1 Forsikring'!F119+'Sparebank 1 Forsikring'!F136-'Sparebank 1 Forsikring'!F137</f>
        <v>2226185.1658699987</v>
      </c>
      <c r="N139" s="76">
        <f>'Sparebank 1 Forsikring'!G11-'Sparebank 1 Forsikring'!G12+'Sparebank 1 Forsikring'!G34-'Sparebank 1 Forsikring'!G35+'Sparebank 1 Forsikring'!G38-'Sparebank 1 Forsikring'!G39+'Sparebank 1 Forsikring'!G111-'Sparebank 1 Forsikring'!G119+'Sparebank 1 Forsikring'!G136-'Sparebank 1 Forsikring'!G137</f>
        <v>-840940</v>
      </c>
      <c r="O139" s="74"/>
    </row>
    <row r="140" spans="1:15" x14ac:dyDescent="0.3">
      <c r="A140" s="74"/>
      <c r="B140" s="74"/>
      <c r="C140" s="74"/>
      <c r="D140" s="74"/>
      <c r="E140" s="74"/>
      <c r="F140" s="74"/>
      <c r="G140" s="74"/>
      <c r="H140" s="74"/>
      <c r="I140" s="74"/>
      <c r="J140" s="74"/>
      <c r="K140" s="74"/>
      <c r="L140" s="74" t="s">
        <v>506</v>
      </c>
      <c r="M140" s="76">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-9298668.8359999992</v>
      </c>
      <c r="N140" s="76">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-3868648.2638300005</v>
      </c>
      <c r="O140" s="74"/>
    </row>
    <row r="141" spans="1:15" x14ac:dyDescent="0.3">
      <c r="A141" s="74"/>
      <c r="B141" s="74"/>
      <c r="C141" s="74"/>
      <c r="D141" s="74"/>
      <c r="E141" s="74"/>
      <c r="F141" s="74"/>
      <c r="G141" s="74"/>
      <c r="H141" s="74"/>
      <c r="I141" s="74"/>
      <c r="J141" s="74"/>
      <c r="K141" s="74"/>
      <c r="O141" s="74"/>
    </row>
    <row r="142" spans="1:15" x14ac:dyDescent="0.3">
      <c r="A142" s="74"/>
      <c r="B142" s="74"/>
      <c r="C142" s="74"/>
      <c r="D142" s="74"/>
      <c r="E142" s="74"/>
      <c r="F142" s="74"/>
      <c r="G142" s="74"/>
      <c r="H142" s="74"/>
      <c r="I142" s="74"/>
      <c r="J142" s="74"/>
      <c r="K142" s="74"/>
      <c r="O142" s="74"/>
    </row>
    <row r="143" spans="1:15" x14ac:dyDescent="0.3">
      <c r="A143" s="74"/>
      <c r="B143" s="74"/>
      <c r="C143" s="74"/>
      <c r="D143" s="74"/>
      <c r="E143" s="74"/>
      <c r="F143" s="74"/>
      <c r="G143" s="74"/>
      <c r="H143" s="74"/>
      <c r="I143" s="74"/>
      <c r="J143" s="74"/>
      <c r="K143" s="74"/>
      <c r="O143" s="74"/>
    </row>
    <row r="144" spans="1:15" x14ac:dyDescent="0.3">
      <c r="A144" s="74"/>
      <c r="B144" s="74"/>
      <c r="C144" s="74"/>
      <c r="D144" s="74"/>
      <c r="E144" s="74"/>
      <c r="F144" s="74"/>
      <c r="G144" s="74"/>
      <c r="H144" s="74"/>
      <c r="I144" s="74"/>
      <c r="J144" s="74"/>
      <c r="K144" s="74"/>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129</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c r="G7" s="310"/>
      <c r="H7" s="351"/>
      <c r="I7" s="159"/>
      <c r="J7" s="311"/>
      <c r="K7" s="312"/>
      <c r="L7" s="425"/>
      <c r="M7" s="11"/>
    </row>
    <row r="8" spans="1:14" ht="15.75" x14ac:dyDescent="0.2">
      <c r="A8" s="21" t="s">
        <v>25</v>
      </c>
      <c r="B8" s="284"/>
      <c r="C8" s="285"/>
      <c r="D8" s="165"/>
      <c r="E8" s="27"/>
      <c r="F8" s="288"/>
      <c r="G8" s="289"/>
      <c r="H8" s="165"/>
      <c r="I8" s="175"/>
      <c r="J8" s="233"/>
      <c r="K8" s="290"/>
      <c r="L8" s="426"/>
      <c r="M8" s="27"/>
    </row>
    <row r="9" spans="1:14" ht="15.75" x14ac:dyDescent="0.2">
      <c r="A9" s="21" t="s">
        <v>24</v>
      </c>
      <c r="B9" s="284"/>
      <c r="C9" s="285"/>
      <c r="D9" s="165"/>
      <c r="E9" s="27"/>
      <c r="F9" s="288"/>
      <c r="G9" s="289"/>
      <c r="H9" s="165"/>
      <c r="I9" s="175"/>
      <c r="J9" s="233"/>
      <c r="K9" s="290"/>
      <c r="L9" s="426"/>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170"/>
      <c r="E38" s="24"/>
      <c r="F38" s="322"/>
      <c r="G38" s="323"/>
      <c r="H38" s="170"/>
      <c r="I38" s="432"/>
      <c r="J38" s="235"/>
      <c r="K38" s="235"/>
      <c r="L38" s="426"/>
      <c r="M38" s="24"/>
    </row>
    <row r="39" spans="1:14" ht="15.75" x14ac:dyDescent="0.2">
      <c r="A39" s="18" t="s">
        <v>436</v>
      </c>
      <c r="B39" s="279"/>
      <c r="C39" s="318"/>
      <c r="D39" s="168"/>
      <c r="E39" s="36"/>
      <c r="F39" s="325"/>
      <c r="G39" s="326"/>
      <c r="H39" s="168"/>
      <c r="I39" s="36"/>
      <c r="J39" s="235"/>
      <c r="K39" s="235"/>
      <c r="L39" s="427"/>
      <c r="M39" s="36"/>
    </row>
    <row r="40" spans="1:14" ht="15.75" x14ac:dyDescent="0.25">
      <c r="A40" s="47"/>
      <c r="B40" s="257"/>
      <c r="C40" s="257"/>
      <c r="D40" s="1013"/>
      <c r="E40" s="1013"/>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1344</v>
      </c>
      <c r="C47" s="314">
        <v>8426</v>
      </c>
      <c r="D47" s="425">
        <f t="shared" ref="D47:D48" si="0">IF(B47=0, "    ---- ", IF(ABS(ROUND(100/B47*C47-100,1))&lt;999,ROUND(100/B47*C47-100,1),IF(ROUND(100/B47*C47-100,1)&gt;999,999,-999)))</f>
        <v>526.9</v>
      </c>
      <c r="E47" s="11">
        <f>IFERROR(100/'Skjema total MA'!C47*C47,0)</f>
        <v>0.15204759655334044</v>
      </c>
      <c r="F47" s="144"/>
      <c r="G47" s="33"/>
      <c r="H47" s="158"/>
      <c r="I47" s="158"/>
      <c r="J47" s="37"/>
      <c r="K47" s="37"/>
      <c r="L47" s="158"/>
      <c r="M47" s="158"/>
      <c r="N47" s="147"/>
    </row>
    <row r="48" spans="1:14" s="3" customFormat="1" ht="15.75" x14ac:dyDescent="0.2">
      <c r="A48" s="38" t="s">
        <v>437</v>
      </c>
      <c r="B48" s="284">
        <v>1344</v>
      </c>
      <c r="C48" s="285">
        <v>8426</v>
      </c>
      <c r="D48" s="258">
        <f t="shared" si="0"/>
        <v>526.9</v>
      </c>
      <c r="E48" s="27">
        <f>IFERROR(100/'Skjema total MA'!C48*C48,0)</f>
        <v>0.27355677799420736</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81" priority="132">
      <formula>kvartal &lt; 4</formula>
    </cfRule>
  </conditionalFormatting>
  <conditionalFormatting sqref="B69">
    <cfRule type="expression" dxfId="1180" priority="100">
      <formula>kvartal &lt; 4</formula>
    </cfRule>
  </conditionalFormatting>
  <conditionalFormatting sqref="C69">
    <cfRule type="expression" dxfId="1179" priority="99">
      <formula>kvartal &lt; 4</formula>
    </cfRule>
  </conditionalFormatting>
  <conditionalFormatting sqref="B72">
    <cfRule type="expression" dxfId="1178" priority="98">
      <formula>kvartal &lt; 4</formula>
    </cfRule>
  </conditionalFormatting>
  <conditionalFormatting sqref="C72">
    <cfRule type="expression" dxfId="1177" priority="97">
      <formula>kvartal &lt; 4</formula>
    </cfRule>
  </conditionalFormatting>
  <conditionalFormatting sqref="B80">
    <cfRule type="expression" dxfId="1176" priority="96">
      <formula>kvartal &lt; 4</formula>
    </cfRule>
  </conditionalFormatting>
  <conditionalFormatting sqref="C80">
    <cfRule type="expression" dxfId="1175" priority="95">
      <formula>kvartal &lt; 4</formula>
    </cfRule>
  </conditionalFormatting>
  <conditionalFormatting sqref="B83">
    <cfRule type="expression" dxfId="1174" priority="94">
      <formula>kvartal &lt; 4</formula>
    </cfRule>
  </conditionalFormatting>
  <conditionalFormatting sqref="C83">
    <cfRule type="expression" dxfId="1173" priority="93">
      <formula>kvartal &lt; 4</formula>
    </cfRule>
  </conditionalFormatting>
  <conditionalFormatting sqref="B90">
    <cfRule type="expression" dxfId="1172" priority="84">
      <formula>kvartal &lt; 4</formula>
    </cfRule>
  </conditionalFormatting>
  <conditionalFormatting sqref="C90">
    <cfRule type="expression" dxfId="1171" priority="83">
      <formula>kvartal &lt; 4</formula>
    </cfRule>
  </conditionalFormatting>
  <conditionalFormatting sqref="B93">
    <cfRule type="expression" dxfId="1170" priority="82">
      <formula>kvartal &lt; 4</formula>
    </cfRule>
  </conditionalFormatting>
  <conditionalFormatting sqref="C93">
    <cfRule type="expression" dxfId="1169" priority="81">
      <formula>kvartal &lt; 4</formula>
    </cfRule>
  </conditionalFormatting>
  <conditionalFormatting sqref="B101">
    <cfRule type="expression" dxfId="1168" priority="80">
      <formula>kvartal &lt; 4</formula>
    </cfRule>
  </conditionalFormatting>
  <conditionalFormatting sqref="C101">
    <cfRule type="expression" dxfId="1167" priority="79">
      <formula>kvartal &lt; 4</formula>
    </cfRule>
  </conditionalFormatting>
  <conditionalFormatting sqref="B104">
    <cfRule type="expression" dxfId="1166" priority="78">
      <formula>kvartal &lt; 4</formula>
    </cfRule>
  </conditionalFormatting>
  <conditionalFormatting sqref="C104">
    <cfRule type="expression" dxfId="1165" priority="77">
      <formula>kvartal &lt; 4</formula>
    </cfRule>
  </conditionalFormatting>
  <conditionalFormatting sqref="B115">
    <cfRule type="expression" dxfId="1164" priority="76">
      <formula>kvartal &lt; 4</formula>
    </cfRule>
  </conditionalFormatting>
  <conditionalFormatting sqref="C115">
    <cfRule type="expression" dxfId="1163" priority="75">
      <formula>kvartal &lt; 4</formula>
    </cfRule>
  </conditionalFormatting>
  <conditionalFormatting sqref="B123">
    <cfRule type="expression" dxfId="1162" priority="74">
      <formula>kvartal &lt; 4</formula>
    </cfRule>
  </conditionalFormatting>
  <conditionalFormatting sqref="C123">
    <cfRule type="expression" dxfId="1161" priority="73">
      <formula>kvartal &lt; 4</formula>
    </cfRule>
  </conditionalFormatting>
  <conditionalFormatting sqref="F70">
    <cfRule type="expression" dxfId="1160" priority="72">
      <formula>kvartal &lt; 4</formula>
    </cfRule>
  </conditionalFormatting>
  <conditionalFormatting sqref="G70">
    <cfRule type="expression" dxfId="1159" priority="71">
      <formula>kvartal &lt; 4</formula>
    </cfRule>
  </conditionalFormatting>
  <conditionalFormatting sqref="F71:G71">
    <cfRule type="expression" dxfId="1158" priority="70">
      <formula>kvartal &lt; 4</formula>
    </cfRule>
  </conditionalFormatting>
  <conditionalFormatting sqref="F73:G74">
    <cfRule type="expression" dxfId="1157" priority="69">
      <formula>kvartal &lt; 4</formula>
    </cfRule>
  </conditionalFormatting>
  <conditionalFormatting sqref="F81:G82">
    <cfRule type="expression" dxfId="1156" priority="68">
      <formula>kvartal &lt; 4</formula>
    </cfRule>
  </conditionalFormatting>
  <conditionalFormatting sqref="F84:G85">
    <cfRule type="expression" dxfId="1155" priority="67">
      <formula>kvartal &lt; 4</formula>
    </cfRule>
  </conditionalFormatting>
  <conditionalFormatting sqref="F91:G92">
    <cfRule type="expression" dxfId="1154" priority="62">
      <formula>kvartal &lt; 4</formula>
    </cfRule>
  </conditionalFormatting>
  <conditionalFormatting sqref="F94:G95">
    <cfRule type="expression" dxfId="1153" priority="61">
      <formula>kvartal &lt; 4</formula>
    </cfRule>
  </conditionalFormatting>
  <conditionalFormatting sqref="F102:G103">
    <cfRule type="expression" dxfId="1152" priority="60">
      <formula>kvartal &lt; 4</formula>
    </cfRule>
  </conditionalFormatting>
  <conditionalFormatting sqref="F105:G106">
    <cfRule type="expression" dxfId="1151" priority="59">
      <formula>kvartal &lt; 4</formula>
    </cfRule>
  </conditionalFormatting>
  <conditionalFormatting sqref="F115">
    <cfRule type="expression" dxfId="1150" priority="58">
      <formula>kvartal &lt; 4</formula>
    </cfRule>
  </conditionalFormatting>
  <conditionalFormatting sqref="G115">
    <cfRule type="expression" dxfId="1149" priority="57">
      <formula>kvartal &lt; 4</formula>
    </cfRule>
  </conditionalFormatting>
  <conditionalFormatting sqref="F123:G123">
    <cfRule type="expression" dxfId="1148" priority="56">
      <formula>kvartal &lt; 4</formula>
    </cfRule>
  </conditionalFormatting>
  <conditionalFormatting sqref="F69:G69">
    <cfRule type="expression" dxfId="1147" priority="55">
      <formula>kvartal &lt; 4</formula>
    </cfRule>
  </conditionalFormatting>
  <conditionalFormatting sqref="F72:G72">
    <cfRule type="expression" dxfId="1146" priority="54">
      <formula>kvartal &lt; 4</formula>
    </cfRule>
  </conditionalFormatting>
  <conditionalFormatting sqref="F80:G80">
    <cfRule type="expression" dxfId="1145" priority="53">
      <formula>kvartal &lt; 4</formula>
    </cfRule>
  </conditionalFormatting>
  <conditionalFormatting sqref="F83:G83">
    <cfRule type="expression" dxfId="1144" priority="52">
      <formula>kvartal &lt; 4</formula>
    </cfRule>
  </conditionalFormatting>
  <conditionalFormatting sqref="F90:G90">
    <cfRule type="expression" dxfId="1143" priority="46">
      <formula>kvartal &lt; 4</formula>
    </cfRule>
  </conditionalFormatting>
  <conditionalFormatting sqref="F93">
    <cfRule type="expression" dxfId="1142" priority="45">
      <formula>kvartal &lt; 4</formula>
    </cfRule>
  </conditionalFormatting>
  <conditionalFormatting sqref="G93">
    <cfRule type="expression" dxfId="1141" priority="44">
      <formula>kvartal &lt; 4</formula>
    </cfRule>
  </conditionalFormatting>
  <conditionalFormatting sqref="F101">
    <cfRule type="expression" dxfId="1140" priority="43">
      <formula>kvartal &lt; 4</formula>
    </cfRule>
  </conditionalFormatting>
  <conditionalFormatting sqref="G101">
    <cfRule type="expression" dxfId="1139" priority="42">
      <formula>kvartal &lt; 4</formula>
    </cfRule>
  </conditionalFormatting>
  <conditionalFormatting sqref="G104">
    <cfRule type="expression" dxfId="1138" priority="41">
      <formula>kvartal &lt; 4</formula>
    </cfRule>
  </conditionalFormatting>
  <conditionalFormatting sqref="F104">
    <cfRule type="expression" dxfId="1137" priority="40">
      <formula>kvartal &lt; 4</formula>
    </cfRule>
  </conditionalFormatting>
  <conditionalFormatting sqref="J69:K73">
    <cfRule type="expression" dxfId="1136" priority="39">
      <formula>kvartal &lt; 4</formula>
    </cfRule>
  </conditionalFormatting>
  <conditionalFormatting sqref="J74:K74">
    <cfRule type="expression" dxfId="1135" priority="38">
      <formula>kvartal &lt; 4</formula>
    </cfRule>
  </conditionalFormatting>
  <conditionalFormatting sqref="J80:K85">
    <cfRule type="expression" dxfId="1134" priority="37">
      <formula>kvartal &lt; 4</formula>
    </cfRule>
  </conditionalFormatting>
  <conditionalFormatting sqref="J90:K95">
    <cfRule type="expression" dxfId="1133" priority="34">
      <formula>kvartal &lt; 4</formula>
    </cfRule>
  </conditionalFormatting>
  <conditionalFormatting sqref="J101:K106">
    <cfRule type="expression" dxfId="1132" priority="33">
      <formula>kvartal &lt; 4</formula>
    </cfRule>
  </conditionalFormatting>
  <conditionalFormatting sqref="J115:K115">
    <cfRule type="expression" dxfId="1131" priority="32">
      <formula>kvartal &lt; 4</formula>
    </cfRule>
  </conditionalFormatting>
  <conditionalFormatting sqref="J123:K123">
    <cfRule type="expression" dxfId="1130" priority="31">
      <formula>kvartal &lt; 4</formula>
    </cfRule>
  </conditionalFormatting>
  <conditionalFormatting sqref="A50:A52">
    <cfRule type="expression" dxfId="1129" priority="12">
      <formula>kvartal &lt; 4</formula>
    </cfRule>
  </conditionalFormatting>
  <conditionalFormatting sqref="A69:A74">
    <cfRule type="expression" dxfId="1128" priority="10">
      <formula>kvartal &lt; 4</formula>
    </cfRule>
  </conditionalFormatting>
  <conditionalFormatting sqref="A80:A85">
    <cfRule type="expression" dxfId="1127" priority="9">
      <formula>kvartal &lt; 4</formula>
    </cfRule>
  </conditionalFormatting>
  <conditionalFormatting sqref="A90:A95">
    <cfRule type="expression" dxfId="1126" priority="6">
      <formula>kvartal &lt; 4</formula>
    </cfRule>
  </conditionalFormatting>
  <conditionalFormatting sqref="A101:A106">
    <cfRule type="expression" dxfId="1125" priority="5">
      <formula>kvartal &lt; 4</formula>
    </cfRule>
  </conditionalFormatting>
  <conditionalFormatting sqref="A115">
    <cfRule type="expression" dxfId="1124" priority="4">
      <formula>kvartal &lt; 4</formula>
    </cfRule>
  </conditionalFormatting>
  <conditionalFormatting sqref="A123">
    <cfRule type="expression" dxfId="1123"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95</v>
      </c>
      <c r="D1" s="26"/>
      <c r="E1" s="26"/>
      <c r="F1" s="26"/>
      <c r="G1" s="26"/>
      <c r="H1" s="26"/>
      <c r="I1" s="26"/>
      <c r="J1" s="26"/>
      <c r="K1" s="26"/>
      <c r="L1" s="26"/>
      <c r="M1" s="26"/>
    </row>
    <row r="2" spans="1:14" ht="15.75" x14ac:dyDescent="0.25">
      <c r="A2" s="164" t="s">
        <v>28</v>
      </c>
      <c r="B2" s="1008"/>
      <c r="C2" s="1008"/>
      <c r="D2" s="1008"/>
      <c r="E2" s="302"/>
      <c r="F2" s="1008"/>
      <c r="G2" s="1008"/>
      <c r="H2" s="1008"/>
      <c r="I2" s="302"/>
      <c r="J2" s="1008"/>
      <c r="K2" s="1008"/>
      <c r="L2" s="1008"/>
      <c r="M2" s="302"/>
    </row>
    <row r="3" spans="1:14" ht="15.75" x14ac:dyDescent="0.25">
      <c r="A3" s="162"/>
      <c r="B3" s="302"/>
      <c r="C3" s="302"/>
      <c r="D3" s="302"/>
      <c r="E3" s="302"/>
      <c r="F3" s="302"/>
      <c r="G3" s="302"/>
      <c r="H3" s="302"/>
      <c r="I3" s="302"/>
      <c r="J3" s="302"/>
      <c r="K3" s="302"/>
      <c r="L3" s="302"/>
      <c r="M3" s="302"/>
    </row>
    <row r="4" spans="1:14" x14ac:dyDescent="0.2">
      <c r="A4" s="143"/>
      <c r="B4" s="1010" t="s">
        <v>0</v>
      </c>
      <c r="C4" s="1011"/>
      <c r="D4" s="1011"/>
      <c r="E4" s="304"/>
      <c r="F4" s="1010" t="s">
        <v>1</v>
      </c>
      <c r="G4" s="1011"/>
      <c r="H4" s="1011"/>
      <c r="I4" s="307"/>
      <c r="J4" s="1010" t="s">
        <v>2</v>
      </c>
      <c r="K4" s="1011"/>
      <c r="L4" s="1011"/>
      <c r="M4" s="3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c r="G7" s="310"/>
      <c r="H7" s="351"/>
      <c r="I7" s="159"/>
      <c r="J7" s="311"/>
      <c r="K7" s="312"/>
      <c r="L7" s="425"/>
      <c r="M7" s="11"/>
    </row>
    <row r="8" spans="1:14" ht="15.75" x14ac:dyDescent="0.2">
      <c r="A8" s="21" t="s">
        <v>25</v>
      </c>
      <c r="B8" s="284"/>
      <c r="C8" s="285"/>
      <c r="D8" s="165"/>
      <c r="E8" s="27"/>
      <c r="F8" s="288"/>
      <c r="G8" s="289"/>
      <c r="H8" s="165"/>
      <c r="I8" s="175"/>
      <c r="J8" s="233"/>
      <c r="K8" s="290"/>
      <c r="L8" s="258"/>
      <c r="M8" s="27"/>
    </row>
    <row r="9" spans="1:14" ht="15.75" x14ac:dyDescent="0.2">
      <c r="A9" s="21" t="s">
        <v>24</v>
      </c>
      <c r="B9" s="284"/>
      <c r="C9" s="285"/>
      <c r="D9" s="165"/>
      <c r="E9" s="27"/>
      <c r="F9" s="288"/>
      <c r="G9" s="289"/>
      <c r="H9" s="165"/>
      <c r="I9" s="175"/>
      <c r="J9" s="233"/>
      <c r="K9" s="290"/>
      <c r="L9" s="258"/>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302"/>
      <c r="F18" s="1012"/>
      <c r="G18" s="1012"/>
      <c r="H18" s="1012"/>
      <c r="I18" s="302"/>
      <c r="J18" s="1012"/>
      <c r="K18" s="1012"/>
      <c r="L18" s="1012"/>
      <c r="M18" s="302"/>
    </row>
    <row r="19" spans="1:14" x14ac:dyDescent="0.2">
      <c r="A19" s="143"/>
      <c r="B19" s="1010" t="s">
        <v>0</v>
      </c>
      <c r="C19" s="1011"/>
      <c r="D19" s="1011"/>
      <c r="E19" s="304"/>
      <c r="F19" s="1010" t="s">
        <v>1</v>
      </c>
      <c r="G19" s="1011"/>
      <c r="H19" s="1011"/>
      <c r="I19" s="307"/>
      <c r="J19" s="1010" t="s">
        <v>2</v>
      </c>
      <c r="K19" s="1011"/>
      <c r="L19" s="1011"/>
      <c r="M19" s="3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430"/>
      <c r="E38" s="24"/>
      <c r="F38" s="322"/>
      <c r="G38" s="323"/>
      <c r="H38" s="170"/>
      <c r="I38" s="432"/>
      <c r="J38" s="235"/>
      <c r="K38" s="235"/>
      <c r="L38" s="426"/>
      <c r="M38" s="24"/>
    </row>
    <row r="39" spans="1:14" ht="15.75" x14ac:dyDescent="0.2">
      <c r="A39" s="18" t="s">
        <v>436</v>
      </c>
      <c r="B39" s="279"/>
      <c r="C39" s="318"/>
      <c r="D39" s="431"/>
      <c r="E39" s="36"/>
      <c r="F39" s="325"/>
      <c r="G39" s="326"/>
      <c r="H39" s="168"/>
      <c r="I39" s="36"/>
      <c r="J39" s="235"/>
      <c r="K39" s="235"/>
      <c r="L39" s="427"/>
      <c r="M39" s="36"/>
    </row>
    <row r="40" spans="1:14" ht="15.75" x14ac:dyDescent="0.25">
      <c r="A40" s="47"/>
      <c r="B40" s="257"/>
      <c r="C40" s="257"/>
      <c r="D40" s="1013"/>
      <c r="E40" s="1014"/>
      <c r="F40" s="1013"/>
      <c r="G40" s="1013"/>
      <c r="H40" s="1013"/>
      <c r="I40" s="1013"/>
      <c r="J40" s="1013"/>
      <c r="K40" s="1013"/>
      <c r="L40" s="1013"/>
      <c r="M40" s="305"/>
    </row>
    <row r="41" spans="1:14" x14ac:dyDescent="0.2">
      <c r="A41" s="154"/>
    </row>
    <row r="42" spans="1:14" ht="15.75" x14ac:dyDescent="0.25">
      <c r="A42" s="146" t="s">
        <v>266</v>
      </c>
      <c r="B42" s="1008"/>
      <c r="C42" s="1008"/>
      <c r="D42" s="1008"/>
      <c r="E42" s="302"/>
      <c r="F42" s="1014"/>
      <c r="G42" s="1014"/>
      <c r="H42" s="1014"/>
      <c r="I42" s="305"/>
      <c r="J42" s="1014"/>
      <c r="K42" s="1014"/>
      <c r="L42" s="1014"/>
      <c r="M42" s="305"/>
    </row>
    <row r="43" spans="1:14" ht="15.75" x14ac:dyDescent="0.25">
      <c r="A43" s="162"/>
      <c r="B43" s="306"/>
      <c r="C43" s="306"/>
      <c r="D43" s="306"/>
      <c r="E43" s="306"/>
      <c r="F43" s="305"/>
      <c r="G43" s="305"/>
      <c r="H43" s="305"/>
      <c r="I43" s="305"/>
      <c r="J43" s="305"/>
      <c r="K43" s="305"/>
      <c r="L43" s="305"/>
      <c r="M43" s="305"/>
    </row>
    <row r="44" spans="1:14" ht="15.75" x14ac:dyDescent="0.25">
      <c r="A44" s="248"/>
      <c r="B44" s="1010" t="s">
        <v>0</v>
      </c>
      <c r="C44" s="1011"/>
      <c r="D44" s="1011"/>
      <c r="E44" s="243"/>
      <c r="F44" s="305"/>
      <c r="G44" s="305"/>
      <c r="H44" s="305"/>
      <c r="I44" s="305"/>
      <c r="J44" s="305"/>
      <c r="K44" s="305"/>
      <c r="L44" s="305"/>
      <c r="M44" s="305"/>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589319.00377000007</v>
      </c>
      <c r="C47" s="314">
        <v>683873</v>
      </c>
      <c r="D47" s="425">
        <f t="shared" ref="D47:D48" si="0">IF(B47=0, "    ---- ", IF(ABS(ROUND(100/B47*C47-100,1))&lt;999,ROUND(100/B47*C47-100,1),IF(ROUND(100/B47*C47-100,1)&gt;999,999,-999)))</f>
        <v>16</v>
      </c>
      <c r="E47" s="11">
        <f>IFERROR(100/'Skjema total MA'!C47*C47,0)</f>
        <v>12.340522905022855</v>
      </c>
      <c r="F47" s="144"/>
      <c r="G47" s="33"/>
      <c r="H47" s="158"/>
      <c r="I47" s="158"/>
      <c r="J47" s="37"/>
      <c r="K47" s="37"/>
      <c r="L47" s="158"/>
      <c r="M47" s="158"/>
      <c r="N47" s="147"/>
    </row>
    <row r="48" spans="1:14" s="3" customFormat="1" ht="15.75" x14ac:dyDescent="0.2">
      <c r="A48" s="38" t="s">
        <v>437</v>
      </c>
      <c r="B48" s="284">
        <v>161861.14369</v>
      </c>
      <c r="C48" s="285">
        <v>192911</v>
      </c>
      <c r="D48" s="258">
        <f t="shared" si="0"/>
        <v>19.2</v>
      </c>
      <c r="E48" s="27">
        <f>IFERROR(100/'Skjema total MA'!C48*C48,0)</f>
        <v>6.2630087348256041</v>
      </c>
      <c r="F48" s="144"/>
      <c r="G48" s="33"/>
      <c r="H48" s="144"/>
      <c r="I48" s="144"/>
      <c r="J48" s="33"/>
      <c r="K48" s="33"/>
      <c r="L48" s="158"/>
      <c r="M48" s="158"/>
      <c r="N48" s="147"/>
    </row>
    <row r="49" spans="1:14" s="3" customFormat="1" ht="15.75" x14ac:dyDescent="0.2">
      <c r="A49" s="38" t="s">
        <v>438</v>
      </c>
      <c r="B49" s="44">
        <v>427457.86008000001</v>
      </c>
      <c r="C49" s="290">
        <v>490962</v>
      </c>
      <c r="D49" s="258">
        <f>IF(B49=0, "    ---- ", IF(ABS(ROUND(100/B49*C49-100,1))&lt;999,ROUND(100/B49*C49-100,1),IF(ROUND(100/B49*C49-100,1)&gt;999,999,-999)))</f>
        <v>14.9</v>
      </c>
      <c r="E49" s="27">
        <f>IFERROR(100/'Skjema total MA'!C49*C49,0)</f>
        <v>19.945474330418346</v>
      </c>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v>415119.65408000001</v>
      </c>
      <c r="C51" s="294">
        <v>477280</v>
      </c>
      <c r="D51" s="258">
        <f t="shared" ref="D51:D57" si="1">IF(B51=0, "    ---- ", IF(ABS(ROUND(100/B51*C51-100,1))&lt;999,ROUND(100/B51*C51-100,1),IF(ROUND(100/B51*C51-100,1)&gt;999,999,-999)))</f>
        <v>15</v>
      </c>
      <c r="E51" s="27">
        <f>IFERROR(100/'Skjema total MA'!C51*C51,0)</f>
        <v>19.948653192536721</v>
      </c>
      <c r="F51" s="144"/>
      <c r="G51" s="33"/>
      <c r="H51" s="144"/>
      <c r="I51" s="144"/>
      <c r="J51" s="33"/>
      <c r="K51" s="33"/>
      <c r="L51" s="158"/>
      <c r="M51" s="158"/>
      <c r="N51" s="147"/>
    </row>
    <row r="52" spans="1:14" s="3" customFormat="1" x14ac:dyDescent="0.2">
      <c r="A52" s="299" t="s">
        <v>8</v>
      </c>
      <c r="B52" s="293">
        <v>12338.206</v>
      </c>
      <c r="C52" s="294">
        <v>13682</v>
      </c>
      <c r="D52" s="258">
        <f t="shared" si="1"/>
        <v>10.9</v>
      </c>
      <c r="E52" s="27">
        <f>IFERROR(100/'Skjema total MA'!C52*C52,0)</f>
        <v>19.835214161197307</v>
      </c>
      <c r="F52" s="144"/>
      <c r="G52" s="33"/>
      <c r="H52" s="144"/>
      <c r="I52" s="144"/>
      <c r="J52" s="33"/>
      <c r="K52" s="33"/>
      <c r="L52" s="158"/>
      <c r="M52" s="158"/>
      <c r="N52" s="147"/>
    </row>
    <row r="53" spans="1:14" s="3" customFormat="1" ht="15.75" x14ac:dyDescent="0.2">
      <c r="A53" s="39" t="s">
        <v>439</v>
      </c>
      <c r="B53" s="313">
        <v>3285.3</v>
      </c>
      <c r="C53" s="314">
        <v>3776.4</v>
      </c>
      <c r="D53" s="258">
        <f t="shared" si="1"/>
        <v>14.9</v>
      </c>
      <c r="E53" s="11">
        <f>IFERROR(100/'Skjema total MA'!C53*C53,0)</f>
        <v>2.6499089095566593</v>
      </c>
      <c r="F53" s="144"/>
      <c r="G53" s="33"/>
      <c r="H53" s="144"/>
      <c r="I53" s="144"/>
      <c r="J53" s="33"/>
      <c r="K53" s="33"/>
      <c r="L53" s="158"/>
      <c r="M53" s="158"/>
      <c r="N53" s="147"/>
    </row>
    <row r="54" spans="1:14" s="3" customFormat="1" ht="15.75" x14ac:dyDescent="0.2">
      <c r="A54" s="38" t="s">
        <v>437</v>
      </c>
      <c r="B54" s="284">
        <v>3285.3</v>
      </c>
      <c r="C54" s="285">
        <v>3776.4</v>
      </c>
      <c r="D54" s="258">
        <f t="shared" si="1"/>
        <v>14.9</v>
      </c>
      <c r="E54" s="27">
        <f>IFERROR(100/'Skjema total MA'!C54*C54,0)</f>
        <v>2.6676733618057993</v>
      </c>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v>29566.400000000001</v>
      </c>
      <c r="C56" s="314">
        <v>19333.7</v>
      </c>
      <c r="D56" s="258">
        <f t="shared" si="1"/>
        <v>-34.6</v>
      </c>
      <c r="E56" s="11">
        <f>IFERROR(100/'Skjema total MA'!C56*C56,0)</f>
        <v>17.786296148100416</v>
      </c>
      <c r="F56" s="144"/>
      <c r="G56" s="33"/>
      <c r="H56" s="144"/>
      <c r="I56" s="144"/>
      <c r="J56" s="33"/>
      <c r="K56" s="33"/>
      <c r="L56" s="158"/>
      <c r="M56" s="158"/>
      <c r="N56" s="147"/>
    </row>
    <row r="57" spans="1:14" s="3" customFormat="1" ht="15.75" x14ac:dyDescent="0.2">
      <c r="A57" s="38" t="s">
        <v>437</v>
      </c>
      <c r="B57" s="284">
        <v>29566.400000000001</v>
      </c>
      <c r="C57" s="285">
        <v>19333.7</v>
      </c>
      <c r="D57" s="258">
        <f t="shared" si="1"/>
        <v>-34.6</v>
      </c>
      <c r="E57" s="27">
        <f>IFERROR(100/'Skjema total MA'!C57*C57,0)</f>
        <v>17.786296148100416</v>
      </c>
      <c r="F57" s="144"/>
      <c r="G57" s="33"/>
      <c r="H57" s="144"/>
      <c r="I57" s="144"/>
      <c r="J57" s="33"/>
      <c r="K57" s="33"/>
      <c r="L57" s="158"/>
      <c r="M57" s="158"/>
      <c r="N57" s="147"/>
    </row>
    <row r="58" spans="1:14" s="3" customFormat="1" ht="15.75" x14ac:dyDescent="0.2">
      <c r="A58" s="46" t="s">
        <v>438</v>
      </c>
      <c r="B58" s="286"/>
      <c r="C58" s="287"/>
      <c r="D58" s="258"/>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302"/>
      <c r="F62" s="1012"/>
      <c r="G62" s="1012"/>
      <c r="H62" s="1012"/>
      <c r="I62" s="302"/>
      <c r="J62" s="1012"/>
      <c r="K62" s="1012"/>
      <c r="L62" s="1012"/>
      <c r="M62" s="302"/>
    </row>
    <row r="63" spans="1:14" x14ac:dyDescent="0.2">
      <c r="A63" s="143"/>
      <c r="B63" s="1010" t="s">
        <v>0</v>
      </c>
      <c r="C63" s="1011"/>
      <c r="D63" s="1015"/>
      <c r="E63" s="303"/>
      <c r="F63" s="1011" t="s">
        <v>1</v>
      </c>
      <c r="G63" s="1011"/>
      <c r="H63" s="1011"/>
      <c r="I63" s="307"/>
      <c r="J63" s="1010" t="s">
        <v>2</v>
      </c>
      <c r="K63" s="1011"/>
      <c r="L63" s="1011"/>
      <c r="M63" s="3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302"/>
      <c r="F130" s="1012"/>
      <c r="G130" s="1012"/>
      <c r="H130" s="1012"/>
      <c r="I130" s="302"/>
      <c r="J130" s="1012"/>
      <c r="K130" s="1012"/>
      <c r="L130" s="1012"/>
      <c r="M130" s="302"/>
    </row>
    <row r="131" spans="1:14" s="3" customFormat="1" x14ac:dyDescent="0.2">
      <c r="A131" s="143"/>
      <c r="B131" s="1010" t="s">
        <v>0</v>
      </c>
      <c r="C131" s="1011"/>
      <c r="D131" s="1011"/>
      <c r="E131" s="304"/>
      <c r="F131" s="1010" t="s">
        <v>1</v>
      </c>
      <c r="G131" s="1011"/>
      <c r="H131" s="1011"/>
      <c r="I131" s="307"/>
      <c r="J131" s="1010" t="s">
        <v>2</v>
      </c>
      <c r="K131" s="1011"/>
      <c r="L131" s="1011"/>
      <c r="M131" s="3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22" priority="117">
      <formula>kvartal &lt; 4</formula>
    </cfRule>
  </conditionalFormatting>
  <conditionalFormatting sqref="B69">
    <cfRule type="expression" dxfId="1121" priority="85">
      <formula>kvartal &lt; 4</formula>
    </cfRule>
  </conditionalFormatting>
  <conditionalFormatting sqref="C69">
    <cfRule type="expression" dxfId="1120" priority="84">
      <formula>kvartal &lt; 4</formula>
    </cfRule>
  </conditionalFormatting>
  <conditionalFormatting sqref="B72">
    <cfRule type="expression" dxfId="1119" priority="83">
      <formula>kvartal &lt; 4</formula>
    </cfRule>
  </conditionalFormatting>
  <conditionalFormatting sqref="C72">
    <cfRule type="expression" dxfId="1118" priority="82">
      <formula>kvartal &lt; 4</formula>
    </cfRule>
  </conditionalFormatting>
  <conditionalFormatting sqref="B80">
    <cfRule type="expression" dxfId="1117" priority="81">
      <formula>kvartal &lt; 4</formula>
    </cfRule>
  </conditionalFormatting>
  <conditionalFormatting sqref="C80">
    <cfRule type="expression" dxfId="1116" priority="80">
      <formula>kvartal &lt; 4</formula>
    </cfRule>
  </conditionalFormatting>
  <conditionalFormatting sqref="B83">
    <cfRule type="expression" dxfId="1115" priority="79">
      <formula>kvartal &lt; 4</formula>
    </cfRule>
  </conditionalFormatting>
  <conditionalFormatting sqref="C83">
    <cfRule type="expression" dxfId="1114" priority="78">
      <formula>kvartal &lt; 4</formula>
    </cfRule>
  </conditionalFormatting>
  <conditionalFormatting sqref="B90">
    <cfRule type="expression" dxfId="1113" priority="69">
      <formula>kvartal &lt; 4</formula>
    </cfRule>
  </conditionalFormatting>
  <conditionalFormatting sqref="C90">
    <cfRule type="expression" dxfId="1112" priority="68">
      <formula>kvartal &lt; 4</formula>
    </cfRule>
  </conditionalFormatting>
  <conditionalFormatting sqref="B93">
    <cfRule type="expression" dxfId="1111" priority="67">
      <formula>kvartal &lt; 4</formula>
    </cfRule>
  </conditionalFormatting>
  <conditionalFormatting sqref="C93">
    <cfRule type="expression" dxfId="1110" priority="66">
      <formula>kvartal &lt; 4</formula>
    </cfRule>
  </conditionalFormatting>
  <conditionalFormatting sqref="B101">
    <cfRule type="expression" dxfId="1109" priority="65">
      <formula>kvartal &lt; 4</formula>
    </cfRule>
  </conditionalFormatting>
  <conditionalFormatting sqref="C101">
    <cfRule type="expression" dxfId="1108" priority="64">
      <formula>kvartal &lt; 4</formula>
    </cfRule>
  </conditionalFormatting>
  <conditionalFormatting sqref="B104">
    <cfRule type="expression" dxfId="1107" priority="63">
      <formula>kvartal &lt; 4</formula>
    </cfRule>
  </conditionalFormatting>
  <conditionalFormatting sqref="C104">
    <cfRule type="expression" dxfId="1106" priority="62">
      <formula>kvartal &lt; 4</formula>
    </cfRule>
  </conditionalFormatting>
  <conditionalFormatting sqref="B115">
    <cfRule type="expression" dxfId="1105" priority="61">
      <formula>kvartal &lt; 4</formula>
    </cfRule>
  </conditionalFormatting>
  <conditionalFormatting sqref="C115">
    <cfRule type="expression" dxfId="1104" priority="60">
      <formula>kvartal &lt; 4</formula>
    </cfRule>
  </conditionalFormatting>
  <conditionalFormatting sqref="B123">
    <cfRule type="expression" dxfId="1103" priority="59">
      <formula>kvartal &lt; 4</formula>
    </cfRule>
  </conditionalFormatting>
  <conditionalFormatting sqref="C123">
    <cfRule type="expression" dxfId="1102" priority="58">
      <formula>kvartal &lt; 4</formula>
    </cfRule>
  </conditionalFormatting>
  <conditionalFormatting sqref="F70">
    <cfRule type="expression" dxfId="1101" priority="57">
      <formula>kvartal &lt; 4</formula>
    </cfRule>
  </conditionalFormatting>
  <conditionalFormatting sqref="G70">
    <cfRule type="expression" dxfId="1100" priority="56">
      <formula>kvartal &lt; 4</formula>
    </cfRule>
  </conditionalFormatting>
  <conditionalFormatting sqref="F71:G71">
    <cfRule type="expression" dxfId="1099" priority="55">
      <formula>kvartal &lt; 4</formula>
    </cfRule>
  </conditionalFormatting>
  <conditionalFormatting sqref="F73:G74">
    <cfRule type="expression" dxfId="1098" priority="54">
      <formula>kvartal &lt; 4</formula>
    </cfRule>
  </conditionalFormatting>
  <conditionalFormatting sqref="F81:G82">
    <cfRule type="expression" dxfId="1097" priority="53">
      <formula>kvartal &lt; 4</formula>
    </cfRule>
  </conditionalFormatting>
  <conditionalFormatting sqref="F84:G85">
    <cfRule type="expression" dxfId="1096" priority="52">
      <formula>kvartal &lt; 4</formula>
    </cfRule>
  </conditionalFormatting>
  <conditionalFormatting sqref="F91:G92">
    <cfRule type="expression" dxfId="1095" priority="47">
      <formula>kvartal &lt; 4</formula>
    </cfRule>
  </conditionalFormatting>
  <conditionalFormatting sqref="F94:G95">
    <cfRule type="expression" dxfId="1094" priority="46">
      <formula>kvartal &lt; 4</formula>
    </cfRule>
  </conditionalFormatting>
  <conditionalFormatting sqref="F102:G103">
    <cfRule type="expression" dxfId="1093" priority="45">
      <formula>kvartal &lt; 4</formula>
    </cfRule>
  </conditionalFormatting>
  <conditionalFormatting sqref="F105:G106">
    <cfRule type="expression" dxfId="1092" priority="44">
      <formula>kvartal &lt; 4</formula>
    </cfRule>
  </conditionalFormatting>
  <conditionalFormatting sqref="F115">
    <cfRule type="expression" dxfId="1091" priority="43">
      <formula>kvartal &lt; 4</formula>
    </cfRule>
  </conditionalFormatting>
  <conditionalFormatting sqref="G115">
    <cfRule type="expression" dxfId="1090" priority="42">
      <formula>kvartal &lt; 4</formula>
    </cfRule>
  </conditionalFormatting>
  <conditionalFormatting sqref="F123:G123">
    <cfRule type="expression" dxfId="1089" priority="41">
      <formula>kvartal &lt; 4</formula>
    </cfRule>
  </conditionalFormatting>
  <conditionalFormatting sqref="F69:G69">
    <cfRule type="expression" dxfId="1088" priority="40">
      <formula>kvartal &lt; 4</formula>
    </cfRule>
  </conditionalFormatting>
  <conditionalFormatting sqref="F72:G72">
    <cfRule type="expression" dxfId="1087" priority="39">
      <formula>kvartal &lt; 4</formula>
    </cfRule>
  </conditionalFormatting>
  <conditionalFormatting sqref="F80:G80">
    <cfRule type="expression" dxfId="1086" priority="38">
      <formula>kvartal &lt; 4</formula>
    </cfRule>
  </conditionalFormatting>
  <conditionalFormatting sqref="F83:G83">
    <cfRule type="expression" dxfId="1085" priority="37">
      <formula>kvartal &lt; 4</formula>
    </cfRule>
  </conditionalFormatting>
  <conditionalFormatting sqref="F90:G90">
    <cfRule type="expression" dxfId="1084" priority="31">
      <formula>kvartal &lt; 4</formula>
    </cfRule>
  </conditionalFormatting>
  <conditionalFormatting sqref="F93">
    <cfRule type="expression" dxfId="1083" priority="30">
      <formula>kvartal &lt; 4</formula>
    </cfRule>
  </conditionalFormatting>
  <conditionalFormatting sqref="G93">
    <cfRule type="expression" dxfId="1082" priority="29">
      <formula>kvartal &lt; 4</formula>
    </cfRule>
  </conditionalFormatting>
  <conditionalFormatting sqref="F101">
    <cfRule type="expression" dxfId="1081" priority="28">
      <formula>kvartal &lt; 4</formula>
    </cfRule>
  </conditionalFormatting>
  <conditionalFormatting sqref="G101">
    <cfRule type="expression" dxfId="1080" priority="27">
      <formula>kvartal &lt; 4</formula>
    </cfRule>
  </conditionalFormatting>
  <conditionalFormatting sqref="G104">
    <cfRule type="expression" dxfId="1079" priority="26">
      <formula>kvartal &lt; 4</formula>
    </cfRule>
  </conditionalFormatting>
  <conditionalFormatting sqref="F104">
    <cfRule type="expression" dxfId="1078" priority="25">
      <formula>kvartal &lt; 4</formula>
    </cfRule>
  </conditionalFormatting>
  <conditionalFormatting sqref="J69:K73">
    <cfRule type="expression" dxfId="1077" priority="24">
      <formula>kvartal &lt; 4</formula>
    </cfRule>
  </conditionalFormatting>
  <conditionalFormatting sqref="J74:K74">
    <cfRule type="expression" dxfId="1076" priority="23">
      <formula>kvartal &lt; 4</formula>
    </cfRule>
  </conditionalFormatting>
  <conditionalFormatting sqref="J80:K85">
    <cfRule type="expression" dxfId="1075" priority="22">
      <formula>kvartal &lt; 4</formula>
    </cfRule>
  </conditionalFormatting>
  <conditionalFormatting sqref="J90:K95">
    <cfRule type="expression" dxfId="1074" priority="19">
      <formula>kvartal &lt; 4</formula>
    </cfRule>
  </conditionalFormatting>
  <conditionalFormatting sqref="J101:K106">
    <cfRule type="expression" dxfId="1073" priority="18">
      <formula>kvartal &lt; 4</formula>
    </cfRule>
  </conditionalFormatting>
  <conditionalFormatting sqref="J115:K115">
    <cfRule type="expression" dxfId="1072" priority="17">
      <formula>kvartal &lt; 4</formula>
    </cfRule>
  </conditionalFormatting>
  <conditionalFormatting sqref="J123:K123">
    <cfRule type="expression" dxfId="1071" priority="16">
      <formula>kvartal &lt; 4</formula>
    </cfRule>
  </conditionalFormatting>
  <conditionalFormatting sqref="A50:A52">
    <cfRule type="expression" dxfId="1070" priority="12">
      <formula>kvartal &lt; 4</formula>
    </cfRule>
  </conditionalFormatting>
  <conditionalFormatting sqref="A69:A74">
    <cfRule type="expression" dxfId="1069" priority="10">
      <formula>kvartal &lt; 4</formula>
    </cfRule>
  </conditionalFormatting>
  <conditionalFormatting sqref="A80:A85">
    <cfRule type="expression" dxfId="1068" priority="9">
      <formula>kvartal &lt; 4</formula>
    </cfRule>
  </conditionalFormatting>
  <conditionalFormatting sqref="A90:A95">
    <cfRule type="expression" dxfId="1067" priority="6">
      <formula>kvartal &lt; 4</formula>
    </cfRule>
  </conditionalFormatting>
  <conditionalFormatting sqref="A101:A106">
    <cfRule type="expression" dxfId="1066" priority="5">
      <formula>kvartal &lt; 4</formula>
    </cfRule>
  </conditionalFormatting>
  <conditionalFormatting sqref="A115">
    <cfRule type="expression" dxfId="1065" priority="4">
      <formula>kvartal &lt; 4</formula>
    </cfRule>
  </conditionalFormatting>
  <conditionalFormatting sqref="A123">
    <cfRule type="expression" dxfId="1064" priority="3">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460</v>
      </c>
      <c r="D1" s="26"/>
      <c r="E1" s="26"/>
      <c r="F1" s="26"/>
      <c r="G1" s="26"/>
      <c r="H1" s="26"/>
      <c r="I1" s="26"/>
      <c r="J1" s="26"/>
      <c r="K1" s="26"/>
      <c r="L1" s="26"/>
      <c r="M1" s="26"/>
    </row>
    <row r="2" spans="1:14" ht="15.75" x14ac:dyDescent="0.25">
      <c r="A2" s="164" t="s">
        <v>28</v>
      </c>
      <c r="B2" s="1008"/>
      <c r="C2" s="1008"/>
      <c r="D2" s="1008"/>
      <c r="E2" s="742"/>
      <c r="F2" s="1008"/>
      <c r="G2" s="1008"/>
      <c r="H2" s="1008"/>
      <c r="I2" s="742"/>
      <c r="J2" s="1008"/>
      <c r="K2" s="1008"/>
      <c r="L2" s="1008"/>
      <c r="M2" s="742"/>
    </row>
    <row r="3" spans="1:14" ht="15.75" x14ac:dyDescent="0.25">
      <c r="A3" s="162"/>
      <c r="B3" s="742"/>
      <c r="C3" s="742"/>
      <c r="D3" s="742"/>
      <c r="E3" s="742"/>
      <c r="F3" s="742"/>
      <c r="G3" s="742"/>
      <c r="H3" s="742"/>
      <c r="I3" s="742"/>
      <c r="J3" s="742"/>
      <c r="K3" s="742"/>
      <c r="L3" s="742"/>
      <c r="M3" s="742"/>
    </row>
    <row r="4" spans="1:14" x14ac:dyDescent="0.2">
      <c r="A4" s="143"/>
      <c r="B4" s="1010" t="s">
        <v>0</v>
      </c>
      <c r="C4" s="1011"/>
      <c r="D4" s="1011"/>
      <c r="E4" s="739"/>
      <c r="F4" s="1010" t="s">
        <v>1</v>
      </c>
      <c r="G4" s="1011"/>
      <c r="H4" s="1011"/>
      <c r="I4" s="740"/>
      <c r="J4" s="1010" t="s">
        <v>2</v>
      </c>
      <c r="K4" s="1011"/>
      <c r="L4" s="1011"/>
      <c r="M4" s="740"/>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1405</v>
      </c>
      <c r="C7" s="310">
        <v>1470</v>
      </c>
      <c r="D7" s="351">
        <f>IF(B7=0, "    ---- ", IF(ABS(ROUND(100/B7*C7-100,1))&lt;999,ROUND(100/B7*C7-100,1),IF(ROUND(100/B7*C7-100,1)&gt;999,999,-999)))</f>
        <v>4.5999999999999996</v>
      </c>
      <c r="E7" s="11">
        <f>IFERROR(100/'Skjema total MA'!C7*C7,0)</f>
        <v>2.8546700560450788E-2</v>
      </c>
      <c r="F7" s="309"/>
      <c r="G7" s="310"/>
      <c r="H7" s="351"/>
      <c r="I7" s="159"/>
      <c r="J7" s="311">
        <f t="shared" ref="J7:K8" si="0">SUM(B7,F7)</f>
        <v>1405</v>
      </c>
      <c r="K7" s="312">
        <f t="shared" si="0"/>
        <v>1470</v>
      </c>
      <c r="L7" s="425">
        <f>IF(J7=0, "    ---- ", IF(ABS(ROUND(100/J7*K7-100,1))&lt;999,ROUND(100/J7*K7-100,1),IF(ROUND(100/J7*K7-100,1)&gt;999,999,-999)))</f>
        <v>4.5999999999999996</v>
      </c>
      <c r="M7" s="11">
        <f>IFERROR(100/'Skjema total MA'!I7*K7,0)</f>
        <v>1.0226720481672604E-2</v>
      </c>
    </row>
    <row r="8" spans="1:14" ht="15.75" x14ac:dyDescent="0.2">
      <c r="A8" s="21" t="s">
        <v>25</v>
      </c>
      <c r="B8" s="284">
        <v>1405</v>
      </c>
      <c r="C8" s="285">
        <v>1470</v>
      </c>
      <c r="D8" s="165">
        <f t="shared" ref="D8" si="1">IF(B8=0, "    ---- ", IF(ABS(ROUND(100/B8*C8-100,1))&lt;999,ROUND(100/B8*C8-100,1),IF(ROUND(100/B8*C8-100,1)&gt;999,999,-999)))</f>
        <v>4.5999999999999996</v>
      </c>
      <c r="E8" s="27">
        <f>IFERROR(100/'Skjema total MA'!C8*C8,0)</f>
        <v>4.3984973847828915E-2</v>
      </c>
      <c r="F8" s="288"/>
      <c r="G8" s="289"/>
      <c r="H8" s="165"/>
      <c r="I8" s="175"/>
      <c r="J8" s="233">
        <f t="shared" si="0"/>
        <v>1405</v>
      </c>
      <c r="K8" s="290">
        <f t="shared" si="0"/>
        <v>1470</v>
      </c>
      <c r="L8" s="165">
        <f t="shared" ref="L8" si="2">IF(J8=0, "    ---- ", IF(ABS(ROUND(100/J8*K8-100,1))&lt;999,ROUND(100/J8*K8-100,1),IF(ROUND(100/J8*K8-100,1)&gt;999,999,-999)))</f>
        <v>4.5999999999999996</v>
      </c>
      <c r="M8" s="27">
        <f>IFERROR(100/'Skjema total MA'!I8*K8,0)</f>
        <v>4.3984973847828915E-2</v>
      </c>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742"/>
      <c r="F18" s="1012"/>
      <c r="G18" s="1012"/>
      <c r="H18" s="1012"/>
      <c r="I18" s="742"/>
      <c r="J18" s="1012"/>
      <c r="K18" s="1012"/>
      <c r="L18" s="1012"/>
      <c r="M18" s="742"/>
    </row>
    <row r="19" spans="1:14" x14ac:dyDescent="0.2">
      <c r="A19" s="143"/>
      <c r="B19" s="1010" t="s">
        <v>0</v>
      </c>
      <c r="C19" s="1011"/>
      <c r="D19" s="1011"/>
      <c r="E19" s="739"/>
      <c r="F19" s="1010" t="s">
        <v>1</v>
      </c>
      <c r="G19" s="1011"/>
      <c r="H19" s="1011"/>
      <c r="I19" s="740"/>
      <c r="J19" s="1010" t="s">
        <v>2</v>
      </c>
      <c r="K19" s="1011"/>
      <c r="L19" s="1011"/>
      <c r="M19" s="740"/>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1"/>
      <c r="J22" s="319"/>
      <c r="K22" s="319"/>
      <c r="L22" s="425"/>
      <c r="M22" s="24"/>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c r="D28" s="165"/>
      <c r="E28" s="11"/>
      <c r="F28" s="233"/>
      <c r="G28" s="290"/>
      <c r="H28" s="165"/>
      <c r="I28" s="27"/>
      <c r="J28" s="44"/>
      <c r="K28" s="44"/>
      <c r="L28" s="258"/>
      <c r="M28" s="23"/>
    </row>
    <row r="29" spans="1:14" s="3" customFormat="1" ht="15.75" x14ac:dyDescent="0.2">
      <c r="A29" s="13" t="s">
        <v>426</v>
      </c>
      <c r="B29" s="235"/>
      <c r="C29" s="235"/>
      <c r="D29" s="170"/>
      <c r="E29" s="11"/>
      <c r="F29" s="311"/>
      <c r="G29" s="311"/>
      <c r="H29" s="170"/>
      <c r="I29" s="11"/>
      <c r="J29" s="235"/>
      <c r="K29" s="235"/>
      <c r="L29" s="426"/>
      <c r="M29" s="24"/>
      <c r="N29" s="147"/>
    </row>
    <row r="30" spans="1:14" s="3" customFormat="1" ht="15.75" x14ac:dyDescent="0.2">
      <c r="A30" s="723" t="s">
        <v>429</v>
      </c>
      <c r="B30" s="284"/>
      <c r="C30" s="284"/>
      <c r="D30" s="165"/>
      <c r="E30" s="11"/>
      <c r="F30" s="293"/>
      <c r="G30" s="293"/>
      <c r="H30" s="165"/>
      <c r="I30" s="416"/>
      <c r="J30" s="293"/>
      <c r="K30" s="293"/>
      <c r="L30" s="165"/>
      <c r="M30" s="23"/>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430"/>
      <c r="E38" s="24"/>
      <c r="F38" s="322"/>
      <c r="G38" s="323"/>
      <c r="H38" s="170"/>
      <c r="I38" s="432"/>
      <c r="J38" s="235"/>
      <c r="K38" s="235"/>
      <c r="L38" s="426"/>
      <c r="M38" s="24"/>
    </row>
    <row r="39" spans="1:14" ht="15.75" x14ac:dyDescent="0.2">
      <c r="A39" s="18" t="s">
        <v>436</v>
      </c>
      <c r="B39" s="279"/>
      <c r="C39" s="318"/>
      <c r="D39" s="431"/>
      <c r="E39" s="36"/>
      <c r="F39" s="325"/>
      <c r="G39" s="326"/>
      <c r="H39" s="168"/>
      <c r="I39" s="36"/>
      <c r="J39" s="235"/>
      <c r="K39" s="235"/>
      <c r="L39" s="427"/>
      <c r="M39" s="36"/>
    </row>
    <row r="40" spans="1:14" ht="15.75" x14ac:dyDescent="0.25">
      <c r="A40" s="47"/>
      <c r="B40" s="257"/>
      <c r="C40" s="257"/>
      <c r="D40" s="1013"/>
      <c r="E40" s="1014"/>
      <c r="F40" s="1013"/>
      <c r="G40" s="1013"/>
      <c r="H40" s="1013"/>
      <c r="I40" s="1013"/>
      <c r="J40" s="1013"/>
      <c r="K40" s="1013"/>
      <c r="L40" s="1013"/>
      <c r="M40" s="743"/>
    </row>
    <row r="41" spans="1:14" x14ac:dyDescent="0.2">
      <c r="A41" s="154"/>
    </row>
    <row r="42" spans="1:14" ht="15.75" x14ac:dyDescent="0.25">
      <c r="A42" s="146" t="s">
        <v>266</v>
      </c>
      <c r="B42" s="1008"/>
      <c r="C42" s="1008"/>
      <c r="D42" s="1008"/>
      <c r="E42" s="742"/>
      <c r="F42" s="1014"/>
      <c r="G42" s="1014"/>
      <c r="H42" s="1014"/>
      <c r="I42" s="743"/>
      <c r="J42" s="1014"/>
      <c r="K42" s="1014"/>
      <c r="L42" s="1014"/>
      <c r="M42" s="743"/>
    </row>
    <row r="43" spans="1:14" ht="15.75" x14ac:dyDescent="0.25">
      <c r="A43" s="162"/>
      <c r="B43" s="741"/>
      <c r="C43" s="741"/>
      <c r="D43" s="741"/>
      <c r="E43" s="741"/>
      <c r="F43" s="743"/>
      <c r="G43" s="743"/>
      <c r="H43" s="743"/>
      <c r="I43" s="743"/>
      <c r="J43" s="743"/>
      <c r="K43" s="743"/>
      <c r="L43" s="743"/>
      <c r="M43" s="743"/>
    </row>
    <row r="44" spans="1:14" ht="15.75" x14ac:dyDescent="0.25">
      <c r="A44" s="248"/>
      <c r="B44" s="1010" t="s">
        <v>0</v>
      </c>
      <c r="C44" s="1011"/>
      <c r="D44" s="1011"/>
      <c r="E44" s="243"/>
      <c r="F44" s="743"/>
      <c r="G44" s="743"/>
      <c r="H44" s="743"/>
      <c r="I44" s="743"/>
      <c r="J44" s="743"/>
      <c r="K44" s="743"/>
      <c r="L44" s="743"/>
      <c r="M44" s="743"/>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504</v>
      </c>
      <c r="C47" s="314">
        <v>582</v>
      </c>
      <c r="D47" s="425">
        <f t="shared" ref="D47:D48" si="3">IF(B47=0, "    ---- ", IF(ABS(ROUND(100/B47*C47-100,1))&lt;999,ROUND(100/B47*C47-100,1),IF(ROUND(100/B47*C47-100,1)&gt;999,999,-999)))</f>
        <v>15.5</v>
      </c>
      <c r="E47" s="11">
        <f>IFERROR(100/'Skjema total MA'!C47*C47,0)</f>
        <v>1.0502219462858311E-2</v>
      </c>
      <c r="F47" s="144"/>
      <c r="G47" s="33"/>
      <c r="H47" s="158"/>
      <c r="I47" s="158"/>
      <c r="J47" s="37"/>
      <c r="K47" s="37"/>
      <c r="L47" s="158"/>
      <c r="M47" s="158"/>
      <c r="N47" s="147"/>
    </row>
    <row r="48" spans="1:14" s="3" customFormat="1" ht="15.75" x14ac:dyDescent="0.2">
      <c r="A48" s="38" t="s">
        <v>437</v>
      </c>
      <c r="B48" s="284">
        <v>504</v>
      </c>
      <c r="C48" s="285">
        <v>582</v>
      </c>
      <c r="D48" s="258">
        <f t="shared" si="3"/>
        <v>15.5</v>
      </c>
      <c r="E48" s="27">
        <f>IFERROR(100/'Skjema total MA'!C48*C48,0)</f>
        <v>1.8895091952602503E-2</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742"/>
      <c r="F62" s="1012"/>
      <c r="G62" s="1012"/>
      <c r="H62" s="1012"/>
      <c r="I62" s="742"/>
      <c r="J62" s="1012"/>
      <c r="K62" s="1012"/>
      <c r="L62" s="1012"/>
      <c r="M62" s="742"/>
    </row>
    <row r="63" spans="1:14" x14ac:dyDescent="0.2">
      <c r="A63" s="143"/>
      <c r="B63" s="1010" t="s">
        <v>0</v>
      </c>
      <c r="C63" s="1011"/>
      <c r="D63" s="1015"/>
      <c r="E63" s="738"/>
      <c r="F63" s="1011" t="s">
        <v>1</v>
      </c>
      <c r="G63" s="1011"/>
      <c r="H63" s="1011"/>
      <c r="I63" s="740"/>
      <c r="J63" s="1010" t="s">
        <v>2</v>
      </c>
      <c r="K63" s="1011"/>
      <c r="L63" s="1011"/>
      <c r="M63" s="740"/>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742"/>
      <c r="F130" s="1012"/>
      <c r="G130" s="1012"/>
      <c r="H130" s="1012"/>
      <c r="I130" s="742"/>
      <c r="J130" s="1012"/>
      <c r="K130" s="1012"/>
      <c r="L130" s="1012"/>
      <c r="M130" s="742"/>
    </row>
    <row r="131" spans="1:14" s="3" customFormat="1" x14ac:dyDescent="0.2">
      <c r="A131" s="143"/>
      <c r="B131" s="1010" t="s">
        <v>0</v>
      </c>
      <c r="C131" s="1011"/>
      <c r="D131" s="1011"/>
      <c r="E131" s="739"/>
      <c r="F131" s="1010" t="s">
        <v>1</v>
      </c>
      <c r="G131" s="1011"/>
      <c r="H131" s="1011"/>
      <c r="I131" s="740"/>
      <c r="J131" s="1010" t="s">
        <v>2</v>
      </c>
      <c r="K131" s="1011"/>
      <c r="L131" s="1011"/>
      <c r="M131" s="740"/>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063" priority="59">
      <formula>kvartal &lt; 4</formula>
    </cfRule>
  </conditionalFormatting>
  <conditionalFormatting sqref="B69">
    <cfRule type="expression" dxfId="1062" priority="58">
      <formula>kvartal &lt; 4</formula>
    </cfRule>
  </conditionalFormatting>
  <conditionalFormatting sqref="C69">
    <cfRule type="expression" dxfId="1061" priority="57">
      <formula>kvartal &lt; 4</formula>
    </cfRule>
  </conditionalFormatting>
  <conditionalFormatting sqref="B72">
    <cfRule type="expression" dxfId="1060" priority="56">
      <formula>kvartal &lt; 4</formula>
    </cfRule>
  </conditionalFormatting>
  <conditionalFormatting sqref="C72">
    <cfRule type="expression" dxfId="1059" priority="55">
      <formula>kvartal &lt; 4</formula>
    </cfRule>
  </conditionalFormatting>
  <conditionalFormatting sqref="B80">
    <cfRule type="expression" dxfId="1058" priority="54">
      <formula>kvartal &lt; 4</formula>
    </cfRule>
  </conditionalFormatting>
  <conditionalFormatting sqref="C80">
    <cfRule type="expression" dxfId="1057" priority="53">
      <formula>kvartal &lt; 4</formula>
    </cfRule>
  </conditionalFormatting>
  <conditionalFormatting sqref="B83">
    <cfRule type="expression" dxfId="1056" priority="52">
      <formula>kvartal &lt; 4</formula>
    </cfRule>
  </conditionalFormatting>
  <conditionalFormatting sqref="C83">
    <cfRule type="expression" dxfId="1055" priority="51">
      <formula>kvartal &lt; 4</formula>
    </cfRule>
  </conditionalFormatting>
  <conditionalFormatting sqref="B90">
    <cfRule type="expression" dxfId="1054" priority="50">
      <formula>kvartal &lt; 4</formula>
    </cfRule>
  </conditionalFormatting>
  <conditionalFormatting sqref="C90">
    <cfRule type="expression" dxfId="1053" priority="49">
      <formula>kvartal &lt; 4</formula>
    </cfRule>
  </conditionalFormatting>
  <conditionalFormatting sqref="B93">
    <cfRule type="expression" dxfId="1052" priority="48">
      <formula>kvartal &lt; 4</formula>
    </cfRule>
  </conditionalFormatting>
  <conditionalFormatting sqref="C93">
    <cfRule type="expression" dxfId="1051" priority="47">
      <formula>kvartal &lt; 4</formula>
    </cfRule>
  </conditionalFormatting>
  <conditionalFormatting sqref="B101">
    <cfRule type="expression" dxfId="1050" priority="46">
      <formula>kvartal &lt; 4</formula>
    </cfRule>
  </conditionalFormatting>
  <conditionalFormatting sqref="C101">
    <cfRule type="expression" dxfId="1049" priority="45">
      <formula>kvartal &lt; 4</formula>
    </cfRule>
  </conditionalFormatting>
  <conditionalFormatting sqref="B104">
    <cfRule type="expression" dxfId="1048" priority="44">
      <formula>kvartal &lt; 4</formula>
    </cfRule>
  </conditionalFormatting>
  <conditionalFormatting sqref="C104">
    <cfRule type="expression" dxfId="1047" priority="43">
      <formula>kvartal &lt; 4</formula>
    </cfRule>
  </conditionalFormatting>
  <conditionalFormatting sqref="B115">
    <cfRule type="expression" dxfId="1046" priority="42">
      <formula>kvartal &lt; 4</formula>
    </cfRule>
  </conditionalFormatting>
  <conditionalFormatting sqref="C115">
    <cfRule type="expression" dxfId="1045" priority="41">
      <formula>kvartal &lt; 4</formula>
    </cfRule>
  </conditionalFormatting>
  <conditionalFormatting sqref="B123">
    <cfRule type="expression" dxfId="1044" priority="40">
      <formula>kvartal &lt; 4</formula>
    </cfRule>
  </conditionalFormatting>
  <conditionalFormatting sqref="C123">
    <cfRule type="expression" dxfId="1043" priority="39">
      <formula>kvartal &lt; 4</formula>
    </cfRule>
  </conditionalFormatting>
  <conditionalFormatting sqref="F70">
    <cfRule type="expression" dxfId="1042" priority="38">
      <formula>kvartal &lt; 4</formula>
    </cfRule>
  </conditionalFormatting>
  <conditionalFormatting sqref="G70">
    <cfRule type="expression" dxfId="1041" priority="37">
      <formula>kvartal &lt; 4</formula>
    </cfRule>
  </conditionalFormatting>
  <conditionalFormatting sqref="F71:G71">
    <cfRule type="expression" dxfId="1040" priority="36">
      <formula>kvartal &lt; 4</formula>
    </cfRule>
  </conditionalFormatting>
  <conditionalFormatting sqref="F73:G74">
    <cfRule type="expression" dxfId="1039" priority="35">
      <formula>kvartal &lt; 4</formula>
    </cfRule>
  </conditionalFormatting>
  <conditionalFormatting sqref="F81:G82">
    <cfRule type="expression" dxfId="1038" priority="34">
      <formula>kvartal &lt; 4</formula>
    </cfRule>
  </conditionalFormatting>
  <conditionalFormatting sqref="F84:G85">
    <cfRule type="expression" dxfId="1037" priority="33">
      <formula>kvartal &lt; 4</formula>
    </cfRule>
  </conditionalFormatting>
  <conditionalFormatting sqref="F91:G92">
    <cfRule type="expression" dxfId="1036" priority="32">
      <formula>kvartal &lt; 4</formula>
    </cfRule>
  </conditionalFormatting>
  <conditionalFormatting sqref="F94:G95">
    <cfRule type="expression" dxfId="1035" priority="31">
      <formula>kvartal &lt; 4</formula>
    </cfRule>
  </conditionalFormatting>
  <conditionalFormatting sqref="F102:G103">
    <cfRule type="expression" dxfId="1034" priority="30">
      <formula>kvartal &lt; 4</formula>
    </cfRule>
  </conditionalFormatting>
  <conditionalFormatting sqref="F105:G106">
    <cfRule type="expression" dxfId="1033" priority="29">
      <formula>kvartal &lt; 4</formula>
    </cfRule>
  </conditionalFormatting>
  <conditionalFormatting sqref="F115">
    <cfRule type="expression" dxfId="1032" priority="28">
      <formula>kvartal &lt; 4</formula>
    </cfRule>
  </conditionalFormatting>
  <conditionalFormatting sqref="G115">
    <cfRule type="expression" dxfId="1031" priority="27">
      <formula>kvartal &lt; 4</formula>
    </cfRule>
  </conditionalFormatting>
  <conditionalFormatting sqref="F123:G123">
    <cfRule type="expression" dxfId="1030" priority="26">
      <formula>kvartal &lt; 4</formula>
    </cfRule>
  </conditionalFormatting>
  <conditionalFormatting sqref="F69:G69">
    <cfRule type="expression" dxfId="1029" priority="25">
      <formula>kvartal &lt; 4</formula>
    </cfRule>
  </conditionalFormatting>
  <conditionalFormatting sqref="F72:G72">
    <cfRule type="expression" dxfId="1028" priority="24">
      <formula>kvartal &lt; 4</formula>
    </cfRule>
  </conditionalFormatting>
  <conditionalFormatting sqref="F80:G80">
    <cfRule type="expression" dxfId="1027" priority="23">
      <formula>kvartal &lt; 4</formula>
    </cfRule>
  </conditionalFormatting>
  <conditionalFormatting sqref="F83:G83">
    <cfRule type="expression" dxfId="1026" priority="22">
      <formula>kvartal &lt; 4</formula>
    </cfRule>
  </conditionalFormatting>
  <conditionalFormatting sqref="F90:G90">
    <cfRule type="expression" dxfId="1025" priority="21">
      <formula>kvartal &lt; 4</formula>
    </cfRule>
  </conditionalFormatting>
  <conditionalFormatting sqref="F93">
    <cfRule type="expression" dxfId="1024" priority="20">
      <formula>kvartal &lt; 4</formula>
    </cfRule>
  </conditionalFormatting>
  <conditionalFormatting sqref="G93">
    <cfRule type="expression" dxfId="1023" priority="19">
      <formula>kvartal &lt; 4</formula>
    </cfRule>
  </conditionalFormatting>
  <conditionalFormatting sqref="F101">
    <cfRule type="expression" dxfId="1022" priority="18">
      <formula>kvartal &lt; 4</formula>
    </cfRule>
  </conditionalFormatting>
  <conditionalFormatting sqref="G101">
    <cfRule type="expression" dxfId="1021" priority="17">
      <formula>kvartal &lt; 4</formula>
    </cfRule>
  </conditionalFormatting>
  <conditionalFormatting sqref="G104">
    <cfRule type="expression" dxfId="1020" priority="16">
      <formula>kvartal &lt; 4</formula>
    </cfRule>
  </conditionalFormatting>
  <conditionalFormatting sqref="F104">
    <cfRule type="expression" dxfId="1019" priority="15">
      <formula>kvartal &lt; 4</formula>
    </cfRule>
  </conditionalFormatting>
  <conditionalFormatting sqref="J69:K73">
    <cfRule type="expression" dxfId="1018" priority="14">
      <formula>kvartal &lt; 4</formula>
    </cfRule>
  </conditionalFormatting>
  <conditionalFormatting sqref="J74:K74">
    <cfRule type="expression" dxfId="1017" priority="13">
      <formula>kvartal &lt; 4</formula>
    </cfRule>
  </conditionalFormatting>
  <conditionalFormatting sqref="J80:K85">
    <cfRule type="expression" dxfId="1016" priority="12">
      <formula>kvartal &lt; 4</formula>
    </cfRule>
  </conditionalFormatting>
  <conditionalFormatting sqref="J90:K95">
    <cfRule type="expression" dxfId="1015" priority="11">
      <formula>kvartal &lt; 4</formula>
    </cfRule>
  </conditionalFormatting>
  <conditionalFormatting sqref="J101:K106">
    <cfRule type="expression" dxfId="1014" priority="10">
      <formula>kvartal &lt; 4</formula>
    </cfRule>
  </conditionalFormatting>
  <conditionalFormatting sqref="J115:K115">
    <cfRule type="expression" dxfId="1013" priority="9">
      <formula>kvartal &lt; 4</formula>
    </cfRule>
  </conditionalFormatting>
  <conditionalFormatting sqref="J123:K123">
    <cfRule type="expression" dxfId="1012" priority="8">
      <formula>kvartal &lt; 4</formula>
    </cfRule>
  </conditionalFormatting>
  <conditionalFormatting sqref="A50:A52">
    <cfRule type="expression" dxfId="1011" priority="7">
      <formula>kvartal &lt; 4</formula>
    </cfRule>
  </conditionalFormatting>
  <conditionalFormatting sqref="A69:A74">
    <cfRule type="expression" dxfId="1010" priority="6">
      <formula>kvartal &lt; 4</formula>
    </cfRule>
  </conditionalFormatting>
  <conditionalFormatting sqref="A80:A85">
    <cfRule type="expression" dxfId="1009" priority="5">
      <formula>kvartal &lt; 4</formula>
    </cfRule>
  </conditionalFormatting>
  <conditionalFormatting sqref="A90:A95">
    <cfRule type="expression" dxfId="1008" priority="4">
      <formula>kvartal &lt; 4</formula>
    </cfRule>
  </conditionalFormatting>
  <conditionalFormatting sqref="A101:A106">
    <cfRule type="expression" dxfId="1007" priority="3">
      <formula>kvartal &lt; 4</formula>
    </cfRule>
  </conditionalFormatting>
  <conditionalFormatting sqref="A115">
    <cfRule type="expression" dxfId="1006" priority="2">
      <formula>kvartal &lt; 4</formula>
    </cfRule>
  </conditionalFormatting>
  <conditionalFormatting sqref="A123">
    <cfRule type="expression" dxfId="1005" priority="1">
      <formula>kvartal &lt; 4</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37C7-9E35-491E-AA5D-FD2A7954B218}">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477</v>
      </c>
      <c r="D1" s="26"/>
      <c r="E1" s="26"/>
      <c r="F1" s="26"/>
      <c r="G1" s="26"/>
      <c r="H1" s="26"/>
      <c r="I1" s="26"/>
      <c r="J1" s="26"/>
      <c r="K1" s="26"/>
      <c r="L1" s="26"/>
      <c r="M1" s="26"/>
    </row>
    <row r="2" spans="1:14" ht="15.75" x14ac:dyDescent="0.25">
      <c r="A2" s="164" t="s">
        <v>28</v>
      </c>
      <c r="B2" s="1008"/>
      <c r="C2" s="1008"/>
      <c r="D2" s="1008"/>
      <c r="E2" s="808"/>
      <c r="F2" s="1008"/>
      <c r="G2" s="1008"/>
      <c r="H2" s="1008"/>
      <c r="I2" s="808"/>
      <c r="J2" s="1008"/>
      <c r="K2" s="1008"/>
      <c r="L2" s="1008"/>
      <c r="M2" s="808"/>
    </row>
    <row r="3" spans="1:14" ht="15.75" x14ac:dyDescent="0.25">
      <c r="A3" s="162"/>
      <c r="B3" s="808"/>
      <c r="C3" s="808"/>
      <c r="D3" s="808"/>
      <c r="E3" s="808"/>
      <c r="F3" s="808"/>
      <c r="G3" s="808"/>
      <c r="H3" s="808"/>
      <c r="I3" s="808"/>
      <c r="J3" s="808"/>
      <c r="K3" s="808"/>
      <c r="L3" s="808"/>
      <c r="M3" s="808"/>
    </row>
    <row r="4" spans="1:14" x14ac:dyDescent="0.2">
      <c r="A4" s="143"/>
      <c r="B4" s="1010" t="s">
        <v>0</v>
      </c>
      <c r="C4" s="1011"/>
      <c r="D4" s="1011"/>
      <c r="E4" s="806"/>
      <c r="F4" s="1010" t="s">
        <v>1</v>
      </c>
      <c r="G4" s="1011"/>
      <c r="H4" s="1011"/>
      <c r="I4" s="807"/>
      <c r="J4" s="1010" t="s">
        <v>2</v>
      </c>
      <c r="K4" s="1011"/>
      <c r="L4" s="1011"/>
      <c r="M4" s="807"/>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v>1945</v>
      </c>
      <c r="D7" s="351" t="str">
        <f>IF(B7=0, "    ---- ", IF(ABS(ROUND(100/B7*C7-100,1))&lt;999,ROUND(100/B7*C7-100,1),IF(ROUND(100/B7*C7-100,1)&gt;999,999,-999)))</f>
        <v xml:space="preserve">    ---- </v>
      </c>
      <c r="E7" s="11">
        <f>IFERROR(100/'Skjema total MA'!C7*C7,0)</f>
        <v>3.7770974551072645E-2</v>
      </c>
      <c r="F7" s="309"/>
      <c r="G7" s="310"/>
      <c r="H7" s="351"/>
      <c r="I7" s="159"/>
      <c r="J7" s="311">
        <f t="shared" ref="J7:K10" si="0">SUM(B7,F7)</f>
        <v>0</v>
      </c>
      <c r="K7" s="312">
        <f t="shared" si="0"/>
        <v>1945</v>
      </c>
      <c r="L7" s="425" t="str">
        <f>IF(J7=0, "    ---- ", IF(ABS(ROUND(100/J7*K7-100,1))&lt;999,ROUND(100/J7*K7-100,1),IF(ROUND(100/J7*K7-100,1)&gt;999,999,-999)))</f>
        <v xml:space="preserve">    ---- </v>
      </c>
      <c r="M7" s="11">
        <f>IFERROR(100/'Skjema total MA'!I7*K7,0)</f>
        <v>1.3531273018267493E-2</v>
      </c>
    </row>
    <row r="8" spans="1:14" ht="15.75" x14ac:dyDescent="0.2">
      <c r="A8" s="21" t="s">
        <v>25</v>
      </c>
      <c r="B8" s="284"/>
      <c r="C8" s="285">
        <v>1262</v>
      </c>
      <c r="D8" s="165" t="str">
        <f t="shared" ref="D8:D10" si="1">IF(B8=0, "    ---- ", IF(ABS(ROUND(100/B8*C8-100,1))&lt;999,ROUND(100/B8*C8-100,1),IF(ROUND(100/B8*C8-100,1)&gt;999,999,-999)))</f>
        <v xml:space="preserve">    ---- </v>
      </c>
      <c r="E8" s="27">
        <f>IFERROR(100/'Skjema total MA'!C8*C8,0)</f>
        <v>3.7761249657115713E-2</v>
      </c>
      <c r="F8" s="288"/>
      <c r="G8" s="289"/>
      <c r="H8" s="165"/>
      <c r="I8" s="175"/>
      <c r="J8" s="233">
        <f t="shared" si="0"/>
        <v>0</v>
      </c>
      <c r="K8" s="290">
        <f t="shared" si="0"/>
        <v>1262</v>
      </c>
      <c r="L8" s="165" t="str">
        <f t="shared" ref="L8:L10" si="2">IF(J8=0, "    ---- ", IF(ABS(ROUND(100/J8*K8-100,1))&lt;999,ROUND(100/J8*K8-100,1),IF(ROUND(100/J8*K8-100,1)&gt;999,999,-999)))</f>
        <v xml:space="preserve">    ---- </v>
      </c>
      <c r="M8" s="27">
        <f>IFERROR(100/'Skjema total MA'!I8*K8,0)</f>
        <v>3.7761249657115713E-2</v>
      </c>
    </row>
    <row r="9" spans="1:14" ht="15.75" x14ac:dyDescent="0.2">
      <c r="A9" s="21" t="s">
        <v>24</v>
      </c>
      <c r="B9" s="284"/>
      <c r="C9" s="285">
        <v>683</v>
      </c>
      <c r="D9" s="165" t="str">
        <f t="shared" si="1"/>
        <v xml:space="preserve">    ---- </v>
      </c>
      <c r="E9" s="27">
        <f>IFERROR(100/'Skjema total MA'!C9*C9,0)</f>
        <v>6.3961599600112426E-2</v>
      </c>
      <c r="F9" s="288"/>
      <c r="G9" s="289"/>
      <c r="H9" s="165"/>
      <c r="I9" s="175"/>
      <c r="J9" s="233">
        <f t="shared" si="0"/>
        <v>0</v>
      </c>
      <c r="K9" s="290">
        <f t="shared" si="0"/>
        <v>683</v>
      </c>
      <c r="L9" s="165" t="str">
        <f t="shared" si="2"/>
        <v xml:space="preserve">    ---- </v>
      </c>
      <c r="M9" s="27">
        <f>IFERROR(100/'Skjema total MA'!I9*K9,0)</f>
        <v>6.3961599600112426E-2</v>
      </c>
    </row>
    <row r="10" spans="1:14" ht="15.75" x14ac:dyDescent="0.2">
      <c r="A10" s="13" t="s">
        <v>426</v>
      </c>
      <c r="B10" s="313"/>
      <c r="C10" s="314">
        <v>5629</v>
      </c>
      <c r="D10" s="170" t="str">
        <f t="shared" si="1"/>
        <v xml:space="preserve">    ---- </v>
      </c>
      <c r="E10" s="11">
        <f>IFERROR(100/'Skjema total MA'!C10*C10,0)</f>
        <v>3.2259272760462691E-2</v>
      </c>
      <c r="F10" s="313"/>
      <c r="G10" s="314"/>
      <c r="H10" s="170"/>
      <c r="I10" s="159"/>
      <c r="J10" s="311">
        <f t="shared" si="0"/>
        <v>0</v>
      </c>
      <c r="K10" s="312">
        <f t="shared" si="0"/>
        <v>5629</v>
      </c>
      <c r="L10" s="426" t="str">
        <f t="shared" si="2"/>
        <v xml:space="preserve">    ---- </v>
      </c>
      <c r="M10" s="11">
        <f>IFERROR(100/'Skjema total MA'!I10*K10,0)</f>
        <v>6.3796030741432542E-3</v>
      </c>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808"/>
      <c r="F18" s="1012"/>
      <c r="G18" s="1012"/>
      <c r="H18" s="1012"/>
      <c r="I18" s="808"/>
      <c r="J18" s="1012"/>
      <c r="K18" s="1012"/>
      <c r="L18" s="1012"/>
      <c r="M18" s="808"/>
    </row>
    <row r="19" spans="1:14" x14ac:dyDescent="0.2">
      <c r="A19" s="143"/>
      <c r="B19" s="1010" t="s">
        <v>0</v>
      </c>
      <c r="C19" s="1011"/>
      <c r="D19" s="1011"/>
      <c r="E19" s="806"/>
      <c r="F19" s="1010" t="s">
        <v>1</v>
      </c>
      <c r="G19" s="1011"/>
      <c r="H19" s="1011"/>
      <c r="I19" s="807"/>
      <c r="J19" s="1010" t="s">
        <v>2</v>
      </c>
      <c r="K19" s="1011"/>
      <c r="L19" s="1011"/>
      <c r="M19" s="807"/>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155" t="s">
        <v>30</v>
      </c>
      <c r="F21" s="160"/>
      <c r="G21" s="160"/>
      <c r="H21" s="245" t="s">
        <v>4</v>
      </c>
      <c r="I21" s="155" t="s">
        <v>30</v>
      </c>
      <c r="J21" s="160"/>
      <c r="K21" s="160"/>
      <c r="L21" s="155" t="s">
        <v>4</v>
      </c>
      <c r="M21" s="155" t="s">
        <v>30</v>
      </c>
    </row>
    <row r="22" spans="1:14" ht="15.75" x14ac:dyDescent="0.2">
      <c r="A22" s="14" t="s">
        <v>23</v>
      </c>
      <c r="B22" s="313"/>
      <c r="C22" s="313">
        <v>232</v>
      </c>
      <c r="D22" s="351" t="str">
        <f t="shared" ref="D22:D30" si="3">IF(B22=0, "    ---- ", IF(ABS(ROUND(100/B22*C22-100,1))&lt;999,ROUND(100/B22*C22-100,1),IF(ROUND(100/B22*C22-100,1)&gt;999,999,-999)))</f>
        <v xml:space="preserve">    ---- </v>
      </c>
      <c r="E22" s="11">
        <f>IFERROR(100/'Skjema total MA'!C22*C22,0)</f>
        <v>1.0808635724862264E-2</v>
      </c>
      <c r="F22" s="321"/>
      <c r="G22" s="321"/>
      <c r="H22" s="351"/>
      <c r="I22" s="11"/>
      <c r="J22" s="319">
        <f t="shared" ref="J22:K30" si="4">SUM(B22,F22)</f>
        <v>0</v>
      </c>
      <c r="K22" s="319">
        <f t="shared" si="4"/>
        <v>232</v>
      </c>
      <c r="L22" s="425" t="str">
        <f t="shared" ref="L22:L30" si="5">IF(J22=0, "    ---- ", IF(ABS(ROUND(100/J22*K22-100,1))&lt;999,ROUND(100/J22*K22-100,1),IF(ROUND(100/J22*K22-100,1)&gt;999,999,-999)))</f>
        <v xml:space="preserve">    ---- </v>
      </c>
      <c r="M22" s="24">
        <f>IFERROR(100/'Skjema total MA'!I22*K22,0)</f>
        <v>7.3167512565844835E-3</v>
      </c>
    </row>
    <row r="23" spans="1:14" ht="15.75" x14ac:dyDescent="0.2">
      <c r="A23" s="723" t="s">
        <v>429</v>
      </c>
      <c r="B23" s="284"/>
      <c r="C23" s="284"/>
      <c r="D23" s="165"/>
      <c r="E23" s="11"/>
      <c r="F23" s="293"/>
      <c r="G23" s="293"/>
      <c r="H23" s="165"/>
      <c r="I23" s="416"/>
      <c r="J23" s="293"/>
      <c r="K23" s="293"/>
      <c r="L23" s="165"/>
      <c r="M23" s="23"/>
    </row>
    <row r="24" spans="1:14" ht="15.75" x14ac:dyDescent="0.2">
      <c r="A24" s="723" t="s">
        <v>430</v>
      </c>
      <c r="B24" s="284"/>
      <c r="C24" s="284"/>
      <c r="D24" s="165"/>
      <c r="E24" s="11"/>
      <c r="F24" s="293"/>
      <c r="G24" s="293"/>
      <c r="H24" s="165"/>
      <c r="I24" s="416"/>
      <c r="J24" s="293"/>
      <c r="K24" s="293"/>
      <c r="L24" s="165"/>
      <c r="M24" s="23"/>
    </row>
    <row r="25" spans="1:14" ht="15.75" x14ac:dyDescent="0.2">
      <c r="A25" s="723" t="s">
        <v>431</v>
      </c>
      <c r="B25" s="284"/>
      <c r="C25" s="284"/>
      <c r="D25" s="165"/>
      <c r="E25" s="11"/>
      <c r="F25" s="293"/>
      <c r="G25" s="293"/>
      <c r="H25" s="165"/>
      <c r="I25" s="416"/>
      <c r="J25" s="293"/>
      <c r="K25" s="293"/>
      <c r="L25" s="165"/>
      <c r="M25" s="23"/>
    </row>
    <row r="26" spans="1:14" ht="15.75" x14ac:dyDescent="0.2">
      <c r="A26" s="723" t="s">
        <v>432</v>
      </c>
      <c r="B26" s="284"/>
      <c r="C26" s="284"/>
      <c r="D26" s="165"/>
      <c r="E26" s="11"/>
      <c r="F26" s="293"/>
      <c r="G26" s="293"/>
      <c r="H26" s="165"/>
      <c r="I26" s="416"/>
      <c r="J26" s="293"/>
      <c r="K26" s="293"/>
      <c r="L26" s="165"/>
      <c r="M26" s="23"/>
    </row>
    <row r="27" spans="1:14" x14ac:dyDescent="0.2">
      <c r="A27" s="723" t="s">
        <v>11</v>
      </c>
      <c r="B27" s="284"/>
      <c r="C27" s="284"/>
      <c r="D27" s="165"/>
      <c r="E27" s="11"/>
      <c r="F27" s="293"/>
      <c r="G27" s="293"/>
      <c r="H27" s="165"/>
      <c r="I27" s="416"/>
      <c r="J27" s="293"/>
      <c r="K27" s="293"/>
      <c r="L27" s="165"/>
      <c r="M27" s="23"/>
    </row>
    <row r="28" spans="1:14" ht="15.75" x14ac:dyDescent="0.2">
      <c r="A28" s="49" t="s">
        <v>269</v>
      </c>
      <c r="B28" s="44"/>
      <c r="C28" s="290">
        <v>232</v>
      </c>
      <c r="D28" s="165" t="str">
        <f t="shared" si="3"/>
        <v xml:space="preserve">    ---- </v>
      </c>
      <c r="E28" s="27">
        <f>IFERROR(100/'Skjema total MA'!C28*C28,0)</f>
        <v>9.549570849757277E-3</v>
      </c>
      <c r="F28" s="233"/>
      <c r="G28" s="290"/>
      <c r="H28" s="165"/>
      <c r="I28" s="27"/>
      <c r="J28" s="44">
        <f t="shared" si="4"/>
        <v>0</v>
      </c>
      <c r="K28" s="44">
        <f t="shared" si="4"/>
        <v>232</v>
      </c>
      <c r="L28" s="258" t="str">
        <f t="shared" si="5"/>
        <v xml:space="preserve">    ---- </v>
      </c>
      <c r="M28" s="23">
        <f>IFERROR(100/'Skjema total MA'!I28*K28,0)</f>
        <v>9.549570849757277E-3</v>
      </c>
    </row>
    <row r="29" spans="1:14" s="3" customFormat="1" ht="15.75" x14ac:dyDescent="0.2">
      <c r="A29" s="13" t="s">
        <v>426</v>
      </c>
      <c r="B29" s="235"/>
      <c r="C29" s="235">
        <v>197</v>
      </c>
      <c r="D29" s="170" t="str">
        <f t="shared" si="3"/>
        <v xml:space="preserve">    ---- </v>
      </c>
      <c r="E29" s="11">
        <f>IFERROR(100/'Skjema total MA'!C29*C29,0)</f>
        <v>4.4738051408902465E-4</v>
      </c>
      <c r="F29" s="311"/>
      <c r="G29" s="311"/>
      <c r="H29" s="170"/>
      <c r="I29" s="11"/>
      <c r="J29" s="235">
        <f t="shared" si="4"/>
        <v>0</v>
      </c>
      <c r="K29" s="235">
        <f t="shared" si="4"/>
        <v>197</v>
      </c>
      <c r="L29" s="426" t="str">
        <f t="shared" si="5"/>
        <v xml:space="preserve">    ---- </v>
      </c>
      <c r="M29" s="24">
        <f>IFERROR(100/'Skjema total MA'!I29*K29,0)</f>
        <v>2.9177449311711568E-4</v>
      </c>
      <c r="N29" s="147"/>
    </row>
    <row r="30" spans="1:14" s="3" customFormat="1" ht="15.75" x14ac:dyDescent="0.2">
      <c r="A30" s="723" t="s">
        <v>429</v>
      </c>
      <c r="B30" s="284"/>
      <c r="C30" s="284">
        <v>197</v>
      </c>
      <c r="D30" s="165" t="str">
        <f t="shared" si="3"/>
        <v xml:space="preserve">    ---- </v>
      </c>
      <c r="E30" s="27">
        <f>IFERROR(100/'Skjema total MA'!C30*C30,0)</f>
        <v>1.553195893816121E-3</v>
      </c>
      <c r="F30" s="293"/>
      <c r="G30" s="293"/>
      <c r="H30" s="165"/>
      <c r="I30" s="416"/>
      <c r="J30" s="293">
        <f t="shared" si="4"/>
        <v>0</v>
      </c>
      <c r="K30" s="293">
        <f t="shared" si="4"/>
        <v>197</v>
      </c>
      <c r="L30" s="165" t="str">
        <f t="shared" si="5"/>
        <v xml:space="preserve">    ---- </v>
      </c>
      <c r="M30" s="23">
        <f>IFERROR(100/'Skjema total MA'!I30*K30,0)</f>
        <v>1.224657538318107E-3</v>
      </c>
      <c r="N30" s="147"/>
    </row>
    <row r="31" spans="1:14" s="3" customFormat="1" ht="15.75" x14ac:dyDescent="0.2">
      <c r="A31" s="723" t="s">
        <v>430</v>
      </c>
      <c r="B31" s="284"/>
      <c r="C31" s="284"/>
      <c r="D31" s="165"/>
      <c r="E31" s="11"/>
      <c r="F31" s="293"/>
      <c r="G31" s="293"/>
      <c r="H31" s="165"/>
      <c r="I31" s="416"/>
      <c r="J31" s="293"/>
      <c r="K31" s="293"/>
      <c r="L31" s="165"/>
      <c r="M31" s="23"/>
      <c r="N31" s="147"/>
    </row>
    <row r="32" spans="1:14" ht="15.75" x14ac:dyDescent="0.2">
      <c r="A32" s="723" t="s">
        <v>431</v>
      </c>
      <c r="B32" s="284"/>
      <c r="C32" s="284"/>
      <c r="D32" s="165"/>
      <c r="E32" s="11"/>
      <c r="F32" s="293"/>
      <c r="G32" s="293"/>
      <c r="H32" s="165"/>
      <c r="I32" s="416"/>
      <c r="J32" s="293"/>
      <c r="K32" s="293"/>
      <c r="L32" s="165"/>
      <c r="M32" s="23"/>
    </row>
    <row r="33" spans="1:14" ht="15.75" x14ac:dyDescent="0.2">
      <c r="A33" s="723" t="s">
        <v>432</v>
      </c>
      <c r="B33" s="284"/>
      <c r="C33" s="284"/>
      <c r="D33" s="165"/>
      <c r="E33" s="11"/>
      <c r="F33" s="293"/>
      <c r="G33" s="293"/>
      <c r="H33" s="165"/>
      <c r="I33" s="416"/>
      <c r="J33" s="293"/>
      <c r="K33" s="293"/>
      <c r="L33" s="165"/>
      <c r="M33" s="23"/>
    </row>
    <row r="34" spans="1:14" ht="15.75" x14ac:dyDescent="0.2">
      <c r="A34" s="13" t="s">
        <v>427</v>
      </c>
      <c r="B34" s="235"/>
      <c r="C34" s="312"/>
      <c r="D34" s="170"/>
      <c r="E34" s="11"/>
      <c r="F34" s="311"/>
      <c r="G34" s="312"/>
      <c r="H34" s="170"/>
      <c r="I34" s="11"/>
      <c r="J34" s="235"/>
      <c r="K34" s="235"/>
      <c r="L34" s="426"/>
      <c r="M34" s="24"/>
    </row>
    <row r="35" spans="1:14" ht="15.75" x14ac:dyDescent="0.2">
      <c r="A35" s="13" t="s">
        <v>428</v>
      </c>
      <c r="B35" s="235"/>
      <c r="C35" s="312"/>
      <c r="D35" s="170"/>
      <c r="E35" s="11"/>
      <c r="F35" s="311"/>
      <c r="G35" s="312"/>
      <c r="H35" s="170"/>
      <c r="I35" s="11"/>
      <c r="J35" s="235"/>
      <c r="K35" s="235"/>
      <c r="L35" s="426"/>
      <c r="M35" s="24"/>
    </row>
    <row r="36" spans="1:14" ht="15.75" x14ac:dyDescent="0.2">
      <c r="A36" s="12" t="s">
        <v>277</v>
      </c>
      <c r="B36" s="235"/>
      <c r="C36" s="312"/>
      <c r="D36" s="170"/>
      <c r="E36" s="11"/>
      <c r="F36" s="322"/>
      <c r="G36" s="323"/>
      <c r="H36" s="170"/>
      <c r="I36" s="432"/>
      <c r="J36" s="235"/>
      <c r="K36" s="235"/>
      <c r="L36" s="426"/>
      <c r="M36" s="24"/>
    </row>
    <row r="37" spans="1:14" ht="15.75" x14ac:dyDescent="0.2">
      <c r="A37" s="12" t="s">
        <v>434</v>
      </c>
      <c r="B37" s="235"/>
      <c r="C37" s="312"/>
      <c r="D37" s="170"/>
      <c r="E37" s="11"/>
      <c r="F37" s="322"/>
      <c r="G37" s="324"/>
      <c r="H37" s="170"/>
      <c r="I37" s="432"/>
      <c r="J37" s="235"/>
      <c r="K37" s="235"/>
      <c r="L37" s="426"/>
      <c r="M37" s="24"/>
    </row>
    <row r="38" spans="1:14" ht="15.75" x14ac:dyDescent="0.2">
      <c r="A38" s="12" t="s">
        <v>435</v>
      </c>
      <c r="B38" s="235"/>
      <c r="C38" s="312"/>
      <c r="D38" s="430"/>
      <c r="E38" s="24"/>
      <c r="F38" s="322"/>
      <c r="G38" s="323"/>
      <c r="H38" s="170"/>
      <c r="I38" s="432"/>
      <c r="J38" s="235"/>
      <c r="K38" s="235"/>
      <c r="L38" s="426"/>
      <c r="M38" s="24"/>
    </row>
    <row r="39" spans="1:14" ht="15.75" x14ac:dyDescent="0.2">
      <c r="A39" s="18" t="s">
        <v>436</v>
      </c>
      <c r="B39" s="279"/>
      <c r="C39" s="318"/>
      <c r="D39" s="431"/>
      <c r="E39" s="36"/>
      <c r="F39" s="325"/>
      <c r="G39" s="326"/>
      <c r="H39" s="168"/>
      <c r="I39" s="36"/>
      <c r="J39" s="235"/>
      <c r="K39" s="235"/>
      <c r="L39" s="427"/>
      <c r="M39" s="36"/>
    </row>
    <row r="40" spans="1:14" ht="15.75" x14ac:dyDescent="0.25">
      <c r="A40" s="47"/>
      <c r="B40" s="257"/>
      <c r="C40" s="257"/>
      <c r="D40" s="1013"/>
      <c r="E40" s="1014"/>
      <c r="F40" s="1013"/>
      <c r="G40" s="1013"/>
      <c r="H40" s="1013"/>
      <c r="I40" s="1013"/>
      <c r="J40" s="1013"/>
      <c r="K40" s="1013"/>
      <c r="L40" s="1013"/>
      <c r="M40" s="809"/>
    </row>
    <row r="41" spans="1:14" x14ac:dyDescent="0.2">
      <c r="A41" s="154"/>
    </row>
    <row r="42" spans="1:14" ht="15.75" x14ac:dyDescent="0.25">
      <c r="A42" s="146" t="s">
        <v>266</v>
      </c>
      <c r="B42" s="1008"/>
      <c r="C42" s="1008"/>
      <c r="D42" s="1008"/>
      <c r="E42" s="808"/>
      <c r="F42" s="1014"/>
      <c r="G42" s="1014"/>
      <c r="H42" s="1014"/>
      <c r="I42" s="809"/>
      <c r="J42" s="1014"/>
      <c r="K42" s="1014"/>
      <c r="L42" s="1014"/>
      <c r="M42" s="809"/>
    </row>
    <row r="43" spans="1:14" ht="15.75" x14ac:dyDescent="0.25">
      <c r="A43" s="162"/>
      <c r="B43" s="804"/>
      <c r="C43" s="804"/>
      <c r="D43" s="804"/>
      <c r="E43" s="804"/>
      <c r="F43" s="809"/>
      <c r="G43" s="809"/>
      <c r="H43" s="809"/>
      <c r="I43" s="809"/>
      <c r="J43" s="809"/>
      <c r="K43" s="809"/>
      <c r="L43" s="809"/>
      <c r="M43" s="809"/>
    </row>
    <row r="44" spans="1:14" ht="15.75" x14ac:dyDescent="0.25">
      <c r="A44" s="248"/>
      <c r="B44" s="1010" t="s">
        <v>0</v>
      </c>
      <c r="C44" s="1011"/>
      <c r="D44" s="1011"/>
      <c r="E44" s="243"/>
      <c r="F44" s="809"/>
      <c r="G44" s="809"/>
      <c r="H44" s="809"/>
      <c r="I44" s="809"/>
      <c r="J44" s="809"/>
      <c r="K44" s="809"/>
      <c r="L44" s="809"/>
      <c r="M44" s="809"/>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c r="C47" s="314"/>
      <c r="D47" s="425"/>
      <c r="E47" s="11"/>
      <c r="F47" s="144"/>
      <c r="G47" s="33"/>
      <c r="H47" s="158"/>
      <c r="I47" s="158"/>
      <c r="J47" s="37"/>
      <c r="K47" s="37"/>
      <c r="L47" s="158"/>
      <c r="M47" s="158"/>
      <c r="N47" s="147"/>
    </row>
    <row r="48" spans="1:14" s="3" customFormat="1" ht="15.75" x14ac:dyDescent="0.2">
      <c r="A48" s="38" t="s">
        <v>437</v>
      </c>
      <c r="B48" s="284"/>
      <c r="C48" s="285"/>
      <c r="D48" s="258"/>
      <c r="E48" s="27"/>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808"/>
      <c r="F62" s="1012"/>
      <c r="G62" s="1012"/>
      <c r="H62" s="1012"/>
      <c r="I62" s="808"/>
      <c r="J62" s="1012"/>
      <c r="K62" s="1012"/>
      <c r="L62" s="1012"/>
      <c r="M62" s="808"/>
    </row>
    <row r="63" spans="1:14" x14ac:dyDescent="0.2">
      <c r="A63" s="143"/>
      <c r="B63" s="1010" t="s">
        <v>0</v>
      </c>
      <c r="C63" s="1011"/>
      <c r="D63" s="1015"/>
      <c r="E63" s="805"/>
      <c r="F63" s="1011" t="s">
        <v>1</v>
      </c>
      <c r="G63" s="1011"/>
      <c r="H63" s="1011"/>
      <c r="I63" s="807"/>
      <c r="J63" s="1010" t="s">
        <v>2</v>
      </c>
      <c r="K63" s="1011"/>
      <c r="L63" s="1011"/>
      <c r="M63" s="807"/>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418"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808"/>
      <c r="F130" s="1012"/>
      <c r="G130" s="1012"/>
      <c r="H130" s="1012"/>
      <c r="I130" s="808"/>
      <c r="J130" s="1012"/>
      <c r="K130" s="1012"/>
      <c r="L130" s="1012"/>
      <c r="M130" s="808"/>
    </row>
    <row r="131" spans="1:14" s="3" customFormat="1" x14ac:dyDescent="0.2">
      <c r="A131" s="143"/>
      <c r="B131" s="1010" t="s">
        <v>0</v>
      </c>
      <c r="C131" s="1011"/>
      <c r="D131" s="1011"/>
      <c r="E131" s="806"/>
      <c r="F131" s="1010" t="s">
        <v>1</v>
      </c>
      <c r="G131" s="1011"/>
      <c r="H131" s="1011"/>
      <c r="I131" s="807"/>
      <c r="J131" s="1010" t="s">
        <v>2</v>
      </c>
      <c r="K131" s="1011"/>
      <c r="L131" s="1011"/>
      <c r="M131" s="807"/>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004" priority="59">
      <formula>kvartal &lt; 4</formula>
    </cfRule>
  </conditionalFormatting>
  <conditionalFormatting sqref="B69">
    <cfRule type="expression" dxfId="1003" priority="58">
      <formula>kvartal &lt; 4</formula>
    </cfRule>
  </conditionalFormatting>
  <conditionalFormatting sqref="C69">
    <cfRule type="expression" dxfId="1002" priority="57">
      <formula>kvartal &lt; 4</formula>
    </cfRule>
  </conditionalFormatting>
  <conditionalFormatting sqref="B72">
    <cfRule type="expression" dxfId="1001" priority="56">
      <formula>kvartal &lt; 4</formula>
    </cfRule>
  </conditionalFormatting>
  <conditionalFormatting sqref="C72">
    <cfRule type="expression" dxfId="1000" priority="55">
      <formula>kvartal &lt; 4</formula>
    </cfRule>
  </conditionalFormatting>
  <conditionalFormatting sqref="B80">
    <cfRule type="expression" dxfId="999" priority="54">
      <formula>kvartal &lt; 4</formula>
    </cfRule>
  </conditionalFormatting>
  <conditionalFormatting sqref="C80">
    <cfRule type="expression" dxfId="998" priority="53">
      <formula>kvartal &lt; 4</formula>
    </cfRule>
  </conditionalFormatting>
  <conditionalFormatting sqref="B83">
    <cfRule type="expression" dxfId="997" priority="52">
      <formula>kvartal &lt; 4</formula>
    </cfRule>
  </conditionalFormatting>
  <conditionalFormatting sqref="C83">
    <cfRule type="expression" dxfId="996" priority="51">
      <formula>kvartal &lt; 4</formula>
    </cfRule>
  </conditionalFormatting>
  <conditionalFormatting sqref="B90">
    <cfRule type="expression" dxfId="995" priority="50">
      <formula>kvartal &lt; 4</formula>
    </cfRule>
  </conditionalFormatting>
  <conditionalFormatting sqref="C90">
    <cfRule type="expression" dxfId="994" priority="49">
      <formula>kvartal &lt; 4</formula>
    </cfRule>
  </conditionalFormatting>
  <conditionalFormatting sqref="B93">
    <cfRule type="expression" dxfId="993" priority="48">
      <formula>kvartal &lt; 4</formula>
    </cfRule>
  </conditionalFormatting>
  <conditionalFormatting sqref="C93">
    <cfRule type="expression" dxfId="992" priority="47">
      <formula>kvartal &lt; 4</formula>
    </cfRule>
  </conditionalFormatting>
  <conditionalFormatting sqref="B101">
    <cfRule type="expression" dxfId="991" priority="46">
      <formula>kvartal &lt; 4</formula>
    </cfRule>
  </conditionalFormatting>
  <conditionalFormatting sqref="C101">
    <cfRule type="expression" dxfId="990" priority="45">
      <formula>kvartal &lt; 4</formula>
    </cfRule>
  </conditionalFormatting>
  <conditionalFormatting sqref="B104">
    <cfRule type="expression" dxfId="989" priority="44">
      <formula>kvartal &lt; 4</formula>
    </cfRule>
  </conditionalFormatting>
  <conditionalFormatting sqref="C104">
    <cfRule type="expression" dxfId="988" priority="43">
      <formula>kvartal &lt; 4</formula>
    </cfRule>
  </conditionalFormatting>
  <conditionalFormatting sqref="B115">
    <cfRule type="expression" dxfId="987" priority="42">
      <formula>kvartal &lt; 4</formula>
    </cfRule>
  </conditionalFormatting>
  <conditionalFormatting sqref="C115">
    <cfRule type="expression" dxfId="986" priority="41">
      <formula>kvartal &lt; 4</formula>
    </cfRule>
  </conditionalFormatting>
  <conditionalFormatting sqref="B123">
    <cfRule type="expression" dxfId="985" priority="40">
      <formula>kvartal &lt; 4</formula>
    </cfRule>
  </conditionalFormatting>
  <conditionalFormatting sqref="C123">
    <cfRule type="expression" dxfId="984" priority="39">
      <formula>kvartal &lt; 4</formula>
    </cfRule>
  </conditionalFormatting>
  <conditionalFormatting sqref="F70">
    <cfRule type="expression" dxfId="983" priority="38">
      <formula>kvartal &lt; 4</formula>
    </cfRule>
  </conditionalFormatting>
  <conditionalFormatting sqref="G70">
    <cfRule type="expression" dxfId="982" priority="37">
      <formula>kvartal &lt; 4</formula>
    </cfRule>
  </conditionalFormatting>
  <conditionalFormatting sqref="F71:G71">
    <cfRule type="expression" dxfId="981" priority="36">
      <formula>kvartal &lt; 4</formula>
    </cfRule>
  </conditionalFormatting>
  <conditionalFormatting sqref="F73:G74">
    <cfRule type="expression" dxfId="980" priority="35">
      <formula>kvartal &lt; 4</formula>
    </cfRule>
  </conditionalFormatting>
  <conditionalFormatting sqref="F81:G82">
    <cfRule type="expression" dxfId="979" priority="34">
      <formula>kvartal &lt; 4</formula>
    </cfRule>
  </conditionalFormatting>
  <conditionalFormatting sqref="F84:G85">
    <cfRule type="expression" dxfId="978" priority="33">
      <formula>kvartal &lt; 4</formula>
    </cfRule>
  </conditionalFormatting>
  <conditionalFormatting sqref="F91:G92">
    <cfRule type="expression" dxfId="977" priority="32">
      <formula>kvartal &lt; 4</formula>
    </cfRule>
  </conditionalFormatting>
  <conditionalFormatting sqref="F94:G95">
    <cfRule type="expression" dxfId="976" priority="31">
      <formula>kvartal &lt; 4</formula>
    </cfRule>
  </conditionalFormatting>
  <conditionalFormatting sqref="F102:G103">
    <cfRule type="expression" dxfId="975" priority="30">
      <formula>kvartal &lt; 4</formula>
    </cfRule>
  </conditionalFormatting>
  <conditionalFormatting sqref="F105:G106">
    <cfRule type="expression" dxfId="974" priority="29">
      <formula>kvartal &lt; 4</formula>
    </cfRule>
  </conditionalFormatting>
  <conditionalFormatting sqref="F115">
    <cfRule type="expression" dxfId="973" priority="28">
      <formula>kvartal &lt; 4</formula>
    </cfRule>
  </conditionalFormatting>
  <conditionalFormatting sqref="G115">
    <cfRule type="expression" dxfId="972" priority="27">
      <formula>kvartal &lt; 4</formula>
    </cfRule>
  </conditionalFormatting>
  <conditionalFormatting sqref="F123:G123">
    <cfRule type="expression" dxfId="971" priority="26">
      <formula>kvartal &lt; 4</formula>
    </cfRule>
  </conditionalFormatting>
  <conditionalFormatting sqref="F69:G69">
    <cfRule type="expression" dxfId="970" priority="25">
      <formula>kvartal &lt; 4</formula>
    </cfRule>
  </conditionalFormatting>
  <conditionalFormatting sqref="F72:G72">
    <cfRule type="expression" dxfId="969" priority="24">
      <formula>kvartal &lt; 4</formula>
    </cfRule>
  </conditionalFormatting>
  <conditionalFormatting sqref="F80:G80">
    <cfRule type="expression" dxfId="968" priority="23">
      <formula>kvartal &lt; 4</formula>
    </cfRule>
  </conditionalFormatting>
  <conditionalFormatting sqref="F83:G83">
    <cfRule type="expression" dxfId="967" priority="22">
      <formula>kvartal &lt; 4</formula>
    </cfRule>
  </conditionalFormatting>
  <conditionalFormatting sqref="F90:G90">
    <cfRule type="expression" dxfId="966" priority="21">
      <formula>kvartal &lt; 4</formula>
    </cfRule>
  </conditionalFormatting>
  <conditionalFormatting sqref="F93">
    <cfRule type="expression" dxfId="965" priority="20">
      <formula>kvartal &lt; 4</formula>
    </cfRule>
  </conditionalFormatting>
  <conditionalFormatting sqref="G93">
    <cfRule type="expression" dxfId="964" priority="19">
      <formula>kvartal &lt; 4</formula>
    </cfRule>
  </conditionalFormatting>
  <conditionalFormatting sqref="F101">
    <cfRule type="expression" dxfId="963" priority="18">
      <formula>kvartal &lt; 4</formula>
    </cfRule>
  </conditionalFormatting>
  <conditionalFormatting sqref="G101">
    <cfRule type="expression" dxfId="962" priority="17">
      <formula>kvartal &lt; 4</formula>
    </cfRule>
  </conditionalFormatting>
  <conditionalFormatting sqref="G104">
    <cfRule type="expression" dxfId="961" priority="16">
      <formula>kvartal &lt; 4</formula>
    </cfRule>
  </conditionalFormatting>
  <conditionalFormatting sqref="F104">
    <cfRule type="expression" dxfId="960" priority="15">
      <formula>kvartal &lt; 4</formula>
    </cfRule>
  </conditionalFormatting>
  <conditionalFormatting sqref="J69:K73">
    <cfRule type="expression" dxfId="959" priority="14">
      <formula>kvartal &lt; 4</formula>
    </cfRule>
  </conditionalFormatting>
  <conditionalFormatting sqref="J74:K74">
    <cfRule type="expression" dxfId="958" priority="13">
      <formula>kvartal &lt; 4</formula>
    </cfRule>
  </conditionalFormatting>
  <conditionalFormatting sqref="J80:K85">
    <cfRule type="expression" dxfId="957" priority="12">
      <formula>kvartal &lt; 4</formula>
    </cfRule>
  </conditionalFormatting>
  <conditionalFormatting sqref="J90:K95">
    <cfRule type="expression" dxfId="956" priority="11">
      <formula>kvartal &lt; 4</formula>
    </cfRule>
  </conditionalFormatting>
  <conditionalFormatting sqref="J101:K106">
    <cfRule type="expression" dxfId="955" priority="10">
      <formula>kvartal &lt; 4</formula>
    </cfRule>
  </conditionalFormatting>
  <conditionalFormatting sqref="J115:K115">
    <cfRule type="expression" dxfId="954" priority="9">
      <formula>kvartal &lt; 4</formula>
    </cfRule>
  </conditionalFormatting>
  <conditionalFormatting sqref="J123:K123">
    <cfRule type="expression" dxfId="953" priority="8">
      <formula>kvartal &lt; 4</formula>
    </cfRule>
  </conditionalFormatting>
  <conditionalFormatting sqref="A50:A52">
    <cfRule type="expression" dxfId="952" priority="7">
      <formula>kvartal &lt; 4</formula>
    </cfRule>
  </conditionalFormatting>
  <conditionalFormatting sqref="A69:A74">
    <cfRule type="expression" dxfId="951" priority="6">
      <formula>kvartal &lt; 4</formula>
    </cfRule>
  </conditionalFormatting>
  <conditionalFormatting sqref="A80:A85">
    <cfRule type="expression" dxfId="950" priority="5">
      <formula>kvartal &lt; 4</formula>
    </cfRule>
  </conditionalFormatting>
  <conditionalFormatting sqref="A90:A95">
    <cfRule type="expression" dxfId="949" priority="4">
      <formula>kvartal &lt; 4</formula>
    </cfRule>
  </conditionalFormatting>
  <conditionalFormatting sqref="A101:A106">
    <cfRule type="expression" dxfId="948" priority="3">
      <formula>kvartal &lt; 4</formula>
    </cfRule>
  </conditionalFormatting>
  <conditionalFormatting sqref="A115">
    <cfRule type="expression" dxfId="947" priority="2">
      <formula>kvartal &lt; 4</formula>
    </cfRule>
  </conditionalFormatting>
  <conditionalFormatting sqref="A123">
    <cfRule type="expression" dxfId="946" priority="1">
      <formula>kvartal &lt; 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4"/>
  <sheetViews>
    <sheetView showGridLines="0" zoomScale="70" zoomScaleNormal="70" workbookViewId="0">
      <pane xSplit="1" ySplit="8" topLeftCell="B9" activePane="bottomRight" state="frozen"/>
      <selection activeCell="C1" sqref="C1"/>
      <selection pane="topRight" activeCell="C1" sqref="C1"/>
      <selection pane="bottomLeft" activeCell="C1" sqref="C1"/>
      <selection pane="bottomRight" activeCell="A4" sqref="A4"/>
    </sheetView>
  </sheetViews>
  <sheetFormatPr baseColWidth="10" defaultColWidth="11.42578125" defaultRowHeight="12.75" x14ac:dyDescent="0.2"/>
  <cols>
    <col min="1" max="1" width="90" style="479" customWidth="1"/>
    <col min="2" max="46" width="11.7109375" style="479" customWidth="1"/>
    <col min="47" max="16384" width="11.42578125" style="479"/>
  </cols>
  <sheetData>
    <row r="1" spans="1:46" ht="20.25" x14ac:dyDescent="0.3">
      <c r="A1" s="477" t="s">
        <v>278</v>
      </c>
      <c r="B1" s="456" t="s">
        <v>52</v>
      </c>
      <c r="C1" s="478"/>
      <c r="D1" s="478"/>
      <c r="E1" s="478"/>
      <c r="F1" s="478"/>
      <c r="G1" s="478"/>
      <c r="H1" s="478"/>
      <c r="I1" s="478"/>
      <c r="J1" s="478"/>
      <c r="K1" s="478"/>
      <c r="L1" s="478"/>
      <c r="M1" s="478"/>
    </row>
    <row r="2" spans="1:46" ht="20.25" x14ac:dyDescent="0.3">
      <c r="A2" s="477" t="s">
        <v>249</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row>
    <row r="3" spans="1:46" ht="18.75" x14ac:dyDescent="0.3">
      <c r="A3" s="481" t="s">
        <v>279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row>
    <row r="4" spans="1:46" ht="18.75" customHeight="1" x14ac:dyDescent="0.25">
      <c r="A4" s="460" t="s">
        <v>347</v>
      </c>
      <c r="B4" s="484"/>
      <c r="C4" s="484"/>
      <c r="D4" s="485"/>
      <c r="E4" s="486"/>
      <c r="F4" s="484"/>
      <c r="G4" s="485"/>
      <c r="H4" s="486"/>
      <c r="I4" s="484"/>
      <c r="J4" s="485"/>
      <c r="K4" s="486"/>
      <c r="L4" s="484"/>
      <c r="M4" s="485"/>
      <c r="N4" s="487"/>
      <c r="O4" s="487"/>
      <c r="P4" s="487"/>
      <c r="Q4" s="488"/>
      <c r="R4" s="487"/>
      <c r="S4" s="489"/>
      <c r="T4" s="488"/>
      <c r="U4" s="487"/>
      <c r="V4" s="489"/>
      <c r="W4" s="488"/>
      <c r="X4" s="487"/>
      <c r="Y4" s="489"/>
      <c r="Z4" s="488"/>
      <c r="AA4" s="487"/>
      <c r="AB4" s="489"/>
      <c r="AC4" s="488"/>
      <c r="AD4" s="487"/>
      <c r="AE4" s="489"/>
      <c r="AF4" s="488"/>
      <c r="AG4" s="487"/>
      <c r="AH4" s="489"/>
      <c r="AI4" s="488"/>
      <c r="AJ4" s="487"/>
      <c r="AK4" s="489"/>
      <c r="AL4" s="488"/>
      <c r="AM4" s="487"/>
      <c r="AN4" s="489"/>
      <c r="AO4" s="490"/>
      <c r="AP4" s="491"/>
      <c r="AQ4" s="492"/>
      <c r="AR4" s="488"/>
      <c r="AS4" s="487"/>
      <c r="AT4" s="493"/>
    </row>
    <row r="5" spans="1:46" s="452" customFormat="1" ht="18.75" customHeight="1" x14ac:dyDescent="0.3">
      <c r="A5" s="814" t="s">
        <v>98</v>
      </c>
      <c r="B5" s="1022" t="s">
        <v>504</v>
      </c>
      <c r="C5" s="1023"/>
      <c r="D5" s="1024"/>
      <c r="E5" s="1025" t="s">
        <v>170</v>
      </c>
      <c r="F5" s="1026"/>
      <c r="G5" s="1027"/>
      <c r="H5" s="1025"/>
      <c r="I5" s="1026"/>
      <c r="J5" s="1027"/>
      <c r="K5" s="1025" t="s">
        <v>171</v>
      </c>
      <c r="L5" s="1026"/>
      <c r="M5" s="1027"/>
      <c r="N5" s="1025" t="s">
        <v>172</v>
      </c>
      <c r="O5" s="1026"/>
      <c r="P5" s="1027"/>
      <c r="Q5" s="1025" t="s">
        <v>173</v>
      </c>
      <c r="R5" s="1026"/>
      <c r="S5" s="1027"/>
      <c r="T5" s="1025"/>
      <c r="U5" s="1026"/>
      <c r="V5" s="1027"/>
      <c r="W5" s="879"/>
      <c r="X5" s="880"/>
      <c r="Y5" s="881"/>
      <c r="Z5" s="1025" t="s">
        <v>174</v>
      </c>
      <c r="AA5" s="1026"/>
      <c r="AB5" s="1027"/>
      <c r="AC5" s="909"/>
      <c r="AD5" s="910"/>
      <c r="AE5" s="911"/>
      <c r="AF5" s="1025" t="s">
        <v>67</v>
      </c>
      <c r="AG5" s="1026"/>
      <c r="AH5" s="1027"/>
      <c r="AI5" s="1025" t="s">
        <v>71</v>
      </c>
      <c r="AJ5" s="1026"/>
      <c r="AK5" s="1027"/>
      <c r="AL5" s="1025" t="s">
        <v>478</v>
      </c>
      <c r="AM5" s="1026"/>
      <c r="AN5" s="1027"/>
      <c r="AO5" s="1016" t="s">
        <v>2</v>
      </c>
      <c r="AP5" s="1017"/>
      <c r="AQ5" s="1018"/>
      <c r="AR5" s="1016" t="s">
        <v>280</v>
      </c>
      <c r="AS5" s="1017"/>
      <c r="AT5" s="1018"/>
    </row>
    <row r="6" spans="1:46" s="452" customFormat="1" ht="21" customHeight="1" x14ac:dyDescent="0.3">
      <c r="A6" s="815"/>
      <c r="B6" s="1031" t="s">
        <v>177</v>
      </c>
      <c r="C6" s="1032"/>
      <c r="D6" s="1033"/>
      <c r="E6" s="1028" t="s">
        <v>176</v>
      </c>
      <c r="F6" s="1029"/>
      <c r="G6" s="1030"/>
      <c r="H6" s="1028" t="s">
        <v>464</v>
      </c>
      <c r="I6" s="1029"/>
      <c r="J6" s="1030"/>
      <c r="K6" s="1028" t="s">
        <v>176</v>
      </c>
      <c r="L6" s="1029"/>
      <c r="M6" s="1030"/>
      <c r="N6" s="1028" t="s">
        <v>177</v>
      </c>
      <c r="O6" s="1029"/>
      <c r="P6" s="1030"/>
      <c r="Q6" s="1028" t="s">
        <v>88</v>
      </c>
      <c r="R6" s="1029"/>
      <c r="S6" s="1030"/>
      <c r="T6" s="1028" t="s">
        <v>63</v>
      </c>
      <c r="U6" s="1029"/>
      <c r="V6" s="1030"/>
      <c r="W6" s="1028" t="s">
        <v>65</v>
      </c>
      <c r="X6" s="1029"/>
      <c r="Y6" s="1030"/>
      <c r="Z6" s="1028" t="s">
        <v>175</v>
      </c>
      <c r="AA6" s="1029"/>
      <c r="AB6" s="1030"/>
      <c r="AC6" s="1028" t="s">
        <v>70</v>
      </c>
      <c r="AD6" s="1029"/>
      <c r="AE6" s="1030"/>
      <c r="AF6" s="1028" t="s">
        <v>474</v>
      </c>
      <c r="AG6" s="1029"/>
      <c r="AH6" s="1030"/>
      <c r="AI6" s="1028" t="s">
        <v>176</v>
      </c>
      <c r="AJ6" s="1029"/>
      <c r="AK6" s="1030"/>
      <c r="AL6" s="1028" t="s">
        <v>176</v>
      </c>
      <c r="AM6" s="1029"/>
      <c r="AN6" s="1030"/>
      <c r="AO6" s="1019" t="s">
        <v>281</v>
      </c>
      <c r="AP6" s="1020"/>
      <c r="AQ6" s="1021"/>
      <c r="AR6" s="1019" t="s">
        <v>282</v>
      </c>
      <c r="AS6" s="1020"/>
      <c r="AT6" s="1021"/>
    </row>
    <row r="7" spans="1:46" s="452" customFormat="1" ht="18.75" customHeight="1" x14ac:dyDescent="0.3">
      <c r="A7" s="815"/>
      <c r="B7" s="815"/>
      <c r="C7" s="815"/>
      <c r="D7" s="816" t="s">
        <v>79</v>
      </c>
      <c r="E7" s="815"/>
      <c r="F7" s="815"/>
      <c r="G7" s="816" t="s">
        <v>79</v>
      </c>
      <c r="H7" s="815"/>
      <c r="I7" s="815"/>
      <c r="J7" s="816" t="s">
        <v>79</v>
      </c>
      <c r="K7" s="815"/>
      <c r="L7" s="815"/>
      <c r="M7" s="816" t="s">
        <v>79</v>
      </c>
      <c r="N7" s="815"/>
      <c r="O7" s="815"/>
      <c r="P7" s="816" t="s">
        <v>79</v>
      </c>
      <c r="Q7" s="815"/>
      <c r="R7" s="815"/>
      <c r="S7" s="816" t="s">
        <v>79</v>
      </c>
      <c r="T7" s="815"/>
      <c r="U7" s="815"/>
      <c r="V7" s="816" t="s">
        <v>79</v>
      </c>
      <c r="W7" s="815"/>
      <c r="X7" s="815"/>
      <c r="Y7" s="816" t="s">
        <v>79</v>
      </c>
      <c r="Z7" s="815"/>
      <c r="AA7" s="815"/>
      <c r="AB7" s="816" t="s">
        <v>79</v>
      </c>
      <c r="AC7" s="815"/>
      <c r="AD7" s="815"/>
      <c r="AE7" s="816" t="s">
        <v>79</v>
      </c>
      <c r="AF7" s="815"/>
      <c r="AG7" s="815"/>
      <c r="AH7" s="816" t="s">
        <v>79</v>
      </c>
      <c r="AI7" s="815"/>
      <c r="AJ7" s="815"/>
      <c r="AK7" s="816" t="s">
        <v>79</v>
      </c>
      <c r="AL7" s="815"/>
      <c r="AM7" s="815"/>
      <c r="AN7" s="816" t="s">
        <v>79</v>
      </c>
      <c r="AO7" s="815"/>
      <c r="AP7" s="815"/>
      <c r="AQ7" s="816" t="s">
        <v>79</v>
      </c>
      <c r="AR7" s="815"/>
      <c r="AS7" s="815"/>
      <c r="AT7" s="816" t="s">
        <v>79</v>
      </c>
    </row>
    <row r="8" spans="1:46" s="452" customFormat="1" ht="18.75" customHeight="1" x14ac:dyDescent="0.25">
      <c r="A8" s="817" t="s">
        <v>283</v>
      </c>
      <c r="B8" s="748">
        <v>2021</v>
      </c>
      <c r="C8" s="748">
        <v>2022</v>
      </c>
      <c r="D8" s="818" t="s">
        <v>81</v>
      </c>
      <c r="E8" s="748">
        <v>2021</v>
      </c>
      <c r="F8" s="748">
        <v>2022</v>
      </c>
      <c r="G8" s="818" t="s">
        <v>81</v>
      </c>
      <c r="H8" s="748">
        <v>2021</v>
      </c>
      <c r="I8" s="748">
        <v>2022</v>
      </c>
      <c r="J8" s="818" t="s">
        <v>81</v>
      </c>
      <c r="K8" s="748">
        <v>2021</v>
      </c>
      <c r="L8" s="748">
        <v>2022</v>
      </c>
      <c r="M8" s="818" t="s">
        <v>81</v>
      </c>
      <c r="N8" s="748">
        <v>2021</v>
      </c>
      <c r="O8" s="748">
        <v>2022</v>
      </c>
      <c r="P8" s="818" t="s">
        <v>81</v>
      </c>
      <c r="Q8" s="748">
        <v>2021</v>
      </c>
      <c r="R8" s="748">
        <v>2022</v>
      </c>
      <c r="S8" s="818" t="s">
        <v>81</v>
      </c>
      <c r="T8" s="748">
        <v>2021</v>
      </c>
      <c r="U8" s="748">
        <v>2022</v>
      </c>
      <c r="V8" s="818" t="s">
        <v>81</v>
      </c>
      <c r="W8" s="748">
        <v>2021</v>
      </c>
      <c r="X8" s="748">
        <v>2022</v>
      </c>
      <c r="Y8" s="818" t="s">
        <v>81</v>
      </c>
      <c r="Z8" s="748">
        <v>2021</v>
      </c>
      <c r="AA8" s="748">
        <v>2022</v>
      </c>
      <c r="AB8" s="818" t="s">
        <v>81</v>
      </c>
      <c r="AC8" s="748">
        <v>2021</v>
      </c>
      <c r="AD8" s="748">
        <v>2022</v>
      </c>
      <c r="AE8" s="818" t="s">
        <v>81</v>
      </c>
      <c r="AF8" s="748">
        <v>2021</v>
      </c>
      <c r="AG8" s="748">
        <v>2022</v>
      </c>
      <c r="AH8" s="818" t="s">
        <v>81</v>
      </c>
      <c r="AI8" s="748">
        <v>2021</v>
      </c>
      <c r="AJ8" s="748">
        <v>2022</v>
      </c>
      <c r="AK8" s="818" t="s">
        <v>81</v>
      </c>
      <c r="AL8" s="748">
        <v>2021</v>
      </c>
      <c r="AM8" s="748">
        <v>2022</v>
      </c>
      <c r="AN8" s="818" t="s">
        <v>81</v>
      </c>
      <c r="AO8" s="748">
        <v>2021</v>
      </c>
      <c r="AP8" s="748">
        <v>2022</v>
      </c>
      <c r="AQ8" s="818" t="s">
        <v>81</v>
      </c>
      <c r="AR8" s="748">
        <v>2021</v>
      </c>
      <c r="AS8" s="748">
        <v>2022</v>
      </c>
      <c r="AT8" s="818" t="s">
        <v>81</v>
      </c>
    </row>
    <row r="9" spans="1:46" s="452" customFormat="1" ht="18.75" customHeight="1" x14ac:dyDescent="0.3">
      <c r="A9" s="815" t="s">
        <v>284</v>
      </c>
      <c r="B9" s="819"/>
      <c r="C9" s="728"/>
      <c r="D9" s="730"/>
      <c r="E9" s="873"/>
      <c r="F9" s="728"/>
      <c r="G9" s="730"/>
      <c r="H9" s="873"/>
      <c r="I9" s="728"/>
      <c r="J9" s="730"/>
      <c r="K9" s="873"/>
      <c r="L9" s="728"/>
      <c r="M9" s="730"/>
      <c r="N9" s="873"/>
      <c r="O9" s="728"/>
      <c r="P9" s="728"/>
      <c r="Q9" s="820"/>
      <c r="R9" s="498"/>
      <c r="S9" s="730"/>
      <c r="T9" s="820"/>
      <c r="U9" s="730"/>
      <c r="V9" s="730"/>
      <c r="W9" s="820"/>
      <c r="X9" s="728"/>
      <c r="Y9" s="730"/>
      <c r="Z9" s="820"/>
      <c r="AA9" s="730"/>
      <c r="AB9" s="730"/>
      <c r="AC9" s="820"/>
      <c r="AD9" s="728"/>
      <c r="AE9" s="730"/>
      <c r="AF9" s="820"/>
      <c r="AG9" s="728"/>
      <c r="AH9" s="730"/>
      <c r="AI9" s="820"/>
      <c r="AJ9" s="899"/>
      <c r="AK9" s="730"/>
      <c r="AL9" s="819"/>
      <c r="AM9" s="728"/>
      <c r="AN9" s="730"/>
      <c r="AO9" s="730"/>
      <c r="AP9" s="730"/>
      <c r="AQ9" s="730"/>
      <c r="AR9" s="821"/>
      <c r="AS9" s="821"/>
      <c r="AT9" s="821"/>
    </row>
    <row r="10" spans="1:46" s="453" customFormat="1" ht="18.75" customHeight="1" x14ac:dyDescent="0.3">
      <c r="A10" s="813" t="s">
        <v>497</v>
      </c>
      <c r="B10" s="822"/>
      <c r="C10" s="435"/>
      <c r="D10" s="340"/>
      <c r="E10" s="874"/>
      <c r="F10" s="435"/>
      <c r="G10" s="340"/>
      <c r="H10" s="874"/>
      <c r="I10" s="435"/>
      <c r="J10" s="340"/>
      <c r="K10" s="874"/>
      <c r="L10" s="435"/>
      <c r="M10" s="340"/>
      <c r="N10" s="874"/>
      <c r="O10" s="435"/>
      <c r="P10" s="435"/>
      <c r="Q10" s="823"/>
      <c r="R10" s="501"/>
      <c r="S10" s="340"/>
      <c r="T10" s="823"/>
      <c r="U10" s="340"/>
      <c r="V10" s="340"/>
      <c r="W10" s="823"/>
      <c r="X10" s="435"/>
      <c r="Y10" s="340"/>
      <c r="Z10" s="823"/>
      <c r="AA10" s="340"/>
      <c r="AB10" s="340"/>
      <c r="AC10" s="823"/>
      <c r="AD10" s="435"/>
      <c r="AE10" s="340"/>
      <c r="AF10" s="823"/>
      <c r="AG10" s="435"/>
      <c r="AH10" s="340"/>
      <c r="AI10" s="823"/>
      <c r="AJ10" s="900"/>
      <c r="AK10" s="340"/>
      <c r="AL10" s="822"/>
      <c r="AM10" s="435"/>
      <c r="AN10" s="340"/>
      <c r="AO10" s="340"/>
      <c r="AP10" s="340"/>
      <c r="AQ10" s="340"/>
      <c r="AR10" s="825"/>
      <c r="AS10" s="825"/>
      <c r="AT10" s="825"/>
    </row>
    <row r="11" spans="1:46" s="453" customFormat="1" ht="18.75" customHeight="1" x14ac:dyDescent="0.3">
      <c r="A11" s="813" t="s">
        <v>285</v>
      </c>
      <c r="B11" s="824">
        <v>2735.89</v>
      </c>
      <c r="C11" s="340">
        <v>2905.7542164299998</v>
      </c>
      <c r="D11" s="340">
        <f t="shared" ref="D11:D16" si="0">IF(B11=0, "    ---- ", IF(ABS(ROUND(100/B11*C11-100,1))&lt;999,ROUND(100/B11*C11-100,1),IF(ROUND(100/B11*C11-100,1)&gt;999,999,-999)))</f>
        <v>6.2</v>
      </c>
      <c r="E11" s="875">
        <v>16119.42744738</v>
      </c>
      <c r="F11" s="340">
        <v>17756.106926960001</v>
      </c>
      <c r="G11" s="340">
        <f t="shared" ref="G11:G17" si="1">IF(E11=0, "    ---- ", IF(ABS(ROUND(100/E11*F11-100,1))&lt;999,ROUND(100/E11*F11-100,1),IF(ROUND(100/E11*F11-100,1)&gt;999,999,-999)))</f>
        <v>10.199999999999999</v>
      </c>
      <c r="H11" s="875">
        <v>3571.4850701600003</v>
      </c>
      <c r="I11" s="340">
        <v>3831.3583522700001</v>
      </c>
      <c r="J11" s="340">
        <f t="shared" ref="J11:J17" si="2">IF(H11=0, "    ---- ", IF(ABS(ROUND(100/H11*I11-100,1))&lt;999,ROUND(100/H11*I11-100,1),IF(ROUND(100/H11*I11-100,1)&gt;999,999,-999)))</f>
        <v>7.3</v>
      </c>
      <c r="K11" s="875">
        <v>560.64052400000003</v>
      </c>
      <c r="L11" s="340">
        <v>620.59900200000004</v>
      </c>
      <c r="M11" s="340">
        <f t="shared" ref="M11:M17" si="3">IF(K11=0, "    ---- ", IF(ABS(ROUND(100/K11*L11-100,1))&lt;999,ROUND(100/K11*L11-100,1),IF(ROUND(100/K11*L11-100,1)&gt;999,999,-999)))</f>
        <v>10.7</v>
      </c>
      <c r="N11" s="875">
        <v>4440.6000000000004</v>
      </c>
      <c r="O11" s="340">
        <v>5284.1</v>
      </c>
      <c r="P11" s="340">
        <f t="shared" ref="P11:P17" si="4">IF(N11=0, "    ---- ", IF(ABS(ROUND(100/N11*O11-100,1))&lt;999,ROUND(100/N11*O11-100,1),IF(ROUND(100/N11*O11-100,1)&gt;999,999,-999)))</f>
        <v>19</v>
      </c>
      <c r="Q11" s="875">
        <v>34.122999999999998</v>
      </c>
      <c r="R11" s="901">
        <v>34.11</v>
      </c>
      <c r="S11" s="340">
        <f>IF(Q11=0, "    ---- ", IF(ABS(ROUND(100/Q11*R11-100,1))&lt;999,ROUND(100/Q11*R11-100,1),IF(ROUND(100/Q11*R11-100,1)&gt;999,999,-999)))</f>
        <v>0</v>
      </c>
      <c r="T11" s="824">
        <v>50161.05433929</v>
      </c>
      <c r="U11" s="340">
        <v>50137.053999129996</v>
      </c>
      <c r="V11" s="340">
        <f t="shared" ref="V11:V17" si="5">IF(T11=0, "    ---- ", IF(ABS(ROUND(100/T11*U11-100,1))&lt;999,ROUND(100/T11*U11-100,1),IF(ROUND(100/T11*U11-100,1)&gt;999,999,-999)))</f>
        <v>0</v>
      </c>
      <c r="W11" s="875">
        <v>19637</v>
      </c>
      <c r="X11" s="340">
        <v>15619.41</v>
      </c>
      <c r="Y11" s="340">
        <f t="shared" ref="Y11:Y17" si="6">IF(W11=0, "    ---- ", IF(ABS(ROUND(100/W11*X11-100,1))&lt;999,ROUND(100/W11*X11-100,1),IF(ROUND(100/W11*X11-100,1)&gt;999,999,-999)))</f>
        <v>-20.5</v>
      </c>
      <c r="Z11" s="875">
        <v>7545</v>
      </c>
      <c r="AA11" s="340">
        <v>8421</v>
      </c>
      <c r="AB11" s="340">
        <f t="shared" ref="AB11:AB17" si="7">IF(Z11=0, "    ---- ", IF(ABS(ROUND(100/Z11*AA11-100,1))&lt;999,ROUND(100/Z11*AA11-100,1),IF(ROUND(100/Z11*AA11-100,1)&gt;999,999,-999)))</f>
        <v>11.6</v>
      </c>
      <c r="AC11" s="875">
        <v>178.35900000000001</v>
      </c>
      <c r="AD11" s="340">
        <v>95.272999999999996</v>
      </c>
      <c r="AE11" s="340">
        <f t="shared" ref="AE11:AE17" si="8">IF(AC11=0, "    ---- ", IF(ABS(ROUND(100/AC11*AD11-100,1))&lt;999,ROUND(100/AC11*AD11-100,1),IF(ROUND(100/AC11*AD11-100,1)&gt;999,999,-999)))</f>
        <v>-46.6</v>
      </c>
      <c r="AF11" s="875">
        <v>6355.720557659999</v>
      </c>
      <c r="AG11" s="340">
        <v>7101.3084462200004</v>
      </c>
      <c r="AH11" s="340">
        <f t="shared" ref="AH11:AH17" si="9">IF(AF11=0, "    ---- ", IF(ABS(ROUND(100/AF11*AG11-100,1))&lt;999,ROUND(100/AF11*AG11-100,1),IF(ROUND(100/AF11*AG11-100,1)&gt;999,999,-999)))</f>
        <v>11.7</v>
      </c>
      <c r="AI11" s="875">
        <v>19435.599999999999</v>
      </c>
      <c r="AJ11" s="901">
        <v>20300</v>
      </c>
      <c r="AK11" s="340">
        <f t="shared" ref="AK11:AK17" si="10">IF(AI11=0, "    ---- ", IF(ABS(ROUND(100/AI11*AJ11-100,1))&lt;999,ROUND(100/AI11*AJ11-100,1),IF(ROUND(100/AI11*AJ11-100,1)&gt;999,999,-999)))</f>
        <v>4.4000000000000004</v>
      </c>
      <c r="AL11" s="824"/>
      <c r="AM11" s="340">
        <v>6</v>
      </c>
      <c r="AN11" s="340" t="str">
        <f t="shared" ref="AN11:AN14" si="11">IF(AL11=0, "    ---- ", IF(ABS(ROUND(100/AL11*AM11-100,1))&lt;999,ROUND(100/AL11*AM11-100,1),IF(ROUND(100/AL11*AM11-100,1)&gt;999,999,-999)))</f>
        <v xml:space="preserve">    ---- </v>
      </c>
      <c r="AO11" s="340">
        <f>B11+E11+H11+K11+N11+T11+W11+Z11+AF11+AI11</f>
        <v>130562.41793848999</v>
      </c>
      <c r="AP11" s="340">
        <f>C11+F11+I11+L11+O11+U11+X11+AA11+AG11+AJ11</f>
        <v>131976.69094301001</v>
      </c>
      <c r="AQ11" s="340">
        <f t="shared" ref="AQ11:AQ46" si="12">IF(AO11=0, "    ---- ", IF(ABS(ROUND(100/AO11*AP11-100,1))&lt;999,ROUND(100/AO11*AP11-100,1),IF(ROUND(100/AO11*AP11-100,1)&gt;999,999,-999)))</f>
        <v>1.1000000000000001</v>
      </c>
      <c r="AR11" s="440">
        <f>+B11+E11+H11+K11+N11+Q11+T11+W11+Z11+AC11+AF11+AI11+AL11</f>
        <v>130774.89993848998</v>
      </c>
      <c r="AS11" s="440">
        <f>+C11+F11+I11+L11+O11+R11+U11+X11+AA11+AD11+AG11+AJ11+AM11</f>
        <v>132112.07394301001</v>
      </c>
      <c r="AT11" s="340">
        <f t="shared" ref="AT11:AT17" si="13">IF(AR11=0, "    ---- ", IF(ABS(ROUND(100/AR11*AS11-100,1))&lt;999,ROUND(100/AR11*AS11-100,1),IF(ROUND(100/AR11*AS11-100,1)&gt;999,999,-999)))</f>
        <v>1</v>
      </c>
    </row>
    <row r="12" spans="1:46" s="453" customFormat="1" ht="18.75" customHeight="1" x14ac:dyDescent="0.3">
      <c r="A12" s="813" t="s">
        <v>286</v>
      </c>
      <c r="B12" s="824">
        <v>-117.157</v>
      </c>
      <c r="C12" s="340">
        <v>-117.43406426</v>
      </c>
      <c r="D12" s="340">
        <f t="shared" si="0"/>
        <v>0.2</v>
      </c>
      <c r="E12" s="875">
        <v>-288.48154948000001</v>
      </c>
      <c r="F12" s="340">
        <v>-337.14406631000003</v>
      </c>
      <c r="G12" s="340">
        <f t="shared" si="1"/>
        <v>16.899999999999999</v>
      </c>
      <c r="H12" s="875">
        <v>-174.54024609999999</v>
      </c>
      <c r="I12" s="340">
        <v>-155.28032936000002</v>
      </c>
      <c r="J12" s="340">
        <f t="shared" si="2"/>
        <v>-11</v>
      </c>
      <c r="K12" s="875">
        <v>-26.927</v>
      </c>
      <c r="L12" s="340">
        <v>-30.948035000000001</v>
      </c>
      <c r="M12" s="340">
        <f t="shared" si="3"/>
        <v>14.9</v>
      </c>
      <c r="N12" s="875">
        <v>-78.599999999999994</v>
      </c>
      <c r="O12" s="340">
        <v>-87.2</v>
      </c>
      <c r="P12" s="340">
        <f t="shared" si="4"/>
        <v>10.9</v>
      </c>
      <c r="Q12" s="875"/>
      <c r="R12" s="901"/>
      <c r="S12" s="340"/>
      <c r="T12" s="824">
        <v>0</v>
      </c>
      <c r="U12" s="340">
        <v>0</v>
      </c>
      <c r="V12" s="340" t="str">
        <f t="shared" si="5"/>
        <v xml:space="preserve">    ---- </v>
      </c>
      <c r="W12" s="875">
        <v>-89</v>
      </c>
      <c r="X12" s="340">
        <v>-92.8</v>
      </c>
      <c r="Y12" s="340">
        <f t="shared" si="6"/>
        <v>4.3</v>
      </c>
      <c r="Z12" s="875">
        <v>-2</v>
      </c>
      <c r="AA12" s="340">
        <v>-2</v>
      </c>
      <c r="AB12" s="340">
        <f t="shared" si="7"/>
        <v>0</v>
      </c>
      <c r="AC12" s="875"/>
      <c r="AD12" s="340"/>
      <c r="AE12" s="340"/>
      <c r="AF12" s="875">
        <v>-5.8490000000000002</v>
      </c>
      <c r="AG12" s="340">
        <v>-6.1319999999999997</v>
      </c>
      <c r="AH12" s="340">
        <f t="shared" si="9"/>
        <v>4.8</v>
      </c>
      <c r="AI12" s="875">
        <v>-8.6</v>
      </c>
      <c r="AJ12" s="901">
        <v>-7</v>
      </c>
      <c r="AK12" s="340">
        <f t="shared" si="10"/>
        <v>-18.600000000000001</v>
      </c>
      <c r="AL12" s="824"/>
      <c r="AM12" s="340">
        <v>-2</v>
      </c>
      <c r="AN12" s="340" t="str">
        <f t="shared" si="11"/>
        <v xml:space="preserve">    ---- </v>
      </c>
      <c r="AO12" s="340">
        <f t="shared" ref="AO12:AP46" si="14">B12+E12+H12+K12+N12+T12+W12+Z12+AF12+AI12</f>
        <v>-791.15479558000015</v>
      </c>
      <c r="AP12" s="340">
        <f t="shared" si="14"/>
        <v>-835.93849493000005</v>
      </c>
      <c r="AQ12" s="340">
        <f t="shared" si="12"/>
        <v>5.7</v>
      </c>
      <c r="AR12" s="440">
        <f t="shared" ref="AR12:AS17" si="15">+B12+E12+H12+K12+N12+Q12+T12+W12+Z12+AC12+AF12+AI12+AL12</f>
        <v>-791.15479558000015</v>
      </c>
      <c r="AS12" s="440">
        <f t="shared" si="15"/>
        <v>-837.93849493000005</v>
      </c>
      <c r="AT12" s="340">
        <f t="shared" si="13"/>
        <v>5.9</v>
      </c>
    </row>
    <row r="13" spans="1:46" s="453" customFormat="1" ht="18.75" customHeight="1" x14ac:dyDescent="0.3">
      <c r="A13" s="813" t="s">
        <v>482</v>
      </c>
      <c r="B13" s="824">
        <v>5914.0919999999996</v>
      </c>
      <c r="C13" s="340">
        <v>2441.2892809700002</v>
      </c>
      <c r="D13" s="340">
        <f t="shared" si="0"/>
        <v>-58.7</v>
      </c>
      <c r="E13" s="875">
        <v>31043.995510519999</v>
      </c>
      <c r="F13" s="340">
        <v>14123.134433539999</v>
      </c>
      <c r="G13" s="340">
        <f t="shared" si="1"/>
        <v>-54.5</v>
      </c>
      <c r="H13" s="875"/>
      <c r="I13" s="340"/>
      <c r="J13" s="340"/>
      <c r="K13" s="875"/>
      <c r="L13" s="340"/>
      <c r="M13" s="340"/>
      <c r="N13" s="875">
        <v>11312.8</v>
      </c>
      <c r="O13" s="340">
        <v>9309.9</v>
      </c>
      <c r="P13" s="340">
        <f t="shared" si="4"/>
        <v>-17.7</v>
      </c>
      <c r="Q13" s="875"/>
      <c r="R13" s="901"/>
      <c r="S13" s="340"/>
      <c r="T13" s="824">
        <v>0</v>
      </c>
      <c r="U13" s="340">
        <v>385.631237</v>
      </c>
      <c r="V13" s="340" t="str">
        <f t="shared" si="5"/>
        <v xml:space="preserve">    ---- </v>
      </c>
      <c r="W13" s="875">
        <v>14243</v>
      </c>
      <c r="X13" s="340">
        <v>6999.27</v>
      </c>
      <c r="Y13" s="340">
        <f t="shared" si="6"/>
        <v>-50.9</v>
      </c>
      <c r="Z13" s="875">
        <v>14</v>
      </c>
      <c r="AA13" s="340">
        <v>0</v>
      </c>
      <c r="AB13" s="340">
        <f t="shared" si="7"/>
        <v>-100</v>
      </c>
      <c r="AC13" s="875">
        <v>95.021000000000001</v>
      </c>
      <c r="AD13" s="340">
        <v>41.723999999999997</v>
      </c>
      <c r="AE13" s="340">
        <f t="shared" si="8"/>
        <v>-56.1</v>
      </c>
      <c r="AF13" s="875">
        <v>10636.133494099999</v>
      </c>
      <c r="AG13" s="340">
        <v>4650.2293335199993</v>
      </c>
      <c r="AH13" s="340">
        <f t="shared" si="9"/>
        <v>-56.3</v>
      </c>
      <c r="AI13" s="875">
        <v>18465.599999999999</v>
      </c>
      <c r="AJ13" s="901">
        <v>9474</v>
      </c>
      <c r="AK13" s="340">
        <f t="shared" si="10"/>
        <v>-48.7</v>
      </c>
      <c r="AL13" s="824"/>
      <c r="AM13" s="340"/>
      <c r="AN13" s="340"/>
      <c r="AO13" s="340">
        <f t="shared" si="14"/>
        <v>91629.621004619985</v>
      </c>
      <c r="AP13" s="340">
        <f t="shared" si="14"/>
        <v>47383.454285029999</v>
      </c>
      <c r="AQ13" s="340">
        <f t="shared" si="12"/>
        <v>-48.3</v>
      </c>
      <c r="AR13" s="440">
        <f t="shared" si="15"/>
        <v>91724.642004619993</v>
      </c>
      <c r="AS13" s="440">
        <f t="shared" si="15"/>
        <v>47425.178285030001</v>
      </c>
      <c r="AT13" s="340">
        <f t="shared" si="13"/>
        <v>-48.3</v>
      </c>
    </row>
    <row r="14" spans="1:46" s="453" customFormat="1" ht="18.75" customHeight="1" x14ac:dyDescent="0.3">
      <c r="A14" s="813" t="s">
        <v>287</v>
      </c>
      <c r="B14" s="826">
        <v>8532.8249999999989</v>
      </c>
      <c r="C14" s="749">
        <v>5229.60943314</v>
      </c>
      <c r="D14" s="340">
        <f t="shared" si="0"/>
        <v>-38.700000000000003</v>
      </c>
      <c r="E14" s="874">
        <f>SUM(E11:E13)</f>
        <v>46874.941408419996</v>
      </c>
      <c r="F14" s="435">
        <f>SUM(F11:F13)</f>
        <v>31542.09729419</v>
      </c>
      <c r="G14" s="340">
        <f t="shared" si="1"/>
        <v>-32.700000000000003</v>
      </c>
      <c r="H14" s="874">
        <f>SUM(H11:H13)</f>
        <v>3396.9448240600004</v>
      </c>
      <c r="I14" s="435">
        <f>SUM(I11:I13)</f>
        <v>3676.0780229100001</v>
      </c>
      <c r="J14" s="340">
        <f t="shared" si="2"/>
        <v>8.1999999999999993</v>
      </c>
      <c r="K14" s="874">
        <f>SUM(K11:K13)</f>
        <v>533.71352400000001</v>
      </c>
      <c r="L14" s="435">
        <f>SUM(L11:L13)</f>
        <v>589.65096700000004</v>
      </c>
      <c r="M14" s="340">
        <f t="shared" si="3"/>
        <v>10.5</v>
      </c>
      <c r="N14" s="874">
        <f>SUM(N11:N13)</f>
        <v>15674.8</v>
      </c>
      <c r="O14" s="435">
        <f>SUM(O11:O13)</f>
        <v>14506.8</v>
      </c>
      <c r="P14" s="340">
        <f t="shared" si="4"/>
        <v>-7.5</v>
      </c>
      <c r="Q14" s="874">
        <f>SUM(Q11:Q13)</f>
        <v>34.122999999999998</v>
      </c>
      <c r="R14" s="900">
        <f>SUM(R11:R13)</f>
        <v>34.11</v>
      </c>
      <c r="S14" s="340">
        <f>IF(Q14=0, "    ---- ", IF(ABS(ROUND(100/Q14*R14-100,1))&lt;999,ROUND(100/Q14*R14-100,1),IF(ROUND(100/Q14*R14-100,1)&gt;999,999,-999)))</f>
        <v>0</v>
      </c>
      <c r="T14" s="822">
        <v>50161.05433929</v>
      </c>
      <c r="U14" s="435">
        <v>50522.685236129997</v>
      </c>
      <c r="V14" s="340">
        <f t="shared" si="5"/>
        <v>0.7</v>
      </c>
      <c r="W14" s="874">
        <f>SUM(W11:W13)</f>
        <v>33791</v>
      </c>
      <c r="X14" s="435">
        <f>SUM(X11:X13)</f>
        <v>22525.88</v>
      </c>
      <c r="Y14" s="340">
        <f t="shared" si="6"/>
        <v>-33.299999999999997</v>
      </c>
      <c r="Z14" s="874">
        <f>SUM(Z11:Z13)</f>
        <v>7557</v>
      </c>
      <c r="AA14" s="435">
        <f>SUM(AA11:AA13)</f>
        <v>8419</v>
      </c>
      <c r="AB14" s="340">
        <f t="shared" si="7"/>
        <v>11.4</v>
      </c>
      <c r="AC14" s="874">
        <f>SUM(AC11:AC13)</f>
        <v>273.38</v>
      </c>
      <c r="AD14" s="435">
        <f>SUM(AD11:AD13)</f>
        <v>136.99699999999999</v>
      </c>
      <c r="AE14" s="340">
        <f t="shared" si="8"/>
        <v>-49.9</v>
      </c>
      <c r="AF14" s="874">
        <f>SUM(AF11:AF13)</f>
        <v>16986.005051759996</v>
      </c>
      <c r="AG14" s="435">
        <f>SUM(AG11:AG13)</f>
        <v>11745.40577974</v>
      </c>
      <c r="AH14" s="340">
        <f t="shared" si="9"/>
        <v>-30.9</v>
      </c>
      <c r="AI14" s="874">
        <f>SUM(AI11:AI13)</f>
        <v>37892.6</v>
      </c>
      <c r="AJ14" s="900">
        <f>SUM(AJ11:AJ13)</f>
        <v>29767</v>
      </c>
      <c r="AK14" s="340">
        <f t="shared" si="10"/>
        <v>-21.4</v>
      </c>
      <c r="AL14" s="822"/>
      <c r="AM14" s="435">
        <f>SUM(AM11:AM13)</f>
        <v>4</v>
      </c>
      <c r="AN14" s="340" t="str">
        <f t="shared" si="11"/>
        <v xml:space="preserve">    ---- </v>
      </c>
      <c r="AO14" s="340">
        <f t="shared" si="14"/>
        <v>221400.88414752999</v>
      </c>
      <c r="AP14" s="340">
        <f t="shared" si="14"/>
        <v>178524.20673310998</v>
      </c>
      <c r="AQ14" s="340">
        <f t="shared" si="12"/>
        <v>-19.399999999999999</v>
      </c>
      <c r="AR14" s="440">
        <f t="shared" si="15"/>
        <v>221708.38714753001</v>
      </c>
      <c r="AS14" s="440">
        <f t="shared" si="15"/>
        <v>178699.31373310997</v>
      </c>
      <c r="AT14" s="340">
        <f t="shared" si="13"/>
        <v>-19.399999999999999</v>
      </c>
    </row>
    <row r="15" spans="1:46" s="453" customFormat="1" ht="18.75" customHeight="1" x14ac:dyDescent="0.3">
      <c r="A15" s="813" t="s">
        <v>288</v>
      </c>
      <c r="B15" s="195">
        <v>10.038</v>
      </c>
      <c r="C15" s="440">
        <v>-68.503021560444154</v>
      </c>
      <c r="D15" s="340">
        <f t="shared" si="0"/>
        <v>-782.4</v>
      </c>
      <c r="E15" s="876">
        <v>8939.4213362199989</v>
      </c>
      <c r="F15" s="440">
        <v>1891.6415286099998</v>
      </c>
      <c r="G15" s="340">
        <f t="shared" si="1"/>
        <v>-78.8</v>
      </c>
      <c r="H15" s="903">
        <v>91.630285200000017</v>
      </c>
      <c r="I15" s="731">
        <v>-44.985422960000051</v>
      </c>
      <c r="J15" s="340">
        <f t="shared" si="2"/>
        <v>-149.1</v>
      </c>
      <c r="K15" s="903">
        <v>71.991</v>
      </c>
      <c r="L15" s="731">
        <v>-30.102578000000001</v>
      </c>
      <c r="M15" s="340">
        <f t="shared" si="3"/>
        <v>-141.80000000000001</v>
      </c>
      <c r="N15" s="876">
        <v>288.5</v>
      </c>
      <c r="O15" s="440">
        <v>154.19999999999999</v>
      </c>
      <c r="P15" s="340">
        <f t="shared" si="4"/>
        <v>-46.6</v>
      </c>
      <c r="Q15" s="893"/>
      <c r="R15" s="918"/>
      <c r="S15" s="340"/>
      <c r="T15" s="195">
        <v>49769.642968680004</v>
      </c>
      <c r="U15" s="440">
        <v>-7570.3842062700005</v>
      </c>
      <c r="V15" s="340">
        <f t="shared" si="5"/>
        <v>-115.2</v>
      </c>
      <c r="W15" s="876">
        <v>4303</v>
      </c>
      <c r="X15" s="440">
        <v>425.76</v>
      </c>
      <c r="Y15" s="340">
        <f t="shared" si="6"/>
        <v>-90.1</v>
      </c>
      <c r="Z15" s="893">
        <v>10409</v>
      </c>
      <c r="AA15" s="440">
        <v>-271</v>
      </c>
      <c r="AB15" s="340">
        <f t="shared" si="7"/>
        <v>-102.6</v>
      </c>
      <c r="AC15" s="893"/>
      <c r="AD15" s="729"/>
      <c r="AE15" s="340"/>
      <c r="AF15" s="827">
        <v>2075.4089684399983</v>
      </c>
      <c r="AG15" s="504">
        <v>-540.23092944000098</v>
      </c>
      <c r="AH15" s="340">
        <f t="shared" si="9"/>
        <v>-126</v>
      </c>
      <c r="AI15" s="875">
        <v>7858.7</v>
      </c>
      <c r="AJ15" s="902">
        <v>-3025</v>
      </c>
      <c r="AK15" s="340">
        <f t="shared" si="10"/>
        <v>-138.5</v>
      </c>
      <c r="AL15" s="195"/>
      <c r="AM15" s="440"/>
      <c r="AN15" s="340"/>
      <c r="AO15" s="340">
        <f t="shared" si="14"/>
        <v>83817.332558540002</v>
      </c>
      <c r="AP15" s="340">
        <f t="shared" si="14"/>
        <v>-9078.6046296204458</v>
      </c>
      <c r="AQ15" s="340">
        <f t="shared" si="12"/>
        <v>-110.8</v>
      </c>
      <c r="AR15" s="440">
        <f t="shared" si="15"/>
        <v>83817.332558540002</v>
      </c>
      <c r="AS15" s="440">
        <f t="shared" si="15"/>
        <v>-9078.6046296204458</v>
      </c>
      <c r="AT15" s="340">
        <f t="shared" si="13"/>
        <v>-110.8</v>
      </c>
    </row>
    <row r="16" spans="1:46" s="453" customFormat="1" ht="18.75" customHeight="1" x14ac:dyDescent="0.3">
      <c r="A16" s="813" t="s">
        <v>289</v>
      </c>
      <c r="B16" s="195">
        <v>3042.7919999999999</v>
      </c>
      <c r="C16" s="440">
        <v>-3086.7370404799999</v>
      </c>
      <c r="D16" s="340">
        <f t="shared" si="0"/>
        <v>-201.4</v>
      </c>
      <c r="E16" s="876">
        <v>14662.94077462</v>
      </c>
      <c r="F16" s="440">
        <v>-12253.891773879996</v>
      </c>
      <c r="G16" s="340">
        <f t="shared" si="1"/>
        <v>-183.6</v>
      </c>
      <c r="H16" s="903"/>
      <c r="I16" s="731"/>
      <c r="J16" s="340"/>
      <c r="K16" s="903">
        <v>0</v>
      </c>
      <c r="L16" s="731"/>
      <c r="M16" s="340" t="str">
        <f t="shared" si="3"/>
        <v xml:space="preserve">    ---- </v>
      </c>
      <c r="N16" s="876">
        <v>4736.3</v>
      </c>
      <c r="O16" s="440">
        <v>-5344.7</v>
      </c>
      <c r="P16" s="435">
        <f t="shared" si="4"/>
        <v>-212.8</v>
      </c>
      <c r="Q16" s="893"/>
      <c r="R16" s="918"/>
      <c r="S16" s="828"/>
      <c r="T16" s="195">
        <v>181.42402299</v>
      </c>
      <c r="U16" s="440">
        <v>-57.754904459999999</v>
      </c>
      <c r="V16" s="828">
        <f t="shared" si="5"/>
        <v>-131.80000000000001</v>
      </c>
      <c r="W16" s="876">
        <v>13235</v>
      </c>
      <c r="X16" s="440">
        <v>-13185.73</v>
      </c>
      <c r="Y16" s="340">
        <f t="shared" si="6"/>
        <v>-199.6</v>
      </c>
      <c r="Z16" s="893"/>
      <c r="AA16" s="440"/>
      <c r="AB16" s="340"/>
      <c r="AC16" s="903">
        <v>442.108</v>
      </c>
      <c r="AD16" s="731">
        <v>-339.404</v>
      </c>
      <c r="AE16" s="340">
        <f t="shared" si="8"/>
        <v>-176.8</v>
      </c>
      <c r="AF16" s="827">
        <v>5814.9740653600002</v>
      </c>
      <c r="AG16" s="504">
        <v>-4913.1479907300018</v>
      </c>
      <c r="AH16" s="340">
        <f t="shared" si="9"/>
        <v>-184.5</v>
      </c>
      <c r="AI16" s="875">
        <v>19415.5</v>
      </c>
      <c r="AJ16" s="902">
        <v>-12034</v>
      </c>
      <c r="AK16" s="340">
        <f t="shared" si="10"/>
        <v>-162</v>
      </c>
      <c r="AL16" s="195"/>
      <c r="AM16" s="440"/>
      <c r="AN16" s="340"/>
      <c r="AO16" s="340">
        <f t="shared" si="14"/>
        <v>61088.930862969995</v>
      </c>
      <c r="AP16" s="340">
        <f t="shared" si="14"/>
        <v>-50875.961709549993</v>
      </c>
      <c r="AQ16" s="340">
        <f t="shared" si="12"/>
        <v>-183.3</v>
      </c>
      <c r="AR16" s="440">
        <f t="shared" si="15"/>
        <v>61531.038862969996</v>
      </c>
      <c r="AS16" s="440">
        <f t="shared" si="15"/>
        <v>-51215.365709549995</v>
      </c>
      <c r="AT16" s="340">
        <f t="shared" si="13"/>
        <v>-183.2</v>
      </c>
    </row>
    <row r="17" spans="1:46" s="453" customFormat="1" ht="18.75" customHeight="1" x14ac:dyDescent="0.3">
      <c r="A17" s="813" t="s">
        <v>290</v>
      </c>
      <c r="B17" s="195"/>
      <c r="C17" s="440"/>
      <c r="D17" s="340"/>
      <c r="E17" s="876">
        <v>40.209061570000003</v>
      </c>
      <c r="F17" s="440">
        <v>45.489634709999997</v>
      </c>
      <c r="G17" s="340">
        <f t="shared" si="1"/>
        <v>13.1</v>
      </c>
      <c r="H17" s="903">
        <v>8.1557829899999703</v>
      </c>
      <c r="I17" s="731">
        <v>9.2091107500000007</v>
      </c>
      <c r="J17" s="340">
        <f t="shared" si="2"/>
        <v>12.9</v>
      </c>
      <c r="K17" s="903">
        <v>5.1228000000000003E-2</v>
      </c>
      <c r="L17" s="731"/>
      <c r="M17" s="340">
        <f t="shared" si="3"/>
        <v>-100</v>
      </c>
      <c r="N17" s="876">
        <v>223.9</v>
      </c>
      <c r="O17" s="440">
        <v>220.7</v>
      </c>
      <c r="P17" s="340">
        <f t="shared" si="4"/>
        <v>-1.4</v>
      </c>
      <c r="Q17" s="893"/>
      <c r="R17" s="918"/>
      <c r="S17" s="340"/>
      <c r="T17" s="195">
        <v>1273.7956859999999</v>
      </c>
      <c r="U17" s="440">
        <v>1357.602222</v>
      </c>
      <c r="V17" s="340">
        <f t="shared" si="5"/>
        <v>6.6</v>
      </c>
      <c r="W17" s="893">
        <v>339</v>
      </c>
      <c r="X17" s="440">
        <v>260.27</v>
      </c>
      <c r="Y17" s="340">
        <f t="shared" si="6"/>
        <v>-23.2</v>
      </c>
      <c r="Z17" s="893">
        <v>13</v>
      </c>
      <c r="AA17" s="440">
        <v>40</v>
      </c>
      <c r="AB17" s="340">
        <f t="shared" si="7"/>
        <v>207.7</v>
      </c>
      <c r="AC17" s="903">
        <v>45.697000000000003</v>
      </c>
      <c r="AD17" s="729">
        <v>0</v>
      </c>
      <c r="AE17" s="340">
        <f t="shared" si="8"/>
        <v>-100</v>
      </c>
      <c r="AF17" s="827">
        <v>346.80948989999996</v>
      </c>
      <c r="AG17" s="504">
        <v>332.05800223000011</v>
      </c>
      <c r="AH17" s="340">
        <f t="shared" si="9"/>
        <v>-4.3</v>
      </c>
      <c r="AI17" s="903">
        <v>862.9</v>
      </c>
      <c r="AJ17" s="902">
        <v>817</v>
      </c>
      <c r="AK17" s="340">
        <f t="shared" si="10"/>
        <v>-5.3</v>
      </c>
      <c r="AL17" s="195"/>
      <c r="AM17" s="440"/>
      <c r="AN17" s="340"/>
      <c r="AO17" s="340">
        <f t="shared" si="14"/>
        <v>3107.8212484599999</v>
      </c>
      <c r="AP17" s="340">
        <f t="shared" si="14"/>
        <v>3082.3289696900001</v>
      </c>
      <c r="AQ17" s="340">
        <f t="shared" si="12"/>
        <v>-0.8</v>
      </c>
      <c r="AR17" s="440">
        <f t="shared" si="15"/>
        <v>3153.51824846</v>
      </c>
      <c r="AS17" s="440">
        <f t="shared" si="15"/>
        <v>3082.3289696900001</v>
      </c>
      <c r="AT17" s="340">
        <f t="shared" si="13"/>
        <v>-2.2999999999999998</v>
      </c>
    </row>
    <row r="18" spans="1:46" s="453" customFormat="1" ht="18.75" customHeight="1" x14ac:dyDescent="0.3">
      <c r="A18" s="813" t="s">
        <v>291</v>
      </c>
      <c r="B18" s="195"/>
      <c r="C18" s="440"/>
      <c r="D18" s="340"/>
      <c r="E18" s="876"/>
      <c r="F18" s="440"/>
      <c r="G18" s="340"/>
      <c r="H18" s="903"/>
      <c r="I18" s="731"/>
      <c r="J18" s="340"/>
      <c r="K18" s="903"/>
      <c r="L18" s="731"/>
      <c r="M18" s="340"/>
      <c r="N18" s="876"/>
      <c r="O18" s="440"/>
      <c r="P18" s="435"/>
      <c r="Q18" s="893"/>
      <c r="R18" s="918"/>
      <c r="S18" s="340"/>
      <c r="T18" s="195"/>
      <c r="U18" s="440"/>
      <c r="V18" s="340"/>
      <c r="W18" s="893"/>
      <c r="X18" s="505"/>
      <c r="Y18" s="340"/>
      <c r="Z18" s="893"/>
      <c r="AA18" s="440"/>
      <c r="AB18" s="340"/>
      <c r="AC18" s="893"/>
      <c r="AD18" s="729"/>
      <c r="AE18" s="340"/>
      <c r="AF18" s="893"/>
      <c r="AG18" s="504"/>
      <c r="AH18" s="340"/>
      <c r="AI18" s="893"/>
      <c r="AJ18" s="902"/>
      <c r="AK18" s="340"/>
      <c r="AL18" s="195"/>
      <c r="AM18" s="440"/>
      <c r="AN18" s="340"/>
      <c r="AO18" s="340"/>
      <c r="AP18" s="340"/>
      <c r="AQ18" s="340"/>
      <c r="AR18" s="729"/>
      <c r="AS18" s="729"/>
      <c r="AT18" s="825"/>
    </row>
    <row r="19" spans="1:46" s="453" customFormat="1" ht="18.75" customHeight="1" x14ac:dyDescent="0.3">
      <c r="A19" s="813" t="s">
        <v>292</v>
      </c>
      <c r="B19" s="822">
        <v>-710.28300000000002</v>
      </c>
      <c r="C19" s="435">
        <v>-789.56460024999978</v>
      </c>
      <c r="D19" s="340">
        <f>IF(B19=0, "    ---- ", IF(ABS(ROUND(100/B19*C19-100,1))&lt;999,ROUND(100/B19*C19-100,1),IF(ROUND(100/B19*C19-100,1)&gt;999,999,-999)))</f>
        <v>11.2</v>
      </c>
      <c r="E19" s="874">
        <v>-14483.892981399997</v>
      </c>
      <c r="F19" s="435">
        <v>-14713.283054810001</v>
      </c>
      <c r="G19" s="340">
        <f>IF(E19=0, "    ---- ", IF(ABS(ROUND(100/E19*F19-100,1))&lt;999,ROUND(100/E19*F19-100,1),IF(ROUND(100/E19*F19-100,1)&gt;999,999,-999)))</f>
        <v>1.6</v>
      </c>
      <c r="H19" s="874">
        <v>-1502.2417829499998</v>
      </c>
      <c r="I19" s="435">
        <v>-1594.54010047</v>
      </c>
      <c r="J19" s="340">
        <f>IF(H19=0, "    ---- ", IF(ABS(ROUND(100/H19*I19-100,1))&lt;999,ROUND(100/H19*I19-100,1),IF(ROUND(100/H19*I19-100,1)&gt;999,999,-999)))</f>
        <v>6.1</v>
      </c>
      <c r="K19" s="874">
        <v>-204.59399999999999</v>
      </c>
      <c r="L19" s="435">
        <v>-228.23144099999999</v>
      </c>
      <c r="M19" s="340">
        <f>IF(K19=0, "    ---- ", IF(ABS(ROUND(100/K19*L19-100,1))&lt;999,ROUND(100/K19*L19-100,1),IF(ROUND(100/K19*L19-100,1)&gt;999,999,-999)))</f>
        <v>11.6</v>
      </c>
      <c r="N19" s="874">
        <v>-755.3</v>
      </c>
      <c r="O19" s="435">
        <v>-857.7</v>
      </c>
      <c r="P19" s="340">
        <f>IF(N19=0, "    ---- ", IF(ABS(ROUND(100/N19*O19-100,1))&lt;999,ROUND(100/N19*O19-100,1),IF(ROUND(100/N19*O19-100,1)&gt;999,999,-999)))</f>
        <v>13.6</v>
      </c>
      <c r="Q19" s="874">
        <v>-13.824999999999999</v>
      </c>
      <c r="R19" s="900">
        <v>-9.17</v>
      </c>
      <c r="S19" s="340">
        <f>IF(Q19=0, "    ---- ", IF(ABS(ROUND(100/Q19*R19-100,1))&lt;999,ROUND(100/Q19*R19-100,1),IF(ROUND(100/Q19*R19-100,1)&gt;999,999,-999)))</f>
        <v>-33.700000000000003</v>
      </c>
      <c r="T19" s="195">
        <v>-22092.292656000001</v>
      </c>
      <c r="U19" s="435">
        <v>-23857.876330409999</v>
      </c>
      <c r="V19" s="340">
        <f>IF(T19=0, "    ---- ", IF(ABS(ROUND(100/T19*U19-100,1))&lt;999,ROUND(100/T19*U19-100,1),IF(ROUND(100/T19*U19-100,1)&gt;999,999,-999)))</f>
        <v>8</v>
      </c>
      <c r="W19" s="874">
        <v>-6932</v>
      </c>
      <c r="X19" s="435">
        <v>-9955.42</v>
      </c>
      <c r="Y19" s="340">
        <f>IF(W19=0, "    ---- ", IF(ABS(ROUND(100/W19*X19-100,1))&lt;999,ROUND(100/W19*X19-100,1),IF(ROUND(100/W19*X19-100,1)&gt;999,999,-999)))</f>
        <v>43.6</v>
      </c>
      <c r="Z19" s="874">
        <v>-3135</v>
      </c>
      <c r="AA19" s="435">
        <v>-3392</v>
      </c>
      <c r="AB19" s="340">
        <f>IF(Z19=0, "    ---- ", IF(ABS(ROUND(100/Z19*AA19-100,1))&lt;999,ROUND(100/Z19*AA19-100,1),IF(ROUND(100/Z19*AA19-100,1)&gt;999,999,-999)))</f>
        <v>8.1999999999999993</v>
      </c>
      <c r="AC19" s="874">
        <v>-163.18899999999999</v>
      </c>
      <c r="AD19" s="435">
        <v>-185.82</v>
      </c>
      <c r="AE19" s="340">
        <f>IF(AC19=0, "    ---- ", IF(ABS(ROUND(100/AC19*AD19-100,1))&lt;999,ROUND(100/AC19*AD19-100,1),IF(ROUND(100/AC19*AD19-100,1)&gt;999,999,-999)))</f>
        <v>13.9</v>
      </c>
      <c r="AF19" s="874">
        <v>-1613.0761389300001</v>
      </c>
      <c r="AG19" s="506">
        <v>-1775.5441169999997</v>
      </c>
      <c r="AH19" s="340">
        <f>IF(AF19=0, "    ---- ", IF(ABS(ROUND(100/AF19*AG19-100,1))&lt;999,ROUND(100/AF19*AG19-100,1),IF(ROUND(100/AF19*AG19-100,1)&gt;999,999,-999)))</f>
        <v>10.1</v>
      </c>
      <c r="AI19" s="874">
        <f>-12797.7+7.9</f>
        <v>-12789.800000000001</v>
      </c>
      <c r="AJ19" s="900">
        <f>-13425+30</f>
        <v>-13395</v>
      </c>
      <c r="AK19" s="340">
        <f>IF(AI19=0, "    ---- ", IF(ABS(ROUND(100/AI19*AJ19-100,1))&lt;999,ROUND(100/AI19*AJ19-100,1),IF(ROUND(100/AI19*AJ19-100,1)&gt;999,999,-999)))</f>
        <v>4.7</v>
      </c>
      <c r="AL19" s="822"/>
      <c r="AM19" s="435">
        <v>-3</v>
      </c>
      <c r="AN19" s="340" t="str">
        <f>IF(AL19=0, "    ---- ", IF(ABS(ROUND(100/AL19*AM19-100,1))&lt;999,ROUND(100/AL19*AM19-100,1),IF(ROUND(100/AL19*AM19-100,1)&gt;999,999,-999)))</f>
        <v xml:space="preserve">    ---- </v>
      </c>
      <c r="AO19" s="340">
        <f t="shared" si="14"/>
        <v>-64218.480559280004</v>
      </c>
      <c r="AP19" s="340">
        <f t="shared" si="14"/>
        <v>-70559.159643940002</v>
      </c>
      <c r="AQ19" s="340">
        <f t="shared" si="12"/>
        <v>9.9</v>
      </c>
      <c r="AR19" s="440">
        <f t="shared" ref="AR19:AS21" si="16">+B19+E19+H19+K19+N19+Q19+T19+W19+Z19+AC19+AF19+AI19+AL19</f>
        <v>-64395.494559280007</v>
      </c>
      <c r="AS19" s="440">
        <f t="shared" si="16"/>
        <v>-70757.149643940007</v>
      </c>
      <c r="AT19" s="340">
        <f>IF(AR19=0, "    ---- ", IF(ABS(ROUND(100/AR19*AS19-100,1))&lt;999,ROUND(100/AR19*AS19-100,1),IF(ROUND(100/AR19*AS19-100,1)&gt;999,999,-999)))</f>
        <v>9.9</v>
      </c>
    </row>
    <row r="20" spans="1:46" s="453" customFormat="1" ht="18.75" customHeight="1" x14ac:dyDescent="0.3">
      <c r="A20" s="813" t="s">
        <v>483</v>
      </c>
      <c r="B20" s="824">
        <v>-5325.3980000000001</v>
      </c>
      <c r="C20" s="340">
        <v>-3104.2610677199996</v>
      </c>
      <c r="D20" s="340">
        <f>IF(B20=0, "    ---- ", IF(ABS(ROUND(100/B20*C20-100,1))&lt;999,ROUND(100/B20*C20-100,1),IF(ROUND(100/B20*C20-100,1)&gt;999,999,-999)))</f>
        <v>-41.7</v>
      </c>
      <c r="E20" s="875">
        <v>-31997.836207010001</v>
      </c>
      <c r="F20" s="340">
        <v>-13342.28998808</v>
      </c>
      <c r="G20" s="340">
        <f>IF(E20=0, "    ---- ", IF(ABS(ROUND(100/E20*F20-100,1))&lt;999,ROUND(100/E20*F20-100,1),IF(ROUND(100/E20*F20-100,1)&gt;999,999,-999)))</f>
        <v>-58.3</v>
      </c>
      <c r="H20" s="875">
        <v>139.21279135999998</v>
      </c>
      <c r="I20" s="340">
        <v>129.77765346000001</v>
      </c>
      <c r="J20" s="340">
        <f>IF(H20=0, "    ---- ", IF(ABS(ROUND(100/H20*I20-100,1))&lt;999,ROUND(100/H20*I20-100,1),IF(ROUND(100/H20*I20-100,1)&gt;999,999,-999)))</f>
        <v>-6.8</v>
      </c>
      <c r="K20" s="875">
        <v>0</v>
      </c>
      <c r="L20" s="340"/>
      <c r="M20" s="340" t="str">
        <f>IF(K20=0, "    ---- ", IF(ABS(ROUND(100/K20*L20-100,1))&lt;999,ROUND(100/K20*L20-100,1),IF(ROUND(100/K20*L20-100,1)&gt;999,999,-999)))</f>
        <v xml:space="preserve">    ---- </v>
      </c>
      <c r="N20" s="875">
        <v>-10643.1</v>
      </c>
      <c r="O20" s="340">
        <v>-4848.6000000000004</v>
      </c>
      <c r="P20" s="340">
        <f>IF(N20=0, "    ---- ", IF(ABS(ROUND(100/N20*O20-100,1))&lt;999,ROUND(100/N20*O20-100,1),IF(ROUND(100/N20*O20-100,1)&gt;999,999,-999)))</f>
        <v>-54.4</v>
      </c>
      <c r="Q20" s="875"/>
      <c r="R20" s="901"/>
      <c r="S20" s="340"/>
      <c r="T20" s="195">
        <v>-8346.1223590000009</v>
      </c>
      <c r="U20" s="340">
        <v>-4658.6997890000002</v>
      </c>
      <c r="V20" s="340">
        <f>IF(T20=0, "    ---- ", IF(ABS(ROUND(100/T20*U20-100,1))&lt;999,ROUND(100/T20*U20-100,1),IF(ROUND(100/T20*U20-100,1)&gt;999,999,-999)))</f>
        <v>-44.2</v>
      </c>
      <c r="W20" s="875">
        <v>-13604</v>
      </c>
      <c r="X20" s="507">
        <v>-6855</v>
      </c>
      <c r="Y20" s="340">
        <f>IF(W20=0, "    ---- ", IF(ABS(ROUND(100/W20*X20-100,1))&lt;999,ROUND(100/W20*X20-100,1),IF(ROUND(100/W20*X20-100,1)&gt;999,999,-999)))</f>
        <v>-49.6</v>
      </c>
      <c r="Z20" s="875"/>
      <c r="AA20" s="507"/>
      <c r="AB20" s="340"/>
      <c r="AC20" s="875">
        <v>-261.20100000000002</v>
      </c>
      <c r="AD20" s="340">
        <v>-2382.1559999999999</v>
      </c>
      <c r="AE20" s="340">
        <f>IF(AC20=0, "    ---- ", IF(ABS(ROUND(100/AC20*AD20-100,1))&lt;999,ROUND(100/AC20*AD20-100,1),IF(ROUND(100/AC20*AD20-100,1)&gt;999,999,-999)))</f>
        <v>812</v>
      </c>
      <c r="AF20" s="875">
        <v>-8415.8258523799996</v>
      </c>
      <c r="AG20" s="507">
        <v>-5698.5715704800004</v>
      </c>
      <c r="AH20" s="340">
        <f>IF(AF20=0, "    ---- ", IF(ABS(ROUND(100/AF20*AG20-100,1))&lt;999,ROUND(100/AF20*AG20-100,1),IF(ROUND(100/AF20*AG20-100,1)&gt;999,999,-999)))</f>
        <v>-32.299999999999997</v>
      </c>
      <c r="AI20" s="875">
        <v>-21804.6</v>
      </c>
      <c r="AJ20" s="901">
        <v>-9740</v>
      </c>
      <c r="AK20" s="340">
        <f>IF(AI20=0, "    ---- ", IF(ABS(ROUND(100/AI20*AJ20-100,1))&lt;999,ROUND(100/AI20*AJ20-100,1),IF(ROUND(100/AI20*AJ20-100,1)&gt;999,999,-999)))</f>
        <v>-55.3</v>
      </c>
      <c r="AL20" s="824"/>
      <c r="AM20" s="340"/>
      <c r="AN20" s="340"/>
      <c r="AO20" s="340">
        <f t="shared" si="14"/>
        <v>-99997.669627030002</v>
      </c>
      <c r="AP20" s="340">
        <f t="shared" si="14"/>
        <v>-48117.644761820004</v>
      </c>
      <c r="AQ20" s="340">
        <f t="shared" si="12"/>
        <v>-51.9</v>
      </c>
      <c r="AR20" s="440">
        <f t="shared" si="16"/>
        <v>-100258.87062703</v>
      </c>
      <c r="AS20" s="440">
        <f t="shared" si="16"/>
        <v>-50499.800761820006</v>
      </c>
      <c r="AT20" s="340">
        <f>IF(AR20=0, "    ---- ", IF(ABS(ROUND(100/AR20*AS20-100,1))&lt;999,ROUND(100/AR20*AS20-100,1),IF(ROUND(100/AR20*AS20-100,1)&gt;999,999,-999)))</f>
        <v>-49.6</v>
      </c>
    </row>
    <row r="21" spans="1:46" s="453" customFormat="1" ht="18.75" customHeight="1" x14ac:dyDescent="0.3">
      <c r="A21" s="813" t="s">
        <v>293</v>
      </c>
      <c r="B21" s="822">
        <v>-6035.6810000000005</v>
      </c>
      <c r="C21" s="435">
        <v>-3893.8256679699994</v>
      </c>
      <c r="D21" s="340">
        <f>IF(B21=0, "    ---- ", IF(ABS(ROUND(100/B21*C21-100,1))&lt;999,ROUND(100/B21*C21-100,1),IF(ROUND(100/B21*C21-100,1)&gt;999,999,-999)))</f>
        <v>-35.5</v>
      </c>
      <c r="E21" s="874">
        <f>SUM(E19:E20)</f>
        <v>-46481.729188409998</v>
      </c>
      <c r="F21" s="435">
        <f>SUM(F19:F20)</f>
        <v>-28055.573042889999</v>
      </c>
      <c r="G21" s="340">
        <f>IF(E21=0, "    ---- ", IF(ABS(ROUND(100/E21*F21-100,1))&lt;999,ROUND(100/E21*F21-100,1),IF(ROUND(100/E21*F21-100,1)&gt;999,999,-999)))</f>
        <v>-39.6</v>
      </c>
      <c r="H21" s="874">
        <f>SUM(H19:H20)</f>
        <v>-1363.0289915899998</v>
      </c>
      <c r="I21" s="435">
        <f>SUM(I19:I20)</f>
        <v>-1464.76244701</v>
      </c>
      <c r="J21" s="340">
        <f>IF(H21=0, "    ---- ", IF(ABS(ROUND(100/H21*I21-100,1))&lt;999,ROUND(100/H21*I21-100,1),IF(ROUND(100/H21*I21-100,1)&gt;999,999,-999)))</f>
        <v>7.5</v>
      </c>
      <c r="K21" s="874">
        <f>SUM(K19:K20)</f>
        <v>-204.59399999999999</v>
      </c>
      <c r="L21" s="435">
        <f>SUM(L19:L20)</f>
        <v>-228.23144099999999</v>
      </c>
      <c r="M21" s="340">
        <f>IF(K21=0, "    ---- ", IF(ABS(ROUND(100/K21*L21-100,1))&lt;999,ROUND(100/K21*L21-100,1),IF(ROUND(100/K21*L21-100,1)&gt;999,999,-999)))</f>
        <v>11.6</v>
      </c>
      <c r="N21" s="874">
        <f>SUM(N19:N20)</f>
        <v>-11398.4</v>
      </c>
      <c r="O21" s="435">
        <f>SUM(O19:O20)</f>
        <v>-5706.3</v>
      </c>
      <c r="P21" s="340">
        <f>IF(N21=0, "    ---- ", IF(ABS(ROUND(100/N21*O21-100,1))&lt;999,ROUND(100/N21*O21-100,1),IF(ROUND(100/N21*O21-100,1)&gt;999,999,-999)))</f>
        <v>-49.9</v>
      </c>
      <c r="Q21" s="874">
        <f>SUM(Q19:Q20)</f>
        <v>-13.824999999999999</v>
      </c>
      <c r="R21" s="900">
        <f>SUM(R19:R20)</f>
        <v>-9.17</v>
      </c>
      <c r="S21" s="340">
        <f>IF(Q21=0, "    ---- ", IF(ABS(ROUND(100/Q21*R21-100,1))&lt;999,ROUND(100/Q21*R21-100,1),IF(ROUND(100/Q21*R21-100,1)&gt;999,999,-999)))</f>
        <v>-33.700000000000003</v>
      </c>
      <c r="T21" s="822">
        <v>-30438.415015000002</v>
      </c>
      <c r="U21" s="435">
        <v>-28516.576119409998</v>
      </c>
      <c r="V21" s="340">
        <f>IF(T21=0, "    ---- ", IF(ABS(ROUND(100/T21*U21-100,1))&lt;999,ROUND(100/T21*U21-100,1),IF(ROUND(100/T21*U21-100,1)&gt;999,999,-999)))</f>
        <v>-6.3</v>
      </c>
      <c r="W21" s="874">
        <f>SUM(W19:W20)</f>
        <v>-20536</v>
      </c>
      <c r="X21" s="435">
        <f>SUM(X19:X20)</f>
        <v>-16810.419999999998</v>
      </c>
      <c r="Y21" s="340">
        <f>IF(W21=0, "    ---- ", IF(ABS(ROUND(100/W21*X21-100,1))&lt;999,ROUND(100/W21*X21-100,1),IF(ROUND(100/W21*X21-100,1)&gt;999,999,-999)))</f>
        <v>-18.100000000000001</v>
      </c>
      <c r="Z21" s="874">
        <f>SUM(Z19:Z20)</f>
        <v>-3135</v>
      </c>
      <c r="AA21" s="435">
        <f>SUM(AA19:AA20)</f>
        <v>-3392</v>
      </c>
      <c r="AB21" s="340">
        <f>IF(Z21=0, "    ---- ", IF(ABS(ROUND(100/Z21*AA21-100,1))&lt;999,ROUND(100/Z21*AA21-100,1),IF(ROUND(100/Z21*AA21-100,1)&gt;999,999,-999)))</f>
        <v>8.1999999999999993</v>
      </c>
      <c r="AC21" s="874">
        <f>SUM(AC19:AC20)</f>
        <v>-424.39</v>
      </c>
      <c r="AD21" s="435">
        <f>SUM(AD19:AD20)</f>
        <v>-2567.9760000000001</v>
      </c>
      <c r="AE21" s="340">
        <f>IF(AC21=0, "    ---- ", IF(ABS(ROUND(100/AC21*AD21-100,1))&lt;999,ROUND(100/AC21*AD21-100,1),IF(ROUND(100/AC21*AD21-100,1)&gt;999,999,-999)))</f>
        <v>505.1</v>
      </c>
      <c r="AF21" s="874">
        <f>SUM(AF19:AF20)</f>
        <v>-10028.90199131</v>
      </c>
      <c r="AG21" s="435">
        <f>SUM(AG19:AG20)</f>
        <v>-7474.1156874799999</v>
      </c>
      <c r="AH21" s="340">
        <f>IF(AF21=0, "    ---- ", IF(ABS(ROUND(100/AF21*AG21-100,1))&lt;999,ROUND(100/AF21*AG21-100,1),IF(ROUND(100/AF21*AG21-100,1)&gt;999,999,-999)))</f>
        <v>-25.5</v>
      </c>
      <c r="AI21" s="874">
        <f>SUM(AI19:AI20)</f>
        <v>-34594.400000000001</v>
      </c>
      <c r="AJ21" s="900">
        <f>SUM(AJ19:AJ20)</f>
        <v>-23135</v>
      </c>
      <c r="AK21" s="340">
        <f>IF(AI21=0, "    ---- ", IF(ABS(ROUND(100/AI21*AJ21-100,1))&lt;999,ROUND(100/AI21*AJ21-100,1),IF(ROUND(100/AI21*AJ21-100,1)&gt;999,999,-999)))</f>
        <v>-33.1</v>
      </c>
      <c r="AL21" s="822"/>
      <c r="AM21" s="435">
        <f>SUM(AM19:AM20)</f>
        <v>-3</v>
      </c>
      <c r="AN21" s="340" t="str">
        <f>IF(AL21=0, "    ---- ", IF(ABS(ROUND(100/AL21*AM21-100,1))&lt;999,ROUND(100/AL21*AM21-100,1),IF(ROUND(100/AL21*AM21-100,1)&gt;999,999,-999)))</f>
        <v xml:space="preserve">    ---- </v>
      </c>
      <c r="AO21" s="340">
        <f t="shared" si="14"/>
        <v>-164216.15018631</v>
      </c>
      <c r="AP21" s="340">
        <f t="shared" si="14"/>
        <v>-118676.80440575999</v>
      </c>
      <c r="AQ21" s="340">
        <f t="shared" si="12"/>
        <v>-27.7</v>
      </c>
      <c r="AR21" s="440">
        <f t="shared" si="16"/>
        <v>-164654.36518630999</v>
      </c>
      <c r="AS21" s="440">
        <f t="shared" si="16"/>
        <v>-121256.95040576</v>
      </c>
      <c r="AT21" s="340">
        <f>IF(AR21=0, "    ---- ", IF(ABS(ROUND(100/AR21*AS21-100,1))&lt;999,ROUND(100/AR21*AS21-100,1),IF(ROUND(100/AR21*AS21-100,1)&gt;999,999,-999)))</f>
        <v>-26.4</v>
      </c>
    </row>
    <row r="22" spans="1:46" s="453" customFormat="1" ht="18.75" customHeight="1" x14ac:dyDescent="0.3">
      <c r="A22" s="813" t="s">
        <v>294</v>
      </c>
      <c r="B22" s="195"/>
      <c r="C22" s="440"/>
      <c r="D22" s="340"/>
      <c r="E22" s="876"/>
      <c r="F22" s="440"/>
      <c r="G22" s="340"/>
      <c r="H22" s="893"/>
      <c r="I22" s="729"/>
      <c r="J22" s="340"/>
      <c r="K22" s="893"/>
      <c r="L22" s="729"/>
      <c r="M22" s="340"/>
      <c r="N22" s="876"/>
      <c r="O22" s="440"/>
      <c r="P22" s="340"/>
      <c r="Q22" s="893"/>
      <c r="R22" s="918"/>
      <c r="S22" s="340"/>
      <c r="T22" s="195"/>
      <c r="U22" s="440"/>
      <c r="V22" s="340"/>
      <c r="W22" s="893"/>
      <c r="X22" s="729"/>
      <c r="Y22" s="340"/>
      <c r="Z22" s="893"/>
      <c r="AA22" s="729"/>
      <c r="AB22" s="340"/>
      <c r="AC22" s="893"/>
      <c r="AD22" s="729"/>
      <c r="AE22" s="340"/>
      <c r="AF22" s="893"/>
      <c r="AG22" s="729"/>
      <c r="AH22" s="340"/>
      <c r="AI22" s="893"/>
      <c r="AJ22" s="902"/>
      <c r="AK22" s="340"/>
      <c r="AL22" s="195"/>
      <c r="AM22" s="440"/>
      <c r="AN22" s="340"/>
      <c r="AO22" s="340"/>
      <c r="AP22" s="340"/>
      <c r="AQ22" s="340"/>
      <c r="AR22" s="340"/>
      <c r="AS22" s="340"/>
      <c r="AT22" s="340"/>
    </row>
    <row r="23" spans="1:46" s="453" customFormat="1" ht="18.75" customHeight="1" x14ac:dyDescent="0.3">
      <c r="A23" s="813" t="s">
        <v>484</v>
      </c>
      <c r="B23" s="824">
        <v>-39.5</v>
      </c>
      <c r="C23" s="340">
        <v>-82.415981660000014</v>
      </c>
      <c r="D23" s="340">
        <f t="shared" ref="D23:D30" si="17">IF(B23=0, "    ---- ", IF(ABS(ROUND(100/B23*C23-100,1))&lt;999,ROUND(100/B23*C23-100,1),IF(ROUND(100/B23*C23-100,1)&gt;999,999,-999)))</f>
        <v>108.6</v>
      </c>
      <c r="E23" s="875">
        <v>3973.2671183899997</v>
      </c>
      <c r="F23" s="340">
        <v>4684.8586724699999</v>
      </c>
      <c r="G23" s="340">
        <f t="shared" ref="G23:G30" si="18">IF(E23=0, "    ---- ", IF(ABS(ROUND(100/E23*F23-100,1))&lt;999,ROUND(100/E23*F23-100,1),IF(ROUND(100/E23*F23-100,1)&gt;999,999,-999)))</f>
        <v>17.899999999999999</v>
      </c>
      <c r="H23" s="875">
        <v>-432.38430575999956</v>
      </c>
      <c r="I23" s="340">
        <v>-693.97546785999998</v>
      </c>
      <c r="J23" s="340">
        <f>IF(H23=0, "    ---- ", IF(ABS(ROUND(100/H23*I23-100,1))&lt;999,ROUND(100/H23*I23-100,1),IF(ROUND(100/H23*I23-100,1)&gt;999,999,-999)))</f>
        <v>60.5</v>
      </c>
      <c r="K23" s="875">
        <v>-91.977000000000004</v>
      </c>
      <c r="L23" s="340">
        <v>-127.082649</v>
      </c>
      <c r="M23" s="340">
        <f>IF(K23=0, "    ---- ", IF(ABS(ROUND(100/K23*L23-100,1))&lt;999,ROUND(100/K23*L23-100,1),IF(ROUND(100/K23*L23-100,1)&gt;999,999,-999)))</f>
        <v>38.200000000000003</v>
      </c>
      <c r="N23" s="875">
        <v>-460.4</v>
      </c>
      <c r="O23" s="340">
        <v>-546.1</v>
      </c>
      <c r="P23" s="340">
        <f t="shared" ref="P23:P32" si="19">IF(N23=0, "    ---- ", IF(ABS(ROUND(100/N23*O23-100,1))&lt;999,ROUND(100/N23*O23-100,1),IF(ROUND(100/N23*O23-100,1)&gt;999,999,-999)))</f>
        <v>18.600000000000001</v>
      </c>
      <c r="Q23" s="875">
        <v>4.5010000000000003</v>
      </c>
      <c r="R23" s="901">
        <v>2.2959999999999998</v>
      </c>
      <c r="S23" s="340">
        <f>IF(Q23=0, "    ---- ", IF(ABS(ROUND(100/Q23*R23-100,1))&lt;999,ROUND(100/Q23*R23-100,1),IF(ROUND(100/Q23*R23-100,1)&gt;999,999,-999)))</f>
        <v>-49</v>
      </c>
      <c r="T23" s="195">
        <v>-28731.41564422</v>
      </c>
      <c r="U23" s="340">
        <v>-31751.3875367</v>
      </c>
      <c r="V23" s="340">
        <f t="shared" ref="V23:V31" si="20">IF(T23=0, "    ---- ", IF(ABS(ROUND(100/T23*U23-100,1))&lt;999,ROUND(100/T23*U23-100,1),IF(ROUND(100/T23*U23-100,1)&gt;999,999,-999)))</f>
        <v>10.5</v>
      </c>
      <c r="W23" s="875">
        <v>-118</v>
      </c>
      <c r="X23" s="340">
        <v>131.6</v>
      </c>
      <c r="Y23" s="340">
        <f t="shared" ref="Y23:Y30" si="21">IF(W23=0, "    ---- ", IF(ABS(ROUND(100/W23*X23-100,1))&lt;999,ROUND(100/W23*X23-100,1),IF(ROUND(100/W23*X23-100,1)&gt;999,999,-999)))</f>
        <v>-211.5</v>
      </c>
      <c r="Z23" s="875">
        <v>-5329</v>
      </c>
      <c r="AA23" s="340">
        <v>-5952</v>
      </c>
      <c r="AB23" s="340">
        <f t="shared" ref="AB23:AB30" si="22">IF(Z23=0, "    ---- ", IF(ABS(ROUND(100/Z23*AA23-100,1))&lt;999,ROUND(100/Z23*AA23-100,1),IF(ROUND(100/Z23*AA23-100,1)&gt;999,999,-999)))</f>
        <v>11.7</v>
      </c>
      <c r="AC23" s="875"/>
      <c r="AD23" s="340"/>
      <c r="AE23" s="340"/>
      <c r="AF23" s="875">
        <v>-43.616963969999773</v>
      </c>
      <c r="AG23" s="340">
        <v>194.5593831699999</v>
      </c>
      <c r="AH23" s="340">
        <f t="shared" ref="AH23:AH30" si="23">IF(AF23=0, "    ---- ", IF(ABS(ROUND(100/AF23*AG23-100,1))&lt;999,ROUND(100/AF23*AG23-100,1),IF(ROUND(100/AF23*AG23-100,1)&gt;999,999,-999)))</f>
        <v>-546.1</v>
      </c>
      <c r="AI23" s="875">
        <v>-5447.7</v>
      </c>
      <c r="AJ23" s="901">
        <v>-3095</v>
      </c>
      <c r="AK23" s="340">
        <f t="shared" ref="AK23:AK30" si="24">IF(AI23=0, "    ---- ", IF(ABS(ROUND(100/AI23*AJ23-100,1))&lt;999,ROUND(100/AI23*AJ23-100,1),IF(ROUND(100/AI23*AJ23-100,1)&gt;999,999,-999)))</f>
        <v>-43.2</v>
      </c>
      <c r="AL23" s="824"/>
      <c r="AM23" s="340">
        <v>-1</v>
      </c>
      <c r="AN23" s="340" t="str">
        <f t="shared" ref="AN23:AN30" si="25">IF(AL23=0, "    ---- ", IF(ABS(ROUND(100/AL23*AM23-100,1))&lt;999,ROUND(100/AL23*AM23-100,1),IF(ROUND(100/AL23*AM23-100,1)&gt;999,999,-999)))</f>
        <v xml:space="preserve">    ---- </v>
      </c>
      <c r="AO23" s="340">
        <f t="shared" si="14"/>
        <v>-36720.726795559996</v>
      </c>
      <c r="AP23" s="340">
        <f t="shared" si="14"/>
        <v>-37236.943579580002</v>
      </c>
      <c r="AQ23" s="340">
        <f t="shared" si="12"/>
        <v>1.4</v>
      </c>
      <c r="AR23" s="340"/>
      <c r="AS23" s="340"/>
      <c r="AT23" s="340"/>
    </row>
    <row r="24" spans="1:46" s="453" customFormat="1" ht="18.75" customHeight="1" x14ac:dyDescent="0.3">
      <c r="A24" s="813" t="s">
        <v>295</v>
      </c>
      <c r="B24" s="824"/>
      <c r="C24" s="340">
        <v>9.0093619999999994</v>
      </c>
      <c r="D24" s="340" t="str">
        <f t="shared" si="17"/>
        <v xml:space="preserve">    ---- </v>
      </c>
      <c r="E24" s="875">
        <v>-1166.2971970399999</v>
      </c>
      <c r="F24" s="340">
        <v>1668.5482631500001</v>
      </c>
      <c r="G24" s="340">
        <f t="shared" si="18"/>
        <v>-243.1</v>
      </c>
      <c r="H24" s="875"/>
      <c r="I24" s="340"/>
      <c r="J24" s="340"/>
      <c r="K24" s="875">
        <v>1.131</v>
      </c>
      <c r="L24" s="340">
        <v>4.597893</v>
      </c>
      <c r="M24" s="340">
        <f>IF(K24=0, "    ---- ", IF(ABS(ROUND(100/K24*L24-100,1))&lt;999,ROUND(100/K24*L24-100,1),IF(ROUND(100/K24*L24-100,1)&gt;999,999,-999)))</f>
        <v>306.5</v>
      </c>
      <c r="N24" s="875">
        <v>-36.200000000000003</v>
      </c>
      <c r="O24" s="340">
        <v>58.2</v>
      </c>
      <c r="P24" s="340">
        <f t="shared" si="19"/>
        <v>-260.8</v>
      </c>
      <c r="Q24" s="875"/>
      <c r="R24" s="901"/>
      <c r="S24" s="340"/>
      <c r="T24" s="195">
        <v>-5329.0798029999996</v>
      </c>
      <c r="U24" s="340">
        <v>0</v>
      </c>
      <c r="V24" s="340">
        <f t="shared" si="20"/>
        <v>-100</v>
      </c>
      <c r="W24" s="875">
        <v>-1277</v>
      </c>
      <c r="X24" s="340">
        <v>-99</v>
      </c>
      <c r="Y24" s="340">
        <f t="shared" si="21"/>
        <v>-92.2</v>
      </c>
      <c r="Z24" s="875">
        <v>-658</v>
      </c>
      <c r="AA24" s="340">
        <v>0</v>
      </c>
      <c r="AB24" s="340">
        <f t="shared" si="22"/>
        <v>-100</v>
      </c>
      <c r="AC24" s="875"/>
      <c r="AD24" s="340"/>
      <c r="AE24" s="340"/>
      <c r="AF24" s="875">
        <v>-213.04247456000002</v>
      </c>
      <c r="AG24" s="340">
        <v>394.74304548999993</v>
      </c>
      <c r="AH24" s="340">
        <f t="shared" si="23"/>
        <v>-285.3</v>
      </c>
      <c r="AI24" s="875">
        <v>-2290</v>
      </c>
      <c r="AJ24" s="901">
        <v>2769</v>
      </c>
      <c r="AK24" s="340">
        <f t="shared" si="24"/>
        <v>-220.9</v>
      </c>
      <c r="AL24" s="824"/>
      <c r="AM24" s="340"/>
      <c r="AN24" s="340"/>
      <c r="AO24" s="340">
        <f t="shared" si="14"/>
        <v>-10968.488474599999</v>
      </c>
      <c r="AP24" s="340">
        <f t="shared" si="14"/>
        <v>4805.0985636400001</v>
      </c>
      <c r="AQ24" s="340">
        <f t="shared" si="12"/>
        <v>-143.80000000000001</v>
      </c>
      <c r="AR24" s="340"/>
      <c r="AS24" s="340"/>
      <c r="AT24" s="340"/>
    </row>
    <row r="25" spans="1:46" s="453" customFormat="1" ht="18.75" customHeight="1" x14ac:dyDescent="0.3">
      <c r="A25" s="813" t="s">
        <v>296</v>
      </c>
      <c r="B25" s="824">
        <v>14.769</v>
      </c>
      <c r="C25" s="340">
        <v>39.845694950000002</v>
      </c>
      <c r="D25" s="340">
        <f t="shared" si="17"/>
        <v>169.8</v>
      </c>
      <c r="E25" s="875">
        <v>-577.45622301999992</v>
      </c>
      <c r="F25" s="340">
        <v>2396.5679040700002</v>
      </c>
      <c r="G25" s="340">
        <f t="shared" si="18"/>
        <v>-515</v>
      </c>
      <c r="H25" s="875">
        <v>40.205401439999996</v>
      </c>
      <c r="I25" s="340">
        <v>5.9795832400000002</v>
      </c>
      <c r="J25" s="340">
        <f>IF(H25=0, "    ---- ", IF(ABS(ROUND(100/H25*I25-100,1))&lt;999,ROUND(100/H25*I25-100,1),IF(ROUND(100/H25*I25-100,1)&gt;999,999,-999)))</f>
        <v>-85.1</v>
      </c>
      <c r="K25" s="875">
        <v>6.9</v>
      </c>
      <c r="L25" s="340"/>
      <c r="M25" s="340">
        <f t="shared" ref="M25:M27" si="26">IF(K25=0, "    ---- ", IF(ABS(ROUND(100/K25*L25-100,1))&lt;999,ROUND(100/K25*L25-100,1),IF(ROUND(100/K25*L25-100,1)&gt;999,999,-999)))</f>
        <v>-100</v>
      </c>
      <c r="N25" s="875">
        <v>-10.199999999999999</v>
      </c>
      <c r="O25" s="340">
        <v>11.8</v>
      </c>
      <c r="P25" s="340">
        <f t="shared" si="19"/>
        <v>-215.7</v>
      </c>
      <c r="Q25" s="875"/>
      <c r="R25" s="901"/>
      <c r="S25" s="340"/>
      <c r="T25" s="195">
        <v>-22259.388221130001</v>
      </c>
      <c r="U25" s="340">
        <v>0</v>
      </c>
      <c r="V25" s="340">
        <f t="shared" si="20"/>
        <v>-100</v>
      </c>
      <c r="W25" s="875">
        <v>-1046</v>
      </c>
      <c r="X25" s="340">
        <v>1303</v>
      </c>
      <c r="Y25" s="340">
        <f t="shared" si="21"/>
        <v>-224.6</v>
      </c>
      <c r="Z25" s="875">
        <v>-3657</v>
      </c>
      <c r="AA25" s="340">
        <v>0</v>
      </c>
      <c r="AB25" s="340">
        <f t="shared" si="22"/>
        <v>-100</v>
      </c>
      <c r="AC25" s="875"/>
      <c r="AD25" s="340"/>
      <c r="AE25" s="340"/>
      <c r="AF25" s="875">
        <v>69.960516030000008</v>
      </c>
      <c r="AG25" s="340">
        <v>637.41806556000029</v>
      </c>
      <c r="AH25" s="340">
        <f t="shared" si="23"/>
        <v>811.1</v>
      </c>
      <c r="AI25" s="875">
        <v>860.7</v>
      </c>
      <c r="AJ25" s="901">
        <v>5207</v>
      </c>
      <c r="AK25" s="340">
        <f t="shared" si="24"/>
        <v>505</v>
      </c>
      <c r="AL25" s="824"/>
      <c r="AM25" s="340"/>
      <c r="AN25" s="340"/>
      <c r="AO25" s="340">
        <f t="shared" si="14"/>
        <v>-26557.509526679998</v>
      </c>
      <c r="AP25" s="340">
        <f t="shared" si="14"/>
        <v>9601.6112478200012</v>
      </c>
      <c r="AQ25" s="340">
        <f t="shared" si="12"/>
        <v>-136.19999999999999</v>
      </c>
      <c r="AR25" s="340"/>
      <c r="AS25" s="340"/>
      <c r="AT25" s="340"/>
    </row>
    <row r="26" spans="1:46" s="453" customFormat="1" ht="18.75" customHeight="1" x14ac:dyDescent="0.3">
      <c r="A26" s="813" t="s">
        <v>485</v>
      </c>
      <c r="B26" s="824"/>
      <c r="C26" s="340"/>
      <c r="D26" s="340"/>
      <c r="E26" s="875">
        <v>-11.430804310000001</v>
      </c>
      <c r="F26" s="340">
        <v>-11.786162630000002</v>
      </c>
      <c r="G26" s="340">
        <f t="shared" si="18"/>
        <v>3.1</v>
      </c>
      <c r="H26" s="875"/>
      <c r="I26" s="340"/>
      <c r="J26" s="340"/>
      <c r="K26" s="875"/>
      <c r="L26" s="340"/>
      <c r="M26" s="340"/>
      <c r="N26" s="875">
        <v>1.6</v>
      </c>
      <c r="O26" s="340">
        <v>-0.1</v>
      </c>
      <c r="P26" s="340">
        <f t="shared" si="19"/>
        <v>-106.3</v>
      </c>
      <c r="Q26" s="875"/>
      <c r="R26" s="901"/>
      <c r="S26" s="340"/>
      <c r="T26" s="195">
        <v>-3120.0022899999999</v>
      </c>
      <c r="U26" s="340">
        <v>-3303.59915</v>
      </c>
      <c r="V26" s="340">
        <f t="shared" si="20"/>
        <v>5.9</v>
      </c>
      <c r="W26" s="875">
        <v>-12</v>
      </c>
      <c r="X26" s="340">
        <v>0</v>
      </c>
      <c r="Y26" s="340">
        <f t="shared" si="21"/>
        <v>-100</v>
      </c>
      <c r="Z26" s="875">
        <v>-102</v>
      </c>
      <c r="AA26" s="340">
        <v>2169</v>
      </c>
      <c r="AB26" s="340">
        <f t="shared" si="22"/>
        <v>-999</v>
      </c>
      <c r="AC26" s="875"/>
      <c r="AD26" s="340"/>
      <c r="AE26" s="340"/>
      <c r="AF26" s="875">
        <v>-3.1729310000000002</v>
      </c>
      <c r="AG26" s="340">
        <v>-4.9419729999999999</v>
      </c>
      <c r="AH26" s="340">
        <f t="shared" si="23"/>
        <v>55.8</v>
      </c>
      <c r="AI26" s="875">
        <v>-9.4</v>
      </c>
      <c r="AJ26" s="901">
        <v>356</v>
      </c>
      <c r="AK26" s="340">
        <f t="shared" si="24"/>
        <v>-999</v>
      </c>
      <c r="AL26" s="824"/>
      <c r="AM26" s="340"/>
      <c r="AN26" s="340"/>
      <c r="AO26" s="340">
        <f t="shared" si="14"/>
        <v>-3256.4060253100001</v>
      </c>
      <c r="AP26" s="340">
        <f t="shared" si="14"/>
        <v>-795.42728562999991</v>
      </c>
      <c r="AQ26" s="340">
        <f t="shared" si="12"/>
        <v>-75.599999999999994</v>
      </c>
      <c r="AR26" s="340"/>
      <c r="AS26" s="340"/>
      <c r="AT26" s="340"/>
    </row>
    <row r="27" spans="1:46" s="453" customFormat="1" ht="18.75" customHeight="1" x14ac:dyDescent="0.3">
      <c r="A27" s="813" t="s">
        <v>486</v>
      </c>
      <c r="B27" s="824">
        <v>1.5549999999999999</v>
      </c>
      <c r="C27" s="340">
        <v>1.327413</v>
      </c>
      <c r="D27" s="340">
        <f t="shared" si="17"/>
        <v>-14.6</v>
      </c>
      <c r="E27" s="875">
        <v>-297.25619097000003</v>
      </c>
      <c r="F27" s="340">
        <v>-372.76591033</v>
      </c>
      <c r="G27" s="340">
        <f t="shared" si="18"/>
        <v>25.4</v>
      </c>
      <c r="H27" s="875"/>
      <c r="I27" s="340"/>
      <c r="J27" s="340"/>
      <c r="K27" s="875">
        <v>-9.6270000000000007</v>
      </c>
      <c r="L27" s="340">
        <v>-8.4331709999999998</v>
      </c>
      <c r="M27" s="340">
        <f t="shared" si="26"/>
        <v>-12.4</v>
      </c>
      <c r="N27" s="875"/>
      <c r="O27" s="340"/>
      <c r="P27" s="340"/>
      <c r="Q27" s="875"/>
      <c r="R27" s="901"/>
      <c r="S27" s="340"/>
      <c r="T27" s="824"/>
      <c r="U27" s="340"/>
      <c r="V27" s="340"/>
      <c r="W27" s="875">
        <v>0</v>
      </c>
      <c r="X27" s="340">
        <v>-12</v>
      </c>
      <c r="Y27" s="340" t="str">
        <f t="shared" si="21"/>
        <v xml:space="preserve">    ---- </v>
      </c>
      <c r="Z27" s="875">
        <v>-28</v>
      </c>
      <c r="AA27" s="340">
        <v>-130</v>
      </c>
      <c r="AB27" s="340">
        <f t="shared" si="22"/>
        <v>364.3</v>
      </c>
      <c r="AC27" s="875"/>
      <c r="AD27" s="340"/>
      <c r="AE27" s="340"/>
      <c r="AF27" s="875">
        <v>0</v>
      </c>
      <c r="AG27" s="340">
        <v>0</v>
      </c>
      <c r="AH27" s="340" t="str">
        <f t="shared" si="23"/>
        <v xml:space="preserve">    ---- </v>
      </c>
      <c r="AI27" s="875">
        <v>29.8</v>
      </c>
      <c r="AJ27" s="901">
        <v>-2</v>
      </c>
      <c r="AK27" s="340">
        <f t="shared" si="24"/>
        <v>-106.7</v>
      </c>
      <c r="AL27" s="824"/>
      <c r="AM27" s="340"/>
      <c r="AN27" s="340"/>
      <c r="AO27" s="340">
        <f t="shared" si="14"/>
        <v>-303.52819097000003</v>
      </c>
      <c r="AP27" s="340">
        <f t="shared" si="14"/>
        <v>-523.87166833000003</v>
      </c>
      <c r="AQ27" s="340">
        <f t="shared" si="12"/>
        <v>72.599999999999994</v>
      </c>
      <c r="AR27" s="340"/>
      <c r="AS27" s="340"/>
      <c r="AT27" s="340"/>
    </row>
    <row r="28" spans="1:46" s="453" customFormat="1" ht="18.75" customHeight="1" x14ac:dyDescent="0.3">
      <c r="A28" s="813" t="s">
        <v>487</v>
      </c>
      <c r="B28" s="824"/>
      <c r="C28" s="340"/>
      <c r="D28" s="340"/>
      <c r="E28" s="875">
        <v>14.33181486</v>
      </c>
      <c r="F28" s="340">
        <v>16.67381103</v>
      </c>
      <c r="G28" s="340">
        <f t="shared" si="18"/>
        <v>16.3</v>
      </c>
      <c r="H28" s="875"/>
      <c r="I28" s="340"/>
      <c r="J28" s="340"/>
      <c r="K28" s="875"/>
      <c r="L28" s="340"/>
      <c r="M28" s="340"/>
      <c r="N28" s="875"/>
      <c r="O28" s="340"/>
      <c r="P28" s="340"/>
      <c r="Q28" s="875"/>
      <c r="R28" s="901"/>
      <c r="S28" s="340"/>
      <c r="T28" s="195">
        <v>0</v>
      </c>
      <c r="U28" s="340">
        <v>23323.914526</v>
      </c>
      <c r="V28" s="340" t="str">
        <f t="shared" si="20"/>
        <v xml:space="preserve">    ---- </v>
      </c>
      <c r="W28" s="875">
        <v>4</v>
      </c>
      <c r="X28" s="340">
        <v>0</v>
      </c>
      <c r="Y28" s="340">
        <f t="shared" si="21"/>
        <v>-100</v>
      </c>
      <c r="Z28" s="875"/>
      <c r="AA28" s="340">
        <v>-8</v>
      </c>
      <c r="AB28" s="340" t="str">
        <f t="shared" si="22"/>
        <v xml:space="preserve">    ---- </v>
      </c>
      <c r="AC28" s="875"/>
      <c r="AD28" s="340"/>
      <c r="AE28" s="340"/>
      <c r="AF28" s="875">
        <v>1.120984</v>
      </c>
      <c r="AG28" s="340">
        <v>3.2486666200000003</v>
      </c>
      <c r="AH28" s="340">
        <f t="shared" si="23"/>
        <v>189.8</v>
      </c>
      <c r="AI28" s="875">
        <v>724.3</v>
      </c>
      <c r="AJ28" s="901">
        <v>-43</v>
      </c>
      <c r="AK28" s="340">
        <f t="shared" si="24"/>
        <v>-105.9</v>
      </c>
      <c r="AL28" s="824"/>
      <c r="AM28" s="340"/>
      <c r="AN28" s="340"/>
      <c r="AO28" s="340">
        <f t="shared" si="14"/>
        <v>743.75279885999998</v>
      </c>
      <c r="AP28" s="340">
        <f t="shared" si="14"/>
        <v>23292.837003649998</v>
      </c>
      <c r="AQ28" s="340">
        <f t="shared" si="12"/>
        <v>999</v>
      </c>
      <c r="AR28" s="340"/>
      <c r="AS28" s="340"/>
      <c r="AT28" s="340"/>
    </row>
    <row r="29" spans="1:46" s="453" customFormat="1" ht="18.75" customHeight="1" x14ac:dyDescent="0.3">
      <c r="A29" s="813" t="s">
        <v>488</v>
      </c>
      <c r="B29" s="824"/>
      <c r="C29" s="340"/>
      <c r="D29" s="340"/>
      <c r="E29" s="875"/>
      <c r="F29" s="340"/>
      <c r="G29" s="340"/>
      <c r="H29" s="875"/>
      <c r="I29" s="340"/>
      <c r="J29" s="340"/>
      <c r="K29" s="875"/>
      <c r="L29" s="340"/>
      <c r="M29" s="340"/>
      <c r="N29" s="875"/>
      <c r="O29" s="340"/>
      <c r="P29" s="340"/>
      <c r="Q29" s="875"/>
      <c r="R29" s="901"/>
      <c r="S29" s="340"/>
      <c r="T29" s="195"/>
      <c r="U29" s="340"/>
      <c r="V29" s="340"/>
      <c r="W29" s="875"/>
      <c r="X29" s="340">
        <v>2</v>
      </c>
      <c r="Y29" s="340" t="str">
        <f t="shared" si="21"/>
        <v xml:space="preserve">    ---- </v>
      </c>
      <c r="Z29" s="875"/>
      <c r="AA29" s="340"/>
      <c r="AB29" s="340"/>
      <c r="AC29" s="875"/>
      <c r="AD29" s="340"/>
      <c r="AE29" s="340"/>
      <c r="AF29" s="875"/>
      <c r="AG29" s="340"/>
      <c r="AH29" s="340"/>
      <c r="AI29" s="875"/>
      <c r="AJ29" s="901">
        <v>418</v>
      </c>
      <c r="AK29" s="340" t="str">
        <f t="shared" si="24"/>
        <v xml:space="preserve">    ---- </v>
      </c>
      <c r="AL29" s="824"/>
      <c r="AM29" s="340"/>
      <c r="AN29" s="340"/>
      <c r="AO29" s="340">
        <f t="shared" si="14"/>
        <v>0</v>
      </c>
      <c r="AP29" s="340">
        <f t="shared" si="14"/>
        <v>420</v>
      </c>
      <c r="AQ29" s="340" t="str">
        <f t="shared" si="12"/>
        <v xml:space="preserve">    ---- </v>
      </c>
      <c r="AR29" s="340"/>
      <c r="AS29" s="340"/>
      <c r="AT29" s="340"/>
    </row>
    <row r="30" spans="1:46" s="453" customFormat="1" ht="18.75" customHeight="1" x14ac:dyDescent="0.3">
      <c r="A30" s="813" t="s">
        <v>297</v>
      </c>
      <c r="B30" s="824">
        <v>-23.176000000000002</v>
      </c>
      <c r="C30" s="340">
        <v>-32.233511710000016</v>
      </c>
      <c r="D30" s="340">
        <f t="shared" si="17"/>
        <v>39.1</v>
      </c>
      <c r="E30" s="875">
        <f>SUM(E23:E28)</f>
        <v>1935.1585179099998</v>
      </c>
      <c r="F30" s="340">
        <f>SUM(F23:F29)</f>
        <v>8382.0965777599995</v>
      </c>
      <c r="G30" s="340">
        <f t="shared" si="18"/>
        <v>333.1</v>
      </c>
      <c r="H30" s="875">
        <f>SUM(H23:H28)</f>
        <v>-392.17890431999956</v>
      </c>
      <c r="I30" s="340">
        <f>SUM(I23:I29)</f>
        <v>-687.99588461999997</v>
      </c>
      <c r="J30" s="340">
        <f>IF(H30=0, "    ---- ", IF(ABS(ROUND(100/H30*I30-100,1))&lt;999,ROUND(100/H30*I30-100,1),IF(ROUND(100/H30*I30-100,1)&gt;999,999,-999)))</f>
        <v>75.400000000000006</v>
      </c>
      <c r="K30" s="875">
        <f>SUM(K23:K28)</f>
        <v>-93.572999999999993</v>
      </c>
      <c r="L30" s="340">
        <f>SUM(L23:L29)</f>
        <v>-130.91792699999999</v>
      </c>
      <c r="M30" s="340">
        <f>IF(K30=0, "    ---- ", IF(ABS(ROUND(100/K30*L30-100,1))&lt;999,ROUND(100/K30*L30-100,1),IF(ROUND(100/K30*L30-100,1)&gt;999,999,-999)))</f>
        <v>39.9</v>
      </c>
      <c r="N30" s="875">
        <f>SUM(N23:N28)</f>
        <v>-505.19999999999993</v>
      </c>
      <c r="O30" s="340">
        <f>SUM(O23:O29)</f>
        <v>-476.20000000000005</v>
      </c>
      <c r="P30" s="340">
        <f t="shared" si="19"/>
        <v>-5.7</v>
      </c>
      <c r="Q30" s="875">
        <f>SUM(Q23:Q28)</f>
        <v>4.5010000000000003</v>
      </c>
      <c r="R30" s="901">
        <f>SUM(R23:R28)</f>
        <v>2.2959999999999998</v>
      </c>
      <c r="S30" s="340">
        <f>IF(Q30=0, "    ---- ", IF(ABS(ROUND(100/Q30*R30-100,1))&lt;999,ROUND(100/Q30*R30-100,1),IF(ROUND(100/Q30*R30-100,1)&gt;999,999,-999)))</f>
        <v>-49</v>
      </c>
      <c r="T30" s="824">
        <v>-59439.885958349994</v>
      </c>
      <c r="U30" s="340">
        <v>-11731.072160700001</v>
      </c>
      <c r="V30" s="340">
        <f t="shared" si="20"/>
        <v>-80.3</v>
      </c>
      <c r="W30" s="875">
        <f>SUM(W23:W28)</f>
        <v>-2449</v>
      </c>
      <c r="X30" s="340">
        <f>SUM(X23:X29)</f>
        <v>1325.6</v>
      </c>
      <c r="Y30" s="340">
        <f t="shared" si="21"/>
        <v>-154.1</v>
      </c>
      <c r="Z30" s="875">
        <f>SUM(Z23:Z28)</f>
        <v>-9774</v>
      </c>
      <c r="AA30" s="340">
        <f>SUM(AA23:AA29)</f>
        <v>-3921</v>
      </c>
      <c r="AB30" s="340">
        <f t="shared" si="22"/>
        <v>-59.9</v>
      </c>
      <c r="AC30" s="875"/>
      <c r="AD30" s="340"/>
      <c r="AE30" s="340"/>
      <c r="AF30" s="875">
        <f>SUM(AF23:AF28)</f>
        <v>-188.75086949999977</v>
      </c>
      <c r="AG30" s="340">
        <f>SUM(AG23:AG29)</f>
        <v>1225.0271878400001</v>
      </c>
      <c r="AH30" s="340">
        <f t="shared" si="23"/>
        <v>-749</v>
      </c>
      <c r="AI30" s="875">
        <f>SUM(AI23:AI28)</f>
        <v>-6132.2999999999993</v>
      </c>
      <c r="AJ30" s="901">
        <f>SUM(AJ23:AJ29)</f>
        <v>5610</v>
      </c>
      <c r="AK30" s="340">
        <f t="shared" si="24"/>
        <v>-191.5</v>
      </c>
      <c r="AL30" s="824"/>
      <c r="AM30" s="340">
        <f>SUM(AM23:AM29)</f>
        <v>-1</v>
      </c>
      <c r="AN30" s="340" t="str">
        <f t="shared" si="25"/>
        <v xml:space="preserve">    ---- </v>
      </c>
      <c r="AO30" s="340">
        <f t="shared" si="14"/>
        <v>-77062.906214260001</v>
      </c>
      <c r="AP30" s="340">
        <f t="shared" si="14"/>
        <v>-436.69571843000085</v>
      </c>
      <c r="AQ30" s="340">
        <f t="shared" si="12"/>
        <v>-99.4</v>
      </c>
      <c r="AR30" s="340"/>
      <c r="AS30" s="340"/>
      <c r="AT30" s="340"/>
    </row>
    <row r="31" spans="1:46" s="453" customFormat="1" ht="18.75" customHeight="1" x14ac:dyDescent="0.3">
      <c r="A31" s="813" t="s">
        <v>298</v>
      </c>
      <c r="B31" s="824">
        <v>-5172.9740000000002</v>
      </c>
      <c r="C31" s="340">
        <v>2094.6623527400002</v>
      </c>
      <c r="D31" s="340">
        <f>IF(B31=0, "    ---- ", IF(ABS(ROUND(100/B31*C31-100,1))&lt;999,ROUND(100/B31*C31-100,1),IF(ROUND(100/B31*C31-100,1)&gt;999,999,-999)))</f>
        <v>-140.5</v>
      </c>
      <c r="E31" s="875">
        <v>-22619.862509409999</v>
      </c>
      <c r="F31" s="340">
        <v>916.33975365000003</v>
      </c>
      <c r="G31" s="340">
        <f>IF(E31=0, "    ---- ", IF(ABS(ROUND(100/E31*F31-100,1))&lt;999,ROUND(100/E31*F31-100,1),IF(ROUND(100/E31*F31-100,1)&gt;999,999,-999)))</f>
        <v>-104.1</v>
      </c>
      <c r="H31" s="875"/>
      <c r="I31" s="340"/>
      <c r="J31" s="340"/>
      <c r="K31" s="875"/>
      <c r="L31" s="340"/>
      <c r="M31" s="340"/>
      <c r="N31" s="875">
        <v>-8487.4</v>
      </c>
      <c r="O31" s="340">
        <v>-2817.4</v>
      </c>
      <c r="P31" s="340">
        <f t="shared" si="19"/>
        <v>-66.8</v>
      </c>
      <c r="Q31" s="875"/>
      <c r="R31" s="901"/>
      <c r="S31" s="340"/>
      <c r="T31" s="195">
        <v>-176.57422717</v>
      </c>
      <c r="U31" s="340">
        <v>-391.64782400000001</v>
      </c>
      <c r="V31" s="340">
        <f t="shared" si="20"/>
        <v>121.8</v>
      </c>
      <c r="W31" s="875">
        <v>-26544</v>
      </c>
      <c r="X31" s="340">
        <v>7338.79</v>
      </c>
      <c r="Y31" s="340">
        <f>IF(W31=0, "    ---- ", IF(ABS(ROUND(100/W31*X31-100,1))&lt;999,ROUND(100/W31*X31-100,1),IF(ROUND(100/W31*X31-100,1)&gt;999,999,-999)))</f>
        <v>-127.6</v>
      </c>
      <c r="Z31" s="875"/>
      <c r="AA31" s="340"/>
      <c r="AB31" s="340"/>
      <c r="AC31" s="875">
        <v>-279.529</v>
      </c>
      <c r="AD31" s="340">
        <v>2779.1320000000001</v>
      </c>
      <c r="AE31" s="340">
        <f>IF(AC31=0, "    ---- ", IF(ABS(ROUND(100/AC31*AD31-100,1))&lt;999,ROUND(100/AC31*AD31-100,1),IF(ROUND(100/AC31*AD31-100,1)&gt;999,999,-999)))</f>
        <v>-999</v>
      </c>
      <c r="AF31" s="875">
        <v>-12644.774600170003</v>
      </c>
      <c r="AG31" s="340">
        <v>543.03904469999986</v>
      </c>
      <c r="AH31" s="340">
        <f>IF(AF31=0, "    ---- ", IF(ABS(ROUND(100/AF31*AG31-100,1))&lt;999,ROUND(100/AF31*AG31-100,1),IF(ROUND(100/AF31*AG31-100,1)&gt;999,999,-999)))</f>
        <v>-104.3</v>
      </c>
      <c r="AI31" s="875">
        <v>-20913.5</v>
      </c>
      <c r="AJ31" s="901">
        <v>5429</v>
      </c>
      <c r="AK31" s="340">
        <f>IF(AI31=0, "    ---- ", IF(ABS(ROUND(100/AI31*AJ31-100,1))&lt;999,ROUND(100/AI31*AJ31-100,1),IF(ROUND(100/AI31*AJ31-100,1)&gt;999,999,-999)))</f>
        <v>-126</v>
      </c>
      <c r="AL31" s="824"/>
      <c r="AM31" s="340"/>
      <c r="AN31" s="340"/>
      <c r="AO31" s="340">
        <f t="shared" si="14"/>
        <v>-96559.085336750009</v>
      </c>
      <c r="AP31" s="340">
        <f t="shared" si="14"/>
        <v>13112.783327090001</v>
      </c>
      <c r="AQ31" s="340">
        <f t="shared" si="12"/>
        <v>-113.6</v>
      </c>
      <c r="AR31" s="340"/>
      <c r="AS31" s="340"/>
      <c r="AT31" s="340"/>
    </row>
    <row r="32" spans="1:46" s="453" customFormat="1" ht="18.75" customHeight="1" x14ac:dyDescent="0.3">
      <c r="A32" s="813" t="s">
        <v>299</v>
      </c>
      <c r="B32" s="824">
        <v>-5.9340000000000002</v>
      </c>
      <c r="C32" s="340">
        <v>-1.7069942600000001</v>
      </c>
      <c r="D32" s="340">
        <f>IF(B32=0, "    ---- ", IF(ABS(ROUND(100/B32*C32-100,1))&lt;999,ROUND(100/B32*C32-100,1),IF(ROUND(100/B32*C32-100,1)&gt;999,999,-999)))</f>
        <v>-71.2</v>
      </c>
      <c r="E32" s="875">
        <v>-1167.4646835599999</v>
      </c>
      <c r="F32" s="340">
        <v>-320.13880343</v>
      </c>
      <c r="G32" s="340">
        <f>IF(E32=0, "    ---- ", IF(ABS(ROUND(100/E32*F32-100,1))&lt;999,ROUND(100/E32*F32-100,1),IF(ROUND(100/E32*F32-100,1)&gt;999,999,-999)))</f>
        <v>-72.599999999999994</v>
      </c>
      <c r="H32" s="875"/>
      <c r="I32" s="340"/>
      <c r="J32" s="340"/>
      <c r="K32" s="875"/>
      <c r="L32" s="340"/>
      <c r="M32" s="340"/>
      <c r="N32" s="875">
        <v>-6.4</v>
      </c>
      <c r="O32" s="340">
        <v>-9.3000000000000007</v>
      </c>
      <c r="P32" s="340">
        <f t="shared" si="19"/>
        <v>45.3</v>
      </c>
      <c r="Q32" s="875"/>
      <c r="R32" s="901"/>
      <c r="S32" s="340"/>
      <c r="T32" s="195">
        <v>-9415.0914749999993</v>
      </c>
      <c r="U32" s="340">
        <v>-650.59243400000003</v>
      </c>
      <c r="V32" s="340">
        <f>IF(T32=0, "    ---- ", IF(ABS(ROUND(100/T32*U32-100,1))&lt;999,ROUND(100/T32*U32-100,1),IF(ROUND(100/T32*U32-100,1)&gt;999,999,-999)))</f>
        <v>-93.1</v>
      </c>
      <c r="W32" s="875">
        <v>-425</v>
      </c>
      <c r="X32" s="340">
        <v>-160.28</v>
      </c>
      <c r="Y32" s="340">
        <f>IF(W32=0, "    ---- ", IF(ABS(ROUND(100/W32*X32-100,1))&lt;999,ROUND(100/W32*X32-100,1),IF(ROUND(100/W32*X32-100,1)&gt;999,999,-999)))</f>
        <v>-62.3</v>
      </c>
      <c r="Z32" s="875">
        <v>-4163</v>
      </c>
      <c r="AA32" s="340">
        <v>-149</v>
      </c>
      <c r="AB32" s="340">
        <f>IF(Z32=0, "    ---- ", IF(ABS(ROUND(100/Z32*AA32-100,1))&lt;999,ROUND(100/Z32*AA32-100,1),IF(ROUND(100/Z32*AA32-100,1)&gt;999,999,-999)))</f>
        <v>-96.4</v>
      </c>
      <c r="AC32" s="875"/>
      <c r="AD32" s="340"/>
      <c r="AE32" s="340"/>
      <c r="AF32" s="875">
        <v>-1100.5036735199999</v>
      </c>
      <c r="AG32" s="340">
        <v>-58.812468869999989</v>
      </c>
      <c r="AH32" s="340">
        <f>IF(AF32=0, "    ---- ", IF(ABS(ROUND(100/AF32*AG32-100,1))&lt;999,ROUND(100/AF32*AG32-100,1),IF(ROUND(100/AF32*AG32-100,1)&gt;999,999,-999)))</f>
        <v>-94.7</v>
      </c>
      <c r="AI32" s="875">
        <v>-1395.1</v>
      </c>
      <c r="AJ32" s="901">
        <v>-388</v>
      </c>
      <c r="AK32" s="340">
        <f>IF(AI32=0, "    ---- ", IF(ABS(ROUND(100/AI32*AJ32-100,1))&lt;999,ROUND(100/AI32*AJ32-100,1),IF(ROUND(100/AI32*AJ32-100,1)&gt;999,999,-999)))</f>
        <v>-72.2</v>
      </c>
      <c r="AL32" s="824"/>
      <c r="AM32" s="340"/>
      <c r="AN32" s="340"/>
      <c r="AO32" s="340">
        <f t="shared" si="14"/>
        <v>-17678.493832079999</v>
      </c>
      <c r="AP32" s="340">
        <f t="shared" si="14"/>
        <v>-1737.83070056</v>
      </c>
      <c r="AQ32" s="340">
        <f t="shared" si="12"/>
        <v>-90.2</v>
      </c>
      <c r="AR32" s="340"/>
      <c r="AS32" s="340"/>
      <c r="AT32" s="340"/>
    </row>
    <row r="33" spans="1:46" s="453" customFormat="1" ht="18.75" customHeight="1" x14ac:dyDescent="0.3">
      <c r="A33" s="813" t="s">
        <v>300</v>
      </c>
      <c r="B33" s="824">
        <v>-202.93100000000001</v>
      </c>
      <c r="C33" s="340">
        <v>-228.74825318000001</v>
      </c>
      <c r="D33" s="340">
        <f>IF(B33=0, "    ---- ", IF(ABS(ROUND(100/B33*C33-100,1))&lt;999,ROUND(100/B33*C33-100,1),IF(ROUND(100/B33*C33-100,1)&gt;999,999,-999)))</f>
        <v>12.7</v>
      </c>
      <c r="E33" s="875">
        <v>-1187.8393588399999</v>
      </c>
      <c r="F33" s="340">
        <v>-1199.3526683500002</v>
      </c>
      <c r="G33" s="340">
        <f>IF(E33=0, "    ---- ", IF(ABS(ROUND(100/E33*F33-100,1))&lt;999,ROUND(100/E33*F33-100,1),IF(ROUND(100/E33*F33-100,1)&gt;999,999,-999)))</f>
        <v>1</v>
      </c>
      <c r="H33" s="875">
        <v>-835.41398171000003</v>
      </c>
      <c r="I33" s="340">
        <v>-889.87920198000018</v>
      </c>
      <c r="J33" s="340">
        <f>IF(H33=0, "    ---- ", IF(ABS(ROUND(100/H33*I33-100,1))&lt;999,ROUND(100/H33*I33-100,1),IF(ROUND(100/H33*I33-100,1)&gt;999,999,-999)))</f>
        <v>6.5</v>
      </c>
      <c r="K33" s="875">
        <v>-222.43199999999999</v>
      </c>
      <c r="L33" s="340">
        <v>-248.49587700000001</v>
      </c>
      <c r="M33" s="340">
        <f>IF(K33=0, "    ---- ", IF(ABS(ROUND(100/K33*L33-100,1))&lt;999,ROUND(100/K33*L33-100,1),IF(ROUND(100/K33*L33-100,1)&gt;999,999,-999)))</f>
        <v>11.7</v>
      </c>
      <c r="N33" s="875">
        <v>-312.89999999999998</v>
      </c>
      <c r="O33" s="340">
        <v>-329.1</v>
      </c>
      <c r="P33" s="340">
        <f>IF(N33=0, "    ---- ", IF(ABS(ROUND(100/N33*O33-100,1))&lt;999,ROUND(100/N33*O33-100,1),IF(ROUND(100/N33*O33-100,1)&gt;999,999,-999)))</f>
        <v>5.2</v>
      </c>
      <c r="Q33" s="875">
        <v>-12.000999999999999</v>
      </c>
      <c r="R33" s="901">
        <v>-11</v>
      </c>
      <c r="S33" s="340">
        <f>IF(Q33=0, "    ---- ", IF(ABS(ROUND(100/Q33*R33-100,1))&lt;999,ROUND(100/Q33*R33-100,1),IF(ROUND(100/Q33*R33-100,1)&gt;999,999,-999)))</f>
        <v>-8.3000000000000007</v>
      </c>
      <c r="T33" s="195">
        <v>-1371.9802813599999</v>
      </c>
      <c r="U33" s="340">
        <v>-1486.9969142</v>
      </c>
      <c r="V33" s="340">
        <f>IF(T33=0, "    ---- ", IF(ABS(ROUND(100/T33*U33-100,1))&lt;999,ROUND(100/T33*U33-100,1),IF(ROUND(100/T33*U33-100,1)&gt;999,999,-999)))</f>
        <v>8.4</v>
      </c>
      <c r="W33" s="875">
        <v>-727</v>
      </c>
      <c r="X33" s="340">
        <v>-771.44</v>
      </c>
      <c r="Y33" s="340">
        <f>IF(W33=0, "    ---- ", IF(ABS(ROUND(100/W33*X33-100,1))&lt;999,ROUND(100/W33*X33-100,1),IF(ROUND(100/W33*X33-100,1)&gt;999,999,-999)))</f>
        <v>6.1</v>
      </c>
      <c r="Z33" s="875">
        <v>-238</v>
      </c>
      <c r="AA33" s="340">
        <v>-308</v>
      </c>
      <c r="AB33" s="340">
        <f>IF(Z33=0, "    ---- ", IF(ABS(ROUND(100/Z33*AA33-100,1))&lt;999,ROUND(100/Z33*AA33-100,1),IF(ROUND(100/Z33*AA33-100,1)&gt;999,999,-999)))</f>
        <v>29.4</v>
      </c>
      <c r="AC33" s="875">
        <v>-40.369</v>
      </c>
      <c r="AD33" s="340">
        <v>-0.79006900000000002</v>
      </c>
      <c r="AE33" s="340">
        <f>IF(AC33=0, "    ---- ", IF(ABS(ROUND(100/AC33*AD33-100,1))&lt;999,ROUND(100/AC33*AD33-100,1),IF(ROUND(100/AC33*AD33-100,1)&gt;999,999,-999)))</f>
        <v>-98</v>
      </c>
      <c r="AF33" s="875">
        <v>-709.71918908889984</v>
      </c>
      <c r="AG33" s="340">
        <v>-794.51722238669959</v>
      </c>
      <c r="AH33" s="340">
        <f>IF(AF33=0, "    ---- ", IF(ABS(ROUND(100/AF33*AG33-100,1))&lt;999,ROUND(100/AF33*AG33-100,1),IF(ROUND(100/AF33*AG33-100,1)&gt;999,999,-999)))</f>
        <v>11.9</v>
      </c>
      <c r="AI33" s="875">
        <v>-1442.2</v>
      </c>
      <c r="AJ33" s="901">
        <v>-1524</v>
      </c>
      <c r="AK33" s="340">
        <f>IF(AI33=0, "    ---- ", IF(ABS(ROUND(100/AI33*AJ33-100,1))&lt;999,ROUND(100/AI33*AJ33-100,1),IF(ROUND(100/AI33*AJ33-100,1)&gt;999,999,-999)))</f>
        <v>5.7</v>
      </c>
      <c r="AL33" s="824"/>
      <c r="AM33" s="340">
        <v>-33</v>
      </c>
      <c r="AN33" s="340" t="str">
        <f>IF(AL33=0, "    ---- ", IF(ABS(ROUND(100/AL33*AM33-100,1))&lt;999,ROUND(100/AL33*AM33-100,1),IF(ROUND(100/AL33*AM33-100,1)&gt;999,999,-999)))</f>
        <v xml:space="preserve">    ---- </v>
      </c>
      <c r="AO33" s="340">
        <f t="shared" si="14"/>
        <v>-7250.4158109988994</v>
      </c>
      <c r="AP33" s="340">
        <f t="shared" si="14"/>
        <v>-7780.530137096699</v>
      </c>
      <c r="AQ33" s="340">
        <f t="shared" si="12"/>
        <v>7.3</v>
      </c>
      <c r="AR33" s="340"/>
      <c r="AS33" s="340"/>
      <c r="AT33" s="340"/>
    </row>
    <row r="34" spans="1:46" s="453" customFormat="1" ht="18.75" customHeight="1" x14ac:dyDescent="0.3">
      <c r="A34" s="813" t="s">
        <v>301</v>
      </c>
      <c r="B34" s="195"/>
      <c r="C34" s="440"/>
      <c r="D34" s="440"/>
      <c r="E34" s="876">
        <v>17.464507900000005</v>
      </c>
      <c r="F34" s="440">
        <v>-8.3537346200000009</v>
      </c>
      <c r="G34" s="440">
        <f>IF(E34=0, "    ---- ", IF(ABS(ROUND(100/E34*F34-100,1))&lt;999,ROUND(100/E34*F34-100,1),IF(ROUND(100/E34*F34-100,1)&gt;999,999,-999)))</f>
        <v>-147.80000000000001</v>
      </c>
      <c r="H34" s="876">
        <v>-32.924841790000009</v>
      </c>
      <c r="I34" s="440">
        <v>-11.993899959999998</v>
      </c>
      <c r="J34" s="340">
        <f>IF(H34=0, "    ---- ", IF(ABS(ROUND(100/H34*I34-100,1))&lt;999,ROUND(100/H34*I34-100,1),IF(ROUND(100/H34*I34-100,1)&gt;999,999,-999)))</f>
        <v>-63.6</v>
      </c>
      <c r="K34" s="876"/>
      <c r="L34" s="440"/>
      <c r="M34" s="440"/>
      <c r="N34" s="876"/>
      <c r="O34" s="440"/>
      <c r="P34" s="440"/>
      <c r="Q34" s="876"/>
      <c r="R34" s="902"/>
      <c r="S34" s="440"/>
      <c r="T34" s="195">
        <v>-1285.6790579999999</v>
      </c>
      <c r="U34" s="440">
        <v>-1368.0382540000001</v>
      </c>
      <c r="V34" s="440">
        <f>IF(T34=0, "    ---- ", IF(ABS(ROUND(100/T34*U34-100,1))&lt;999,ROUND(100/T34*U34-100,1),IF(ROUND(100/T34*U34-100,1)&gt;999,999,-999)))</f>
        <v>6.4</v>
      </c>
      <c r="W34" s="876">
        <v>-32</v>
      </c>
      <c r="X34" s="440">
        <v>-24.370042139999999</v>
      </c>
      <c r="Y34" s="440">
        <f>IF(W34=0, "    ---- ", IF(ABS(ROUND(100/W34*X34-100,1))&lt;999,ROUND(100/W34*X34-100,1),IF(ROUND(100/W34*X34-100,1)&gt;999,999,-999)))</f>
        <v>-23.8</v>
      </c>
      <c r="Z34" s="876"/>
      <c r="AA34" s="440"/>
      <c r="AB34" s="440"/>
      <c r="AC34" s="876"/>
      <c r="AD34" s="440"/>
      <c r="AE34" s="440"/>
      <c r="AF34" s="876">
        <v>-3.6433634500000003</v>
      </c>
      <c r="AG34" s="440">
        <v>-3.2802048000000004</v>
      </c>
      <c r="AH34" s="440">
        <f>IF(AF34=0, "    ---- ", IF(ABS(ROUND(100/AF34*AG34-100,1))&lt;999,ROUND(100/AF34*AG34-100,1),IF(ROUND(100/AF34*AG34-100,1)&gt;999,999,-999)))</f>
        <v>-10</v>
      </c>
      <c r="AI34" s="876">
        <v>-135.1</v>
      </c>
      <c r="AJ34" s="902">
        <v>-119</v>
      </c>
      <c r="AK34" s="440">
        <f>IF(AI34=0, "    ---- ", IF(ABS(ROUND(100/AI34*AJ34-100,1))&lt;999,ROUND(100/AI34*AJ34-100,1),IF(ROUND(100/AI34*AJ34-100,1)&gt;999,999,-999)))</f>
        <v>-11.9</v>
      </c>
      <c r="AL34" s="195"/>
      <c r="AM34" s="440"/>
      <c r="AN34" s="440"/>
      <c r="AO34" s="340">
        <f t="shared" si="14"/>
        <v>-1471.8827553399997</v>
      </c>
      <c r="AP34" s="340">
        <f t="shared" si="14"/>
        <v>-1535.03613552</v>
      </c>
      <c r="AQ34" s="440">
        <f t="shared" si="12"/>
        <v>4.3</v>
      </c>
      <c r="AR34" s="440"/>
      <c r="AS34" s="440"/>
      <c r="AT34" s="440"/>
    </row>
    <row r="35" spans="1:46" s="474" customFormat="1" ht="18.75" customHeight="1" x14ac:dyDescent="0.3">
      <c r="A35" s="829" t="s">
        <v>302</v>
      </c>
      <c r="B35" s="198">
        <v>144.95899999999776</v>
      </c>
      <c r="C35" s="444">
        <v>12.517296719556953</v>
      </c>
      <c r="D35" s="445">
        <f>IF(B35=0, "    ---- ", IF(ABS(ROUND(100/B35*C35-100,1))&lt;999,ROUND(100/B35*C35-100,1),IF(ROUND(100/B35*C35-100,1)&gt;999,999,-999)))</f>
        <v>-91.4</v>
      </c>
      <c r="E35" s="877">
        <f>SUM(E14+E15+E16+E17+E21+E30+E31+E32+E33+E34)</f>
        <v>1013.2398664199967</v>
      </c>
      <c r="F35" s="444">
        <f>SUM(F14+F15+F16+F17+F21+F30+F31+F32+F33+F34)</f>
        <v>940.35476575000564</v>
      </c>
      <c r="G35" s="445">
        <f>IF(E35=0, "    ---- ", IF(ABS(ROUND(100/E35*F35-100,1))&lt;999,ROUND(100/E35*F35-100,1),IF(ROUND(100/E35*F35-100,1)&gt;999,999,-999)))</f>
        <v>-7.2</v>
      </c>
      <c r="H35" s="877">
        <f>SUM(H14+H15+H16+H17+H21+H30+H31+H32+H33+H34)</f>
        <v>873.18417284000066</v>
      </c>
      <c r="I35" s="444">
        <f>SUM(I14+I15+I16+I17+I21+I30+I31+I32+I33+I34)</f>
        <v>585.67027712999993</v>
      </c>
      <c r="J35" s="445">
        <f>IF(H35=0, "    ---- ", IF(ABS(ROUND(100/H35*I35-100,1))&lt;999,ROUND(100/H35*I35-100,1),IF(ROUND(100/H35*I35-100,1)&gt;999,999,-999)))</f>
        <v>-32.9</v>
      </c>
      <c r="K35" s="877">
        <f>SUM(K14+K15+K16+K17+K21+K30+K31+K32+K33+K34)</f>
        <v>85.156752000000068</v>
      </c>
      <c r="L35" s="444">
        <f>SUM(L14+L15+L16+L17+L21+L30+L31+L32+L33+L34)</f>
        <v>-48.096855999999974</v>
      </c>
      <c r="M35" s="445">
        <f>IF(K35=0, "    ---- ", IF(ABS(ROUND(100/K35*L35-100,1))&lt;999,ROUND(100/K35*L35-100,1),IF(ROUND(100/K35*L35-100,1)&gt;999,999,-999)))</f>
        <v>-156.5</v>
      </c>
      <c r="N35" s="877">
        <f>SUM(N14+N15+N16+N17+N21+N30+N31+N32+N33+N34)</f>
        <v>213.20000000000005</v>
      </c>
      <c r="O35" s="444">
        <f>SUM(O14+O15+O16+O17+O21+O30+O31+O32+O33+O34)</f>
        <v>198.69999999999993</v>
      </c>
      <c r="P35" s="445">
        <f>IF(N35=0, "    ---- ", IF(ABS(ROUND(100/N35*O35-100,1))&lt;999,ROUND(100/N35*O35-100,1),IF(ROUND(100/N35*O35-100,1)&gt;999,999,-999)))</f>
        <v>-6.8</v>
      </c>
      <c r="Q35" s="877">
        <f>SUM(Q14+Q15+Q16+Q17+Q21+Q30+Q31+Q32+Q33+Q34)</f>
        <v>12.798</v>
      </c>
      <c r="R35" s="904">
        <f>SUM(R14+R15+R16+R17+R21+R30+R31+R32+R33+R34)</f>
        <v>16.235999999999997</v>
      </c>
      <c r="S35" s="445">
        <f>IF(Q35=0, "    ---- ", IF(ABS(ROUND(100/Q35*R35-100,1))&lt;999,ROUND(100/Q35*R35-100,1),IF(ROUND(100/Q35*R35-100,1)&gt;999,999,-999)))</f>
        <v>26.9</v>
      </c>
      <c r="T35" s="198">
        <v>-741.70899792000296</v>
      </c>
      <c r="U35" s="444">
        <v>107.22464108999839</v>
      </c>
      <c r="V35" s="445">
        <f>IF(T35=0, "    ---- ", IF(ABS(ROUND(100/T35*U35-100,1))&lt;999,ROUND(100/T35*U35-100,1),IF(ROUND(100/T35*U35-100,1)&gt;999,999,-999)))</f>
        <v>-114.5</v>
      </c>
      <c r="W35" s="877">
        <f>SUM(W14+W15+W16+W17+W21+W30+W31+W32+W33+W34)</f>
        <v>955</v>
      </c>
      <c r="X35" s="444">
        <f>SUM(X14+X15+X16+X17+X21+X30+X31+X32+X33+X34)</f>
        <v>924.05995786000233</v>
      </c>
      <c r="Y35" s="445">
        <f>IF(W35=0, "    ---- ", IF(ABS(ROUND(100/W35*X35-100,1))&lt;999,ROUND(100/W35*X35-100,1),IF(ROUND(100/W35*X35-100,1)&gt;999,999,-999)))</f>
        <v>-3.2</v>
      </c>
      <c r="Z35" s="877">
        <f>SUM(Z14+Z15+Z16+Z17+Z21+Z30+Z31+Z32+Z33+Z34)</f>
        <v>669</v>
      </c>
      <c r="AA35" s="444">
        <f>SUM(AA14+AA15+AA16+AA17+AA21+AA30+AA31+AA32+AA33+AA34)</f>
        <v>418</v>
      </c>
      <c r="AB35" s="445">
        <f>IF(Z35=0, "    ---- ", IF(ABS(ROUND(100/Z35*AA35-100,1))&lt;999,ROUND(100/Z35*AA35-100,1),IF(ROUND(100/Z35*AA35-100,1)&gt;999,999,-999)))</f>
        <v>-37.5</v>
      </c>
      <c r="AC35" s="877">
        <f>SUM(AC14+AC15+AC16+AC17+AC21+AC30+AC31+AC32+AC33+AC34)</f>
        <v>16.897000000000077</v>
      </c>
      <c r="AD35" s="444">
        <f>SUM(AD14+AD15+AD16+AD17+AD21+AD30+AD31+AD32+AD33+AD34)</f>
        <v>7.9589309999997964</v>
      </c>
      <c r="AE35" s="445">
        <f>IF(AC35=0, "    ---- ", IF(ABS(ROUND(100/AC35*AD35-100,1))&lt;999,ROUND(100/AC35*AD35-100,1),IF(ROUND(100/AC35*AD35-100,1)&gt;999,999,-999)))</f>
        <v>-52.9</v>
      </c>
      <c r="AF35" s="877">
        <f>SUM(AF14+AF15+AF16+AF17+AF21+AF30+AF31+AF32+AF33+AF34)</f>
        <v>546.90388842108871</v>
      </c>
      <c r="AG35" s="444">
        <f>SUM(AG14+AG15+AG16+AG17+AG21+AG30+AG31+AG32+AG33+AG34)</f>
        <v>61.4255108032987</v>
      </c>
      <c r="AH35" s="445">
        <f>IF(AF35=0, "    ---- ", IF(ABS(ROUND(100/AF35*AG35-100,1))&lt;999,ROUND(100/AF35*AG35-100,1),IF(ROUND(100/AF35*AG35-100,1)&gt;999,999,-999)))</f>
        <v>-88.8</v>
      </c>
      <c r="AI35" s="877">
        <f>SUM(AI14+AI15+AI16+AI17+AI21+AI30+AI31+AI32+AI33+AI34)</f>
        <v>1417.0999999999965</v>
      </c>
      <c r="AJ35" s="904">
        <f>SUM(AJ14+AJ15+AJ16+AJ17+AJ21+AJ30+AJ31+AJ32+AJ33+AJ34)</f>
        <v>1398</v>
      </c>
      <c r="AK35" s="445">
        <f>IF(AI35=0, "    ---- ", IF(ABS(ROUND(100/AI35*AJ35-100,1))&lt;999,ROUND(100/AI35*AJ35-100,1),IF(ROUND(100/AI35*AJ35-100,1)&gt;999,999,-999)))</f>
        <v>-1.3</v>
      </c>
      <c r="AL35" s="198"/>
      <c r="AM35" s="444">
        <f>SUM(AM14+AM15+AM16+AM17+AM21+AM30+AM31+AM32+AM33+AM34)</f>
        <v>-33</v>
      </c>
      <c r="AN35" s="445" t="str">
        <f>IF(AL35=0, "    ---- ", IF(ABS(ROUND(100/AL35*AM35-100,1))&lt;999,ROUND(100/AL35*AM35-100,1),IF(ROUND(100/AL35*AM35-100,1)&gt;999,999,-999)))</f>
        <v xml:space="preserve">    ---- </v>
      </c>
      <c r="AO35" s="445">
        <f t="shared" si="14"/>
        <v>5176.034681761078</v>
      </c>
      <c r="AP35" s="445">
        <f t="shared" si="14"/>
        <v>4597.8555933528623</v>
      </c>
      <c r="AQ35" s="445">
        <f t="shared" si="12"/>
        <v>-11.2</v>
      </c>
      <c r="AR35" s="445"/>
      <c r="AS35" s="445"/>
      <c r="AT35" s="445"/>
    </row>
    <row r="36" spans="1:46" s="474" customFormat="1" ht="18.75" customHeight="1" x14ac:dyDescent="0.3">
      <c r="A36" s="830"/>
      <c r="B36" s="831"/>
      <c r="C36" s="510"/>
      <c r="D36" s="437"/>
      <c r="E36" s="831"/>
      <c r="F36" s="510"/>
      <c r="G36" s="437"/>
      <c r="H36" s="831"/>
      <c r="I36" s="510"/>
      <c r="J36" s="437"/>
      <c r="K36" s="831"/>
      <c r="L36" s="510"/>
      <c r="M36" s="437"/>
      <c r="N36" s="831"/>
      <c r="O36" s="510"/>
      <c r="P36" s="437"/>
      <c r="Q36" s="831"/>
      <c r="R36" s="510"/>
      <c r="S36" s="437"/>
      <c r="T36" s="831"/>
      <c r="U36" s="510"/>
      <c r="V36" s="437"/>
      <c r="W36" s="831"/>
      <c r="X36" s="510"/>
      <c r="Y36" s="437"/>
      <c r="Z36" s="831"/>
      <c r="AA36" s="510"/>
      <c r="AB36" s="437"/>
      <c r="AC36" s="831"/>
      <c r="AD36" s="510"/>
      <c r="AE36" s="437"/>
      <c r="AF36" s="831"/>
      <c r="AG36" s="510"/>
      <c r="AH36" s="832"/>
      <c r="AI36" s="831"/>
      <c r="AJ36" s="510"/>
      <c r="AK36" s="832"/>
      <c r="AL36" s="831"/>
      <c r="AM36" s="510"/>
      <c r="AN36" s="832"/>
      <c r="AO36" s="340"/>
      <c r="AP36" s="340"/>
      <c r="AQ36" s="437"/>
      <c r="AR36" s="833"/>
      <c r="AS36" s="834"/>
      <c r="AT36" s="835"/>
    </row>
    <row r="37" spans="1:46" s="474" customFormat="1" ht="18.75" customHeight="1" x14ac:dyDescent="0.3">
      <c r="A37" s="815" t="s">
        <v>303</v>
      </c>
      <c r="B37" s="831"/>
      <c r="C37" s="510"/>
      <c r="D37" s="437"/>
      <c r="E37" s="831"/>
      <c r="F37" s="510"/>
      <c r="G37" s="437"/>
      <c r="H37" s="831"/>
      <c r="I37" s="510"/>
      <c r="J37" s="437"/>
      <c r="K37" s="831"/>
      <c r="L37" s="510"/>
      <c r="M37" s="437"/>
      <c r="N37" s="831"/>
      <c r="O37" s="510"/>
      <c r="P37" s="437"/>
      <c r="Q37" s="831"/>
      <c r="R37" s="510"/>
      <c r="S37" s="437"/>
      <c r="T37" s="831"/>
      <c r="U37" s="510"/>
      <c r="V37" s="437"/>
      <c r="W37" s="831"/>
      <c r="X37" s="510"/>
      <c r="Y37" s="437"/>
      <c r="Z37" s="831"/>
      <c r="AA37" s="510"/>
      <c r="AB37" s="437"/>
      <c r="AC37" s="831"/>
      <c r="AD37" s="510"/>
      <c r="AE37" s="437"/>
      <c r="AF37" s="831"/>
      <c r="AG37" s="510"/>
      <c r="AH37" s="437"/>
      <c r="AI37" s="831"/>
      <c r="AJ37" s="510"/>
      <c r="AK37" s="437"/>
      <c r="AL37" s="831"/>
      <c r="AM37" s="510"/>
      <c r="AN37" s="437"/>
      <c r="AO37" s="340"/>
      <c r="AP37" s="340"/>
      <c r="AQ37" s="437"/>
      <c r="AR37" s="836"/>
      <c r="AS37" s="837"/>
      <c r="AT37" s="838"/>
    </row>
    <row r="38" spans="1:46" s="451" customFormat="1" ht="18.75" customHeight="1" x14ac:dyDescent="0.3">
      <c r="A38" s="813" t="s">
        <v>304</v>
      </c>
      <c r="B38" s="823">
        <v>6.4009999999999998</v>
      </c>
      <c r="C38" s="501">
        <v>11.650074450444199</v>
      </c>
      <c r="D38" s="340">
        <f t="shared" ref="D38:D44" si="27">IF(B38=0, "    ---- ", IF(ABS(ROUND(100/B38*C38-100,1))&lt;999,ROUND(100/B38*C38-100,1),IF(ROUND(100/B38*C38-100,1)&gt;999,999,-999)))</f>
        <v>82</v>
      </c>
      <c r="E38" s="823">
        <v>902.62692090999997</v>
      </c>
      <c r="F38" s="501">
        <v>508.05054489000008</v>
      </c>
      <c r="G38" s="340">
        <f t="shared" ref="G38:G45" si="28">IF(E38=0, "    ---- ", IF(ABS(ROUND(100/E38*F38-100,1))&lt;999,ROUND(100/E38*F38-100,1),IF(ROUND(100/E38*F38-100,1)&gt;999,999,-999)))</f>
        <v>-43.7</v>
      </c>
      <c r="H38" s="823">
        <v>16.815604799999999</v>
      </c>
      <c r="I38" s="501">
        <v>45.381726520000001</v>
      </c>
      <c r="J38" s="340">
        <f t="shared" ref="J38:J44" si="29">IF(H38=0, "    ---- ", IF(ABS(ROUND(100/H38*I38-100,1))&lt;999,ROUND(100/H38*I38-100,1),IF(ROUND(100/H38*I38-100,1)&gt;999,999,-999)))</f>
        <v>169.9</v>
      </c>
      <c r="K38" s="823">
        <v>27.719000000000001</v>
      </c>
      <c r="L38" s="501">
        <v>-8.0079469999999997</v>
      </c>
      <c r="M38" s="340">
        <f t="shared" ref="M38:M44" si="30">IF(K38=0, "    ---- ", IF(ABS(ROUND(100/K38*L38-100,1))&lt;999,ROUND(100/K38*L38-100,1),IF(ROUND(100/K38*L38-100,1)&gt;999,999,-999)))</f>
        <v>-128.9</v>
      </c>
      <c r="N38" s="823">
        <v>8.8000000000000007</v>
      </c>
      <c r="O38" s="501">
        <v>22.9</v>
      </c>
      <c r="P38" s="340">
        <f t="shared" ref="P38:P45" si="31">IF(N38=0, "    ---- ", IF(ABS(ROUND(100/N38*O38-100,1))&lt;999,ROUND(100/N38*O38-100,1),IF(ROUND(100/N38*O38-100,1)&gt;999,999,-999)))</f>
        <v>160.19999999999999</v>
      </c>
      <c r="Q38" s="823">
        <v>0.74299999999999999</v>
      </c>
      <c r="R38" s="501">
        <v>2.33</v>
      </c>
      <c r="S38" s="340">
        <f t="shared" ref="S38:S44" si="32">IF(Q38=0, "    ---- ", IF(ABS(ROUND(100/Q38*R38-100,1))&lt;999,ROUND(100/Q38*R38-100,1),IF(ROUND(100/Q38*R38-100,1)&gt;999,999,-999)))</f>
        <v>213.6</v>
      </c>
      <c r="T38" s="195">
        <v>1291.7368135300001</v>
      </c>
      <c r="U38" s="501">
        <v>1066.3798116200001</v>
      </c>
      <c r="V38" s="340">
        <f t="shared" ref="V38:V45" si="33">IF(T38=0, "    ---- ", IF(ABS(ROUND(100/T38*U38-100,1))&lt;999,ROUND(100/T38*U38-100,1),IF(ROUND(100/T38*U38-100,1)&gt;999,999,-999)))</f>
        <v>-17.399999999999999</v>
      </c>
      <c r="W38" s="823">
        <v>14</v>
      </c>
      <c r="X38" s="501">
        <v>98.5</v>
      </c>
      <c r="Y38" s="340">
        <f t="shared" ref="Y38:Y45" si="34">IF(W38=0, "    ---- ", IF(ABS(ROUND(100/W38*X38-100,1))&lt;999,ROUND(100/W38*X38-100,1),IF(ROUND(100/W38*X38-100,1)&gt;999,999,-999)))</f>
        <v>603.6</v>
      </c>
      <c r="Z38" s="823">
        <v>664</v>
      </c>
      <c r="AA38" s="501">
        <v>-29</v>
      </c>
      <c r="AB38" s="340">
        <f t="shared" ref="AB38:AB44" si="35">IF(Z38=0, "    ---- ", IF(ABS(ROUND(100/Z38*AA38-100,1))&lt;999,ROUND(100/Z38*AA38-100,1),IF(ROUND(100/Z38*AA38-100,1)&gt;999,999,-999)))</f>
        <v>-104.4</v>
      </c>
      <c r="AC38" s="823">
        <v>0.39400000000000002</v>
      </c>
      <c r="AD38" s="501">
        <v>1.5820000000000001</v>
      </c>
      <c r="AE38" s="340">
        <f>IF(AC38=0, "    ---- ", IF(ABS(ROUND(100/AC38*AD38-100,1))&lt;999,ROUND(100/AC38*AD38-100,1),IF(ROUND(100/AC38*AD38-100,1)&gt;999,999,-999)))</f>
        <v>301.5</v>
      </c>
      <c r="AF38" s="823">
        <v>405.86493707999995</v>
      </c>
      <c r="AG38" s="501">
        <v>2.4380179300084697</v>
      </c>
      <c r="AH38" s="340">
        <f t="shared" ref="AH38:AH45" si="36">IF(AF38=0, "    ---- ", IF(ABS(ROUND(100/AF38*AG38-100,1))&lt;999,ROUND(100/AF38*AG38-100,1),IF(ROUND(100/AF38*AG38-100,1)&gt;999,999,-999)))</f>
        <v>-99.4</v>
      </c>
      <c r="AI38" s="823">
        <v>2220</v>
      </c>
      <c r="AJ38" s="501">
        <v>1759</v>
      </c>
      <c r="AK38" s="340">
        <f t="shared" ref="AK38:AK45" si="37">IF(AI38=0, "    ---- ", IF(ABS(ROUND(100/AI38*AJ38-100,1))&lt;999,ROUND(100/AI38*AJ38-100,1),IF(ROUND(100/AI38*AJ38-100,1)&gt;999,999,-999)))</f>
        <v>-20.8</v>
      </c>
      <c r="AL38" s="823"/>
      <c r="AM38" s="501"/>
      <c r="AN38" s="340"/>
      <c r="AO38" s="340">
        <f t="shared" si="14"/>
        <v>5557.96427632</v>
      </c>
      <c r="AP38" s="340">
        <f t="shared" si="14"/>
        <v>3477.2922284104529</v>
      </c>
      <c r="AQ38" s="340">
        <f t="shared" si="12"/>
        <v>-37.4</v>
      </c>
      <c r="AR38" s="825"/>
      <c r="AS38" s="839"/>
      <c r="AT38" s="729"/>
    </row>
    <row r="39" spans="1:46" s="451" customFormat="1" ht="18.75" customHeight="1" x14ac:dyDescent="0.3">
      <c r="A39" s="813" t="s">
        <v>305</v>
      </c>
      <c r="B39" s="823"/>
      <c r="C39" s="501">
        <v>2.09</v>
      </c>
      <c r="D39" s="340" t="str">
        <f t="shared" si="27"/>
        <v xml:space="preserve">    ---- </v>
      </c>
      <c r="E39" s="823">
        <v>81.046770069999994</v>
      </c>
      <c r="F39" s="501">
        <v>11.036992</v>
      </c>
      <c r="G39" s="340">
        <f t="shared" si="28"/>
        <v>-86.4</v>
      </c>
      <c r="H39" s="823"/>
      <c r="I39" s="501"/>
      <c r="J39" s="340"/>
      <c r="K39" s="823">
        <v>5.3999999999999999E-2</v>
      </c>
      <c r="L39" s="501"/>
      <c r="M39" s="340">
        <f t="shared" si="30"/>
        <v>-100</v>
      </c>
      <c r="N39" s="823"/>
      <c r="O39" s="501">
        <v>5.6</v>
      </c>
      <c r="P39" s="340" t="str">
        <f t="shared" si="31"/>
        <v xml:space="preserve">    ---- </v>
      </c>
      <c r="Q39" s="823"/>
      <c r="R39" s="501"/>
      <c r="S39" s="340"/>
      <c r="T39" s="195">
        <v>9.7113466199999987</v>
      </c>
      <c r="U39" s="501">
        <v>15.61808106</v>
      </c>
      <c r="V39" s="340">
        <f t="shared" si="33"/>
        <v>60.8</v>
      </c>
      <c r="W39" s="823">
        <v>0</v>
      </c>
      <c r="X39" s="501">
        <v>0</v>
      </c>
      <c r="Y39" s="340" t="str">
        <f t="shared" si="34"/>
        <v xml:space="preserve">    ---- </v>
      </c>
      <c r="Z39" s="823">
        <v>6</v>
      </c>
      <c r="AA39" s="501">
        <v>11</v>
      </c>
      <c r="AB39" s="340">
        <f t="shared" si="35"/>
        <v>83.3</v>
      </c>
      <c r="AC39" s="823"/>
      <c r="AD39" s="501"/>
      <c r="AE39" s="340"/>
      <c r="AF39" s="823">
        <v>3.0159212900000001</v>
      </c>
      <c r="AG39" s="501">
        <v>8.3894804100000009</v>
      </c>
      <c r="AH39" s="340">
        <f t="shared" si="36"/>
        <v>178.2</v>
      </c>
      <c r="AI39" s="823">
        <v>12.1</v>
      </c>
      <c r="AJ39" s="501">
        <v>22</v>
      </c>
      <c r="AK39" s="340">
        <f t="shared" si="37"/>
        <v>81.8</v>
      </c>
      <c r="AL39" s="823"/>
      <c r="AM39" s="501"/>
      <c r="AN39" s="340"/>
      <c r="AO39" s="340">
        <f t="shared" si="14"/>
        <v>111.92803797999998</v>
      </c>
      <c r="AP39" s="340">
        <f t="shared" si="14"/>
        <v>75.734553469999994</v>
      </c>
      <c r="AQ39" s="340">
        <f t="shared" si="12"/>
        <v>-32.299999999999997</v>
      </c>
      <c r="AR39" s="340"/>
      <c r="AS39" s="840"/>
      <c r="AT39" s="340"/>
    </row>
    <row r="40" spans="1:46" s="451" customFormat="1" ht="18.75" customHeight="1" x14ac:dyDescent="0.3">
      <c r="A40" s="813" t="s">
        <v>306</v>
      </c>
      <c r="B40" s="823"/>
      <c r="C40" s="501"/>
      <c r="D40" s="340"/>
      <c r="E40" s="823">
        <v>-475.76172188999999</v>
      </c>
      <c r="F40" s="501">
        <v>-330.16120032999999</v>
      </c>
      <c r="G40" s="340">
        <f t="shared" si="28"/>
        <v>-30.6</v>
      </c>
      <c r="H40" s="823">
        <v>-19.614094139999999</v>
      </c>
      <c r="I40" s="501">
        <v>-26.107022390000001</v>
      </c>
      <c r="J40" s="340">
        <f t="shared" si="29"/>
        <v>33.1</v>
      </c>
      <c r="K40" s="823">
        <v>-7.6</v>
      </c>
      <c r="L40" s="501"/>
      <c r="M40" s="340">
        <f t="shared" si="30"/>
        <v>-100</v>
      </c>
      <c r="N40" s="823">
        <v>-8.3000000000000007</v>
      </c>
      <c r="O40" s="501">
        <v>-10.1</v>
      </c>
      <c r="P40" s="340">
        <f t="shared" si="31"/>
        <v>21.7</v>
      </c>
      <c r="Q40" s="823"/>
      <c r="R40" s="501"/>
      <c r="S40" s="340"/>
      <c r="T40" s="195">
        <v>-271.80655637000001</v>
      </c>
      <c r="U40" s="501">
        <v>-271.49333091000005</v>
      </c>
      <c r="V40" s="340">
        <f t="shared" si="33"/>
        <v>-0.1</v>
      </c>
      <c r="W40" s="823">
        <v>-85</v>
      </c>
      <c r="X40" s="501">
        <v>-118.11</v>
      </c>
      <c r="Y40" s="340">
        <f t="shared" si="34"/>
        <v>39</v>
      </c>
      <c r="Z40" s="823">
        <v>-128</v>
      </c>
      <c r="AA40" s="501">
        <v>-109</v>
      </c>
      <c r="AB40" s="340">
        <f t="shared" si="35"/>
        <v>-14.8</v>
      </c>
      <c r="AC40" s="823"/>
      <c r="AD40" s="501"/>
      <c r="AE40" s="340"/>
      <c r="AF40" s="823">
        <v>-62.366978431100002</v>
      </c>
      <c r="AG40" s="501">
        <v>-4.7545037033000028</v>
      </c>
      <c r="AH40" s="340">
        <f t="shared" si="36"/>
        <v>-92.4</v>
      </c>
      <c r="AI40" s="823">
        <v>-500.5</v>
      </c>
      <c r="AJ40" s="501">
        <v>-633.4</v>
      </c>
      <c r="AK40" s="340">
        <f t="shared" si="37"/>
        <v>26.6</v>
      </c>
      <c r="AL40" s="823"/>
      <c r="AM40" s="501"/>
      <c r="AN40" s="340"/>
      <c r="AO40" s="340">
        <f t="shared" si="14"/>
        <v>-1558.9493508311</v>
      </c>
      <c r="AP40" s="340">
        <f t="shared" si="14"/>
        <v>-1503.1260573333002</v>
      </c>
      <c r="AQ40" s="340">
        <f t="shared" si="12"/>
        <v>-3.6</v>
      </c>
      <c r="AR40" s="340"/>
      <c r="AS40" s="840"/>
      <c r="AT40" s="340"/>
    </row>
    <row r="41" spans="1:46" s="842" customFormat="1" ht="18.75" customHeight="1" x14ac:dyDescent="0.3">
      <c r="A41" s="830" t="s">
        <v>307</v>
      </c>
      <c r="B41" s="831">
        <v>6.4009999999999998</v>
      </c>
      <c r="C41" s="510">
        <v>13.740074450444199</v>
      </c>
      <c r="D41" s="437">
        <f t="shared" si="27"/>
        <v>114.7</v>
      </c>
      <c r="E41" s="831">
        <f>SUM(E38:E40)</f>
        <v>507.91196908999996</v>
      </c>
      <c r="F41" s="510">
        <f>SUM(F38:F40)</f>
        <v>188.92633656000015</v>
      </c>
      <c r="G41" s="437">
        <f t="shared" si="28"/>
        <v>-62.8</v>
      </c>
      <c r="H41" s="831">
        <f>SUM(H38:H40)</f>
        <v>-2.7984893399999997</v>
      </c>
      <c r="I41" s="510">
        <f>SUM(I38:I40)</f>
        <v>19.27470413</v>
      </c>
      <c r="J41" s="437">
        <f t="shared" si="29"/>
        <v>-788.8</v>
      </c>
      <c r="K41" s="831">
        <f>SUM(K38:K40)</f>
        <v>20.173000000000002</v>
      </c>
      <c r="L41" s="510">
        <f>SUM(L38:L40)</f>
        <v>-8.0079469999999997</v>
      </c>
      <c r="M41" s="437">
        <f t="shared" si="30"/>
        <v>-139.69999999999999</v>
      </c>
      <c r="N41" s="831">
        <f>SUM(N38:N40)</f>
        <v>0.5</v>
      </c>
      <c r="O41" s="510">
        <f>SUM(O38:O40)</f>
        <v>18.399999999999999</v>
      </c>
      <c r="P41" s="437">
        <f t="shared" si="31"/>
        <v>999</v>
      </c>
      <c r="Q41" s="831">
        <f>SUM(Q38:Q40)</f>
        <v>0.74299999999999999</v>
      </c>
      <c r="R41" s="510">
        <f>SUM(R38:R40)</f>
        <v>2.33</v>
      </c>
      <c r="S41" s="437">
        <f t="shared" si="32"/>
        <v>213.6</v>
      </c>
      <c r="T41" s="962">
        <v>1029.6416037800002</v>
      </c>
      <c r="U41" s="510">
        <v>810.5045617699999</v>
      </c>
      <c r="V41" s="437">
        <f t="shared" si="33"/>
        <v>-21.3</v>
      </c>
      <c r="W41" s="831">
        <f>SUM(W38:W40)</f>
        <v>-71</v>
      </c>
      <c r="X41" s="510">
        <f>SUM(X38:X40)</f>
        <v>-19.61</v>
      </c>
      <c r="Y41" s="437">
        <f t="shared" si="34"/>
        <v>-72.400000000000006</v>
      </c>
      <c r="Z41" s="831">
        <f>SUM(Z38:Z40)</f>
        <v>542</v>
      </c>
      <c r="AA41" s="510">
        <f>SUM(AA38:AA40)</f>
        <v>-127</v>
      </c>
      <c r="AB41" s="437">
        <f t="shared" si="35"/>
        <v>-123.4</v>
      </c>
      <c r="AC41" s="831">
        <f>SUM(AC38:AC40)</f>
        <v>0.39400000000000002</v>
      </c>
      <c r="AD41" s="510">
        <f>SUM(AD38:AD40)</f>
        <v>1.5820000000000001</v>
      </c>
      <c r="AE41" s="437">
        <f>IF(AC41=0, "    ---- ", IF(ABS(ROUND(100/AC41*AD41-100,1))&lt;999,ROUND(100/AC41*AD41-100,1),IF(ROUND(100/AC41*AD41-100,1)&gt;999,999,-999)))</f>
        <v>301.5</v>
      </c>
      <c r="AF41" s="831">
        <f>SUM(AF38:AF40)</f>
        <v>346.51387993889995</v>
      </c>
      <c r="AG41" s="510">
        <f>SUM(AG38:AG40)</f>
        <v>6.0729946367084686</v>
      </c>
      <c r="AH41" s="437">
        <f t="shared" si="36"/>
        <v>-98.2</v>
      </c>
      <c r="AI41" s="831">
        <f>SUM(AI38:AI40)</f>
        <v>1731.6</v>
      </c>
      <c r="AJ41" s="510">
        <f>SUM(AJ38:AJ40)</f>
        <v>1147.5999999999999</v>
      </c>
      <c r="AK41" s="437">
        <f t="shared" si="37"/>
        <v>-33.700000000000003</v>
      </c>
      <c r="AL41" s="831"/>
      <c r="AM41" s="510"/>
      <c r="AN41" s="437"/>
      <c r="AO41" s="340">
        <f t="shared" si="14"/>
        <v>4110.9429634689004</v>
      </c>
      <c r="AP41" s="340">
        <f t="shared" si="14"/>
        <v>2049.9007245471525</v>
      </c>
      <c r="AQ41" s="437">
        <f t="shared" si="12"/>
        <v>-50.1</v>
      </c>
      <c r="AR41" s="437"/>
      <c r="AS41" s="841"/>
      <c r="AT41" s="437"/>
    </row>
    <row r="42" spans="1:46" s="842" customFormat="1" ht="18.75" customHeight="1" x14ac:dyDescent="0.3">
      <c r="A42" s="830" t="s">
        <v>308</v>
      </c>
      <c r="B42" s="831">
        <v>151.35999999999777</v>
      </c>
      <c r="C42" s="510">
        <v>26.25737117000115</v>
      </c>
      <c r="D42" s="437">
        <f t="shared" si="27"/>
        <v>-82.7</v>
      </c>
      <c r="E42" s="831">
        <f>E35+E41</f>
        <v>1521.1518355099965</v>
      </c>
      <c r="F42" s="510">
        <f>F35+F41</f>
        <v>1129.2811023100057</v>
      </c>
      <c r="G42" s="437">
        <f t="shared" si="28"/>
        <v>-25.8</v>
      </c>
      <c r="H42" s="831">
        <f>H35+H41</f>
        <v>870.38568350000071</v>
      </c>
      <c r="I42" s="510">
        <f>I35+I41</f>
        <v>604.94498125999996</v>
      </c>
      <c r="J42" s="437">
        <f t="shared" si="29"/>
        <v>-30.5</v>
      </c>
      <c r="K42" s="831">
        <f>K35+K41</f>
        <v>105.32975200000007</v>
      </c>
      <c r="L42" s="510">
        <f>L35+L41</f>
        <v>-56.104802999999976</v>
      </c>
      <c r="M42" s="437">
        <f t="shared" si="30"/>
        <v>-153.30000000000001</v>
      </c>
      <c r="N42" s="831">
        <f>N35+N41</f>
        <v>213.70000000000005</v>
      </c>
      <c r="O42" s="510">
        <f>O35+O41</f>
        <v>217.09999999999994</v>
      </c>
      <c r="P42" s="437">
        <f t="shared" si="31"/>
        <v>1.6</v>
      </c>
      <c r="Q42" s="831">
        <f>Q35+Q41</f>
        <v>13.541</v>
      </c>
      <c r="R42" s="510">
        <f>R35+R41</f>
        <v>18.565999999999995</v>
      </c>
      <c r="S42" s="437">
        <f t="shared" si="32"/>
        <v>37.1</v>
      </c>
      <c r="T42" s="962">
        <v>287.93260585999724</v>
      </c>
      <c r="U42" s="510">
        <v>917.72920285999828</v>
      </c>
      <c r="V42" s="437">
        <f t="shared" si="33"/>
        <v>218.7</v>
      </c>
      <c r="W42" s="831">
        <f>W35+W41</f>
        <v>884</v>
      </c>
      <c r="X42" s="510">
        <f>X35+X41</f>
        <v>904.44995786000231</v>
      </c>
      <c r="Y42" s="437">
        <f t="shared" si="34"/>
        <v>2.2999999999999998</v>
      </c>
      <c r="Z42" s="831">
        <f>Z35+Z41</f>
        <v>1211</v>
      </c>
      <c r="AA42" s="510">
        <f>AA35+AA41</f>
        <v>291</v>
      </c>
      <c r="AB42" s="437">
        <f t="shared" si="35"/>
        <v>-76</v>
      </c>
      <c r="AC42" s="831">
        <f>AC35+AC41</f>
        <v>17.291000000000075</v>
      </c>
      <c r="AD42" s="510">
        <f>AD35+AD41</f>
        <v>9.5409309999997962</v>
      </c>
      <c r="AE42" s="437">
        <f>IF(AC42=0, "    ---- ", IF(ABS(ROUND(100/AC42*AD42-100,1))&lt;999,ROUND(100/AC42*AD42-100,1),IF(ROUND(100/AC42*AD42-100,1)&gt;999,999,-999)))</f>
        <v>-44.8</v>
      </c>
      <c r="AF42" s="831">
        <f>AF35+AF41</f>
        <v>893.41776835998871</v>
      </c>
      <c r="AG42" s="510">
        <f>AG35+AG41</f>
        <v>67.498505440007165</v>
      </c>
      <c r="AH42" s="437">
        <f t="shared" si="36"/>
        <v>-92.4</v>
      </c>
      <c r="AI42" s="831">
        <f>AI35+AI41</f>
        <v>3148.6999999999962</v>
      </c>
      <c r="AJ42" s="510">
        <f>AJ35+AJ41</f>
        <v>2545.6</v>
      </c>
      <c r="AK42" s="437">
        <f t="shared" si="37"/>
        <v>-19.2</v>
      </c>
      <c r="AL42" s="831"/>
      <c r="AM42" s="510">
        <f>AM35+AM41</f>
        <v>-33</v>
      </c>
      <c r="AN42" s="437" t="str">
        <f t="shared" ref="AN42:AN44" si="38">IF(AL42=0, "    ---- ", IF(ABS(ROUND(100/AL42*AM42-100,1))&lt;999,ROUND(100/AL42*AM42-100,1),IF(ROUND(100/AL42*AM42-100,1)&gt;999,999,-999)))</f>
        <v xml:space="preserve">    ---- </v>
      </c>
      <c r="AO42" s="340">
        <f t="shared" si="14"/>
        <v>9286.9776452299775</v>
      </c>
      <c r="AP42" s="340">
        <f t="shared" si="14"/>
        <v>6647.7563179000135</v>
      </c>
      <c r="AQ42" s="437">
        <f t="shared" si="12"/>
        <v>-28.4</v>
      </c>
      <c r="AR42" s="437"/>
      <c r="AS42" s="841"/>
      <c r="AT42" s="437"/>
    </row>
    <row r="43" spans="1:46" s="451" customFormat="1" ht="18.75" customHeight="1" x14ac:dyDescent="0.3">
      <c r="A43" s="813" t="s">
        <v>309</v>
      </c>
      <c r="B43" s="823">
        <v>-37.646999999999998</v>
      </c>
      <c r="C43" s="501">
        <v>-7.41664368</v>
      </c>
      <c r="D43" s="340">
        <f t="shared" si="27"/>
        <v>-80.3</v>
      </c>
      <c r="E43" s="823">
        <v>-596.31950700000004</v>
      </c>
      <c r="F43" s="501">
        <v>-253.88920899999999</v>
      </c>
      <c r="G43" s="340">
        <f t="shared" si="28"/>
        <v>-57.4</v>
      </c>
      <c r="H43" s="823">
        <v>-249.49672551</v>
      </c>
      <c r="I43" s="501">
        <v>-182.58810201</v>
      </c>
      <c r="J43" s="340">
        <f t="shared" si="29"/>
        <v>-26.8</v>
      </c>
      <c r="K43" s="823">
        <v>-22.620999999999999</v>
      </c>
      <c r="L43" s="501">
        <v>10.71</v>
      </c>
      <c r="M43" s="340">
        <f t="shared" si="30"/>
        <v>-147.30000000000001</v>
      </c>
      <c r="N43" s="823">
        <v>-51</v>
      </c>
      <c r="O43" s="501">
        <v>-53</v>
      </c>
      <c r="P43" s="340">
        <f t="shared" si="31"/>
        <v>3.9</v>
      </c>
      <c r="Q43" s="823">
        <v>-3.395</v>
      </c>
      <c r="R43" s="501">
        <v>-9</v>
      </c>
      <c r="S43" s="340">
        <f t="shared" si="32"/>
        <v>165.1</v>
      </c>
      <c r="T43" s="195">
        <v>115.303496525</v>
      </c>
      <c r="U43" s="501">
        <v>-124.55895547499999</v>
      </c>
      <c r="V43" s="340">
        <f t="shared" si="33"/>
        <v>-208</v>
      </c>
      <c r="W43" s="823">
        <v>-211</v>
      </c>
      <c r="X43" s="501">
        <v>-222.89</v>
      </c>
      <c r="Y43" s="340">
        <f t="shared" si="34"/>
        <v>5.6</v>
      </c>
      <c r="Z43" s="823">
        <v>-333</v>
      </c>
      <c r="AA43" s="501">
        <v>-154</v>
      </c>
      <c r="AB43" s="340">
        <f t="shared" si="35"/>
        <v>-53.8</v>
      </c>
      <c r="AC43" s="823">
        <v>-3.8039999999999998</v>
      </c>
      <c r="AD43" s="501">
        <v>-2.097</v>
      </c>
      <c r="AE43" s="340">
        <f>IF(AC43=0, "    ---- ", IF(ABS(ROUND(100/AC43*AD43-100,1))&lt;999,ROUND(100/AC43*AD43-100,1),IF(ROUND(100/AC43*AD43-100,1)&gt;999,999,-999)))</f>
        <v>-44.9</v>
      </c>
      <c r="AF43" s="823">
        <v>-115.60053499999999</v>
      </c>
      <c r="AG43" s="501">
        <v>-14.872059999999999</v>
      </c>
      <c r="AH43" s="340">
        <f t="shared" si="36"/>
        <v>-87.1</v>
      </c>
      <c r="AI43" s="823">
        <v>-503.7</v>
      </c>
      <c r="AJ43" s="501">
        <v>461.2</v>
      </c>
      <c r="AK43" s="340">
        <f t="shared" si="37"/>
        <v>-191.6</v>
      </c>
      <c r="AL43" s="823"/>
      <c r="AM43" s="501"/>
      <c r="AN43" s="340"/>
      <c r="AO43" s="340">
        <f t="shared" si="14"/>
        <v>-2005.0812709850002</v>
      </c>
      <c r="AP43" s="340">
        <f t="shared" si="14"/>
        <v>-541.30497016499999</v>
      </c>
      <c r="AQ43" s="340">
        <f t="shared" si="12"/>
        <v>-73</v>
      </c>
      <c r="AR43" s="340"/>
      <c r="AS43" s="840"/>
      <c r="AT43" s="340"/>
    </row>
    <row r="44" spans="1:46" s="842" customFormat="1" ht="18.75" customHeight="1" x14ac:dyDescent="0.3">
      <c r="A44" s="830" t="s">
        <v>489</v>
      </c>
      <c r="B44" s="831">
        <v>113.71299999999778</v>
      </c>
      <c r="C44" s="510">
        <v>18.84072749000115</v>
      </c>
      <c r="D44" s="437">
        <f t="shared" si="27"/>
        <v>-83.4</v>
      </c>
      <c r="E44" s="831">
        <f>E42+E43</f>
        <v>924.8323285099965</v>
      </c>
      <c r="F44" s="510">
        <f>F42+F43</f>
        <v>875.3918933100058</v>
      </c>
      <c r="G44" s="437">
        <f t="shared" si="28"/>
        <v>-5.3</v>
      </c>
      <c r="H44" s="831">
        <f>H42+H43</f>
        <v>620.88895799000068</v>
      </c>
      <c r="I44" s="510">
        <f>I42+I43</f>
        <v>422.35687924999996</v>
      </c>
      <c r="J44" s="437">
        <f t="shared" si="29"/>
        <v>-32</v>
      </c>
      <c r="K44" s="831">
        <f>K42+K43</f>
        <v>82.708752000000075</v>
      </c>
      <c r="L44" s="510">
        <f>L42+L43</f>
        <v>-45.394802999999975</v>
      </c>
      <c r="M44" s="437">
        <f t="shared" si="30"/>
        <v>-154.9</v>
      </c>
      <c r="N44" s="831">
        <f>N42+N43</f>
        <v>162.70000000000005</v>
      </c>
      <c r="O44" s="510">
        <f>O42+O43</f>
        <v>164.09999999999994</v>
      </c>
      <c r="P44" s="437">
        <f t="shared" si="31"/>
        <v>0.9</v>
      </c>
      <c r="Q44" s="831">
        <f>Q42+Q43</f>
        <v>10.146000000000001</v>
      </c>
      <c r="R44" s="510">
        <f>R42+R43</f>
        <v>9.5659999999999954</v>
      </c>
      <c r="S44" s="437">
        <f t="shared" si="32"/>
        <v>-5.7</v>
      </c>
      <c r="T44" s="962">
        <v>403.23610238499725</v>
      </c>
      <c r="U44" s="510">
        <v>793.17024738499833</v>
      </c>
      <c r="V44" s="437">
        <f t="shared" si="33"/>
        <v>96.7</v>
      </c>
      <c r="W44" s="831">
        <f>W42+W43</f>
        <v>673</v>
      </c>
      <c r="X44" s="510">
        <f>X42+X43</f>
        <v>681.55995786000233</v>
      </c>
      <c r="Y44" s="437">
        <f t="shared" si="34"/>
        <v>1.3</v>
      </c>
      <c r="Z44" s="831">
        <f>Z42+Z43</f>
        <v>878</v>
      </c>
      <c r="AA44" s="510">
        <f>AA42+AA43</f>
        <v>137</v>
      </c>
      <c r="AB44" s="437">
        <f t="shared" si="35"/>
        <v>-84.4</v>
      </c>
      <c r="AC44" s="831">
        <f>AC42+AC43</f>
        <v>13.487000000000075</v>
      </c>
      <c r="AD44" s="510">
        <f>AD42+AD43</f>
        <v>7.4439309999997967</v>
      </c>
      <c r="AE44" s="437">
        <f>IF(AC44=0, "    ---- ", IF(ABS(ROUND(100/AC44*AD44-100,1))&lt;999,ROUND(100/AC44*AD44-100,1),IF(ROUND(100/AC44*AD44-100,1)&gt;999,999,-999)))</f>
        <v>-44.8</v>
      </c>
      <c r="AF44" s="831">
        <f>AF42+AF43</f>
        <v>777.81723335998868</v>
      </c>
      <c r="AG44" s="510">
        <f>AG42+AG43</f>
        <v>52.626445440007167</v>
      </c>
      <c r="AH44" s="437">
        <f t="shared" si="36"/>
        <v>-93.2</v>
      </c>
      <c r="AI44" s="831">
        <f>AI42+AI43</f>
        <v>2644.9999999999964</v>
      </c>
      <c r="AJ44" s="510">
        <f>AJ42+AJ43</f>
        <v>3006.7999999999997</v>
      </c>
      <c r="AK44" s="437">
        <f t="shared" si="37"/>
        <v>13.7</v>
      </c>
      <c r="AL44" s="831"/>
      <c r="AM44" s="510">
        <f>AM42+AM43</f>
        <v>-33</v>
      </c>
      <c r="AN44" s="437" t="str">
        <f t="shared" si="38"/>
        <v xml:space="preserve">    ---- </v>
      </c>
      <c r="AO44" s="340">
        <f t="shared" si="14"/>
        <v>7281.8963742449778</v>
      </c>
      <c r="AP44" s="340">
        <f t="shared" si="14"/>
        <v>6106.4513477350138</v>
      </c>
      <c r="AQ44" s="437">
        <f t="shared" si="12"/>
        <v>-16.100000000000001</v>
      </c>
      <c r="AR44" s="437"/>
      <c r="AS44" s="841"/>
      <c r="AT44" s="437"/>
    </row>
    <row r="45" spans="1:46" s="451" customFormat="1" ht="18.75" customHeight="1" x14ac:dyDescent="0.3">
      <c r="A45" s="813" t="s">
        <v>490</v>
      </c>
      <c r="B45" s="823"/>
      <c r="C45" s="501"/>
      <c r="D45" s="340"/>
      <c r="E45" s="823"/>
      <c r="F45" s="501">
        <v>-3.0453862099999998</v>
      </c>
      <c r="G45" s="340" t="str">
        <f t="shared" si="28"/>
        <v xml:space="preserve">    ---- </v>
      </c>
      <c r="H45" s="823"/>
      <c r="I45" s="501"/>
      <c r="J45" s="340"/>
      <c r="K45" s="823">
        <v>3.5999999999999997E-2</v>
      </c>
      <c r="L45" s="501"/>
      <c r="M45" s="340"/>
      <c r="N45" s="823">
        <v>-0.7</v>
      </c>
      <c r="O45" s="501">
        <v>-4.7</v>
      </c>
      <c r="P45" s="340">
        <f t="shared" si="31"/>
        <v>571.4</v>
      </c>
      <c r="Q45" s="823"/>
      <c r="R45" s="501"/>
      <c r="S45" s="340"/>
      <c r="T45" s="195">
        <v>65.844472175000007</v>
      </c>
      <c r="U45" s="501">
        <v>104.008411075</v>
      </c>
      <c r="V45" s="340">
        <f t="shared" si="33"/>
        <v>58</v>
      </c>
      <c r="W45" s="823">
        <v>12</v>
      </c>
      <c r="X45" s="501">
        <v>8.58</v>
      </c>
      <c r="Y45" s="340">
        <f t="shared" si="34"/>
        <v>-28.5</v>
      </c>
      <c r="Z45" s="823"/>
      <c r="AA45" s="501">
        <v>-4</v>
      </c>
      <c r="AB45" s="340"/>
      <c r="AC45" s="823"/>
      <c r="AD45" s="501"/>
      <c r="AE45" s="340"/>
      <c r="AF45" s="823">
        <v>0.150949</v>
      </c>
      <c r="AG45" s="501">
        <v>0.34721932</v>
      </c>
      <c r="AH45" s="340">
        <f t="shared" si="36"/>
        <v>130</v>
      </c>
      <c r="AI45" s="823">
        <f>15.9-56.2</f>
        <v>-40.300000000000004</v>
      </c>
      <c r="AJ45" s="501">
        <v>-6.4</v>
      </c>
      <c r="AK45" s="340">
        <f t="shared" si="37"/>
        <v>-84.1</v>
      </c>
      <c r="AL45" s="823"/>
      <c r="AM45" s="501"/>
      <c r="AN45" s="340"/>
      <c r="AO45" s="340">
        <f t="shared" si="14"/>
        <v>37.031421174999998</v>
      </c>
      <c r="AP45" s="340">
        <f t="shared" si="14"/>
        <v>94.790244184999992</v>
      </c>
      <c r="AQ45" s="340">
        <f t="shared" si="12"/>
        <v>156</v>
      </c>
      <c r="AR45" s="340"/>
      <c r="AS45" s="840"/>
      <c r="AT45" s="340"/>
    </row>
    <row r="46" spans="1:46" s="842" customFormat="1" ht="18.75" customHeight="1" x14ac:dyDescent="0.3">
      <c r="A46" s="829" t="s">
        <v>310</v>
      </c>
      <c r="B46" s="843">
        <v>113.71299999999778</v>
      </c>
      <c r="C46" s="512">
        <v>18.84072749000115</v>
      </c>
      <c r="D46" s="445">
        <f>IF(B46=0, "    ---- ", IF(ABS(ROUND(100/B46*C46-100,1))&lt;999,ROUND(100/B46*C46-100,1),IF(ROUND(100/B46*C46-100,1)&gt;999,999,-999)))</f>
        <v>-83.4</v>
      </c>
      <c r="E46" s="843">
        <f>E44+E45</f>
        <v>924.8323285099965</v>
      </c>
      <c r="F46" s="512">
        <f>F44+F45</f>
        <v>872.34650710000585</v>
      </c>
      <c r="G46" s="445">
        <f>IF(E46=0, "    ---- ", IF(ABS(ROUND(100/E46*F46-100,1))&lt;999,ROUND(100/E46*F46-100,1),IF(ROUND(100/E46*F46-100,1)&gt;999,999,-999)))</f>
        <v>-5.7</v>
      </c>
      <c r="H46" s="843">
        <f>H44+H45</f>
        <v>620.88895799000068</v>
      </c>
      <c r="I46" s="512">
        <f>I44+I45</f>
        <v>422.35687924999996</v>
      </c>
      <c r="J46" s="445">
        <f>IF(H46=0, "    ---- ", IF(ABS(ROUND(100/H46*I46-100,1))&lt;999,ROUND(100/H46*I46-100,1),IF(ROUND(100/H46*I46-100,1)&gt;999,999,-999)))</f>
        <v>-32</v>
      </c>
      <c r="K46" s="843">
        <f>K44+K45</f>
        <v>82.744752000000076</v>
      </c>
      <c r="L46" s="512">
        <f>L44+L45</f>
        <v>-45.394802999999975</v>
      </c>
      <c r="M46" s="445">
        <f>IF(K46=0, "    ---- ", IF(ABS(ROUND(100/K46*L46-100,1))&lt;999,ROUND(100/K46*L46-100,1),IF(ROUND(100/K46*L46-100,1)&gt;999,999,-999)))</f>
        <v>-154.9</v>
      </c>
      <c r="N46" s="843">
        <f>N44+N45</f>
        <v>162.00000000000006</v>
      </c>
      <c r="O46" s="512">
        <f>O44+O45</f>
        <v>159.39999999999995</v>
      </c>
      <c r="P46" s="445">
        <f>IF(N46=0, "    ---- ", IF(ABS(ROUND(100/N46*O46-100,1))&lt;999,ROUND(100/N46*O46-100,1),IF(ROUND(100/N46*O46-100,1)&gt;999,999,-999)))</f>
        <v>-1.6</v>
      </c>
      <c r="Q46" s="843">
        <f>Q44+Q45</f>
        <v>10.146000000000001</v>
      </c>
      <c r="R46" s="512">
        <f>R44+R45</f>
        <v>9.5659999999999954</v>
      </c>
      <c r="S46" s="445">
        <f>IF(Q46=0, "    ---- ", IF(ABS(ROUND(100/Q46*R46-100,1))&lt;999,ROUND(100/Q46*R46-100,1),IF(ROUND(100/Q46*R46-100,1)&gt;999,999,-999)))</f>
        <v>-5.7</v>
      </c>
      <c r="T46" s="963">
        <v>469.08057455999727</v>
      </c>
      <c r="U46" s="512">
        <v>897.17865845999836</v>
      </c>
      <c r="V46" s="445">
        <f>IF(T46=0, "    ---- ", IF(ABS(ROUND(100/T46*U46-100,1))&lt;999,ROUND(100/T46*U46-100,1),IF(ROUND(100/T46*U46-100,1)&gt;999,999,-999)))</f>
        <v>91.3</v>
      </c>
      <c r="W46" s="843">
        <f>W44+W45</f>
        <v>685</v>
      </c>
      <c r="X46" s="512">
        <f>X44+X45</f>
        <v>690.13995786000237</v>
      </c>
      <c r="Y46" s="445">
        <f>IF(W46=0, "    ---- ", IF(ABS(ROUND(100/W46*X46-100,1))&lt;999,ROUND(100/W46*X46-100,1),IF(ROUND(100/W46*X46-100,1)&gt;999,999,-999)))</f>
        <v>0.8</v>
      </c>
      <c r="Z46" s="843">
        <f>Z44+Z45</f>
        <v>878</v>
      </c>
      <c r="AA46" s="512">
        <f>AA44+AA45</f>
        <v>133</v>
      </c>
      <c r="AB46" s="445">
        <f>IF(Z46=0, "    ---- ", IF(ABS(ROUND(100/Z46*AA46-100,1))&lt;999,ROUND(100/Z46*AA46-100,1),IF(ROUND(100/Z46*AA46-100,1)&gt;999,999,-999)))</f>
        <v>-84.9</v>
      </c>
      <c r="AC46" s="843">
        <f>AC44+AC45</f>
        <v>13.487000000000075</v>
      </c>
      <c r="AD46" s="512">
        <f>AD44+AD45</f>
        <v>7.4439309999997967</v>
      </c>
      <c r="AE46" s="445">
        <f>IF(AC46=0, "    ---- ", IF(ABS(ROUND(100/AC46*AD46-100,1))&lt;999,ROUND(100/AC46*AD46-100,1),IF(ROUND(100/AC46*AD46-100,1)&gt;999,999,-999)))</f>
        <v>-44.8</v>
      </c>
      <c r="AF46" s="843">
        <f>AF44+AF45</f>
        <v>777.96818235998865</v>
      </c>
      <c r="AG46" s="512">
        <f>AG44+AG45</f>
        <v>52.973664760007168</v>
      </c>
      <c r="AH46" s="445">
        <f>IF(AF46=0, "    ---- ", IF(ABS(ROUND(100/AF46*AG46-100,1))&lt;999,ROUND(100/AF46*AG46-100,1),IF(ROUND(100/AF46*AG46-100,1)&gt;999,999,-999)))</f>
        <v>-93.2</v>
      </c>
      <c r="AI46" s="843">
        <f>AI44+AI45</f>
        <v>2604.6999999999962</v>
      </c>
      <c r="AJ46" s="512">
        <f>AJ44+AJ45</f>
        <v>3000.3999999999996</v>
      </c>
      <c r="AK46" s="445">
        <f>IF(AI46=0, "    ---- ", IF(ABS(ROUND(100/AI46*AJ46-100,1))&lt;999,ROUND(100/AI46*AJ46-100,1),IF(ROUND(100/AI46*AJ46-100,1)&gt;999,999,-999)))</f>
        <v>15.2</v>
      </c>
      <c r="AL46" s="843"/>
      <c r="AM46" s="512">
        <f>AM44+AM45</f>
        <v>-33</v>
      </c>
      <c r="AN46" s="445" t="str">
        <f>IF(AL46=0, "    ---- ", IF(ABS(ROUND(100/AL46*AM46-100,1))&lt;999,ROUND(100/AL46*AM46-100,1),IF(ROUND(100/AL46*AM46-100,1)&gt;999,999,-999)))</f>
        <v xml:space="preserve">    ---- </v>
      </c>
      <c r="AO46" s="340">
        <f t="shared" si="14"/>
        <v>7318.927795419977</v>
      </c>
      <c r="AP46" s="340">
        <f t="shared" si="14"/>
        <v>6201.2415919200139</v>
      </c>
      <c r="AQ46" s="445">
        <f t="shared" si="12"/>
        <v>-15.3</v>
      </c>
      <c r="AR46" s="844"/>
      <c r="AS46" s="845"/>
      <c r="AT46" s="846"/>
    </row>
    <row r="47" spans="1:46" s="842" customFormat="1" ht="18.75" customHeight="1" x14ac:dyDescent="0.3">
      <c r="A47" s="847"/>
      <c r="B47" s="848"/>
      <c r="C47" s="848"/>
      <c r="D47" s="849"/>
      <c r="E47" s="878"/>
      <c r="F47" s="848"/>
      <c r="G47" s="832"/>
      <c r="H47" s="878"/>
      <c r="I47" s="848"/>
      <c r="J47" s="832"/>
      <c r="K47" s="878"/>
      <c r="L47" s="848"/>
      <c r="M47" s="832"/>
      <c r="N47" s="878"/>
      <c r="O47" s="848"/>
      <c r="P47" s="849"/>
      <c r="Q47" s="878"/>
      <c r="R47" s="848"/>
      <c r="S47" s="832"/>
      <c r="T47" s="878"/>
      <c r="U47" s="848"/>
      <c r="V47" s="832"/>
      <c r="W47" s="878"/>
      <c r="X47" s="848"/>
      <c r="Y47" s="832"/>
      <c r="Z47" s="878"/>
      <c r="AA47" s="848"/>
      <c r="AB47" s="832"/>
      <c r="AC47" s="878"/>
      <c r="AD47" s="848"/>
      <c r="AE47" s="832"/>
      <c r="AF47" s="878"/>
      <c r="AG47" s="848"/>
      <c r="AH47" s="832"/>
      <c r="AI47" s="878"/>
      <c r="AJ47" s="848"/>
      <c r="AK47" s="832"/>
      <c r="AL47" s="878"/>
      <c r="AM47" s="848"/>
      <c r="AN47" s="832"/>
      <c r="AO47" s="849"/>
      <c r="AP47" s="849"/>
      <c r="AQ47" s="832"/>
      <c r="AR47" s="850"/>
      <c r="AS47" s="850"/>
      <c r="AT47" s="851"/>
    </row>
    <row r="48" spans="1:46" s="950" customFormat="1" ht="18.75" customHeight="1" x14ac:dyDescent="0.3">
      <c r="A48" s="946" t="s">
        <v>311</v>
      </c>
      <c r="B48" s="947"/>
      <c r="C48" s="947"/>
      <c r="D48" s="947"/>
      <c r="E48" s="106"/>
      <c r="F48" s="947"/>
      <c r="G48" s="947"/>
      <c r="H48" s="106"/>
      <c r="I48" s="947"/>
      <c r="J48" s="947"/>
      <c r="K48" s="85"/>
      <c r="L48" s="852"/>
      <c r="M48" s="947"/>
      <c r="N48" s="106"/>
      <c r="O48" s="947"/>
      <c r="P48" s="947"/>
      <c r="Q48" s="106"/>
      <c r="R48" s="947"/>
      <c r="S48" s="947"/>
      <c r="T48" s="964"/>
      <c r="U48" s="852"/>
      <c r="V48" s="947"/>
      <c r="W48" s="948"/>
      <c r="X48" s="947"/>
      <c r="Y48" s="947"/>
      <c r="Z48" s="948"/>
      <c r="AA48" s="947"/>
      <c r="AB48" s="947"/>
      <c r="AC48" s="948"/>
      <c r="AD48" s="947"/>
      <c r="AE48" s="947"/>
      <c r="AF48" s="948"/>
      <c r="AG48" s="947"/>
      <c r="AH48" s="947"/>
      <c r="AI48" s="948"/>
      <c r="AJ48" s="949"/>
      <c r="AK48" s="947"/>
      <c r="AL48" s="106"/>
      <c r="AM48" s="947"/>
      <c r="AN48" s="947"/>
      <c r="AO48" s="947"/>
      <c r="AP48" s="947"/>
      <c r="AQ48" s="947"/>
      <c r="AR48" s="947"/>
      <c r="AS48" s="947"/>
      <c r="AT48" s="947"/>
    </row>
    <row r="49" spans="1:46" s="951" customFormat="1" ht="18.75" customHeight="1" x14ac:dyDescent="0.3">
      <c r="A49" s="947" t="s">
        <v>312</v>
      </c>
      <c r="B49" s="947"/>
      <c r="C49" s="947"/>
      <c r="D49" s="947"/>
      <c r="E49" s="106"/>
      <c r="F49" s="947"/>
      <c r="G49" s="947"/>
      <c r="H49" s="106"/>
      <c r="I49" s="947"/>
      <c r="J49" s="947"/>
      <c r="K49" s="85"/>
      <c r="L49" s="852"/>
      <c r="M49" s="947"/>
      <c r="N49" s="106"/>
      <c r="O49" s="947"/>
      <c r="P49" s="947"/>
      <c r="Q49" s="106"/>
      <c r="R49" s="947"/>
      <c r="S49" s="947"/>
      <c r="T49" s="964"/>
      <c r="U49" s="852"/>
      <c r="V49" s="947"/>
      <c r="W49" s="948"/>
      <c r="X49" s="947"/>
      <c r="Y49" s="947"/>
      <c r="Z49" s="948"/>
      <c r="AA49" s="947"/>
      <c r="AB49" s="947"/>
      <c r="AC49" s="948"/>
      <c r="AD49" s="947"/>
      <c r="AE49" s="947"/>
      <c r="AF49" s="948"/>
      <c r="AG49" s="947"/>
      <c r="AH49" s="947"/>
      <c r="AI49" s="948"/>
      <c r="AJ49" s="949"/>
      <c r="AK49" s="947"/>
      <c r="AL49" s="106"/>
      <c r="AM49" s="947"/>
      <c r="AN49" s="947"/>
      <c r="AO49" s="947"/>
      <c r="AP49" s="947"/>
      <c r="AQ49" s="947"/>
      <c r="AR49" s="947"/>
      <c r="AS49" s="947"/>
      <c r="AT49" s="947"/>
    </row>
    <row r="50" spans="1:46" s="951" customFormat="1" ht="18.75" customHeight="1" x14ac:dyDescent="0.3">
      <c r="A50" s="947" t="s">
        <v>313</v>
      </c>
      <c r="B50" s="947"/>
      <c r="C50" s="947"/>
      <c r="D50" s="947"/>
      <c r="E50" s="106"/>
      <c r="F50" s="947"/>
      <c r="G50" s="947"/>
      <c r="H50" s="106"/>
      <c r="I50" s="947"/>
      <c r="J50" s="947"/>
      <c r="K50" s="85"/>
      <c r="L50" s="852">
        <v>15</v>
      </c>
      <c r="M50" s="947"/>
      <c r="N50" s="106"/>
      <c r="O50" s="947"/>
      <c r="P50" s="947"/>
      <c r="Q50" s="106"/>
      <c r="R50" s="947"/>
      <c r="S50" s="947"/>
      <c r="T50" s="964"/>
      <c r="U50" s="852"/>
      <c r="V50" s="947"/>
      <c r="W50" s="948"/>
      <c r="X50" s="947"/>
      <c r="Y50" s="947"/>
      <c r="Z50" s="948"/>
      <c r="AA50" s="947"/>
      <c r="AB50" s="947"/>
      <c r="AC50" s="948"/>
      <c r="AD50" s="947"/>
      <c r="AE50" s="947"/>
      <c r="AF50" s="948"/>
      <c r="AG50" s="947"/>
      <c r="AH50" s="947"/>
      <c r="AI50" s="948"/>
      <c r="AJ50" s="949"/>
      <c r="AK50" s="947"/>
      <c r="AL50" s="106"/>
      <c r="AM50" s="947"/>
      <c r="AN50" s="947"/>
      <c r="AO50" s="947"/>
      <c r="AP50" s="947"/>
      <c r="AQ50" s="947"/>
      <c r="AR50" s="947"/>
      <c r="AS50" s="947"/>
      <c r="AT50" s="947"/>
    </row>
    <row r="51" spans="1:46" s="951" customFormat="1" ht="18.75" customHeight="1" x14ac:dyDescent="0.3">
      <c r="A51" s="947" t="s">
        <v>314</v>
      </c>
      <c r="B51" s="947"/>
      <c r="C51" s="947"/>
      <c r="D51" s="947"/>
      <c r="E51" s="106"/>
      <c r="F51" s="947"/>
      <c r="G51" s="947"/>
      <c r="H51" s="106"/>
      <c r="I51" s="947"/>
      <c r="J51" s="947"/>
      <c r="K51" s="85"/>
      <c r="L51" s="852"/>
      <c r="M51" s="947"/>
      <c r="N51" s="106"/>
      <c r="O51" s="947"/>
      <c r="P51" s="947"/>
      <c r="Q51" s="106"/>
      <c r="R51" s="947"/>
      <c r="S51" s="947"/>
      <c r="T51" s="964"/>
      <c r="U51" s="852"/>
      <c r="V51" s="947"/>
      <c r="W51" s="948"/>
      <c r="X51" s="947"/>
      <c r="Y51" s="947"/>
      <c r="Z51" s="948"/>
      <c r="AA51" s="947"/>
      <c r="AB51" s="947"/>
      <c r="AC51" s="948"/>
      <c r="AD51" s="947"/>
      <c r="AE51" s="947"/>
      <c r="AF51" s="948"/>
      <c r="AG51" s="947"/>
      <c r="AH51" s="947"/>
      <c r="AI51" s="948"/>
      <c r="AJ51" s="949"/>
      <c r="AK51" s="947"/>
      <c r="AL51" s="106"/>
      <c r="AM51" s="947"/>
      <c r="AN51" s="947"/>
      <c r="AO51" s="947"/>
      <c r="AP51" s="947"/>
      <c r="AQ51" s="947"/>
      <c r="AR51" s="947"/>
      <c r="AS51" s="947"/>
      <c r="AT51" s="947"/>
    </row>
    <row r="52" spans="1:46" s="951" customFormat="1" ht="18.75" customHeight="1" x14ac:dyDescent="0.3">
      <c r="A52" s="947" t="s">
        <v>315</v>
      </c>
      <c r="B52" s="947"/>
      <c r="C52" s="947"/>
      <c r="D52" s="947"/>
      <c r="E52" s="106"/>
      <c r="F52" s="947"/>
      <c r="G52" s="947"/>
      <c r="H52" s="106"/>
      <c r="I52" s="947"/>
      <c r="J52" s="947"/>
      <c r="K52" s="85"/>
      <c r="L52" s="852">
        <f>L50+L51</f>
        <v>15</v>
      </c>
      <c r="M52" s="947"/>
      <c r="N52" s="106"/>
      <c r="O52" s="947"/>
      <c r="P52" s="947"/>
      <c r="Q52" s="106"/>
      <c r="R52" s="947"/>
      <c r="S52" s="947"/>
      <c r="T52" s="964"/>
      <c r="U52" s="852"/>
      <c r="V52" s="947"/>
      <c r="W52" s="948"/>
      <c r="X52" s="947"/>
      <c r="Y52" s="947"/>
      <c r="Z52" s="948"/>
      <c r="AA52" s="947"/>
      <c r="AB52" s="947"/>
      <c r="AC52" s="948"/>
      <c r="AD52" s="947"/>
      <c r="AE52" s="947"/>
      <c r="AF52" s="948"/>
      <c r="AG52" s="947"/>
      <c r="AH52" s="947"/>
      <c r="AI52" s="948"/>
      <c r="AJ52" s="949"/>
      <c r="AK52" s="947"/>
      <c r="AL52" s="106"/>
      <c r="AM52" s="947"/>
      <c r="AN52" s="947"/>
      <c r="AO52" s="947"/>
      <c r="AP52" s="947"/>
      <c r="AQ52" s="947"/>
      <c r="AR52" s="947"/>
      <c r="AS52" s="947"/>
      <c r="AT52" s="947"/>
    </row>
    <row r="53" spans="1:46" s="951" customFormat="1" ht="18.75" customHeight="1" x14ac:dyDescent="0.3">
      <c r="A53" s="947" t="s">
        <v>316</v>
      </c>
      <c r="B53" s="947"/>
      <c r="C53" s="947"/>
      <c r="D53" s="947"/>
      <c r="E53" s="106"/>
      <c r="F53" s="947"/>
      <c r="G53" s="947"/>
      <c r="H53" s="106"/>
      <c r="I53" s="947"/>
      <c r="J53" s="947"/>
      <c r="K53" s="85"/>
      <c r="L53" s="852"/>
      <c r="M53" s="947"/>
      <c r="N53" s="106"/>
      <c r="O53" s="947"/>
      <c r="P53" s="947"/>
      <c r="Q53" s="106"/>
      <c r="R53" s="947"/>
      <c r="S53" s="947"/>
      <c r="T53" s="964"/>
      <c r="U53" s="852"/>
      <c r="V53" s="947"/>
      <c r="W53" s="948"/>
      <c r="X53" s="947"/>
      <c r="Y53" s="947"/>
      <c r="Z53" s="948"/>
      <c r="AA53" s="947"/>
      <c r="AB53" s="947"/>
      <c r="AC53" s="948"/>
      <c r="AD53" s="947"/>
      <c r="AE53" s="947"/>
      <c r="AF53" s="948"/>
      <c r="AG53" s="947"/>
      <c r="AH53" s="947"/>
      <c r="AI53" s="948"/>
      <c r="AJ53" s="949"/>
      <c r="AK53" s="947"/>
      <c r="AL53" s="106"/>
      <c r="AM53" s="947"/>
      <c r="AN53" s="947"/>
      <c r="AO53" s="947"/>
      <c r="AP53" s="947"/>
      <c r="AQ53" s="947"/>
      <c r="AR53" s="947"/>
      <c r="AS53" s="947"/>
      <c r="AT53" s="947"/>
    </row>
    <row r="54" spans="1:46" s="951" customFormat="1" ht="18.75" customHeight="1" x14ac:dyDescent="0.3">
      <c r="A54" s="947" t="s">
        <v>317</v>
      </c>
      <c r="B54" s="947"/>
      <c r="C54" s="947"/>
      <c r="D54" s="947"/>
      <c r="E54" s="106"/>
      <c r="F54" s="947"/>
      <c r="G54" s="947"/>
      <c r="H54" s="106"/>
      <c r="I54" s="947"/>
      <c r="J54" s="947"/>
      <c r="K54" s="85"/>
      <c r="L54" s="852"/>
      <c r="M54" s="947"/>
      <c r="N54" s="106">
        <v>150</v>
      </c>
      <c r="O54" s="947">
        <v>400</v>
      </c>
      <c r="P54" s="947"/>
      <c r="Q54" s="106"/>
      <c r="R54" s="947"/>
      <c r="S54" s="947"/>
      <c r="T54" s="964"/>
      <c r="U54" s="852"/>
      <c r="V54" s="947"/>
      <c r="W54" s="948"/>
      <c r="X54" s="947"/>
      <c r="Y54" s="947"/>
      <c r="Z54" s="948"/>
      <c r="AA54" s="947"/>
      <c r="AB54" s="947"/>
      <c r="AC54" s="948"/>
      <c r="AD54" s="947"/>
      <c r="AE54" s="947"/>
      <c r="AF54" s="948"/>
      <c r="AG54" s="947"/>
      <c r="AH54" s="947"/>
      <c r="AI54" s="948"/>
      <c r="AJ54" s="949"/>
      <c r="AK54" s="947"/>
      <c r="AL54" s="106"/>
      <c r="AM54" s="947"/>
      <c r="AN54" s="947"/>
      <c r="AO54" s="947"/>
      <c r="AP54" s="947"/>
      <c r="AQ54" s="947"/>
      <c r="AR54" s="947"/>
      <c r="AS54" s="947"/>
      <c r="AT54" s="947"/>
    </row>
    <row r="55" spans="1:46" s="951" customFormat="1" ht="18.75" customHeight="1" x14ac:dyDescent="0.3">
      <c r="A55" s="947" t="s">
        <v>318</v>
      </c>
      <c r="B55" s="947"/>
      <c r="C55" s="947"/>
      <c r="D55" s="947"/>
      <c r="E55" s="106"/>
      <c r="F55" s="947"/>
      <c r="G55" s="947"/>
      <c r="H55" s="106"/>
      <c r="I55" s="947"/>
      <c r="J55" s="947"/>
      <c r="K55" s="85"/>
      <c r="L55" s="852"/>
      <c r="M55" s="947"/>
      <c r="N55" s="106"/>
      <c r="O55" s="947"/>
      <c r="P55" s="947"/>
      <c r="Q55" s="106"/>
      <c r="R55" s="947"/>
      <c r="S55" s="947"/>
      <c r="T55" s="964"/>
      <c r="U55" s="852"/>
      <c r="V55" s="947"/>
      <c r="W55" s="948"/>
      <c r="X55" s="947"/>
      <c r="Y55" s="947"/>
      <c r="Z55" s="948"/>
      <c r="AA55" s="947"/>
      <c r="AB55" s="947"/>
      <c r="AC55" s="948"/>
      <c r="AD55" s="947"/>
      <c r="AE55" s="947"/>
      <c r="AF55" s="948"/>
      <c r="AG55" s="952">
        <v>-1.4571259999999999</v>
      </c>
      <c r="AH55" s="947"/>
      <c r="AI55" s="948">
        <v>3210</v>
      </c>
      <c r="AJ55" s="949">
        <v>2325</v>
      </c>
      <c r="AK55" s="947"/>
      <c r="AL55" s="106"/>
      <c r="AM55" s="947"/>
      <c r="AN55" s="947"/>
      <c r="AO55" s="947"/>
      <c r="AP55" s="947"/>
      <c r="AQ55" s="947"/>
      <c r="AR55" s="947"/>
      <c r="AS55" s="947"/>
      <c r="AT55" s="947"/>
    </row>
    <row r="56" spans="1:46" s="951" customFormat="1" ht="18.75" customHeight="1" x14ac:dyDescent="0.3">
      <c r="A56" s="947" t="s">
        <v>319</v>
      </c>
      <c r="B56" s="953">
        <v>113.712</v>
      </c>
      <c r="C56" s="947"/>
      <c r="D56" s="947"/>
      <c r="E56" s="106"/>
      <c r="F56" s="947"/>
      <c r="G56" s="947"/>
      <c r="H56" s="106"/>
      <c r="I56" s="947"/>
      <c r="J56" s="947"/>
      <c r="K56" s="968">
        <v>82.742999999999995</v>
      </c>
      <c r="L56" s="969">
        <v>-45.079000000000001</v>
      </c>
      <c r="M56" s="947"/>
      <c r="N56" s="106">
        <v>12</v>
      </c>
      <c r="O56" s="953">
        <v>-240.7</v>
      </c>
      <c r="P56" s="947"/>
      <c r="Q56" s="106"/>
      <c r="R56" s="947"/>
      <c r="S56" s="947"/>
      <c r="T56" s="964"/>
      <c r="U56" s="852"/>
      <c r="V56" s="947"/>
      <c r="W56" s="948">
        <v>684</v>
      </c>
      <c r="X56" s="953">
        <v>690.13995786000135</v>
      </c>
      <c r="Y56" s="947"/>
      <c r="Z56" s="948"/>
      <c r="AA56" s="947"/>
      <c r="AB56" s="947"/>
      <c r="AC56" s="948"/>
      <c r="AD56" s="947"/>
      <c r="AE56" s="947"/>
      <c r="AF56" s="948">
        <v>-777.96799323000005</v>
      </c>
      <c r="AG56" s="952">
        <v>-51.506630000000001</v>
      </c>
      <c r="AH56" s="947"/>
      <c r="AI56" s="948">
        <v>-605</v>
      </c>
      <c r="AJ56" s="949">
        <v>675</v>
      </c>
      <c r="AK56" s="947"/>
      <c r="AL56" s="106"/>
      <c r="AM56" s="947"/>
      <c r="AN56" s="947"/>
      <c r="AO56" s="947"/>
      <c r="AP56" s="947"/>
      <c r="AQ56" s="947"/>
      <c r="AR56" s="947"/>
      <c r="AS56" s="947"/>
      <c r="AT56" s="947"/>
    </row>
    <row r="57" spans="1:46" s="951" customFormat="1" ht="18.75" customHeight="1" x14ac:dyDescent="0.3">
      <c r="A57" s="947" t="s">
        <v>320</v>
      </c>
      <c r="B57" s="953">
        <v>113.712</v>
      </c>
      <c r="C57" s="947"/>
      <c r="D57" s="947"/>
      <c r="E57" s="106"/>
      <c r="F57" s="947"/>
      <c r="G57" s="947"/>
      <c r="H57" s="106"/>
      <c r="I57" s="947"/>
      <c r="J57" s="947"/>
      <c r="K57" s="968">
        <f>K54+K55+K56</f>
        <v>82.742999999999995</v>
      </c>
      <c r="L57" s="969">
        <f>L54+L55+L56</f>
        <v>-45.079000000000001</v>
      </c>
      <c r="M57" s="947"/>
      <c r="N57" s="106">
        <v>162</v>
      </c>
      <c r="O57" s="953">
        <f>O54+O55+O56</f>
        <v>159.30000000000001</v>
      </c>
      <c r="P57" s="947"/>
      <c r="Q57" s="106"/>
      <c r="R57" s="947"/>
      <c r="S57" s="947"/>
      <c r="T57" s="964"/>
      <c r="U57" s="852"/>
      <c r="V57" s="947"/>
      <c r="W57" s="948">
        <f>W54+W55+W56</f>
        <v>684</v>
      </c>
      <c r="X57" s="953">
        <f>X54+X55+X56</f>
        <v>690.13995786000135</v>
      </c>
      <c r="Y57" s="947"/>
      <c r="Z57" s="948"/>
      <c r="AA57" s="947"/>
      <c r="AB57" s="947"/>
      <c r="AC57" s="948"/>
      <c r="AD57" s="947"/>
      <c r="AE57" s="947"/>
      <c r="AF57" s="948">
        <f>AF54+AF55+AF56</f>
        <v>-777.96799323000005</v>
      </c>
      <c r="AG57" s="952">
        <f>AG54+AG55+AG56</f>
        <v>-52.963756000000004</v>
      </c>
      <c r="AH57" s="947"/>
      <c r="AI57" s="948">
        <f>AI54+AI55+AI56</f>
        <v>2605</v>
      </c>
      <c r="AJ57" s="949">
        <f>AJ54+AJ55+AJ56</f>
        <v>3000</v>
      </c>
      <c r="AK57" s="947"/>
      <c r="AL57" s="106"/>
      <c r="AM57" s="947"/>
      <c r="AN57" s="947"/>
      <c r="AO57" s="947"/>
      <c r="AP57" s="947"/>
      <c r="AQ57" s="947"/>
      <c r="AR57" s="947"/>
      <c r="AS57" s="947"/>
      <c r="AT57" s="947"/>
    </row>
    <row r="58" spans="1:46" s="950" customFormat="1" ht="18.75" customHeight="1" x14ac:dyDescent="0.3">
      <c r="A58" s="954" t="s">
        <v>321</v>
      </c>
      <c r="B58" s="958">
        <v>113.712</v>
      </c>
      <c r="C58" s="955"/>
      <c r="D58" s="955"/>
      <c r="E58" s="956"/>
      <c r="F58" s="955"/>
      <c r="G58" s="955"/>
      <c r="H58" s="956"/>
      <c r="I58" s="955"/>
      <c r="J58" s="955"/>
      <c r="K58" s="970">
        <f>K52+K57</f>
        <v>82.742999999999995</v>
      </c>
      <c r="L58" s="971">
        <f>L52+L57</f>
        <v>-30.079000000000001</v>
      </c>
      <c r="M58" s="955"/>
      <c r="N58" s="956">
        <v>162</v>
      </c>
      <c r="O58" s="958">
        <f>O52+O57</f>
        <v>159.30000000000001</v>
      </c>
      <c r="P58" s="955"/>
      <c r="Q58" s="956"/>
      <c r="R58" s="955"/>
      <c r="S58" s="955"/>
      <c r="T58" s="965"/>
      <c r="U58" s="966"/>
      <c r="V58" s="955"/>
      <c r="W58" s="957">
        <f>W52+W57</f>
        <v>684</v>
      </c>
      <c r="X58" s="958">
        <f>X52+X57</f>
        <v>690.13995786000135</v>
      </c>
      <c r="Y58" s="955"/>
      <c r="Z58" s="957"/>
      <c r="AA58" s="955"/>
      <c r="AB58" s="955"/>
      <c r="AC58" s="957"/>
      <c r="AD58" s="955"/>
      <c r="AE58" s="955"/>
      <c r="AF58" s="957">
        <f>AF52+AF57</f>
        <v>-777.96799323000005</v>
      </c>
      <c r="AG58" s="959">
        <f>AG52+AG57</f>
        <v>-52.963756000000004</v>
      </c>
      <c r="AH58" s="955"/>
      <c r="AI58" s="957">
        <f>AI52+AI57</f>
        <v>2605</v>
      </c>
      <c r="AJ58" s="960">
        <f>AJ52+AJ57</f>
        <v>3000</v>
      </c>
      <c r="AK58" s="955"/>
      <c r="AL58" s="956"/>
      <c r="AM58" s="955"/>
      <c r="AN58" s="955"/>
      <c r="AO58" s="955"/>
      <c r="AP58" s="955"/>
      <c r="AQ58" s="955"/>
      <c r="AR58" s="955"/>
      <c r="AS58" s="955"/>
      <c r="AT58" s="955"/>
    </row>
    <row r="59" spans="1:46" s="454" customFormat="1" ht="18.75" customHeight="1" x14ac:dyDescent="0.3">
      <c r="A59" s="451" t="s">
        <v>245</v>
      </c>
      <c r="B59" s="451"/>
    </row>
    <row r="60" spans="1:46" s="454" customFormat="1" ht="18.75" customHeight="1" x14ac:dyDescent="0.3">
      <c r="A60" s="451" t="s">
        <v>246</v>
      </c>
    </row>
    <row r="61" spans="1:46" s="454" customFormat="1" ht="18.75" customHeight="1" x14ac:dyDescent="0.3">
      <c r="A61" s="451" t="s">
        <v>247</v>
      </c>
    </row>
    <row r="62" spans="1:46" s="454" customFormat="1" ht="18.75" x14ac:dyDescent="0.3"/>
    <row r="63" spans="1:46" s="452" customFormat="1" x14ac:dyDescent="0.2"/>
    <row r="64" spans="1:46" s="452" customFormat="1" x14ac:dyDescent="0.2"/>
  </sheetData>
  <mergeCells count="28">
    <mergeCell ref="AF6:AH6"/>
    <mergeCell ref="AI6:AK6"/>
    <mergeCell ref="AO6:AQ6"/>
    <mergeCell ref="AI5:AK5"/>
    <mergeCell ref="AO5:AQ5"/>
    <mergeCell ref="AL6:AN6"/>
    <mergeCell ref="AL5:AN5"/>
    <mergeCell ref="N6:P6"/>
    <mergeCell ref="Q6:S6"/>
    <mergeCell ref="T6:V6"/>
    <mergeCell ref="W6:Y6"/>
    <mergeCell ref="Z6:AB6"/>
    <mergeCell ref="AR5:AT5"/>
    <mergeCell ref="AR6:AT6"/>
    <mergeCell ref="B5:D5"/>
    <mergeCell ref="E5:G5"/>
    <mergeCell ref="H5:J5"/>
    <mergeCell ref="K5:M5"/>
    <mergeCell ref="AF5:AH5"/>
    <mergeCell ref="N5:P5"/>
    <mergeCell ref="Z5:AB5"/>
    <mergeCell ref="Q5:S5"/>
    <mergeCell ref="T5:V5"/>
    <mergeCell ref="AC6:AE6"/>
    <mergeCell ref="B6:D6"/>
    <mergeCell ref="E6:G6"/>
    <mergeCell ref="H6:J6"/>
    <mergeCell ref="K6:M6"/>
  </mergeCells>
  <conditionalFormatting sqref="B14">
    <cfRule type="expression" dxfId="945" priority="190">
      <formula>#REF! ="14≠11+12+13"</formula>
    </cfRule>
  </conditionalFormatting>
  <conditionalFormatting sqref="B21">
    <cfRule type="expression" dxfId="944" priority="189">
      <formula>#REF! ="22≠19+20+21"</formula>
    </cfRule>
  </conditionalFormatting>
  <conditionalFormatting sqref="B30">
    <cfRule type="expression" dxfId="943" priority="188">
      <formula>#REF! ="30≠24+25+26+27+28+29"</formula>
    </cfRule>
  </conditionalFormatting>
  <conditionalFormatting sqref="B35">
    <cfRule type="expression" dxfId="942" priority="211">
      <formula>#REF! ="35≠14+15+16+17+22+30+31+32+33+34"</formula>
    </cfRule>
  </conditionalFormatting>
  <conditionalFormatting sqref="B46">
    <cfRule type="expression" dxfId="941" priority="212">
      <formula>#REF! ="46≠35+38+39+40+43+45"</formula>
    </cfRule>
  </conditionalFormatting>
  <conditionalFormatting sqref="N30">
    <cfRule type="expression" dxfId="940" priority="111">
      <formula>#REF! ="30≠24+25+26+27+28+29"</formula>
    </cfRule>
  </conditionalFormatting>
  <conditionalFormatting sqref="N35">
    <cfRule type="expression" dxfId="939" priority="112">
      <formula>#REF! ="35≠14+15+16+17+22+30+31+32+33+34"</formula>
    </cfRule>
  </conditionalFormatting>
  <conditionalFormatting sqref="N46">
    <cfRule type="expression" dxfId="938" priority="113">
      <formula>#REF! ="46≠35+38+39+40+43+45"</formula>
    </cfRule>
  </conditionalFormatting>
  <conditionalFormatting sqref="N14">
    <cfRule type="expression" dxfId="937" priority="114">
      <formula>#REF! ="14≠11+12+13"</formula>
    </cfRule>
  </conditionalFormatting>
  <conditionalFormatting sqref="N21">
    <cfRule type="expression" dxfId="936" priority="115">
      <formula>#REF! ="22≠19+20+21"</formula>
    </cfRule>
  </conditionalFormatting>
  <conditionalFormatting sqref="W30">
    <cfRule type="expression" dxfId="935" priority="101">
      <formula>#REF! ="30≠24+25+26+27+28+29"</formula>
    </cfRule>
  </conditionalFormatting>
  <conditionalFormatting sqref="W35">
    <cfRule type="expression" dxfId="934" priority="102">
      <formula>#REF! ="35≠14+15+16+17+22+30+31+32+33+34"</formula>
    </cfRule>
  </conditionalFormatting>
  <conditionalFormatting sqref="W46">
    <cfRule type="expression" dxfId="933" priority="103">
      <formula>#REF! ="46≠35+38+39+40+43+45"</formula>
    </cfRule>
  </conditionalFormatting>
  <conditionalFormatting sqref="W14">
    <cfRule type="expression" dxfId="932" priority="104">
      <formula>#REF! ="14≠11+12+13"</formula>
    </cfRule>
  </conditionalFormatting>
  <conditionalFormatting sqref="W21">
    <cfRule type="expression" dxfId="931" priority="105">
      <formula>#REF! ="22≠19+20+21"</formula>
    </cfRule>
  </conditionalFormatting>
  <conditionalFormatting sqref="Z30">
    <cfRule type="expression" dxfId="930" priority="91">
      <formula>#REF! ="30≠24+25+26+27+28+29"</formula>
    </cfRule>
  </conditionalFormatting>
  <conditionalFormatting sqref="Z35">
    <cfRule type="expression" dxfId="929" priority="92">
      <formula>#REF! ="35≠14+15+16+17+22+30+31+32+33+34"</formula>
    </cfRule>
  </conditionalFormatting>
  <conditionalFormatting sqref="Z46">
    <cfRule type="expression" dxfId="928" priority="93">
      <formula>#REF! ="46≠35+38+39+40+43+45"</formula>
    </cfRule>
  </conditionalFormatting>
  <conditionalFormatting sqref="Z14">
    <cfRule type="expression" dxfId="927" priority="94">
      <formula>#REF! ="14≠11+12+13"</formula>
    </cfRule>
  </conditionalFormatting>
  <conditionalFormatting sqref="Z21">
    <cfRule type="expression" dxfId="926" priority="95">
      <formula>#REF! ="22≠19+20+21"</formula>
    </cfRule>
  </conditionalFormatting>
  <conditionalFormatting sqref="AI30">
    <cfRule type="expression" dxfId="925" priority="83">
      <formula>#REF! ="30≠24+25+26+27+28+29"</formula>
    </cfRule>
  </conditionalFormatting>
  <conditionalFormatting sqref="AI35">
    <cfRule type="expression" dxfId="924" priority="82">
      <formula>#REF! ="35≠14+15+16+17+22+30+31+32+33+34"</formula>
    </cfRule>
  </conditionalFormatting>
  <conditionalFormatting sqref="AI46">
    <cfRule type="expression" dxfId="923" priority="81">
      <formula>#REF! ="46≠35+38+39+40+43+45"</formula>
    </cfRule>
  </conditionalFormatting>
  <conditionalFormatting sqref="AI14">
    <cfRule type="expression" dxfId="922" priority="89">
      <formula>#REF! ="14≠11+12+13"</formula>
    </cfRule>
  </conditionalFormatting>
  <conditionalFormatting sqref="AI21">
    <cfRule type="expression" dxfId="921" priority="90">
      <formula>#REF! ="22≠19+20+21"</formula>
    </cfRule>
  </conditionalFormatting>
  <conditionalFormatting sqref="Q30">
    <cfRule type="expression" dxfId="920" priority="76">
      <formula>#REF! ="30≠24+25+26+27+28+29"</formula>
    </cfRule>
  </conditionalFormatting>
  <conditionalFormatting sqref="Q35">
    <cfRule type="expression" dxfId="919" priority="77">
      <formula>#REF! ="35≠14+15+16+17+22+30+31+32+33+34"</formula>
    </cfRule>
  </conditionalFormatting>
  <conditionalFormatting sqref="Q46">
    <cfRule type="expression" dxfId="918" priority="78">
      <formula>#REF! ="46≠35+38+39+40+43+45"</formula>
    </cfRule>
  </conditionalFormatting>
  <conditionalFormatting sqref="Q14">
    <cfRule type="expression" dxfId="917" priority="79">
      <formula>#REF! ="14≠11+12+13"</formula>
    </cfRule>
  </conditionalFormatting>
  <conditionalFormatting sqref="Q21">
    <cfRule type="expression" dxfId="916" priority="80">
      <formula>#REF! ="22≠19+20+21"</formula>
    </cfRule>
  </conditionalFormatting>
  <conditionalFormatting sqref="R30">
    <cfRule type="expression" dxfId="915" priority="71">
      <formula>#REF! ="30≠24+25+26+27+28+29"</formula>
    </cfRule>
  </conditionalFormatting>
  <conditionalFormatting sqref="R35">
    <cfRule type="expression" dxfId="914" priority="72">
      <formula>#REF! ="35≠14+15+16+17+22+30+31+32+33+34"</formula>
    </cfRule>
  </conditionalFormatting>
  <conditionalFormatting sqref="R46">
    <cfRule type="expression" dxfId="913" priority="73">
      <formula>#REF! ="46≠35+38+39+40+43+45"</formula>
    </cfRule>
  </conditionalFormatting>
  <conditionalFormatting sqref="R14">
    <cfRule type="expression" dxfId="912" priority="74">
      <formula>#REF! ="14≠11+12+13"</formula>
    </cfRule>
  </conditionalFormatting>
  <conditionalFormatting sqref="R21">
    <cfRule type="expression" dxfId="911" priority="75">
      <formula>#REF! ="22≠19+20+21"</formula>
    </cfRule>
  </conditionalFormatting>
  <conditionalFormatting sqref="AC30">
    <cfRule type="expression" dxfId="910" priority="61">
      <formula>#REF! ="30≠24+25+26+27+28+29"</formula>
    </cfRule>
  </conditionalFormatting>
  <conditionalFormatting sqref="AC35">
    <cfRule type="expression" dxfId="909" priority="62">
      <formula>#REF! ="35≠14+15+16+17+22+30+31+32+33+34"</formula>
    </cfRule>
  </conditionalFormatting>
  <conditionalFormatting sqref="AC46">
    <cfRule type="expression" dxfId="908" priority="63">
      <formula>#REF! ="46≠35+38+39+40+43+45"</formula>
    </cfRule>
  </conditionalFormatting>
  <conditionalFormatting sqref="AC14">
    <cfRule type="expression" dxfId="907" priority="64">
      <formula>#REF! ="14≠11+12+13"</formula>
    </cfRule>
  </conditionalFormatting>
  <conditionalFormatting sqref="AC21">
    <cfRule type="expression" dxfId="906" priority="65">
      <formula>#REF! ="22≠19+20+21"</formula>
    </cfRule>
  </conditionalFormatting>
  <conditionalFormatting sqref="H30">
    <cfRule type="expression" dxfId="905" priority="51">
      <formula>#REF! ="30≠24+25+26+27+28+29"</formula>
    </cfRule>
  </conditionalFormatting>
  <conditionalFormatting sqref="H35">
    <cfRule type="expression" dxfId="904" priority="52">
      <formula>#REF! ="35≠14+15+16+17+22+30+31+32+33+34"</formula>
    </cfRule>
  </conditionalFormatting>
  <conditionalFormatting sqref="H46">
    <cfRule type="expression" dxfId="903" priority="53">
      <formula>#REF! ="46≠35+38+39+40+43+45"</formula>
    </cfRule>
  </conditionalFormatting>
  <conditionalFormatting sqref="H14">
    <cfRule type="expression" dxfId="902" priority="54">
      <formula>#REF! ="14≠11+12+13"</formula>
    </cfRule>
  </conditionalFormatting>
  <conditionalFormatting sqref="H21">
    <cfRule type="expression" dxfId="901" priority="55">
      <formula>#REF! ="22≠19+20+21"</formula>
    </cfRule>
  </conditionalFormatting>
  <conditionalFormatting sqref="AL30">
    <cfRule type="expression" dxfId="900" priority="41">
      <formula>#REF! ="30≠24+25+26+27+28+29"</formula>
    </cfRule>
  </conditionalFormatting>
  <conditionalFormatting sqref="AL35">
    <cfRule type="expression" dxfId="899" priority="42">
      <formula>#REF! ="35≠14+15+16+17+22+30+31+32+33+34"</formula>
    </cfRule>
  </conditionalFormatting>
  <conditionalFormatting sqref="AL46">
    <cfRule type="expression" dxfId="898" priority="43">
      <formula>#REF! ="46≠35+38+39+40+43+45"</formula>
    </cfRule>
  </conditionalFormatting>
  <conditionalFormatting sqref="AL14">
    <cfRule type="expression" dxfId="897" priority="44">
      <formula>#REF! ="14≠11+12+13"</formula>
    </cfRule>
  </conditionalFormatting>
  <conditionalFormatting sqref="AL21">
    <cfRule type="expression" dxfId="896" priority="45">
      <formula>#REF! ="22≠19+20+21"</formula>
    </cfRule>
  </conditionalFormatting>
  <conditionalFormatting sqref="AF30">
    <cfRule type="expression" dxfId="895" priority="31">
      <formula>#REF! ="30≠24+25+26+27+28+29"</formula>
    </cfRule>
  </conditionalFormatting>
  <conditionalFormatting sqref="AF35">
    <cfRule type="expression" dxfId="894" priority="32">
      <formula>#REF! ="35≠14+15+16+17+22+30+31+32+33+34"</formula>
    </cfRule>
  </conditionalFormatting>
  <conditionalFormatting sqref="AF46">
    <cfRule type="expression" dxfId="893" priority="33">
      <formula>#REF! ="46≠35+38+39+40+43+45"</formula>
    </cfRule>
  </conditionalFormatting>
  <conditionalFormatting sqref="AF14">
    <cfRule type="expression" dxfId="892" priority="34">
      <formula>#REF! ="14≠11+12+13"</formula>
    </cfRule>
  </conditionalFormatting>
  <conditionalFormatting sqref="AF21">
    <cfRule type="expression" dxfId="891" priority="35">
      <formula>#REF! ="22≠19+20+21"</formula>
    </cfRule>
  </conditionalFormatting>
  <conditionalFormatting sqref="E30">
    <cfRule type="expression" dxfId="890" priority="21">
      <formula>#REF! ="30≠24+25+26+27+28+29"</formula>
    </cfRule>
  </conditionalFormatting>
  <conditionalFormatting sqref="E35">
    <cfRule type="expression" dxfId="889" priority="22">
      <formula>#REF! ="35≠14+15+16+17+22+30+31+32+33+34"</formula>
    </cfRule>
  </conditionalFormatting>
  <conditionalFormatting sqref="E46">
    <cfRule type="expression" dxfId="888" priority="23">
      <formula>#REF! ="46≠35+38+39+40+43+45"</formula>
    </cfRule>
  </conditionalFormatting>
  <conditionalFormatting sqref="E14">
    <cfRule type="expression" dxfId="887" priority="24">
      <formula>#REF! ="14≠11+12+13"</formula>
    </cfRule>
  </conditionalFormatting>
  <conditionalFormatting sqref="E21">
    <cfRule type="expression" dxfId="886" priority="25">
      <formula>#REF! ="22≠19+20+21"</formula>
    </cfRule>
  </conditionalFormatting>
  <conditionalFormatting sqref="T30">
    <cfRule type="expression" dxfId="885" priority="11">
      <formula>#REF! ="30≠24+25+26+27+28+29"</formula>
    </cfRule>
  </conditionalFormatting>
  <conditionalFormatting sqref="T35">
    <cfRule type="expression" dxfId="884" priority="12">
      <formula>#REF! ="35≠14+15+16+17+22+30+31+32+33+34"</formula>
    </cfRule>
  </conditionalFormatting>
  <conditionalFormatting sqref="T46">
    <cfRule type="expression" dxfId="883" priority="13">
      <formula>#REF! ="46≠35+38+39+40+43+45"</formula>
    </cfRule>
  </conditionalFormatting>
  <conditionalFormatting sqref="T14">
    <cfRule type="expression" dxfId="882" priority="14">
      <formula>#REF! ="14≠11+12+13"</formula>
    </cfRule>
  </conditionalFormatting>
  <conditionalFormatting sqref="T21">
    <cfRule type="expression" dxfId="881" priority="15">
      <formula>#REF! ="22≠19+20+21"</formula>
    </cfRule>
  </conditionalFormatting>
  <conditionalFormatting sqref="K30">
    <cfRule type="expression" dxfId="880" priority="1">
      <formula>#REF! ="30≠24+25+26+27+28+29"</formula>
    </cfRule>
  </conditionalFormatting>
  <conditionalFormatting sqref="K35">
    <cfRule type="expression" dxfId="879" priority="2">
      <formula>#REF! ="35≠14+15+16+17+22+30+31+32+33+34"</formula>
    </cfRule>
  </conditionalFormatting>
  <conditionalFormatting sqref="K46">
    <cfRule type="expression" dxfId="878" priority="3">
      <formula>#REF! ="46≠35+38+39+40+43+45"</formula>
    </cfRule>
  </conditionalFormatting>
  <conditionalFormatting sqref="K14">
    <cfRule type="expression" dxfId="877" priority="4">
      <formula>#REF! ="14≠11+12+13"</formula>
    </cfRule>
  </conditionalFormatting>
  <conditionalFormatting sqref="K21">
    <cfRule type="expression" dxfId="876" priority="5">
      <formula>#REF! ="22≠19+20+21"</formula>
    </cfRule>
  </conditionalFormatting>
  <conditionalFormatting sqref="AR30:AS30 C30 O30 X30 AA30 AJ30 AD30 I30 AM30 AG30 F30 U30 L30">
    <cfRule type="expression" dxfId="875" priority="1581">
      <formula>#REF! ="30≠24+25+26+27+28+29"</formula>
    </cfRule>
  </conditionalFormatting>
  <conditionalFormatting sqref="AR35:AS35 C35 O35 X35 AA35 AJ35 AD35 I35 AM35 AG35 F35 U35 L35">
    <cfRule type="expression" dxfId="874" priority="1582">
      <formula>#REF! ="35≠14+15+16+17+22+30+31+32+33+34"</formula>
    </cfRule>
  </conditionalFormatting>
  <conditionalFormatting sqref="AR46:AS46 C46 O46 X46 AA46 AJ46 AD46 I46 AM46 AG46 F46 U46 L46">
    <cfRule type="expression" dxfId="873" priority="1583">
      <formula>#REF! ="46≠35+38+39+40+43+45"</formula>
    </cfRule>
  </conditionalFormatting>
  <conditionalFormatting sqref="C14 O14 X14 AA14 AJ14 AD14 I14 AM14 AG14 F14 U14 L14">
    <cfRule type="expression" dxfId="872" priority="1584">
      <formula>#REF! ="14≠11+12+13"</formula>
    </cfRule>
  </conditionalFormatting>
  <conditionalFormatting sqref="C21 O21 X21 AA21 AJ21 AD21 I21 AM21 AG21 F21 U21 L21">
    <cfRule type="expression" dxfId="871" priority="1585">
      <formula>#REF! ="22≠19+20+21"</formula>
    </cfRule>
  </conditionalFormatting>
  <hyperlinks>
    <hyperlink ref="B1" location="Innhold!A1" display="Tilbake" xr:uid="{00000000-0004-0000-1E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T189"/>
  <sheetViews>
    <sheetView showGridLines="0" zoomScale="60" zoomScaleNormal="60" workbookViewId="0">
      <pane xSplit="1" ySplit="9" topLeftCell="B10" activePane="bottomRight" state="frozen"/>
      <selection activeCell="C1" sqref="C1"/>
      <selection pane="topRight" activeCell="C1" sqref="C1"/>
      <selection pane="bottomLeft" activeCell="C1" sqref="C1"/>
      <selection pane="bottomRight" activeCell="A5" sqref="A5"/>
    </sheetView>
  </sheetViews>
  <sheetFormatPr baseColWidth="10" defaultColWidth="11.42578125" defaultRowHeight="12.75" x14ac:dyDescent="0.2"/>
  <cols>
    <col min="1" max="1" width="68.5703125" style="518" customWidth="1"/>
    <col min="2" max="46" width="11.7109375" style="518" customWidth="1"/>
    <col min="47" max="16384" width="11.42578125" style="518"/>
  </cols>
  <sheetData>
    <row r="1" spans="1:46" ht="20.25" customHeight="1" x14ac:dyDescent="0.3">
      <c r="A1" s="516" t="s">
        <v>167</v>
      </c>
      <c r="B1" s="456" t="s">
        <v>52</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row>
    <row r="2" spans="1:46" ht="20.100000000000001" customHeight="1" x14ac:dyDescent="0.3">
      <c r="A2" s="519" t="s">
        <v>251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row>
    <row r="3" spans="1:46" ht="20.100000000000001" customHeight="1" x14ac:dyDescent="0.3">
      <c r="A3" s="520" t="s">
        <v>348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row>
    <row r="4" spans="1:46" ht="20.100000000000001" customHeight="1" x14ac:dyDescent="0.3">
      <c r="A4" s="521" t="s">
        <v>349</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row>
    <row r="5" spans="1:46" ht="18.75" customHeight="1" x14ac:dyDescent="0.25">
      <c r="A5" s="522" t="s">
        <v>347</v>
      </c>
      <c r="B5" s="523"/>
      <c r="C5" s="523"/>
      <c r="D5" s="524"/>
      <c r="E5" s="525"/>
      <c r="F5" s="523"/>
      <c r="G5" s="524"/>
      <c r="H5" s="525"/>
      <c r="I5" s="523"/>
      <c r="J5" s="524"/>
      <c r="K5" s="525"/>
      <c r="L5" s="523"/>
      <c r="M5" s="524"/>
      <c r="N5" s="523"/>
      <c r="O5" s="523"/>
      <c r="P5" s="523"/>
      <c r="Q5" s="525"/>
      <c r="R5" s="523"/>
      <c r="S5" s="524"/>
      <c r="T5" s="525"/>
      <c r="U5" s="523"/>
      <c r="V5" s="524"/>
      <c r="W5" s="525"/>
      <c r="X5" s="523"/>
      <c r="Y5" s="524"/>
      <c r="Z5" s="525"/>
      <c r="AA5" s="523"/>
      <c r="AB5" s="524"/>
      <c r="AC5" s="525"/>
      <c r="AD5" s="523"/>
      <c r="AE5" s="524"/>
      <c r="AF5" s="525"/>
      <c r="AG5" s="523"/>
      <c r="AH5" s="524"/>
      <c r="AI5" s="525"/>
      <c r="AJ5" s="523"/>
      <c r="AK5" s="524"/>
      <c r="AL5" s="525"/>
      <c r="AM5" s="523"/>
      <c r="AN5" s="524"/>
      <c r="AO5" s="525"/>
      <c r="AP5" s="523"/>
      <c r="AQ5" s="524"/>
      <c r="AR5" s="525"/>
      <c r="AS5" s="523"/>
      <c r="AT5" s="524"/>
    </row>
    <row r="6" spans="1:46" ht="18.75" customHeight="1" x14ac:dyDescent="0.3">
      <c r="A6" s="526" t="s">
        <v>98</v>
      </c>
      <c r="B6" s="1022" t="s">
        <v>504</v>
      </c>
      <c r="C6" s="1023"/>
      <c r="D6" s="1024"/>
      <c r="E6" s="1022" t="s">
        <v>170</v>
      </c>
      <c r="F6" s="1023"/>
      <c r="G6" s="1024"/>
      <c r="H6" s="1022" t="s">
        <v>461</v>
      </c>
      <c r="I6" s="1023"/>
      <c r="J6" s="1024"/>
      <c r="K6" s="1022" t="s">
        <v>171</v>
      </c>
      <c r="L6" s="1023"/>
      <c r="M6" s="1024"/>
      <c r="N6" s="1022" t="s">
        <v>172</v>
      </c>
      <c r="O6" s="1023"/>
      <c r="P6" s="1024"/>
      <c r="Q6" s="1022" t="s">
        <v>173</v>
      </c>
      <c r="R6" s="1023"/>
      <c r="S6" s="1024"/>
      <c r="T6" s="929" t="s">
        <v>173</v>
      </c>
      <c r="U6" s="930"/>
      <c r="V6" s="931"/>
      <c r="W6" s="864"/>
      <c r="X6" s="865"/>
      <c r="Y6" s="866"/>
      <c r="Z6" s="1022" t="s">
        <v>174</v>
      </c>
      <c r="AA6" s="1023"/>
      <c r="AB6" s="1024"/>
      <c r="AC6" s="912"/>
      <c r="AD6" s="913"/>
      <c r="AE6" s="914"/>
      <c r="AF6" s="1034" t="s">
        <v>67</v>
      </c>
      <c r="AG6" s="1035"/>
      <c r="AH6" s="1036"/>
      <c r="AI6" s="1022" t="s">
        <v>71</v>
      </c>
      <c r="AJ6" s="1023"/>
      <c r="AK6" s="1024"/>
      <c r="AL6" s="1022" t="s">
        <v>478</v>
      </c>
      <c r="AM6" s="1023"/>
      <c r="AN6" s="1024"/>
      <c r="AO6" s="1037" t="s">
        <v>2</v>
      </c>
      <c r="AP6" s="1038"/>
      <c r="AQ6" s="1039"/>
      <c r="AR6" s="1037" t="s">
        <v>2</v>
      </c>
      <c r="AS6" s="1038"/>
      <c r="AT6" s="1039"/>
    </row>
    <row r="7" spans="1:46" ht="21" customHeight="1" x14ac:dyDescent="0.3">
      <c r="A7" s="527"/>
      <c r="B7" s="1031" t="s">
        <v>177</v>
      </c>
      <c r="C7" s="1032"/>
      <c r="D7" s="1033"/>
      <c r="E7" s="1031" t="s">
        <v>176</v>
      </c>
      <c r="F7" s="1032"/>
      <c r="G7" s="1033"/>
      <c r="H7" s="1031" t="s">
        <v>176</v>
      </c>
      <c r="I7" s="1032"/>
      <c r="J7" s="1033"/>
      <c r="K7" s="1031" t="s">
        <v>176</v>
      </c>
      <c r="L7" s="1032"/>
      <c r="M7" s="1033"/>
      <c r="N7" s="1031" t="s">
        <v>177</v>
      </c>
      <c r="O7" s="1032"/>
      <c r="P7" s="1033"/>
      <c r="Q7" s="1031" t="s">
        <v>88</v>
      </c>
      <c r="R7" s="1032"/>
      <c r="S7" s="1033"/>
      <c r="T7" s="1031" t="s">
        <v>63</v>
      </c>
      <c r="U7" s="1032"/>
      <c r="V7" s="1033"/>
      <c r="W7" s="1031" t="s">
        <v>65</v>
      </c>
      <c r="X7" s="1032"/>
      <c r="Y7" s="1033"/>
      <c r="Z7" s="1031" t="s">
        <v>175</v>
      </c>
      <c r="AA7" s="1032"/>
      <c r="AB7" s="1033"/>
      <c r="AC7" s="1031" t="s">
        <v>70</v>
      </c>
      <c r="AD7" s="1032"/>
      <c r="AE7" s="1033"/>
      <c r="AF7" s="1043" t="s">
        <v>474</v>
      </c>
      <c r="AG7" s="1044"/>
      <c r="AH7" s="1045"/>
      <c r="AI7" s="1031" t="s">
        <v>176</v>
      </c>
      <c r="AJ7" s="1032"/>
      <c r="AK7" s="1033"/>
      <c r="AL7" s="1031" t="s">
        <v>176</v>
      </c>
      <c r="AM7" s="1032"/>
      <c r="AN7" s="1033"/>
      <c r="AO7" s="1040" t="s">
        <v>281</v>
      </c>
      <c r="AP7" s="1041"/>
      <c r="AQ7" s="1042"/>
      <c r="AR7" s="1040" t="s">
        <v>282</v>
      </c>
      <c r="AS7" s="1041"/>
      <c r="AT7" s="1042"/>
    </row>
    <row r="8" spans="1:46" ht="18.75" customHeight="1" x14ac:dyDescent="0.3">
      <c r="A8" s="527"/>
      <c r="B8" s="528"/>
      <c r="C8" s="528"/>
      <c r="D8" s="529" t="s">
        <v>79</v>
      </c>
      <c r="E8" s="528"/>
      <c r="F8" s="528"/>
      <c r="G8" s="529" t="s">
        <v>79</v>
      </c>
      <c r="H8" s="528"/>
      <c r="I8" s="528"/>
      <c r="J8" s="529" t="s">
        <v>79</v>
      </c>
      <c r="K8" s="528"/>
      <c r="L8" s="528"/>
      <c r="M8" s="529" t="s">
        <v>79</v>
      </c>
      <c r="N8" s="528"/>
      <c r="O8" s="528"/>
      <c r="P8" s="529" t="s">
        <v>79</v>
      </c>
      <c r="Q8" s="528"/>
      <c r="R8" s="528"/>
      <c r="S8" s="529" t="s">
        <v>79</v>
      </c>
      <c r="T8" s="528"/>
      <c r="U8" s="528"/>
      <c r="V8" s="529" t="s">
        <v>79</v>
      </c>
      <c r="W8" s="528"/>
      <c r="X8" s="528"/>
      <c r="Y8" s="529" t="s">
        <v>79</v>
      </c>
      <c r="Z8" s="528"/>
      <c r="AA8" s="528"/>
      <c r="AB8" s="529" t="s">
        <v>79</v>
      </c>
      <c r="AC8" s="528"/>
      <c r="AD8" s="528"/>
      <c r="AE8" s="529" t="s">
        <v>79</v>
      </c>
      <c r="AF8" s="528"/>
      <c r="AG8" s="528"/>
      <c r="AH8" s="529" t="s">
        <v>79</v>
      </c>
      <c r="AI8" s="528"/>
      <c r="AJ8" s="528"/>
      <c r="AK8" s="529" t="s">
        <v>79</v>
      </c>
      <c r="AL8" s="528"/>
      <c r="AM8" s="528"/>
      <c r="AN8" s="529" t="s">
        <v>79</v>
      </c>
      <c r="AO8" s="528"/>
      <c r="AP8" s="528"/>
      <c r="AQ8" s="529" t="s">
        <v>79</v>
      </c>
      <c r="AR8" s="528"/>
      <c r="AS8" s="528"/>
      <c r="AT8" s="529" t="s">
        <v>79</v>
      </c>
    </row>
    <row r="9" spans="1:46" ht="18.75" customHeight="1" x14ac:dyDescent="0.25">
      <c r="A9" s="530" t="s">
        <v>283</v>
      </c>
      <c r="B9" s="531">
        <v>2021</v>
      </c>
      <c r="C9" s="531">
        <v>2022</v>
      </c>
      <c r="D9" s="532" t="s">
        <v>81</v>
      </c>
      <c r="E9" s="531">
        <f>$B$9</f>
        <v>2021</v>
      </c>
      <c r="F9" s="531">
        <f>$C$9</f>
        <v>2022</v>
      </c>
      <c r="G9" s="532" t="s">
        <v>81</v>
      </c>
      <c r="H9" s="531">
        <f>$B$9</f>
        <v>2021</v>
      </c>
      <c r="I9" s="531">
        <f>$C$9</f>
        <v>2022</v>
      </c>
      <c r="J9" s="532" t="s">
        <v>81</v>
      </c>
      <c r="K9" s="531">
        <f>$B$9</f>
        <v>2021</v>
      </c>
      <c r="L9" s="531">
        <f>$C$9</f>
        <v>2022</v>
      </c>
      <c r="M9" s="532" t="s">
        <v>81</v>
      </c>
      <c r="N9" s="531">
        <f>$B$9</f>
        <v>2021</v>
      </c>
      <c r="O9" s="531">
        <f>$C$9</f>
        <v>2022</v>
      </c>
      <c r="P9" s="532" t="s">
        <v>81</v>
      </c>
      <c r="Q9" s="531">
        <f>$B$9</f>
        <v>2021</v>
      </c>
      <c r="R9" s="531">
        <f>$C$9</f>
        <v>2022</v>
      </c>
      <c r="S9" s="532" t="s">
        <v>81</v>
      </c>
      <c r="T9" s="531">
        <f>$B$9</f>
        <v>2021</v>
      </c>
      <c r="U9" s="531">
        <f>$C$9</f>
        <v>2022</v>
      </c>
      <c r="V9" s="532" t="s">
        <v>81</v>
      </c>
      <c r="W9" s="531">
        <f>$B$9</f>
        <v>2021</v>
      </c>
      <c r="X9" s="531">
        <f>$C$9</f>
        <v>2022</v>
      </c>
      <c r="Y9" s="532" t="s">
        <v>81</v>
      </c>
      <c r="Z9" s="531">
        <f>$B$9</f>
        <v>2021</v>
      </c>
      <c r="AA9" s="531">
        <f>$C$9</f>
        <v>2022</v>
      </c>
      <c r="AB9" s="532" t="s">
        <v>81</v>
      </c>
      <c r="AC9" s="531">
        <f>$B$9</f>
        <v>2021</v>
      </c>
      <c r="AD9" s="531">
        <f>$C$9</f>
        <v>2022</v>
      </c>
      <c r="AE9" s="532" t="s">
        <v>81</v>
      </c>
      <c r="AF9" s="531">
        <f>$B$9</f>
        <v>2021</v>
      </c>
      <c r="AG9" s="531">
        <f>$C$9</f>
        <v>2022</v>
      </c>
      <c r="AH9" s="532" t="s">
        <v>81</v>
      </c>
      <c r="AI9" s="531">
        <f>$B$9</f>
        <v>2021</v>
      </c>
      <c r="AJ9" s="531">
        <f>$C$9</f>
        <v>2022</v>
      </c>
      <c r="AK9" s="532" t="s">
        <v>81</v>
      </c>
      <c r="AL9" s="531">
        <f>$B$9</f>
        <v>2021</v>
      </c>
      <c r="AM9" s="531">
        <f>$C$9</f>
        <v>2022</v>
      </c>
      <c r="AN9" s="532" t="s">
        <v>81</v>
      </c>
      <c r="AO9" s="531">
        <f>$B$9</f>
        <v>2021</v>
      </c>
      <c r="AP9" s="531">
        <f>$C$9</f>
        <v>2022</v>
      </c>
      <c r="AQ9" s="532" t="s">
        <v>81</v>
      </c>
      <c r="AR9" s="531">
        <f>$B$9</f>
        <v>2021</v>
      </c>
      <c r="AS9" s="531">
        <f>$C$9</f>
        <v>2022</v>
      </c>
      <c r="AT9" s="532" t="s">
        <v>81</v>
      </c>
    </row>
    <row r="10" spans="1:46" ht="18.75" customHeight="1" x14ac:dyDescent="0.25">
      <c r="A10" s="533"/>
      <c r="B10" s="882"/>
      <c r="C10" s="755"/>
      <c r="D10" s="534"/>
      <c r="E10" s="882"/>
      <c r="F10" s="755"/>
      <c r="G10" s="535"/>
      <c r="H10" s="882"/>
      <c r="I10" s="755"/>
      <c r="J10" s="535"/>
      <c r="K10" s="882"/>
      <c r="L10" s="755"/>
      <c r="M10" s="535"/>
      <c r="N10" s="882"/>
      <c r="O10" s="755"/>
      <c r="P10" s="534"/>
      <c r="Q10" s="882"/>
      <c r="R10" s="755"/>
      <c r="S10" s="535"/>
      <c r="T10" s="882"/>
      <c r="U10" s="755"/>
      <c r="V10" s="535"/>
      <c r="W10" s="882"/>
      <c r="X10" s="755"/>
      <c r="Y10" s="535"/>
      <c r="Z10" s="536"/>
      <c r="AA10" s="755"/>
      <c r="AB10" s="535"/>
      <c r="AC10" s="882"/>
      <c r="AD10" s="755"/>
      <c r="AE10" s="535"/>
      <c r="AF10" s="882"/>
      <c r="AG10" s="755"/>
      <c r="AH10" s="535"/>
      <c r="AI10" s="882"/>
      <c r="AJ10" s="755"/>
      <c r="AK10" s="535"/>
      <c r="AL10" s="755"/>
      <c r="AM10" s="755"/>
      <c r="AN10" s="535"/>
      <c r="AO10" s="534"/>
      <c r="AP10" s="534"/>
      <c r="AQ10" s="535"/>
      <c r="AR10" s="536"/>
      <c r="AS10" s="536"/>
      <c r="AT10" s="535"/>
    </row>
    <row r="11" spans="1:46" s="517" customFormat="1" ht="18.75" customHeight="1" x14ac:dyDescent="0.3">
      <c r="A11" s="537" t="s">
        <v>350</v>
      </c>
      <c r="B11" s="756"/>
      <c r="C11" s="757"/>
      <c r="D11" s="538"/>
      <c r="E11" s="756"/>
      <c r="F11" s="757"/>
      <c r="G11" s="539"/>
      <c r="H11" s="756"/>
      <c r="I11" s="757"/>
      <c r="J11" s="539"/>
      <c r="K11" s="756"/>
      <c r="L11" s="757"/>
      <c r="M11" s="539"/>
      <c r="N11" s="756"/>
      <c r="O11" s="757"/>
      <c r="P11" s="538"/>
      <c r="Q11" s="756"/>
      <c r="R11" s="757"/>
      <c r="S11" s="539"/>
      <c r="T11" s="756"/>
      <c r="U11" s="757"/>
      <c r="V11" s="539"/>
      <c r="W11" s="756"/>
      <c r="X11" s="757"/>
      <c r="Y11" s="540"/>
      <c r="Z11" s="757"/>
      <c r="AA11" s="757"/>
      <c r="AB11" s="539"/>
      <c r="AC11" s="756"/>
      <c r="AD11" s="757"/>
      <c r="AE11" s="539"/>
      <c r="AF11" s="756"/>
      <c r="AG11" s="757"/>
      <c r="AH11" s="539"/>
      <c r="AI11" s="756"/>
      <c r="AJ11" s="757"/>
      <c r="AK11" s="539"/>
      <c r="AL11" s="757"/>
      <c r="AM11" s="757"/>
      <c r="AN11" s="539"/>
      <c r="AO11" s="538"/>
      <c r="AP11" s="538"/>
      <c r="AQ11" s="539"/>
      <c r="AR11" s="541"/>
      <c r="AS11" s="541"/>
      <c r="AT11" s="539"/>
    </row>
    <row r="12" spans="1:46" s="517" customFormat="1" ht="18.75" customHeight="1" x14ac:dyDescent="0.3">
      <c r="A12" s="542" t="s">
        <v>351</v>
      </c>
      <c r="B12" s="758"/>
      <c r="C12" s="759"/>
      <c r="D12" s="544"/>
      <c r="E12" s="758">
        <v>34.179042079198709</v>
      </c>
      <c r="F12" s="759">
        <v>-16.869</v>
      </c>
      <c r="G12" s="545">
        <f>IF(E12=0, "    ---- ", IF(ABS(ROUND(100/E12*F12-100,1))&lt;999,ROUND(100/E12*F12-100,1),IF(ROUND(100/E12*F12-100,1)&gt;999,999,-999)))</f>
        <v>-149.4</v>
      </c>
      <c r="H12" s="758"/>
      <c r="I12" s="759"/>
      <c r="J12" s="546"/>
      <c r="K12" s="758"/>
      <c r="L12" s="759"/>
      <c r="M12" s="546"/>
      <c r="N12" s="758"/>
      <c r="O12" s="759"/>
      <c r="P12" s="544"/>
      <c r="Q12" s="758"/>
      <c r="R12" s="759"/>
      <c r="S12" s="546"/>
      <c r="T12" s="758"/>
      <c r="U12" s="759"/>
      <c r="V12" s="546"/>
      <c r="W12" s="758">
        <v>12.57</v>
      </c>
      <c r="X12" s="759">
        <v>2.8367930548678766</v>
      </c>
      <c r="Y12" s="545">
        <f t="shared" ref="Y12:Y58" si="0">IF(W12=0, "    ---- ", IF(ABS(ROUND(100/W12*X12-100,1))&lt;999,ROUND(100/W12*X12-100,1),IF(ROUND(100/W12*X12-100,1)&gt;999,999,-999)))</f>
        <v>-77.400000000000006</v>
      </c>
      <c r="Z12" s="759"/>
      <c r="AA12" s="759"/>
      <c r="AB12" s="546"/>
      <c r="AC12" s="758"/>
      <c r="AD12" s="759"/>
      <c r="AE12" s="546"/>
      <c r="AF12" s="758">
        <v>26</v>
      </c>
      <c r="AG12" s="759">
        <v>-5</v>
      </c>
      <c r="AH12" s="545">
        <f>IF(AF12=0, "    ---- ", IF(ABS(ROUND(100/AF12*AG12-100,1))&lt;999,ROUND(100/AF12*AG12-100,1),IF(ROUND(100/AF12*AG12-100,1)&gt;999,999,-999)))</f>
        <v>-119.2</v>
      </c>
      <c r="AI12" s="758">
        <v>15</v>
      </c>
      <c r="AJ12" s="759">
        <v>-25</v>
      </c>
      <c r="AK12" s="545">
        <f>IF(AI12=0, "    ---- ", IF(ABS(ROUND(100/AI12*AJ12-100,1))&lt;999,ROUND(100/AI12*AJ12-100,1),IF(ROUND(100/AI12*AJ12-100,1)&gt;999,999,-999)))</f>
        <v>-266.7</v>
      </c>
      <c r="AL12" s="759"/>
      <c r="AM12" s="759"/>
      <c r="AN12" s="546"/>
      <c r="AO12" s="547">
        <f t="shared" ref="AO12:AO22" si="1">B12+E12+H12+K12+N12+T12+AL12+W12+Z12+AF12+AI12</f>
        <v>87.749042079198716</v>
      </c>
      <c r="AP12" s="547">
        <f t="shared" ref="AP12:AP22" si="2">C12+F12+I12+L12+O12+U12+AM12+X12+AA12+AG12+AJ12</f>
        <v>-44.032206945132124</v>
      </c>
      <c r="AQ12" s="545">
        <f t="shared" ref="AQ12:AQ22" si="3">IF(AO12=0, "    ---- ", IF(ABS(ROUND(100/AO12*AP12-100,1))&lt;999,ROUND(100/AO12*AP12-100,1),IF(ROUND(100/AO12*AP12-100,1)&gt;999,999,-999)))</f>
        <v>-150.19999999999999</v>
      </c>
      <c r="AR12" s="547">
        <f>+B12+E12+H12+K12+N12+Q12+T12+AL12+W12+Z12+AC12+AF12+AI12</f>
        <v>87.749042079198716</v>
      </c>
      <c r="AS12" s="547">
        <f>+C12+F12+I12+L12+O12+R12+U12+AM12+X12+AA12+AD12+AG12+AJ12</f>
        <v>-44.032206945132124</v>
      </c>
      <c r="AT12" s="545">
        <f t="shared" ref="AT12:AT22" si="4">IF(AR12=0, "    ---- ", IF(ABS(ROUND(100/AR12*AS12-100,1))&lt;999,ROUND(100/AR12*AS12-100,1),IF(ROUND(100/AR12*AS12-100,1)&gt;999,999,-999)))</f>
        <v>-150.19999999999999</v>
      </c>
    </row>
    <row r="13" spans="1:46" s="517" customFormat="1" ht="18.75" customHeight="1" x14ac:dyDescent="0.3">
      <c r="A13" s="542" t="s">
        <v>352</v>
      </c>
      <c r="B13" s="758"/>
      <c r="C13" s="759"/>
      <c r="D13" s="544"/>
      <c r="E13" s="758">
        <v>-24.7790420791987</v>
      </c>
      <c r="F13" s="759">
        <v>14.869</v>
      </c>
      <c r="G13" s="545">
        <f>IF(E13=0, "    ---- ", IF(ABS(ROUND(100/E13*F13-100,1))&lt;999,ROUND(100/E13*F13-100,1),IF(ROUND(100/E13*F13-100,1)&gt;999,999,-999)))</f>
        <v>-160</v>
      </c>
      <c r="H13" s="758"/>
      <c r="I13" s="759"/>
      <c r="J13" s="546"/>
      <c r="K13" s="758"/>
      <c r="L13" s="759"/>
      <c r="M13" s="546"/>
      <c r="N13" s="758"/>
      <c r="O13" s="759"/>
      <c r="P13" s="544"/>
      <c r="Q13" s="758"/>
      <c r="R13" s="759"/>
      <c r="S13" s="546"/>
      <c r="T13" s="758"/>
      <c r="U13" s="759"/>
      <c r="V13" s="546"/>
      <c r="W13" s="758">
        <v>-12.57</v>
      </c>
      <c r="X13" s="759">
        <v>-2.8367930548678766</v>
      </c>
      <c r="Y13" s="545">
        <f t="shared" si="0"/>
        <v>-77.400000000000006</v>
      </c>
      <c r="Z13" s="759"/>
      <c r="AA13" s="759"/>
      <c r="AB13" s="546"/>
      <c r="AC13" s="758"/>
      <c r="AD13" s="759"/>
      <c r="AE13" s="546"/>
      <c r="AF13" s="758"/>
      <c r="AG13" s="759">
        <v>5</v>
      </c>
      <c r="AH13" s="545"/>
      <c r="AI13" s="758">
        <v>-1</v>
      </c>
      <c r="AJ13" s="759">
        <v>14</v>
      </c>
      <c r="AK13" s="545">
        <f>IF(AI13=0, "    ---- ", IF(ABS(ROUND(100/AI13*AJ13-100,1))&lt;999,ROUND(100/AI13*AJ13-100,1),IF(ROUND(100/AI13*AJ13-100,1)&gt;999,999,-999)))</f>
        <v>-999</v>
      </c>
      <c r="AL13" s="759"/>
      <c r="AM13" s="759"/>
      <c r="AN13" s="546"/>
      <c r="AO13" s="547">
        <f t="shared" si="1"/>
        <v>-38.349042079198696</v>
      </c>
      <c r="AP13" s="547">
        <f t="shared" si="2"/>
        <v>31.032206945132124</v>
      </c>
      <c r="AQ13" s="545">
        <f t="shared" si="3"/>
        <v>-180.9</v>
      </c>
      <c r="AR13" s="547">
        <f t="shared" ref="AR13:AS34" si="5">+B13+E13+H13+K13+N13+Q13+T13+AL13+W13+Z13+AC13+AF13+AI13</f>
        <v>-38.349042079198696</v>
      </c>
      <c r="AS13" s="547">
        <f t="shared" si="5"/>
        <v>31.032206945132124</v>
      </c>
      <c r="AT13" s="545">
        <f t="shared" si="4"/>
        <v>-180.9</v>
      </c>
    </row>
    <row r="14" spans="1:46" s="517" customFormat="1" ht="18.75" customHeight="1" x14ac:dyDescent="0.3">
      <c r="A14" s="542" t="s">
        <v>353</v>
      </c>
      <c r="B14" s="758"/>
      <c r="C14" s="759"/>
      <c r="D14" s="544"/>
      <c r="E14" s="758">
        <v>16.504179835875803</v>
      </c>
      <c r="F14" s="759">
        <v>16.760000000000002</v>
      </c>
      <c r="G14" s="545">
        <f>IF(E14=0, "    ---- ", IF(ABS(ROUND(100/E14*F14-100,1))&lt;999,ROUND(100/E14*F14-100,1),IF(ROUND(100/E14*F14-100,1)&gt;999,999,-999)))</f>
        <v>1.6</v>
      </c>
      <c r="H14" s="758"/>
      <c r="I14" s="759"/>
      <c r="J14" s="546"/>
      <c r="K14" s="758"/>
      <c r="L14" s="759"/>
      <c r="M14" s="546"/>
      <c r="N14" s="758"/>
      <c r="O14" s="759"/>
      <c r="P14" s="544"/>
      <c r="Q14" s="758"/>
      <c r="R14" s="759"/>
      <c r="S14" s="546"/>
      <c r="T14" s="758"/>
      <c r="U14" s="759"/>
      <c r="V14" s="546"/>
      <c r="W14" s="758">
        <v>4.58</v>
      </c>
      <c r="X14" s="759">
        <v>3.8844353046563138</v>
      </c>
      <c r="Y14" s="545">
        <f t="shared" si="0"/>
        <v>-15.2</v>
      </c>
      <c r="Z14" s="759"/>
      <c r="AA14" s="759"/>
      <c r="AB14" s="546"/>
      <c r="AC14" s="758"/>
      <c r="AD14" s="759"/>
      <c r="AE14" s="546"/>
      <c r="AF14" s="758">
        <v>-8</v>
      </c>
      <c r="AG14" s="759">
        <v>-5</v>
      </c>
      <c r="AH14" s="545">
        <f>IF(AF14=0, "    ---- ", IF(ABS(ROUND(100/AF14*AG14-100,1))&lt;999,ROUND(100/AF14*AG14-100,1),IF(ROUND(100/AF14*AG14-100,1)&gt;999,999,-999)))</f>
        <v>-37.5</v>
      </c>
      <c r="AI14" s="758">
        <v>11</v>
      </c>
      <c r="AJ14" s="759">
        <v>30</v>
      </c>
      <c r="AK14" s="545">
        <f>IF(AI14=0, "    ---- ", IF(ABS(ROUND(100/AI14*AJ14-100,1))&lt;999,ROUND(100/AI14*AJ14-100,1),IF(ROUND(100/AI14*AJ14-100,1)&gt;999,999,-999)))</f>
        <v>172.7</v>
      </c>
      <c r="AL14" s="759"/>
      <c r="AM14" s="759"/>
      <c r="AN14" s="546"/>
      <c r="AO14" s="547">
        <f t="shared" si="1"/>
        <v>24.084179835875801</v>
      </c>
      <c r="AP14" s="547">
        <f t="shared" si="2"/>
        <v>45.644435304656312</v>
      </c>
      <c r="AQ14" s="545">
        <f t="shared" si="3"/>
        <v>89.5</v>
      </c>
      <c r="AR14" s="547">
        <f t="shared" si="5"/>
        <v>24.084179835875801</v>
      </c>
      <c r="AS14" s="547">
        <f t="shared" si="5"/>
        <v>45.644435304656312</v>
      </c>
      <c r="AT14" s="545">
        <f t="shared" si="4"/>
        <v>89.5</v>
      </c>
    </row>
    <row r="15" spans="1:46" s="517" customFormat="1" ht="18.75" customHeight="1" x14ac:dyDescent="0.3">
      <c r="A15" s="542" t="s">
        <v>354</v>
      </c>
      <c r="B15" s="758"/>
      <c r="C15" s="759"/>
      <c r="D15" s="544"/>
      <c r="E15" s="758"/>
      <c r="F15" s="759"/>
      <c r="G15" s="545"/>
      <c r="H15" s="758"/>
      <c r="I15" s="759"/>
      <c r="J15" s="546"/>
      <c r="K15" s="758"/>
      <c r="L15" s="759"/>
      <c r="M15" s="546"/>
      <c r="N15" s="758"/>
      <c r="O15" s="759"/>
      <c r="P15" s="544"/>
      <c r="Q15" s="758"/>
      <c r="R15" s="759"/>
      <c r="S15" s="546"/>
      <c r="T15" s="758"/>
      <c r="U15" s="759"/>
      <c r="V15" s="546"/>
      <c r="W15" s="758"/>
      <c r="X15" s="759"/>
      <c r="Y15" s="545"/>
      <c r="Z15" s="759"/>
      <c r="AA15" s="759"/>
      <c r="AB15" s="546"/>
      <c r="AC15" s="758"/>
      <c r="AD15" s="759"/>
      <c r="AE15" s="546"/>
      <c r="AF15" s="758"/>
      <c r="AG15" s="759"/>
      <c r="AH15" s="545"/>
      <c r="AI15" s="758"/>
      <c r="AJ15" s="759"/>
      <c r="AK15" s="545"/>
      <c r="AL15" s="759"/>
      <c r="AM15" s="759"/>
      <c r="AN15" s="546"/>
      <c r="AO15" s="547">
        <f t="shared" si="1"/>
        <v>0</v>
      </c>
      <c r="AP15" s="547">
        <f t="shared" si="2"/>
        <v>0</v>
      </c>
      <c r="AQ15" s="545" t="str">
        <f t="shared" si="3"/>
        <v xml:space="preserve">    ---- </v>
      </c>
      <c r="AR15" s="547">
        <f t="shared" si="5"/>
        <v>0</v>
      </c>
      <c r="AS15" s="547">
        <f t="shared" si="5"/>
        <v>0</v>
      </c>
      <c r="AT15" s="545" t="str">
        <f t="shared" si="4"/>
        <v xml:space="preserve">    ---- </v>
      </c>
    </row>
    <row r="16" spans="1:46" s="517" customFormat="1" ht="18.75" customHeight="1" x14ac:dyDescent="0.3">
      <c r="A16" s="542" t="s">
        <v>355</v>
      </c>
      <c r="B16" s="758"/>
      <c r="C16" s="759"/>
      <c r="D16" s="544"/>
      <c r="E16" s="758"/>
      <c r="F16" s="759"/>
      <c r="G16" s="545"/>
      <c r="H16" s="758"/>
      <c r="I16" s="759"/>
      <c r="J16" s="546"/>
      <c r="K16" s="758"/>
      <c r="L16" s="759"/>
      <c r="M16" s="546"/>
      <c r="N16" s="758"/>
      <c r="O16" s="759"/>
      <c r="P16" s="544"/>
      <c r="Q16" s="758"/>
      <c r="R16" s="759"/>
      <c r="S16" s="546"/>
      <c r="T16" s="758"/>
      <c r="U16" s="759"/>
      <c r="V16" s="546"/>
      <c r="W16" s="758"/>
      <c r="X16" s="759"/>
      <c r="Y16" s="545"/>
      <c r="Z16" s="759"/>
      <c r="AA16" s="759"/>
      <c r="AB16" s="546"/>
      <c r="AC16" s="758"/>
      <c r="AD16" s="759"/>
      <c r="AE16" s="546"/>
      <c r="AF16" s="758"/>
      <c r="AG16" s="759"/>
      <c r="AH16" s="545"/>
      <c r="AI16" s="758"/>
      <c r="AJ16" s="759"/>
      <c r="AK16" s="545"/>
      <c r="AL16" s="759"/>
      <c r="AM16" s="759"/>
      <c r="AN16" s="546"/>
      <c r="AO16" s="547">
        <f t="shared" si="1"/>
        <v>0</v>
      </c>
      <c r="AP16" s="547">
        <f t="shared" si="2"/>
        <v>0</v>
      </c>
      <c r="AQ16" s="545" t="str">
        <f t="shared" si="3"/>
        <v xml:space="preserve">    ---- </v>
      </c>
      <c r="AR16" s="547">
        <f t="shared" si="5"/>
        <v>0</v>
      </c>
      <c r="AS16" s="547">
        <f t="shared" si="5"/>
        <v>0</v>
      </c>
      <c r="AT16" s="545" t="str">
        <f t="shared" si="4"/>
        <v xml:space="preserve">    ---- </v>
      </c>
    </row>
    <row r="17" spans="1:46" s="517" customFormat="1" ht="18.75" customHeight="1" x14ac:dyDescent="0.3">
      <c r="A17" s="542" t="s">
        <v>356</v>
      </c>
      <c r="B17" s="758"/>
      <c r="C17" s="759"/>
      <c r="D17" s="544"/>
      <c r="E17" s="758">
        <v>30.471177833926873</v>
      </c>
      <c r="F17" s="759">
        <v>23.277000000000001</v>
      </c>
      <c r="G17" s="545">
        <f>IF(E17=0, "    ---- ", IF(ABS(ROUND(100/E17*F17-100,1))&lt;999,ROUND(100/E17*F17-100,1),IF(ROUND(100/E17*F17-100,1)&gt;999,999,-999)))</f>
        <v>-23.6</v>
      </c>
      <c r="H17" s="758"/>
      <c r="I17" s="759"/>
      <c r="J17" s="546"/>
      <c r="K17" s="758"/>
      <c r="L17" s="759"/>
      <c r="M17" s="546"/>
      <c r="N17" s="758"/>
      <c r="O17" s="759"/>
      <c r="P17" s="544"/>
      <c r="Q17" s="758"/>
      <c r="R17" s="759"/>
      <c r="S17" s="546"/>
      <c r="T17" s="758"/>
      <c r="U17" s="759"/>
      <c r="V17" s="546"/>
      <c r="W17" s="758">
        <v>18.670000000000002</v>
      </c>
      <c r="X17" s="759">
        <v>13.907101813533266</v>
      </c>
      <c r="Y17" s="545">
        <f t="shared" si="0"/>
        <v>-25.5</v>
      </c>
      <c r="Z17" s="759"/>
      <c r="AA17" s="759"/>
      <c r="AB17" s="546"/>
      <c r="AC17" s="758"/>
      <c r="AD17" s="759"/>
      <c r="AE17" s="546"/>
      <c r="AF17" s="758">
        <v>33</v>
      </c>
      <c r="AG17" s="759">
        <v>2</v>
      </c>
      <c r="AH17" s="545">
        <f>IF(AF17=0, "    ---- ", IF(ABS(ROUND(100/AF17*AG17-100,1))&lt;999,ROUND(100/AF17*AG17-100,1),IF(ROUND(100/AF17*AG17-100,1)&gt;999,999,-999)))</f>
        <v>-93.9</v>
      </c>
      <c r="AI17" s="758">
        <v>74</v>
      </c>
      <c r="AJ17" s="759">
        <v>108</v>
      </c>
      <c r="AK17" s="545">
        <f>IF(AI17=0, "    ---- ", IF(ABS(ROUND(100/AI17*AJ17-100,1))&lt;999,ROUND(100/AI17*AJ17-100,1),IF(ROUND(100/AI17*AJ17-100,1)&gt;999,999,-999)))</f>
        <v>45.9</v>
      </c>
      <c r="AL17" s="759"/>
      <c r="AM17" s="759"/>
      <c r="AN17" s="546"/>
      <c r="AO17" s="547">
        <f t="shared" si="1"/>
        <v>156.14117783392686</v>
      </c>
      <c r="AP17" s="547">
        <f t="shared" si="2"/>
        <v>147.18410181353326</v>
      </c>
      <c r="AQ17" s="545">
        <f t="shared" si="3"/>
        <v>-5.7</v>
      </c>
      <c r="AR17" s="547">
        <f t="shared" si="5"/>
        <v>156.14117783392686</v>
      </c>
      <c r="AS17" s="547">
        <f t="shared" si="5"/>
        <v>147.18410181353326</v>
      </c>
      <c r="AT17" s="545">
        <f t="shared" si="4"/>
        <v>-5.7</v>
      </c>
    </row>
    <row r="18" spans="1:46" s="517" customFormat="1" ht="18.75" customHeight="1" x14ac:dyDescent="0.3">
      <c r="A18" s="542" t="s">
        <v>357</v>
      </c>
      <c r="B18" s="758"/>
      <c r="C18" s="759"/>
      <c r="D18" s="544"/>
      <c r="E18" s="758"/>
      <c r="F18" s="759"/>
      <c r="G18" s="545"/>
      <c r="H18" s="758"/>
      <c r="I18" s="759"/>
      <c r="J18" s="546"/>
      <c r="K18" s="758"/>
      <c r="L18" s="759"/>
      <c r="M18" s="546"/>
      <c r="N18" s="758"/>
      <c r="O18" s="759"/>
      <c r="P18" s="544"/>
      <c r="Q18" s="758"/>
      <c r="R18" s="759"/>
      <c r="S18" s="546"/>
      <c r="T18" s="758"/>
      <c r="U18" s="759"/>
      <c r="V18" s="546"/>
      <c r="W18" s="758"/>
      <c r="X18" s="759"/>
      <c r="Y18" s="545"/>
      <c r="Z18" s="759"/>
      <c r="AA18" s="759"/>
      <c r="AB18" s="546"/>
      <c r="AC18" s="758"/>
      <c r="AD18" s="759"/>
      <c r="AE18" s="546"/>
      <c r="AF18" s="758"/>
      <c r="AG18" s="759"/>
      <c r="AH18" s="545"/>
      <c r="AI18" s="758"/>
      <c r="AJ18" s="759"/>
      <c r="AK18" s="545"/>
      <c r="AL18" s="759"/>
      <c r="AM18" s="759"/>
      <c r="AN18" s="546"/>
      <c r="AO18" s="547">
        <f t="shared" si="1"/>
        <v>0</v>
      </c>
      <c r="AP18" s="547">
        <f t="shared" si="2"/>
        <v>0</v>
      </c>
      <c r="AQ18" s="545" t="str">
        <f t="shared" si="3"/>
        <v xml:space="preserve">    ---- </v>
      </c>
      <c r="AR18" s="547">
        <f t="shared" si="5"/>
        <v>0</v>
      </c>
      <c r="AS18" s="547">
        <f t="shared" si="5"/>
        <v>0</v>
      </c>
      <c r="AT18" s="545" t="str">
        <f t="shared" si="4"/>
        <v xml:space="preserve">    ---- </v>
      </c>
    </row>
    <row r="19" spans="1:46" s="517" customFormat="1" ht="18.75" customHeight="1" x14ac:dyDescent="0.3">
      <c r="A19" s="542" t="s">
        <v>358</v>
      </c>
      <c r="B19" s="758"/>
      <c r="C19" s="759"/>
      <c r="D19" s="544"/>
      <c r="E19" s="758"/>
      <c r="F19" s="759"/>
      <c r="G19" s="545"/>
      <c r="H19" s="758"/>
      <c r="I19" s="759"/>
      <c r="J19" s="546"/>
      <c r="K19" s="758"/>
      <c r="L19" s="759"/>
      <c r="M19" s="546"/>
      <c r="N19" s="758"/>
      <c r="O19" s="759"/>
      <c r="P19" s="544"/>
      <c r="Q19" s="758"/>
      <c r="R19" s="759"/>
      <c r="S19" s="546"/>
      <c r="T19" s="758"/>
      <c r="U19" s="759"/>
      <c r="V19" s="546"/>
      <c r="W19" s="758"/>
      <c r="X19" s="759"/>
      <c r="Y19" s="545"/>
      <c r="Z19" s="759"/>
      <c r="AA19" s="759"/>
      <c r="AB19" s="546"/>
      <c r="AC19" s="758"/>
      <c r="AD19" s="759"/>
      <c r="AE19" s="546"/>
      <c r="AF19" s="758"/>
      <c r="AG19" s="759"/>
      <c r="AH19" s="545"/>
      <c r="AI19" s="758"/>
      <c r="AJ19" s="759"/>
      <c r="AK19" s="545"/>
      <c r="AL19" s="759"/>
      <c r="AM19" s="759"/>
      <c r="AN19" s="546"/>
      <c r="AO19" s="547">
        <f t="shared" si="1"/>
        <v>0</v>
      </c>
      <c r="AP19" s="547">
        <f t="shared" si="2"/>
        <v>0</v>
      </c>
      <c r="AQ19" s="545" t="str">
        <f t="shared" si="3"/>
        <v xml:space="preserve">    ---- </v>
      </c>
      <c r="AR19" s="547">
        <f t="shared" si="5"/>
        <v>0</v>
      </c>
      <c r="AS19" s="547">
        <f t="shared" si="5"/>
        <v>0</v>
      </c>
      <c r="AT19" s="545" t="str">
        <f t="shared" si="4"/>
        <v xml:space="preserve">    ---- </v>
      </c>
    </row>
    <row r="20" spans="1:46" s="549" customFormat="1" ht="18.75" customHeight="1" x14ac:dyDescent="0.3">
      <c r="A20" s="537" t="s">
        <v>359</v>
      </c>
      <c r="B20" s="756"/>
      <c r="C20" s="757"/>
      <c r="D20" s="538"/>
      <c r="E20" s="756">
        <f>SUM(E12:E17)+E19</f>
        <v>56.375357669802682</v>
      </c>
      <c r="F20" s="757">
        <f>SUM(F12:F17)+F19</f>
        <v>38.037000000000006</v>
      </c>
      <c r="G20" s="540">
        <f>IF(E20=0, "    ---- ", IF(ABS(ROUND(100/E20*F20-100,1))&lt;999,ROUND(100/E20*F20-100,1),IF(ROUND(100/E20*F20-100,1)&gt;999,999,-999)))</f>
        <v>-32.5</v>
      </c>
      <c r="H20" s="756"/>
      <c r="I20" s="757"/>
      <c r="J20" s="539"/>
      <c r="K20" s="756"/>
      <c r="L20" s="757"/>
      <c r="M20" s="539"/>
      <c r="N20" s="756"/>
      <c r="O20" s="757"/>
      <c r="P20" s="538"/>
      <c r="Q20" s="756"/>
      <c r="R20" s="757"/>
      <c r="S20" s="539"/>
      <c r="T20" s="756"/>
      <c r="U20" s="757"/>
      <c r="V20" s="539"/>
      <c r="W20" s="756">
        <f>SUM(W12:W17)+W19</f>
        <v>23.25</v>
      </c>
      <c r="X20" s="757">
        <f>SUM(X12:X17)+X19</f>
        <v>17.791537118189581</v>
      </c>
      <c r="Y20" s="540">
        <f t="shared" si="0"/>
        <v>-23.5</v>
      </c>
      <c r="Z20" s="757"/>
      <c r="AA20" s="757"/>
      <c r="AB20" s="539"/>
      <c r="AC20" s="756"/>
      <c r="AD20" s="757"/>
      <c r="AE20" s="539"/>
      <c r="AF20" s="756">
        <f>SUM(AF12:AF17)+AF19</f>
        <v>51</v>
      </c>
      <c r="AG20" s="757">
        <f>SUM(AG12:AG17)+AG19</f>
        <v>-3</v>
      </c>
      <c r="AH20" s="540">
        <f>IF(AF20=0, "    ---- ", IF(ABS(ROUND(100/AF20*AG20-100,1))&lt;999,ROUND(100/AF20*AG20-100,1),IF(ROUND(100/AF20*AG20-100,1)&gt;999,999,-999)))</f>
        <v>-105.9</v>
      </c>
      <c r="AI20" s="756">
        <f>SUM(AI12:AI17)+AI19</f>
        <v>99</v>
      </c>
      <c r="AJ20" s="757">
        <f>SUM(AJ12:AJ17)+AJ19</f>
        <v>127</v>
      </c>
      <c r="AK20" s="540">
        <f>IF(AI20=0, "    ---- ", IF(ABS(ROUND(100/AI20*AJ20-100,1))&lt;999,ROUND(100/AI20*AJ20-100,1),IF(ROUND(100/AI20*AJ20-100,1)&gt;999,999,-999)))</f>
        <v>28.3</v>
      </c>
      <c r="AL20" s="757"/>
      <c r="AM20" s="757"/>
      <c r="AN20" s="539"/>
      <c r="AO20" s="548">
        <f t="shared" si="1"/>
        <v>229.62535766980267</v>
      </c>
      <c r="AP20" s="548">
        <f t="shared" si="2"/>
        <v>179.82853711818959</v>
      </c>
      <c r="AQ20" s="540">
        <f t="shared" si="3"/>
        <v>-21.7</v>
      </c>
      <c r="AR20" s="548">
        <f t="shared" si="5"/>
        <v>229.62535766980267</v>
      </c>
      <c r="AS20" s="548">
        <f t="shared" si="5"/>
        <v>179.82853711818959</v>
      </c>
      <c r="AT20" s="540">
        <f t="shared" si="4"/>
        <v>-21.7</v>
      </c>
    </row>
    <row r="21" spans="1:46" s="517" customFormat="1" ht="18.75" customHeight="1" x14ac:dyDescent="0.3">
      <c r="A21" s="542" t="s">
        <v>360</v>
      </c>
      <c r="B21" s="758"/>
      <c r="C21" s="759"/>
      <c r="D21" s="544"/>
      <c r="E21" s="758">
        <v>36.643982485371403</v>
      </c>
      <c r="F21" s="759">
        <v>26.024000000000001</v>
      </c>
      <c r="G21" s="545">
        <f>IF(E21=0, "    ---- ", IF(ABS(ROUND(100/E21*F21-100,1))&lt;999,ROUND(100/E21*F21-100,1),IF(ROUND(100/E21*F21-100,1)&gt;999,999,-999)))</f>
        <v>-29</v>
      </c>
      <c r="H21" s="758"/>
      <c r="I21" s="759"/>
      <c r="J21" s="546"/>
      <c r="K21" s="758"/>
      <c r="L21" s="759"/>
      <c r="M21" s="546"/>
      <c r="N21" s="758"/>
      <c r="O21" s="759"/>
      <c r="P21" s="544"/>
      <c r="Q21" s="758"/>
      <c r="R21" s="759"/>
      <c r="S21" s="546"/>
      <c r="T21" s="758"/>
      <c r="U21" s="759"/>
      <c r="V21" s="546"/>
      <c r="W21" s="758">
        <v>15.11</v>
      </c>
      <c r="X21" s="759">
        <v>11.564499126823229</v>
      </c>
      <c r="Y21" s="545">
        <f t="shared" si="0"/>
        <v>-23.5</v>
      </c>
      <c r="Z21" s="759"/>
      <c r="AA21" s="759"/>
      <c r="AB21" s="546"/>
      <c r="AC21" s="758"/>
      <c r="AD21" s="759"/>
      <c r="AE21" s="546"/>
      <c r="AF21" s="758">
        <v>33</v>
      </c>
      <c r="AG21" s="759"/>
      <c r="AH21" s="545">
        <f>IF(AF21=0, "    ---- ", IF(ABS(ROUND(100/AF21*AG21-100,1))&lt;999,ROUND(100/AF21*AG21-100,1),IF(ROUND(100/AF21*AG21-100,1)&gt;999,999,-999)))</f>
        <v>-100</v>
      </c>
      <c r="AI21" s="758">
        <v>65</v>
      </c>
      <c r="AJ21" s="759">
        <v>82</v>
      </c>
      <c r="AK21" s="545">
        <f>IF(AI21=0, "    ---- ", IF(ABS(ROUND(100/AI21*AJ21-100,1))&lt;999,ROUND(100/AI21*AJ21-100,1),IF(ROUND(100/AI21*AJ21-100,1)&gt;999,999,-999)))</f>
        <v>26.2</v>
      </c>
      <c r="AL21" s="759"/>
      <c r="AM21" s="759"/>
      <c r="AN21" s="546"/>
      <c r="AO21" s="547">
        <f t="shared" si="1"/>
        <v>149.75398248537141</v>
      </c>
      <c r="AP21" s="547">
        <f t="shared" si="2"/>
        <v>119.58849912682322</v>
      </c>
      <c r="AQ21" s="545">
        <f t="shared" si="3"/>
        <v>-20.100000000000001</v>
      </c>
      <c r="AR21" s="547">
        <f t="shared" si="5"/>
        <v>149.75398248537141</v>
      </c>
      <c r="AS21" s="547">
        <f t="shared" si="5"/>
        <v>119.58849912682322</v>
      </c>
      <c r="AT21" s="545">
        <f t="shared" si="4"/>
        <v>-20.100000000000001</v>
      </c>
    </row>
    <row r="22" spans="1:46" s="517" customFormat="1" ht="18.75" customHeight="1" x14ac:dyDescent="0.3">
      <c r="A22" s="542" t="s">
        <v>361</v>
      </c>
      <c r="B22" s="758"/>
      <c r="C22" s="759"/>
      <c r="D22" s="544"/>
      <c r="E22" s="758">
        <v>19.731375184431279</v>
      </c>
      <c r="F22" s="759">
        <v>12.012</v>
      </c>
      <c r="G22" s="545">
        <f>IF(E22=0, "    ---- ", IF(ABS(ROUND(100/E22*F22-100,1))&lt;999,ROUND(100/E22*F22-100,1),IF(ROUND(100/E22*F22-100,1)&gt;999,999,-999)))</f>
        <v>-39.1</v>
      </c>
      <c r="H22" s="758"/>
      <c r="I22" s="759"/>
      <c r="J22" s="546"/>
      <c r="K22" s="758"/>
      <c r="L22" s="759"/>
      <c r="M22" s="546"/>
      <c r="N22" s="758"/>
      <c r="O22" s="759"/>
      <c r="P22" s="544"/>
      <c r="Q22" s="758"/>
      <c r="R22" s="759"/>
      <c r="S22" s="546"/>
      <c r="T22" s="758"/>
      <c r="U22" s="759"/>
      <c r="V22" s="546"/>
      <c r="W22" s="758">
        <v>8.14</v>
      </c>
      <c r="X22" s="759">
        <v>6.2270379913663518</v>
      </c>
      <c r="Y22" s="545">
        <f t="shared" si="0"/>
        <v>-23.5</v>
      </c>
      <c r="Z22" s="759"/>
      <c r="AA22" s="759"/>
      <c r="AB22" s="546"/>
      <c r="AC22" s="758"/>
      <c r="AD22" s="759"/>
      <c r="AE22" s="546"/>
      <c r="AF22" s="758">
        <v>18</v>
      </c>
      <c r="AG22" s="759">
        <v>-3</v>
      </c>
      <c r="AH22" s="545">
        <f>IF(AF22=0, "    ---- ", IF(ABS(ROUND(100/AF22*AG22-100,1))&lt;999,ROUND(100/AF22*AG22-100,1),IF(ROUND(100/AF22*AG22-100,1)&gt;999,999,-999)))</f>
        <v>-116.7</v>
      </c>
      <c r="AI22" s="758">
        <v>34</v>
      </c>
      <c r="AJ22" s="759">
        <v>45</v>
      </c>
      <c r="AK22" s="545">
        <f>IF(AI22=0, "    ---- ", IF(ABS(ROUND(100/AI22*AJ22-100,1))&lt;999,ROUND(100/AI22*AJ22-100,1),IF(ROUND(100/AI22*AJ22-100,1)&gt;999,999,-999)))</f>
        <v>32.4</v>
      </c>
      <c r="AL22" s="759"/>
      <c r="AM22" s="759"/>
      <c r="AN22" s="546"/>
      <c r="AO22" s="547">
        <f t="shared" si="1"/>
        <v>79.871375184431287</v>
      </c>
      <c r="AP22" s="547">
        <f t="shared" si="2"/>
        <v>60.239037991366352</v>
      </c>
      <c r="AQ22" s="545">
        <f t="shared" si="3"/>
        <v>-24.6</v>
      </c>
      <c r="AR22" s="547">
        <f t="shared" si="5"/>
        <v>79.871375184431287</v>
      </c>
      <c r="AS22" s="547">
        <f t="shared" si="5"/>
        <v>60.239037991366352</v>
      </c>
      <c r="AT22" s="545">
        <f t="shared" si="4"/>
        <v>-24.6</v>
      </c>
    </row>
    <row r="23" spans="1:46" s="517" customFormat="1" ht="18.75" customHeight="1" x14ac:dyDescent="0.3">
      <c r="A23" s="537" t="s">
        <v>362</v>
      </c>
      <c r="B23" s="756"/>
      <c r="C23" s="757"/>
      <c r="D23" s="538"/>
      <c r="E23" s="756"/>
      <c r="F23" s="757"/>
      <c r="G23" s="540"/>
      <c r="H23" s="756"/>
      <c r="I23" s="757"/>
      <c r="J23" s="539"/>
      <c r="K23" s="756"/>
      <c r="L23" s="757"/>
      <c r="M23" s="539"/>
      <c r="N23" s="756"/>
      <c r="O23" s="757"/>
      <c r="P23" s="538"/>
      <c r="Q23" s="756"/>
      <c r="R23" s="757"/>
      <c r="S23" s="539"/>
      <c r="T23" s="756"/>
      <c r="U23" s="757"/>
      <c r="V23" s="539"/>
      <c r="W23" s="756"/>
      <c r="X23" s="757"/>
      <c r="Y23" s="540"/>
      <c r="Z23" s="757"/>
      <c r="AA23" s="757"/>
      <c r="AB23" s="539"/>
      <c r="AC23" s="756"/>
      <c r="AD23" s="757"/>
      <c r="AE23" s="539"/>
      <c r="AF23" s="756"/>
      <c r="AG23" s="757"/>
      <c r="AH23" s="540"/>
      <c r="AI23" s="756"/>
      <c r="AJ23" s="757"/>
      <c r="AK23" s="540"/>
      <c r="AL23" s="757"/>
      <c r="AM23" s="757"/>
      <c r="AN23" s="539"/>
      <c r="AO23" s="548"/>
      <c r="AP23" s="548"/>
      <c r="AQ23" s="540"/>
      <c r="AR23" s="548">
        <f t="shared" si="5"/>
        <v>0</v>
      </c>
      <c r="AS23" s="548">
        <f t="shared" si="5"/>
        <v>0</v>
      </c>
      <c r="AT23" s="540"/>
    </row>
    <row r="24" spans="1:46" s="517" customFormat="1" ht="18.75" customHeight="1" x14ac:dyDescent="0.3">
      <c r="A24" s="542" t="s">
        <v>351</v>
      </c>
      <c r="B24" s="758"/>
      <c r="C24" s="759"/>
      <c r="D24" s="544"/>
      <c r="E24" s="758">
        <v>137.85954973933144</v>
      </c>
      <c r="F24" s="759">
        <v>7.77</v>
      </c>
      <c r="G24" s="545">
        <f t="shared" ref="G24:G29" si="6">IF(E24=0, "    ---- ", IF(ABS(ROUND(100/E24*F24-100,1))&lt;999,ROUND(100/E24*F24-100,1),IF(ROUND(100/E24*F24-100,1)&gt;999,999,-999)))</f>
        <v>-94.4</v>
      </c>
      <c r="H24" s="758"/>
      <c r="I24" s="759"/>
      <c r="J24" s="546"/>
      <c r="K24" s="758"/>
      <c r="L24" s="759"/>
      <c r="M24" s="546"/>
      <c r="N24" s="758"/>
      <c r="O24" s="759"/>
      <c r="P24" s="544"/>
      <c r="Q24" s="758"/>
      <c r="R24" s="759"/>
      <c r="S24" s="546"/>
      <c r="T24" s="758"/>
      <c r="U24" s="759"/>
      <c r="V24" s="546"/>
      <c r="W24" s="758">
        <v>2.0699999999999998</v>
      </c>
      <c r="X24" s="759">
        <v>0.64664777064381418</v>
      </c>
      <c r="Y24" s="545">
        <f t="shared" si="0"/>
        <v>-68.8</v>
      </c>
      <c r="Z24" s="759"/>
      <c r="AA24" s="759"/>
      <c r="AB24" s="546"/>
      <c r="AC24" s="758"/>
      <c r="AD24" s="759"/>
      <c r="AE24" s="546"/>
      <c r="AF24" s="758"/>
      <c r="AG24" s="759"/>
      <c r="AH24" s="545"/>
      <c r="AI24" s="758"/>
      <c r="AJ24" s="759"/>
      <c r="AK24" s="546"/>
      <c r="AL24" s="759"/>
      <c r="AM24" s="759"/>
      <c r="AN24" s="546"/>
      <c r="AO24" s="547">
        <f t="shared" ref="AO24:AO34" si="7">B24+E24+H24+K24+N24+T24+AL24+W24+Z24+AF24+AI24</f>
        <v>139.92954973933143</v>
      </c>
      <c r="AP24" s="547">
        <f t="shared" ref="AP24:AP34" si="8">C24+F24+I24+L24+O24+U24+AM24+X24+AA24+AG24+AJ24</f>
        <v>8.416647770643813</v>
      </c>
      <c r="AQ24" s="545">
        <f t="shared" ref="AQ24:AQ87" si="9">IF(AO24=0, "    ---- ", IF(ABS(ROUND(100/AO24*AP24-100,1))&lt;999,ROUND(100/AO24*AP24-100,1),IF(ROUND(100/AO24*AP24-100,1)&gt;999,999,-999)))</f>
        <v>-94</v>
      </c>
      <c r="AR24" s="547">
        <f t="shared" si="5"/>
        <v>139.92954973933143</v>
      </c>
      <c r="AS24" s="547">
        <f t="shared" si="5"/>
        <v>8.416647770643813</v>
      </c>
      <c r="AT24" s="545">
        <f t="shared" ref="AT24:AT87" si="10">IF(AR24=0, "    ---- ", IF(ABS(ROUND(100/AR24*AS24-100,1))&lt;999,ROUND(100/AR24*AS24-100,1),IF(ROUND(100/AR24*AS24-100,1)&gt;999,999,-999)))</f>
        <v>-94</v>
      </c>
    </row>
    <row r="25" spans="1:46" s="517" customFormat="1" ht="18.75" customHeight="1" x14ac:dyDescent="0.3">
      <c r="A25" s="542" t="s">
        <v>352</v>
      </c>
      <c r="B25" s="758"/>
      <c r="C25" s="759"/>
      <c r="D25" s="544"/>
      <c r="E25" s="758">
        <v>-1.3</v>
      </c>
      <c r="F25" s="759">
        <v>0</v>
      </c>
      <c r="G25" s="545">
        <f t="shared" si="6"/>
        <v>-100</v>
      </c>
      <c r="H25" s="758"/>
      <c r="I25" s="759"/>
      <c r="J25" s="546"/>
      <c r="K25" s="758"/>
      <c r="L25" s="759"/>
      <c r="M25" s="546"/>
      <c r="N25" s="758"/>
      <c r="O25" s="759"/>
      <c r="P25" s="544"/>
      <c r="Q25" s="758"/>
      <c r="R25" s="759"/>
      <c r="S25" s="546"/>
      <c r="T25" s="758"/>
      <c r="U25" s="759"/>
      <c r="V25" s="546"/>
      <c r="W25" s="758">
        <v>-2.06</v>
      </c>
      <c r="X25" s="759">
        <v>-0.64144742112589281</v>
      </c>
      <c r="Y25" s="545">
        <f t="shared" si="0"/>
        <v>-68.900000000000006</v>
      </c>
      <c r="Z25" s="759"/>
      <c r="AA25" s="759"/>
      <c r="AB25" s="546"/>
      <c r="AC25" s="758"/>
      <c r="AD25" s="759"/>
      <c r="AE25" s="546"/>
      <c r="AF25" s="758"/>
      <c r="AG25" s="759"/>
      <c r="AH25" s="545"/>
      <c r="AI25" s="758"/>
      <c r="AJ25" s="759"/>
      <c r="AK25" s="546"/>
      <c r="AL25" s="759"/>
      <c r="AM25" s="759"/>
      <c r="AN25" s="546"/>
      <c r="AO25" s="547">
        <f t="shared" si="7"/>
        <v>-3.3600000000000003</v>
      </c>
      <c r="AP25" s="547">
        <f t="shared" si="8"/>
        <v>-0.64144742112589281</v>
      </c>
      <c r="AQ25" s="545">
        <f t="shared" si="9"/>
        <v>-80.900000000000006</v>
      </c>
      <c r="AR25" s="547">
        <f t="shared" si="5"/>
        <v>-3.3600000000000003</v>
      </c>
      <c r="AS25" s="547">
        <f t="shared" si="5"/>
        <v>-0.64144742112589281</v>
      </c>
      <c r="AT25" s="545">
        <f t="shared" si="10"/>
        <v>-80.900000000000006</v>
      </c>
    </row>
    <row r="26" spans="1:46" s="517" customFormat="1" ht="18.75" customHeight="1" x14ac:dyDescent="0.3">
      <c r="A26" s="542" t="s">
        <v>353</v>
      </c>
      <c r="B26" s="758"/>
      <c r="C26" s="759"/>
      <c r="D26" s="544"/>
      <c r="E26" s="758">
        <v>16.115291503569999</v>
      </c>
      <c r="F26" s="759">
        <v>20.428000000000001</v>
      </c>
      <c r="G26" s="545">
        <f t="shared" si="6"/>
        <v>26.8</v>
      </c>
      <c r="H26" s="758"/>
      <c r="I26" s="759"/>
      <c r="J26" s="546"/>
      <c r="K26" s="758"/>
      <c r="L26" s="759"/>
      <c r="M26" s="546"/>
      <c r="N26" s="758"/>
      <c r="O26" s="759"/>
      <c r="P26" s="544"/>
      <c r="Q26" s="758"/>
      <c r="R26" s="759"/>
      <c r="S26" s="546"/>
      <c r="T26" s="758"/>
      <c r="U26" s="759"/>
      <c r="V26" s="546"/>
      <c r="W26" s="758">
        <v>0.31</v>
      </c>
      <c r="X26" s="759">
        <v>0.32731441640891801</v>
      </c>
      <c r="Y26" s="545">
        <f t="shared" si="0"/>
        <v>5.6</v>
      </c>
      <c r="Z26" s="759"/>
      <c r="AA26" s="759"/>
      <c r="AB26" s="546"/>
      <c r="AC26" s="758"/>
      <c r="AD26" s="759"/>
      <c r="AE26" s="546"/>
      <c r="AF26" s="758">
        <v>-1</v>
      </c>
      <c r="AG26" s="759"/>
      <c r="AH26" s="545">
        <f>IF(AF26=0, "    ---- ", IF(ABS(ROUND(100/AF26*AG26-100,1))&lt;999,ROUND(100/AF26*AG26-100,1),IF(ROUND(100/AF26*AG26-100,1)&gt;999,999,-999)))</f>
        <v>-100</v>
      </c>
      <c r="AI26" s="758"/>
      <c r="AJ26" s="759"/>
      <c r="AK26" s="546"/>
      <c r="AL26" s="759"/>
      <c r="AM26" s="759"/>
      <c r="AN26" s="546"/>
      <c r="AO26" s="547">
        <f t="shared" si="7"/>
        <v>15.425291503569998</v>
      </c>
      <c r="AP26" s="547">
        <f t="shared" si="8"/>
        <v>20.755314416408918</v>
      </c>
      <c r="AQ26" s="545">
        <f t="shared" si="9"/>
        <v>34.6</v>
      </c>
      <c r="AR26" s="547">
        <f t="shared" si="5"/>
        <v>15.425291503569998</v>
      </c>
      <c r="AS26" s="547">
        <f t="shared" si="5"/>
        <v>20.755314416408918</v>
      </c>
      <c r="AT26" s="545">
        <f t="shared" si="10"/>
        <v>34.6</v>
      </c>
    </row>
    <row r="27" spans="1:46" s="517" customFormat="1" ht="18.75" customHeight="1" x14ac:dyDescent="0.3">
      <c r="A27" s="542" t="s">
        <v>354</v>
      </c>
      <c r="B27" s="758"/>
      <c r="C27" s="759"/>
      <c r="D27" s="544"/>
      <c r="E27" s="758">
        <v>0.48848741000000001</v>
      </c>
      <c r="F27" s="759">
        <v>0.45700000000000002</v>
      </c>
      <c r="G27" s="545">
        <f t="shared" si="6"/>
        <v>-6.4</v>
      </c>
      <c r="H27" s="758"/>
      <c r="I27" s="759"/>
      <c r="J27" s="546"/>
      <c r="K27" s="758"/>
      <c r="L27" s="759"/>
      <c r="M27" s="546"/>
      <c r="N27" s="758"/>
      <c r="O27" s="759"/>
      <c r="P27" s="544"/>
      <c r="Q27" s="758"/>
      <c r="R27" s="759"/>
      <c r="S27" s="546"/>
      <c r="T27" s="758"/>
      <c r="U27" s="759"/>
      <c r="V27" s="546"/>
      <c r="W27" s="758">
        <v>0</v>
      </c>
      <c r="X27" s="759">
        <v>0</v>
      </c>
      <c r="Y27" s="545" t="str">
        <f t="shared" si="0"/>
        <v xml:space="preserve">    ---- </v>
      </c>
      <c r="Z27" s="759"/>
      <c r="AA27" s="759"/>
      <c r="AB27" s="546"/>
      <c r="AC27" s="758"/>
      <c r="AD27" s="759"/>
      <c r="AE27" s="546"/>
      <c r="AF27" s="758"/>
      <c r="AG27" s="759"/>
      <c r="AH27" s="545"/>
      <c r="AI27" s="758"/>
      <c r="AJ27" s="759"/>
      <c r="AK27" s="546"/>
      <c r="AL27" s="759"/>
      <c r="AM27" s="759"/>
      <c r="AN27" s="546"/>
      <c r="AO27" s="547">
        <f t="shared" si="7"/>
        <v>0.48848741000000001</v>
      </c>
      <c r="AP27" s="547">
        <f t="shared" si="8"/>
        <v>0.45700000000000002</v>
      </c>
      <c r="AQ27" s="545">
        <f t="shared" si="9"/>
        <v>-6.4</v>
      </c>
      <c r="AR27" s="547">
        <f t="shared" si="5"/>
        <v>0.48848741000000001</v>
      </c>
      <c r="AS27" s="547">
        <f t="shared" si="5"/>
        <v>0.45700000000000002</v>
      </c>
      <c r="AT27" s="545">
        <f t="shared" si="10"/>
        <v>-6.4</v>
      </c>
    </row>
    <row r="28" spans="1:46" s="517" customFormat="1" ht="18.75" customHeight="1" x14ac:dyDescent="0.3">
      <c r="A28" s="542" t="s">
        <v>355</v>
      </c>
      <c r="B28" s="758"/>
      <c r="C28" s="759"/>
      <c r="D28" s="544"/>
      <c r="E28" s="758">
        <v>51.905025709999997</v>
      </c>
      <c r="F28" s="759">
        <v>45.072000000000003</v>
      </c>
      <c r="G28" s="545">
        <f t="shared" si="6"/>
        <v>-13.2</v>
      </c>
      <c r="H28" s="758"/>
      <c r="I28" s="759"/>
      <c r="J28" s="546"/>
      <c r="K28" s="758"/>
      <c r="L28" s="759"/>
      <c r="M28" s="546"/>
      <c r="N28" s="758"/>
      <c r="O28" s="759"/>
      <c r="P28" s="544"/>
      <c r="Q28" s="758"/>
      <c r="R28" s="759"/>
      <c r="S28" s="546"/>
      <c r="T28" s="758"/>
      <c r="U28" s="759"/>
      <c r="V28" s="546"/>
      <c r="W28" s="758">
        <v>0.18</v>
      </c>
      <c r="X28" s="759">
        <v>0.19177570000000002</v>
      </c>
      <c r="Y28" s="545">
        <f t="shared" si="0"/>
        <v>6.5</v>
      </c>
      <c r="Z28" s="759"/>
      <c r="AA28" s="759"/>
      <c r="AB28" s="546"/>
      <c r="AC28" s="758"/>
      <c r="AD28" s="759"/>
      <c r="AE28" s="546"/>
      <c r="AF28" s="758"/>
      <c r="AG28" s="759"/>
      <c r="AH28" s="545"/>
      <c r="AI28" s="758"/>
      <c r="AJ28" s="759"/>
      <c r="AK28" s="546"/>
      <c r="AL28" s="759"/>
      <c r="AM28" s="759"/>
      <c r="AN28" s="546"/>
      <c r="AO28" s="547">
        <f t="shared" si="7"/>
        <v>52.085025709999996</v>
      </c>
      <c r="AP28" s="547">
        <f t="shared" si="8"/>
        <v>45.263775700000004</v>
      </c>
      <c r="AQ28" s="545">
        <f t="shared" si="9"/>
        <v>-13.1</v>
      </c>
      <c r="AR28" s="547">
        <f t="shared" si="5"/>
        <v>52.085025709999996</v>
      </c>
      <c r="AS28" s="547">
        <f t="shared" si="5"/>
        <v>45.263775700000004</v>
      </c>
      <c r="AT28" s="545">
        <f t="shared" si="10"/>
        <v>-13.1</v>
      </c>
    </row>
    <row r="29" spans="1:46" s="517" customFormat="1" ht="18.75" customHeight="1" x14ac:dyDescent="0.3">
      <c r="A29" s="542" t="s">
        <v>356</v>
      </c>
      <c r="B29" s="758"/>
      <c r="C29" s="759"/>
      <c r="D29" s="544"/>
      <c r="E29" s="758">
        <v>6.33282399173914</v>
      </c>
      <c r="F29" s="759">
        <v>18.809999999999999</v>
      </c>
      <c r="G29" s="545">
        <f t="shared" si="6"/>
        <v>197</v>
      </c>
      <c r="H29" s="758"/>
      <c r="I29" s="759"/>
      <c r="J29" s="546"/>
      <c r="K29" s="758"/>
      <c r="L29" s="759"/>
      <c r="M29" s="546"/>
      <c r="N29" s="758"/>
      <c r="O29" s="759"/>
      <c r="P29" s="544"/>
      <c r="Q29" s="758"/>
      <c r="R29" s="759"/>
      <c r="S29" s="546"/>
      <c r="T29" s="758"/>
      <c r="U29" s="759"/>
      <c r="V29" s="546"/>
      <c r="W29" s="758">
        <v>0</v>
      </c>
      <c r="X29" s="759">
        <v>4.0122809999999919E-2</v>
      </c>
      <c r="Y29" s="545" t="str">
        <f t="shared" si="0"/>
        <v xml:space="preserve">    ---- </v>
      </c>
      <c r="Z29" s="759"/>
      <c r="AA29" s="759"/>
      <c r="AB29" s="546"/>
      <c r="AC29" s="758"/>
      <c r="AD29" s="759"/>
      <c r="AE29" s="546"/>
      <c r="AF29" s="758"/>
      <c r="AG29" s="759"/>
      <c r="AH29" s="545"/>
      <c r="AI29" s="758"/>
      <c r="AJ29" s="759"/>
      <c r="AK29" s="546"/>
      <c r="AL29" s="759"/>
      <c r="AM29" s="759"/>
      <c r="AN29" s="546"/>
      <c r="AO29" s="547">
        <f t="shared" si="7"/>
        <v>6.33282399173914</v>
      </c>
      <c r="AP29" s="547">
        <f t="shared" si="8"/>
        <v>18.850122809999998</v>
      </c>
      <c r="AQ29" s="545">
        <f t="shared" si="9"/>
        <v>197.7</v>
      </c>
      <c r="AR29" s="547">
        <f t="shared" si="5"/>
        <v>6.33282399173914</v>
      </c>
      <c r="AS29" s="547">
        <f t="shared" si="5"/>
        <v>18.850122809999998</v>
      </c>
      <c r="AT29" s="545">
        <f t="shared" si="10"/>
        <v>197.7</v>
      </c>
    </row>
    <row r="30" spans="1:46" s="517" customFormat="1" ht="18.75" customHeight="1" x14ac:dyDescent="0.3">
      <c r="A30" s="542" t="s">
        <v>357</v>
      </c>
      <c r="B30" s="758"/>
      <c r="C30" s="759"/>
      <c r="D30" s="544"/>
      <c r="E30" s="758"/>
      <c r="F30" s="759"/>
      <c r="G30" s="545"/>
      <c r="H30" s="758"/>
      <c r="I30" s="759"/>
      <c r="J30" s="546"/>
      <c r="K30" s="758"/>
      <c r="L30" s="759"/>
      <c r="M30" s="546"/>
      <c r="N30" s="758"/>
      <c r="O30" s="759"/>
      <c r="P30" s="544"/>
      <c r="Q30" s="758"/>
      <c r="R30" s="759"/>
      <c r="S30" s="546"/>
      <c r="T30" s="758"/>
      <c r="U30" s="759"/>
      <c r="V30" s="546"/>
      <c r="W30" s="758">
        <v>0</v>
      </c>
      <c r="X30" s="759">
        <v>1.7872917551562105E-7</v>
      </c>
      <c r="Y30" s="545" t="str">
        <f t="shared" si="0"/>
        <v xml:space="preserve">    ---- </v>
      </c>
      <c r="Z30" s="759"/>
      <c r="AA30" s="759"/>
      <c r="AB30" s="546"/>
      <c r="AC30" s="758"/>
      <c r="AD30" s="759"/>
      <c r="AE30" s="546"/>
      <c r="AF30" s="758"/>
      <c r="AG30" s="759"/>
      <c r="AH30" s="545"/>
      <c r="AI30" s="758"/>
      <c r="AJ30" s="759"/>
      <c r="AK30" s="546"/>
      <c r="AL30" s="759"/>
      <c r="AM30" s="759"/>
      <c r="AN30" s="546"/>
      <c r="AO30" s="547">
        <f t="shared" si="7"/>
        <v>0</v>
      </c>
      <c r="AP30" s="547">
        <f t="shared" si="8"/>
        <v>1.7872917551562105E-7</v>
      </c>
      <c r="AQ30" s="545" t="str">
        <f t="shared" si="9"/>
        <v xml:space="preserve">    ---- </v>
      </c>
      <c r="AR30" s="547">
        <f t="shared" si="5"/>
        <v>0</v>
      </c>
      <c r="AS30" s="547">
        <f t="shared" si="5"/>
        <v>1.7872917551562105E-7</v>
      </c>
      <c r="AT30" s="545" t="str">
        <f t="shared" si="10"/>
        <v xml:space="preserve">    ---- </v>
      </c>
    </row>
    <row r="31" spans="1:46" s="517" customFormat="1" ht="18.75" customHeight="1" x14ac:dyDescent="0.3">
      <c r="A31" s="542" t="s">
        <v>358</v>
      </c>
      <c r="B31" s="758"/>
      <c r="C31" s="759"/>
      <c r="D31" s="550"/>
      <c r="E31" s="758"/>
      <c r="F31" s="759"/>
      <c r="G31" s="545"/>
      <c r="H31" s="758"/>
      <c r="I31" s="759"/>
      <c r="J31" s="551"/>
      <c r="K31" s="758"/>
      <c r="L31" s="759"/>
      <c r="M31" s="551"/>
      <c r="N31" s="758"/>
      <c r="O31" s="759"/>
      <c r="P31" s="550"/>
      <c r="Q31" s="758"/>
      <c r="R31" s="759"/>
      <c r="S31" s="551"/>
      <c r="T31" s="758"/>
      <c r="U31" s="759"/>
      <c r="V31" s="551"/>
      <c r="W31" s="758">
        <v>0</v>
      </c>
      <c r="X31" s="759">
        <v>0</v>
      </c>
      <c r="Y31" s="545" t="str">
        <f t="shared" si="0"/>
        <v xml:space="preserve">    ---- </v>
      </c>
      <c r="Z31" s="759"/>
      <c r="AA31" s="759"/>
      <c r="AB31" s="551"/>
      <c r="AC31" s="758"/>
      <c r="AD31" s="759"/>
      <c r="AE31" s="551"/>
      <c r="AF31" s="758"/>
      <c r="AG31" s="759"/>
      <c r="AH31" s="545"/>
      <c r="AI31" s="758"/>
      <c r="AJ31" s="759"/>
      <c r="AK31" s="551"/>
      <c r="AL31" s="759"/>
      <c r="AM31" s="759"/>
      <c r="AN31" s="551"/>
      <c r="AO31" s="547">
        <f t="shared" si="7"/>
        <v>0</v>
      </c>
      <c r="AP31" s="547">
        <f t="shared" si="8"/>
        <v>0</v>
      </c>
      <c r="AQ31" s="551" t="str">
        <f t="shared" si="9"/>
        <v xml:space="preserve">    ---- </v>
      </c>
      <c r="AR31" s="547">
        <f t="shared" si="5"/>
        <v>0</v>
      </c>
      <c r="AS31" s="547">
        <f t="shared" si="5"/>
        <v>0</v>
      </c>
      <c r="AT31" s="545" t="str">
        <f t="shared" si="10"/>
        <v xml:space="preserve">    ---- </v>
      </c>
    </row>
    <row r="32" spans="1:46" s="549" customFormat="1" ht="18.75" customHeight="1" x14ac:dyDescent="0.3">
      <c r="A32" s="537" t="s">
        <v>359</v>
      </c>
      <c r="B32" s="756"/>
      <c r="C32" s="757"/>
      <c r="D32" s="552"/>
      <c r="E32" s="756">
        <f>SUM(E24:E29)+E31</f>
        <v>211.40117835464056</v>
      </c>
      <c r="F32" s="757">
        <f>SUM(F24:F29)+F31</f>
        <v>92.537000000000006</v>
      </c>
      <c r="G32" s="540">
        <f>IF(E32=0, "    ---- ", IF(ABS(ROUND(100/E32*F32-100,1))&lt;999,ROUND(100/E32*F32-100,1),IF(ROUND(100/E32*F32-100,1)&gt;999,999,-999)))</f>
        <v>-56.2</v>
      </c>
      <c r="H32" s="756"/>
      <c r="I32" s="757"/>
      <c r="J32" s="553"/>
      <c r="K32" s="756"/>
      <c r="L32" s="757"/>
      <c r="M32" s="553"/>
      <c r="N32" s="756"/>
      <c r="O32" s="757"/>
      <c r="P32" s="552"/>
      <c r="Q32" s="756"/>
      <c r="R32" s="757"/>
      <c r="S32" s="553"/>
      <c r="T32" s="756"/>
      <c r="U32" s="757"/>
      <c r="V32" s="553"/>
      <c r="W32" s="756">
        <f>SUM(W24:W29)+W31</f>
        <v>0.49999999999999978</v>
      </c>
      <c r="X32" s="757">
        <f>SUM(X24:X29)+X31</f>
        <v>0.56441327592683932</v>
      </c>
      <c r="Y32" s="540">
        <f t="shared" si="0"/>
        <v>12.9</v>
      </c>
      <c r="Z32" s="757"/>
      <c r="AA32" s="757"/>
      <c r="AB32" s="553"/>
      <c r="AC32" s="756"/>
      <c r="AD32" s="757"/>
      <c r="AE32" s="553"/>
      <c r="AF32" s="756">
        <f>SUM(AF24:AF29)+AF31</f>
        <v>-1</v>
      </c>
      <c r="AG32" s="757">
        <f>SUM(AG24:AG29)+AG31</f>
        <v>0</v>
      </c>
      <c r="AH32" s="540">
        <f>IF(AF32=0, "    ---- ", IF(ABS(ROUND(100/AF32*AG32-100,1))&lt;999,ROUND(100/AF32*AG32-100,1),IF(ROUND(100/AF32*AG32-100,1)&gt;999,999,-999)))</f>
        <v>-100</v>
      </c>
      <c r="AI32" s="756"/>
      <c r="AJ32" s="757"/>
      <c r="AK32" s="553"/>
      <c r="AL32" s="757"/>
      <c r="AM32" s="757"/>
      <c r="AN32" s="553"/>
      <c r="AO32" s="548">
        <f t="shared" si="7"/>
        <v>210.90117835464056</v>
      </c>
      <c r="AP32" s="548">
        <f t="shared" si="8"/>
        <v>93.101413275926845</v>
      </c>
      <c r="AQ32" s="553">
        <f t="shared" si="9"/>
        <v>-55.9</v>
      </c>
      <c r="AR32" s="548">
        <f t="shared" si="5"/>
        <v>210.90117835464056</v>
      </c>
      <c r="AS32" s="548">
        <f t="shared" si="5"/>
        <v>93.101413275926845</v>
      </c>
      <c r="AT32" s="553">
        <f t="shared" si="10"/>
        <v>-55.9</v>
      </c>
    </row>
    <row r="33" spans="1:46" s="517" customFormat="1" ht="18.75" customHeight="1" x14ac:dyDescent="0.3">
      <c r="A33" s="542" t="s">
        <v>360</v>
      </c>
      <c r="B33" s="758"/>
      <c r="C33" s="759"/>
      <c r="D33" s="550"/>
      <c r="E33" s="758">
        <v>139.78609114100601</v>
      </c>
      <c r="F33" s="759">
        <v>16.805</v>
      </c>
      <c r="G33" s="545">
        <f>IF(E33=0, "    ---- ", IF(ABS(ROUND(100/E33*F33-100,1))&lt;999,ROUND(100/E33*F33-100,1),IF(ROUND(100/E33*F33-100,1)&gt;999,999,-999)))</f>
        <v>-88</v>
      </c>
      <c r="H33" s="758"/>
      <c r="I33" s="759"/>
      <c r="J33" s="551"/>
      <c r="K33" s="758"/>
      <c r="L33" s="759"/>
      <c r="M33" s="551"/>
      <c r="N33" s="758"/>
      <c r="O33" s="759"/>
      <c r="P33" s="550"/>
      <c r="Q33" s="758"/>
      <c r="R33" s="759"/>
      <c r="S33" s="551"/>
      <c r="T33" s="758"/>
      <c r="U33" s="759"/>
      <c r="V33" s="551"/>
      <c r="W33" s="758">
        <v>0</v>
      </c>
      <c r="X33" s="759">
        <v>2.0061404999999911E-2</v>
      </c>
      <c r="Y33" s="545" t="str">
        <f t="shared" si="0"/>
        <v xml:space="preserve">    ---- </v>
      </c>
      <c r="Z33" s="759"/>
      <c r="AA33" s="759"/>
      <c r="AB33" s="551"/>
      <c r="AC33" s="758"/>
      <c r="AD33" s="759"/>
      <c r="AE33" s="551"/>
      <c r="AF33" s="758"/>
      <c r="AG33" s="759"/>
      <c r="AH33" s="545"/>
      <c r="AI33" s="758"/>
      <c r="AJ33" s="759"/>
      <c r="AK33" s="551"/>
      <c r="AL33" s="759"/>
      <c r="AM33" s="759"/>
      <c r="AN33" s="551"/>
      <c r="AO33" s="547">
        <f t="shared" si="7"/>
        <v>139.78609114100601</v>
      </c>
      <c r="AP33" s="547">
        <f t="shared" si="8"/>
        <v>16.825061405</v>
      </c>
      <c r="AQ33" s="551">
        <f t="shared" si="9"/>
        <v>-88</v>
      </c>
      <c r="AR33" s="547">
        <f t="shared" si="5"/>
        <v>139.78609114100601</v>
      </c>
      <c r="AS33" s="547">
        <f t="shared" si="5"/>
        <v>16.825061405</v>
      </c>
      <c r="AT33" s="551">
        <f t="shared" si="10"/>
        <v>-88</v>
      </c>
    </row>
    <row r="34" spans="1:46" s="517" customFormat="1" ht="18.75" customHeight="1" x14ac:dyDescent="0.3">
      <c r="A34" s="542" t="s">
        <v>361</v>
      </c>
      <c r="B34" s="758"/>
      <c r="C34" s="759"/>
      <c r="D34" s="550"/>
      <c r="E34" s="758">
        <v>71.615087213634553</v>
      </c>
      <c r="F34" s="759">
        <f>+F32-F33</f>
        <v>75.731999999999999</v>
      </c>
      <c r="G34" s="545">
        <f>IF(E34=0, "    ---- ", IF(ABS(ROUND(100/E34*F34-100,1))&lt;999,ROUND(100/E34*F34-100,1),IF(ROUND(100/E34*F34-100,1)&gt;999,999,-999)))</f>
        <v>5.7</v>
      </c>
      <c r="H34" s="758"/>
      <c r="I34" s="759"/>
      <c r="J34" s="551"/>
      <c r="K34" s="758"/>
      <c r="L34" s="759"/>
      <c r="M34" s="551"/>
      <c r="N34" s="758"/>
      <c r="O34" s="759"/>
      <c r="P34" s="550"/>
      <c r="Q34" s="758"/>
      <c r="R34" s="759"/>
      <c r="S34" s="551"/>
      <c r="T34" s="758"/>
      <c r="U34" s="759"/>
      <c r="V34" s="551"/>
      <c r="W34" s="758">
        <v>1</v>
      </c>
      <c r="X34" s="759">
        <v>0.54435187092683945</v>
      </c>
      <c r="Y34" s="545">
        <f t="shared" si="0"/>
        <v>-45.6</v>
      </c>
      <c r="Z34" s="759"/>
      <c r="AA34" s="759"/>
      <c r="AB34" s="551"/>
      <c r="AC34" s="758"/>
      <c r="AD34" s="759"/>
      <c r="AE34" s="551"/>
      <c r="AF34" s="758">
        <v>-1</v>
      </c>
      <c r="AG34" s="759"/>
      <c r="AH34" s="545">
        <f>IF(AF34=0, "    ---- ", IF(ABS(ROUND(100/AF34*AG34-100,1))&lt;999,ROUND(100/AF34*AG34-100,1),IF(ROUND(100/AF34*AG34-100,1)&gt;999,999,-999)))</f>
        <v>-100</v>
      </c>
      <c r="AI34" s="758"/>
      <c r="AJ34" s="759"/>
      <c r="AK34" s="551"/>
      <c r="AL34" s="759"/>
      <c r="AM34" s="759"/>
      <c r="AN34" s="551"/>
      <c r="AO34" s="547">
        <f t="shared" si="7"/>
        <v>71.615087213634553</v>
      </c>
      <c r="AP34" s="547">
        <f t="shared" si="8"/>
        <v>76.276351870926845</v>
      </c>
      <c r="AQ34" s="551">
        <f t="shared" si="9"/>
        <v>6.5</v>
      </c>
      <c r="AR34" s="547">
        <f t="shared" si="5"/>
        <v>71.615087213634553</v>
      </c>
      <c r="AS34" s="547">
        <f t="shared" si="5"/>
        <v>76.276351870926845</v>
      </c>
      <c r="AT34" s="551">
        <f t="shared" si="10"/>
        <v>6.5</v>
      </c>
    </row>
    <row r="35" spans="1:46" s="517" customFormat="1" ht="18.75" customHeight="1" x14ac:dyDescent="0.3">
      <c r="A35" s="537" t="s">
        <v>363</v>
      </c>
      <c r="B35" s="758"/>
      <c r="C35" s="759"/>
      <c r="D35" s="550"/>
      <c r="E35" s="758"/>
      <c r="F35" s="759"/>
      <c r="G35" s="545"/>
      <c r="H35" s="758"/>
      <c r="I35" s="759"/>
      <c r="J35" s="551"/>
      <c r="K35" s="758"/>
      <c r="L35" s="759"/>
      <c r="M35" s="551"/>
      <c r="N35" s="758"/>
      <c r="O35" s="759"/>
      <c r="P35" s="550"/>
      <c r="Q35" s="758"/>
      <c r="R35" s="759"/>
      <c r="S35" s="551"/>
      <c r="T35" s="758"/>
      <c r="U35" s="759"/>
      <c r="V35" s="551"/>
      <c r="W35" s="758"/>
      <c r="X35" s="759"/>
      <c r="Y35" s="545"/>
      <c r="Z35" s="759"/>
      <c r="AA35" s="759"/>
      <c r="AB35" s="551"/>
      <c r="AC35" s="758"/>
      <c r="AD35" s="759"/>
      <c r="AE35" s="551"/>
      <c r="AF35" s="758"/>
      <c r="AG35" s="759"/>
      <c r="AH35" s="545"/>
      <c r="AI35" s="758"/>
      <c r="AJ35" s="759"/>
      <c r="AK35" s="551"/>
      <c r="AL35" s="759"/>
      <c r="AM35" s="759"/>
      <c r="AN35" s="551"/>
      <c r="AO35" s="550"/>
      <c r="AP35" s="550"/>
      <c r="AQ35" s="551"/>
      <c r="AR35" s="547"/>
      <c r="AS35" s="547"/>
      <c r="AT35" s="551"/>
    </row>
    <row r="36" spans="1:46" s="517" customFormat="1" ht="18.75" customHeight="1" x14ac:dyDescent="0.3">
      <c r="A36" s="542" t="s">
        <v>351</v>
      </c>
      <c r="B36" s="758">
        <v>4.68</v>
      </c>
      <c r="C36" s="759">
        <v>-3.6890000000000001</v>
      </c>
      <c r="D36" s="550">
        <f>IF(B36=0, "    ---- ", IF(ABS(ROUND(100/B36*C36-100,1))&lt;999,ROUND(100/B36*C36-100,1),IF(ROUND(100/B36*C36-100,1)&gt;999,999,-999)))</f>
        <v>-178.8</v>
      </c>
      <c r="E36" s="758"/>
      <c r="F36" s="759"/>
      <c r="G36" s="545"/>
      <c r="H36" s="758">
        <v>10.944129589999999</v>
      </c>
      <c r="I36" s="759">
        <v>-3.1205710799999999</v>
      </c>
      <c r="J36" s="551">
        <f>IF(H36=0, "    ---- ", IF(ABS(ROUND(100/H36*I36-100,1))&lt;999,ROUND(100/H36*I36-100,1),IF(ROUND(100/H36*I36-100,1)&gt;999,999,-999)))</f>
        <v>-128.5</v>
      </c>
      <c r="K36" s="758">
        <v>29.834</v>
      </c>
      <c r="L36" s="759">
        <v>-12.148</v>
      </c>
      <c r="M36" s="551">
        <f>IF(K36=0, "    ---- ", IF(ABS(ROUND(100/K36*L36-100,1))&lt;999,ROUND(100/K36*L36-100,1),IF(ROUND(100/K36*L36-100,1)&gt;999,999,-999)))</f>
        <v>-140.69999999999999</v>
      </c>
      <c r="N36" s="758"/>
      <c r="O36" s="759"/>
      <c r="P36" s="550"/>
      <c r="Q36" s="758">
        <v>0.51016004186285102</v>
      </c>
      <c r="R36" s="759">
        <v>0</v>
      </c>
      <c r="S36" s="551">
        <f>IF(Q36=0, "    ---- ", IF(ABS(ROUND(100/Q36*R36-100,1))&lt;999,ROUND(100/Q36*R36-100,1),IF(ROUND(100/Q36*R36-100,1)&gt;999,999,-999)))</f>
        <v>-100</v>
      </c>
      <c r="T36" s="758"/>
      <c r="U36" s="759"/>
      <c r="V36" s="551"/>
      <c r="W36" s="758">
        <v>14.54</v>
      </c>
      <c r="X36" s="759">
        <v>6.4126427010454705</v>
      </c>
      <c r="Y36" s="545">
        <f t="shared" si="0"/>
        <v>-55.9</v>
      </c>
      <c r="Z36" s="759"/>
      <c r="AA36" s="759"/>
      <c r="AB36" s="551"/>
      <c r="AC36" s="758">
        <v>0.15682838352780501</v>
      </c>
      <c r="AD36" s="759"/>
      <c r="AE36" s="551">
        <f>IF(AC36=0, "    ---- ", IF(ABS(ROUND(100/AC36*AD36-100,1))&lt;999,ROUND(100/AC36*AD36-100,1),IF(ROUND(100/AC36*AD36-100,1)&gt;999,999,-999)))</f>
        <v>-100</v>
      </c>
      <c r="AF36" s="758"/>
      <c r="AG36" s="759"/>
      <c r="AH36" s="545"/>
      <c r="AI36" s="758">
        <v>22</v>
      </c>
      <c r="AJ36" s="759">
        <v>-7</v>
      </c>
      <c r="AK36" s="551">
        <f>IF(AI36=0, "    ---- ", IF(ABS(ROUND(100/AI36*AJ36-100,1))&lt;999,ROUND(100/AI36*AJ36-100,1),IF(ROUND(100/AI36*AJ36-100,1)&gt;999,999,-999)))</f>
        <v>-131.80000000000001</v>
      </c>
      <c r="AL36" s="759"/>
      <c r="AM36" s="759"/>
      <c r="AN36" s="551"/>
      <c r="AO36" s="547">
        <f t="shared" ref="AO36:AO46" si="11">B36+E36+H36+K36+N36+T36+AL36+W36+Z36+AF36+AI36</f>
        <v>81.998129589999991</v>
      </c>
      <c r="AP36" s="547">
        <f t="shared" ref="AP36:AP46" si="12">C36+F36+I36+L36+O36+U36+AM36+X36+AA36+AG36+AJ36</f>
        <v>-19.544928378954531</v>
      </c>
      <c r="AQ36" s="551">
        <f t="shared" si="9"/>
        <v>-123.8</v>
      </c>
      <c r="AR36" s="547">
        <f t="shared" ref="AR36:AS46" si="13">+B36+E36+H36+K36+N36+Q36+T36+AL36+W36+Z36+AC36+AF36+AI36</f>
        <v>82.665118015390647</v>
      </c>
      <c r="AS36" s="547">
        <f t="shared" si="13"/>
        <v>-19.544928378954531</v>
      </c>
      <c r="AT36" s="551">
        <f t="shared" si="10"/>
        <v>-123.6</v>
      </c>
    </row>
    <row r="37" spans="1:46" s="517" customFormat="1" ht="18.75" customHeight="1" x14ac:dyDescent="0.3">
      <c r="A37" s="542" t="s">
        <v>352</v>
      </c>
      <c r="B37" s="758"/>
      <c r="C37" s="759"/>
      <c r="D37" s="550"/>
      <c r="E37" s="758"/>
      <c r="F37" s="759"/>
      <c r="G37" s="545"/>
      <c r="H37" s="758"/>
      <c r="I37" s="759"/>
      <c r="J37" s="551"/>
      <c r="K37" s="758"/>
      <c r="L37" s="759"/>
      <c r="M37" s="551"/>
      <c r="N37" s="758"/>
      <c r="O37" s="759"/>
      <c r="P37" s="550"/>
      <c r="Q37" s="758"/>
      <c r="R37" s="759"/>
      <c r="S37" s="551"/>
      <c r="T37" s="758"/>
      <c r="U37" s="759"/>
      <c r="V37" s="551"/>
      <c r="W37" s="758"/>
      <c r="X37" s="759"/>
      <c r="Y37" s="545"/>
      <c r="Z37" s="759"/>
      <c r="AA37" s="759"/>
      <c r="AB37" s="551"/>
      <c r="AC37" s="758"/>
      <c r="AD37" s="759"/>
      <c r="AE37" s="551"/>
      <c r="AF37" s="758"/>
      <c r="AG37" s="759"/>
      <c r="AH37" s="545"/>
      <c r="AI37" s="758"/>
      <c r="AJ37" s="759"/>
      <c r="AK37" s="551"/>
      <c r="AL37" s="759"/>
      <c r="AM37" s="759"/>
      <c r="AN37" s="551"/>
      <c r="AO37" s="547">
        <f t="shared" si="11"/>
        <v>0</v>
      </c>
      <c r="AP37" s="547">
        <f t="shared" si="12"/>
        <v>0</v>
      </c>
      <c r="AQ37" s="551" t="str">
        <f t="shared" si="9"/>
        <v xml:space="preserve">    ---- </v>
      </c>
      <c r="AR37" s="547">
        <f t="shared" si="13"/>
        <v>0</v>
      </c>
      <c r="AS37" s="547">
        <f t="shared" si="13"/>
        <v>0</v>
      </c>
      <c r="AT37" s="551" t="str">
        <f t="shared" si="10"/>
        <v xml:space="preserve">    ---- </v>
      </c>
    </row>
    <row r="38" spans="1:46" s="517" customFormat="1" ht="18.75" customHeight="1" x14ac:dyDescent="0.3">
      <c r="A38" s="542" t="s">
        <v>353</v>
      </c>
      <c r="B38" s="758">
        <v>-13.654</v>
      </c>
      <c r="C38" s="759">
        <v>-7.3220000000000001</v>
      </c>
      <c r="D38" s="550">
        <f>IF(B38=0, "    ---- ", IF(ABS(ROUND(100/B38*C38-100,1))&lt;999,ROUND(100/B38*C38-100,1),IF(ROUND(100/B38*C38-100,1)&gt;999,999,-999)))</f>
        <v>-46.4</v>
      </c>
      <c r="E38" s="758"/>
      <c r="F38" s="759"/>
      <c r="G38" s="545"/>
      <c r="H38" s="758">
        <v>52.479755739999902</v>
      </c>
      <c r="I38" s="759">
        <v>50.947004640000117</v>
      </c>
      <c r="J38" s="551">
        <f>IF(H38=0, "    ---- ", IF(ABS(ROUND(100/H38*I38-100,1))&lt;999,ROUND(100/H38*I38-100,1),IF(ROUND(100/H38*I38-100,1)&gt;999,999,-999)))</f>
        <v>-2.9</v>
      </c>
      <c r="K38" s="758">
        <v>-3.33</v>
      </c>
      <c r="L38" s="759">
        <v>-4.8689999999999998</v>
      </c>
      <c r="M38" s="551">
        <f>IF(K38=0, "    ---- ", IF(ABS(ROUND(100/K38*L38-100,1))&lt;999,ROUND(100/K38*L38-100,1),IF(ROUND(100/K38*L38-100,1)&gt;999,999,-999)))</f>
        <v>46.2</v>
      </c>
      <c r="N38" s="758"/>
      <c r="O38" s="759"/>
      <c r="P38" s="550"/>
      <c r="Q38" s="758">
        <v>4.2735940000000001</v>
      </c>
      <c r="R38" s="759">
        <v>3.1300000000000001E-2</v>
      </c>
      <c r="S38" s="551">
        <f>IF(Q38=0, "    ---- ", IF(ABS(ROUND(100/Q38*R38-100,1))&lt;999,ROUND(100/Q38*R38-100,1),IF(ROUND(100/Q38*R38-100,1)&gt;999,999,-999)))</f>
        <v>-99.3</v>
      </c>
      <c r="T38" s="758"/>
      <c r="U38" s="759"/>
      <c r="V38" s="551"/>
      <c r="W38" s="758">
        <v>31.76</v>
      </c>
      <c r="X38" s="759">
        <v>24.666987707446143</v>
      </c>
      <c r="Y38" s="545">
        <f t="shared" si="0"/>
        <v>-22.3</v>
      </c>
      <c r="Z38" s="759"/>
      <c r="AA38" s="759"/>
      <c r="AB38" s="551"/>
      <c r="AC38" s="758">
        <v>2.7183393927385202</v>
      </c>
      <c r="AD38" s="759">
        <v>18.603000000000002</v>
      </c>
      <c r="AE38" s="551">
        <f>IF(AC38=0, "    ---- ", IF(ABS(ROUND(100/AC38*AD38-100,1))&lt;999,ROUND(100/AC38*AD38-100,1),IF(ROUND(100/AC38*AD38-100,1)&gt;999,999,-999)))</f>
        <v>584.4</v>
      </c>
      <c r="AF38" s="758"/>
      <c r="AG38" s="759"/>
      <c r="AH38" s="545"/>
      <c r="AI38" s="758">
        <v>-36</v>
      </c>
      <c r="AJ38" s="759">
        <v>-71</v>
      </c>
      <c r="AK38" s="551">
        <f>IF(AI38=0, "    ---- ", IF(ABS(ROUND(100/AI38*AJ38-100,1))&lt;999,ROUND(100/AI38*AJ38-100,1),IF(ROUND(100/AI38*AJ38-100,1)&gt;999,999,-999)))</f>
        <v>97.2</v>
      </c>
      <c r="AL38" s="759"/>
      <c r="AM38" s="759"/>
      <c r="AN38" s="551"/>
      <c r="AO38" s="547">
        <f t="shared" si="11"/>
        <v>31.255755739999913</v>
      </c>
      <c r="AP38" s="547">
        <f t="shared" si="12"/>
        <v>-7.5770076525537462</v>
      </c>
      <c r="AQ38" s="551">
        <f t="shared" si="9"/>
        <v>-124.2</v>
      </c>
      <c r="AR38" s="547">
        <f t="shared" si="13"/>
        <v>38.247689132738429</v>
      </c>
      <c r="AS38" s="547">
        <f t="shared" si="13"/>
        <v>11.057292347446264</v>
      </c>
      <c r="AT38" s="551">
        <f t="shared" si="10"/>
        <v>-71.099999999999994</v>
      </c>
    </row>
    <row r="39" spans="1:46" s="517" customFormat="1" ht="18.75" customHeight="1" x14ac:dyDescent="0.3">
      <c r="A39" s="542" t="s">
        <v>354</v>
      </c>
      <c r="B39" s="758"/>
      <c r="C39" s="759"/>
      <c r="D39" s="550"/>
      <c r="E39" s="758"/>
      <c r="F39" s="759"/>
      <c r="G39" s="545"/>
      <c r="H39" s="758"/>
      <c r="I39" s="759"/>
      <c r="J39" s="551"/>
      <c r="K39" s="758"/>
      <c r="L39" s="759"/>
      <c r="M39" s="551"/>
      <c r="N39" s="758"/>
      <c r="O39" s="759"/>
      <c r="P39" s="550"/>
      <c r="Q39" s="758"/>
      <c r="R39" s="759"/>
      <c r="S39" s="551"/>
      <c r="T39" s="758"/>
      <c r="U39" s="759"/>
      <c r="V39" s="551"/>
      <c r="W39" s="758"/>
      <c r="X39" s="759"/>
      <c r="Y39" s="545"/>
      <c r="Z39" s="759"/>
      <c r="AA39" s="759"/>
      <c r="AB39" s="551"/>
      <c r="AC39" s="758"/>
      <c r="AD39" s="759"/>
      <c r="AE39" s="551"/>
      <c r="AF39" s="758"/>
      <c r="AG39" s="759"/>
      <c r="AH39" s="545"/>
      <c r="AI39" s="758"/>
      <c r="AJ39" s="759"/>
      <c r="AK39" s="551"/>
      <c r="AL39" s="759"/>
      <c r="AM39" s="759"/>
      <c r="AN39" s="551"/>
      <c r="AO39" s="547">
        <f t="shared" si="11"/>
        <v>0</v>
      </c>
      <c r="AP39" s="547">
        <f t="shared" si="12"/>
        <v>0</v>
      </c>
      <c r="AQ39" s="551" t="str">
        <f t="shared" si="9"/>
        <v xml:space="preserve">    ---- </v>
      </c>
      <c r="AR39" s="547">
        <f t="shared" si="13"/>
        <v>0</v>
      </c>
      <c r="AS39" s="547">
        <f t="shared" si="13"/>
        <v>0</v>
      </c>
      <c r="AT39" s="551" t="str">
        <f t="shared" si="10"/>
        <v xml:space="preserve">    ---- </v>
      </c>
    </row>
    <row r="40" spans="1:46" s="517" customFormat="1" ht="18.75" customHeight="1" x14ac:dyDescent="0.3">
      <c r="A40" s="542" t="s">
        <v>355</v>
      </c>
      <c r="B40" s="758"/>
      <c r="C40" s="759"/>
      <c r="D40" s="550"/>
      <c r="E40" s="758"/>
      <c r="F40" s="759"/>
      <c r="G40" s="545"/>
      <c r="H40" s="758"/>
      <c r="I40" s="759"/>
      <c r="J40" s="551"/>
      <c r="K40" s="758"/>
      <c r="L40" s="759"/>
      <c r="M40" s="551"/>
      <c r="N40" s="758"/>
      <c r="O40" s="759"/>
      <c r="P40" s="550"/>
      <c r="Q40" s="758"/>
      <c r="R40" s="759"/>
      <c r="S40" s="551"/>
      <c r="T40" s="758"/>
      <c r="U40" s="759"/>
      <c r="V40" s="551"/>
      <c r="W40" s="758"/>
      <c r="X40" s="759"/>
      <c r="Y40" s="545"/>
      <c r="Z40" s="759"/>
      <c r="AA40" s="759"/>
      <c r="AB40" s="551"/>
      <c r="AC40" s="758"/>
      <c r="AD40" s="759"/>
      <c r="AE40" s="551"/>
      <c r="AF40" s="758"/>
      <c r="AG40" s="759"/>
      <c r="AH40" s="545"/>
      <c r="AI40" s="758"/>
      <c r="AJ40" s="759"/>
      <c r="AK40" s="551"/>
      <c r="AL40" s="759"/>
      <c r="AM40" s="759"/>
      <c r="AN40" s="551"/>
      <c r="AO40" s="547">
        <f t="shared" si="11"/>
        <v>0</v>
      </c>
      <c r="AP40" s="547">
        <f t="shared" si="12"/>
        <v>0</v>
      </c>
      <c r="AQ40" s="551" t="str">
        <f t="shared" si="9"/>
        <v xml:space="preserve">    ---- </v>
      </c>
      <c r="AR40" s="547">
        <f t="shared" si="13"/>
        <v>0</v>
      </c>
      <c r="AS40" s="547">
        <f t="shared" si="13"/>
        <v>0</v>
      </c>
      <c r="AT40" s="551" t="str">
        <f t="shared" si="10"/>
        <v xml:space="preserve">    ---- </v>
      </c>
    </row>
    <row r="41" spans="1:46" s="517" customFormat="1" ht="18.75" customHeight="1" x14ac:dyDescent="0.3">
      <c r="A41" s="542" t="s">
        <v>356</v>
      </c>
      <c r="B41" s="758">
        <v>63.631999999999998</v>
      </c>
      <c r="C41" s="759">
        <v>60.283999999999999</v>
      </c>
      <c r="D41" s="550">
        <f>IF(B41=0, "    ---- ", IF(ABS(ROUND(100/B41*C41-100,1))&lt;999,ROUND(100/B41*C41-100,1),IF(ROUND(100/B41*C41-100,1)&gt;999,999,-999)))</f>
        <v>-5.3</v>
      </c>
      <c r="E41" s="758"/>
      <c r="F41" s="759"/>
      <c r="G41" s="545"/>
      <c r="H41" s="758">
        <v>436.18708941</v>
      </c>
      <c r="I41" s="759">
        <v>475.01470991000002</v>
      </c>
      <c r="J41" s="551">
        <f>IF(H41=0, "    ---- ", IF(ABS(ROUND(100/H41*I41-100,1))&lt;999,ROUND(100/H41*I41-100,1),IF(ROUND(100/H41*I41-100,1)&gt;999,999,-999)))</f>
        <v>8.9</v>
      </c>
      <c r="K41" s="758">
        <v>88.450999999999993</v>
      </c>
      <c r="L41" s="759">
        <v>82.55</v>
      </c>
      <c r="M41" s="551">
        <f>IF(K41=0, "    ---- ", IF(ABS(ROUND(100/K41*L41-100,1))&lt;999,ROUND(100/K41*L41-100,1),IF(ROUND(100/K41*L41-100,1)&gt;999,999,-999)))</f>
        <v>-6.7</v>
      </c>
      <c r="N41" s="758"/>
      <c r="O41" s="759"/>
      <c r="P41" s="550"/>
      <c r="Q41" s="758">
        <v>8.5697500000000009</v>
      </c>
      <c r="R41" s="759">
        <v>18.073</v>
      </c>
      <c r="S41" s="551">
        <f>IF(Q41=0, "    ---- ", IF(ABS(ROUND(100/Q41*R41-100,1))&lt;999,ROUND(100/Q41*R41-100,1),IF(ROUND(100/Q41*R41-100,1)&gt;999,999,-999)))</f>
        <v>110.9</v>
      </c>
      <c r="T41" s="758"/>
      <c r="U41" s="759"/>
      <c r="V41" s="551"/>
      <c r="W41" s="758">
        <v>179.16</v>
      </c>
      <c r="X41" s="759">
        <v>194.49471876772935</v>
      </c>
      <c r="Y41" s="545">
        <f t="shared" si="0"/>
        <v>8.6</v>
      </c>
      <c r="Z41" s="759"/>
      <c r="AA41" s="759"/>
      <c r="AB41" s="551"/>
      <c r="AC41" s="758">
        <v>5.4068189999998802E-2</v>
      </c>
      <c r="AD41" s="759"/>
      <c r="AE41" s="551">
        <f>IF(AC41=0, "    ---- ", IF(ABS(ROUND(100/AC41*AD41-100,1))&lt;999,ROUND(100/AC41*AD41-100,1),IF(ROUND(100/AC41*AD41-100,1)&gt;999,999,-999)))</f>
        <v>-100</v>
      </c>
      <c r="AF41" s="758"/>
      <c r="AG41" s="759"/>
      <c r="AH41" s="545"/>
      <c r="AI41" s="758">
        <v>200.6</v>
      </c>
      <c r="AJ41" s="759">
        <v>161</v>
      </c>
      <c r="AK41" s="551">
        <f>IF(AI41=0, "    ---- ", IF(ABS(ROUND(100/AI41*AJ41-100,1))&lt;999,ROUND(100/AI41*AJ41-100,1),IF(ROUND(100/AI41*AJ41-100,1)&gt;999,999,-999)))</f>
        <v>-19.7</v>
      </c>
      <c r="AL41" s="759"/>
      <c r="AM41" s="759"/>
      <c r="AN41" s="551"/>
      <c r="AO41" s="547">
        <f t="shared" si="11"/>
        <v>968.03008940999996</v>
      </c>
      <c r="AP41" s="547">
        <f t="shared" si="12"/>
        <v>973.34342867772943</v>
      </c>
      <c r="AQ41" s="551">
        <f t="shared" si="9"/>
        <v>0.5</v>
      </c>
      <c r="AR41" s="547">
        <f t="shared" si="13"/>
        <v>976.65390759999991</v>
      </c>
      <c r="AS41" s="547">
        <f t="shared" si="13"/>
        <v>991.4164286777293</v>
      </c>
      <c r="AT41" s="551">
        <f t="shared" si="10"/>
        <v>1.5</v>
      </c>
    </row>
    <row r="42" spans="1:46" s="517" customFormat="1" ht="18.75" customHeight="1" x14ac:dyDescent="0.3">
      <c r="A42" s="542" t="s">
        <v>357</v>
      </c>
      <c r="B42" s="758"/>
      <c r="C42" s="759"/>
      <c r="D42" s="550"/>
      <c r="E42" s="758"/>
      <c r="F42" s="759"/>
      <c r="G42" s="545"/>
      <c r="H42" s="758"/>
      <c r="I42" s="759"/>
      <c r="J42" s="551"/>
      <c r="K42" s="758"/>
      <c r="L42" s="759"/>
      <c r="M42" s="551"/>
      <c r="N42" s="758"/>
      <c r="O42" s="759"/>
      <c r="P42" s="550"/>
      <c r="Q42" s="758"/>
      <c r="R42" s="759"/>
      <c r="S42" s="551"/>
      <c r="T42" s="758"/>
      <c r="U42" s="759"/>
      <c r="V42" s="551"/>
      <c r="W42" s="758"/>
      <c r="X42" s="759"/>
      <c r="Y42" s="545"/>
      <c r="Z42" s="759"/>
      <c r="AA42" s="759"/>
      <c r="AB42" s="551"/>
      <c r="AC42" s="758"/>
      <c r="AD42" s="759"/>
      <c r="AE42" s="551"/>
      <c r="AF42" s="758"/>
      <c r="AG42" s="759"/>
      <c r="AH42" s="545"/>
      <c r="AI42" s="758"/>
      <c r="AJ42" s="759"/>
      <c r="AK42" s="551"/>
      <c r="AL42" s="759"/>
      <c r="AM42" s="759"/>
      <c r="AN42" s="551"/>
      <c r="AO42" s="547">
        <f t="shared" si="11"/>
        <v>0</v>
      </c>
      <c r="AP42" s="547">
        <f t="shared" si="12"/>
        <v>0</v>
      </c>
      <c r="AQ42" s="551" t="str">
        <f t="shared" si="9"/>
        <v xml:space="preserve">    ---- </v>
      </c>
      <c r="AR42" s="547">
        <f t="shared" si="13"/>
        <v>0</v>
      </c>
      <c r="AS42" s="547">
        <f t="shared" si="13"/>
        <v>0</v>
      </c>
      <c r="AT42" s="551" t="str">
        <f t="shared" si="10"/>
        <v xml:space="preserve">    ---- </v>
      </c>
    </row>
    <row r="43" spans="1:46" s="517" customFormat="1" ht="18.75" customHeight="1" x14ac:dyDescent="0.3">
      <c r="A43" s="542" t="s">
        <v>358</v>
      </c>
      <c r="B43" s="758"/>
      <c r="C43" s="759"/>
      <c r="D43" s="550"/>
      <c r="E43" s="758"/>
      <c r="F43" s="759"/>
      <c r="G43" s="545"/>
      <c r="H43" s="758"/>
      <c r="I43" s="759"/>
      <c r="J43" s="551"/>
      <c r="K43" s="758"/>
      <c r="L43" s="759"/>
      <c r="M43" s="551"/>
      <c r="N43" s="758"/>
      <c r="O43" s="759"/>
      <c r="P43" s="550"/>
      <c r="Q43" s="758"/>
      <c r="R43" s="759"/>
      <c r="S43" s="551"/>
      <c r="T43" s="758"/>
      <c r="U43" s="759"/>
      <c r="V43" s="551"/>
      <c r="W43" s="758"/>
      <c r="X43" s="759"/>
      <c r="Y43" s="545"/>
      <c r="Z43" s="759"/>
      <c r="AA43" s="759"/>
      <c r="AB43" s="551"/>
      <c r="AC43" s="758"/>
      <c r="AD43" s="759"/>
      <c r="AE43" s="551"/>
      <c r="AF43" s="758"/>
      <c r="AG43" s="759"/>
      <c r="AH43" s="545"/>
      <c r="AI43" s="758"/>
      <c r="AJ43" s="759"/>
      <c r="AK43" s="551"/>
      <c r="AL43" s="759"/>
      <c r="AM43" s="759"/>
      <c r="AN43" s="551"/>
      <c r="AO43" s="547">
        <f t="shared" si="11"/>
        <v>0</v>
      </c>
      <c r="AP43" s="547">
        <f t="shared" si="12"/>
        <v>0</v>
      </c>
      <c r="AQ43" s="551" t="str">
        <f t="shared" si="9"/>
        <v xml:space="preserve">    ---- </v>
      </c>
      <c r="AR43" s="547">
        <f t="shared" si="13"/>
        <v>0</v>
      </c>
      <c r="AS43" s="547">
        <f t="shared" si="13"/>
        <v>0</v>
      </c>
      <c r="AT43" s="551" t="str">
        <f t="shared" si="10"/>
        <v xml:space="preserve">    ---- </v>
      </c>
    </row>
    <row r="44" spans="1:46" s="549" customFormat="1" ht="18.75" customHeight="1" x14ac:dyDescent="0.3">
      <c r="A44" s="537" t="s">
        <v>359</v>
      </c>
      <c r="B44" s="756">
        <f>SUM(B36:B41)+B43</f>
        <v>54.658000000000001</v>
      </c>
      <c r="C44" s="757">
        <f>SUM(C36:C41)+C43</f>
        <v>49.272999999999996</v>
      </c>
      <c r="D44" s="552">
        <f>IF(B44=0, "    ---- ", IF(ABS(ROUND(100/B44*C44-100,1))&lt;999,ROUND(100/B44*C44-100,1),IF(ROUND(100/B44*C44-100,1)&gt;999,999,-999)))</f>
        <v>-9.9</v>
      </c>
      <c r="E44" s="756"/>
      <c r="F44" s="757"/>
      <c r="G44" s="540"/>
      <c r="H44" s="756">
        <f>SUM(H36:H41)+H43</f>
        <v>499.6109747399999</v>
      </c>
      <c r="I44" s="757">
        <f>SUM(I36:I41)+I43</f>
        <v>522.84114347000013</v>
      </c>
      <c r="J44" s="553">
        <f>IF(H44=0, "    ---- ", IF(ABS(ROUND(100/H44*I44-100,1))&lt;999,ROUND(100/H44*I44-100,1),IF(ROUND(100/H44*I44-100,1)&gt;999,999,-999)))</f>
        <v>4.5999999999999996</v>
      </c>
      <c r="K44" s="756">
        <f>SUM(K36:K41)+K43</f>
        <v>114.95499999999998</v>
      </c>
      <c r="L44" s="757">
        <f>SUM(L36:L41)+L43</f>
        <v>65.533000000000001</v>
      </c>
      <c r="M44" s="553">
        <f>IF(K44=0, "    ---- ", IF(ABS(ROUND(100/K44*L44-100,1))&lt;999,ROUND(100/K44*L44-100,1),IF(ROUND(100/K44*L44-100,1)&gt;999,999,-999)))</f>
        <v>-43</v>
      </c>
      <c r="N44" s="756"/>
      <c r="O44" s="757"/>
      <c r="P44" s="552"/>
      <c r="Q44" s="756">
        <f>SUM(Q36:Q41)+Q43</f>
        <v>13.353504041862852</v>
      </c>
      <c r="R44" s="757">
        <f>SUM(R36:R41)+R43</f>
        <v>18.104300000000002</v>
      </c>
      <c r="S44" s="553">
        <f>IF(Q44=0, "    ---- ", IF(ABS(ROUND(100/Q44*R44-100,1))&lt;999,ROUND(100/Q44*R44-100,1),IF(ROUND(100/Q44*R44-100,1)&gt;999,999,-999)))</f>
        <v>35.6</v>
      </c>
      <c r="T44" s="756"/>
      <c r="U44" s="757"/>
      <c r="V44" s="553"/>
      <c r="W44" s="756">
        <f>SUM(W36:W41)+W43</f>
        <v>225.45999999999998</v>
      </c>
      <c r="X44" s="757">
        <f>SUM(X36:X41)+X43</f>
        <v>225.57434917622098</v>
      </c>
      <c r="Y44" s="540">
        <f t="shared" si="0"/>
        <v>0.1</v>
      </c>
      <c r="Z44" s="757"/>
      <c r="AA44" s="757"/>
      <c r="AB44" s="553"/>
      <c r="AC44" s="756">
        <f>SUM(AC36:AC41)+AC43</f>
        <v>2.9292359662663241</v>
      </c>
      <c r="AD44" s="757">
        <f>SUM(AD36:AD41)+AD43</f>
        <v>18.603000000000002</v>
      </c>
      <c r="AE44" s="553">
        <f>IF(AC44=0, "    ---- ", IF(ABS(ROUND(100/AC44*AD44-100,1))&lt;999,ROUND(100/AC44*AD44-100,1),IF(ROUND(100/AC44*AD44-100,1)&gt;999,999,-999)))</f>
        <v>535.1</v>
      </c>
      <c r="AF44" s="756"/>
      <c r="AG44" s="757"/>
      <c r="AH44" s="540"/>
      <c r="AI44" s="756">
        <f>SUM(AI36:AI41)+AI43</f>
        <v>186.6</v>
      </c>
      <c r="AJ44" s="757">
        <f>SUM(AJ36:AJ41)+AJ43</f>
        <v>83</v>
      </c>
      <c r="AK44" s="553">
        <f>IF(AI44=0, "    ---- ", IF(ABS(ROUND(100/AI44*AJ44-100,1))&lt;999,ROUND(100/AI44*AJ44-100,1),IF(ROUND(100/AI44*AJ44-100,1)&gt;999,999,-999)))</f>
        <v>-55.5</v>
      </c>
      <c r="AL44" s="757"/>
      <c r="AM44" s="757"/>
      <c r="AN44" s="553"/>
      <c r="AO44" s="548">
        <f t="shared" si="11"/>
        <v>1081.2839747399998</v>
      </c>
      <c r="AP44" s="548">
        <f t="shared" si="12"/>
        <v>946.22149264622112</v>
      </c>
      <c r="AQ44" s="553">
        <f t="shared" si="9"/>
        <v>-12.5</v>
      </c>
      <c r="AR44" s="548">
        <f t="shared" si="13"/>
        <v>1097.566714748129</v>
      </c>
      <c r="AS44" s="548">
        <f t="shared" si="13"/>
        <v>982.92879264622104</v>
      </c>
      <c r="AT44" s="553">
        <f t="shared" si="10"/>
        <v>-10.4</v>
      </c>
    </row>
    <row r="45" spans="1:46" s="517" customFormat="1" ht="18.75" customHeight="1" x14ac:dyDescent="0.3">
      <c r="A45" s="542" t="s">
        <v>360</v>
      </c>
      <c r="B45" s="758"/>
      <c r="C45" s="759"/>
      <c r="D45" s="550"/>
      <c r="E45" s="758"/>
      <c r="F45" s="759"/>
      <c r="G45" s="545"/>
      <c r="H45" s="758"/>
      <c r="I45" s="759"/>
      <c r="J45" s="551"/>
      <c r="K45" s="758"/>
      <c r="L45" s="759"/>
      <c r="M45" s="551"/>
      <c r="N45" s="758"/>
      <c r="O45" s="759"/>
      <c r="P45" s="550"/>
      <c r="Q45" s="758"/>
      <c r="R45" s="759"/>
      <c r="S45" s="551"/>
      <c r="T45" s="758"/>
      <c r="U45" s="759"/>
      <c r="V45" s="551"/>
      <c r="W45" s="758"/>
      <c r="X45" s="759">
        <v>0</v>
      </c>
      <c r="Y45" s="545" t="str">
        <f t="shared" si="0"/>
        <v xml:space="preserve">    ---- </v>
      </c>
      <c r="Z45" s="759"/>
      <c r="AA45" s="759"/>
      <c r="AB45" s="551"/>
      <c r="AC45" s="758"/>
      <c r="AD45" s="759"/>
      <c r="AE45" s="551"/>
      <c r="AF45" s="758"/>
      <c r="AG45" s="759"/>
      <c r="AH45" s="545"/>
      <c r="AI45" s="758"/>
      <c r="AJ45" s="759"/>
      <c r="AK45" s="551"/>
      <c r="AL45" s="759"/>
      <c r="AM45" s="759"/>
      <c r="AN45" s="551"/>
      <c r="AO45" s="547">
        <f t="shared" si="11"/>
        <v>0</v>
      </c>
      <c r="AP45" s="547">
        <f t="shared" si="12"/>
        <v>0</v>
      </c>
      <c r="AQ45" s="551" t="str">
        <f t="shared" si="9"/>
        <v xml:space="preserve">    ---- </v>
      </c>
      <c r="AR45" s="547">
        <f t="shared" si="13"/>
        <v>0</v>
      </c>
      <c r="AS45" s="547">
        <f t="shared" si="13"/>
        <v>0</v>
      </c>
      <c r="AT45" s="551" t="str">
        <f t="shared" si="10"/>
        <v xml:space="preserve">    ---- </v>
      </c>
    </row>
    <row r="46" spans="1:46" s="517" customFormat="1" ht="18.75" customHeight="1" x14ac:dyDescent="0.3">
      <c r="A46" s="542" t="s">
        <v>361</v>
      </c>
      <c r="B46" s="758">
        <v>54.658000000000001</v>
      </c>
      <c r="C46" s="759">
        <v>49.273000000000003</v>
      </c>
      <c r="D46" s="550">
        <f>IF(B46=0, "    ---- ", IF(ABS(ROUND(100/B46*C46-100,1))&lt;999,ROUND(100/B46*C46-100,1),IF(ROUND(100/B46*C46-100,1)&gt;999,999,-999)))</f>
        <v>-9.9</v>
      </c>
      <c r="E46" s="758"/>
      <c r="F46" s="759"/>
      <c r="G46" s="545"/>
      <c r="H46" s="758">
        <f>+H44</f>
        <v>499.6109747399999</v>
      </c>
      <c r="I46" s="759">
        <f>+I44</f>
        <v>522.84114347000013</v>
      </c>
      <c r="J46" s="551">
        <f>IF(H46=0, "    ---- ", IF(ABS(ROUND(100/H46*I46-100,1))&lt;999,ROUND(100/H46*I46-100,1),IF(ROUND(100/H46*I46-100,1)&gt;999,999,-999)))</f>
        <v>4.5999999999999996</v>
      </c>
      <c r="K46" s="758">
        <v>114.97</v>
      </c>
      <c r="L46" s="759">
        <v>65.697000000000003</v>
      </c>
      <c r="M46" s="551">
        <f>IF(K46=0, "    ---- ", IF(ABS(ROUND(100/K46*L46-100,1))&lt;999,ROUND(100/K46*L46-100,1),IF(ROUND(100/K46*L46-100,1)&gt;999,999,-999)))</f>
        <v>-42.9</v>
      </c>
      <c r="N46" s="758"/>
      <c r="O46" s="759"/>
      <c r="P46" s="550"/>
      <c r="Q46" s="758">
        <v>12.843344</v>
      </c>
      <c r="R46" s="759">
        <v>18.073</v>
      </c>
      <c r="S46" s="551">
        <f>IF(Q46=0, "    ---- ", IF(ABS(ROUND(100/Q46*R46-100,1))&lt;999,ROUND(100/Q46*R46-100,1),IF(ROUND(100/Q46*R46-100,1)&gt;999,999,-999)))</f>
        <v>40.700000000000003</v>
      </c>
      <c r="T46" s="758"/>
      <c r="U46" s="759"/>
      <c r="V46" s="551"/>
      <c r="W46" s="758">
        <v>225.46</v>
      </c>
      <c r="X46" s="759">
        <v>225.57434917622098</v>
      </c>
      <c r="Y46" s="545">
        <f t="shared" si="0"/>
        <v>0.1</v>
      </c>
      <c r="Z46" s="759"/>
      <c r="AA46" s="759"/>
      <c r="AB46" s="551"/>
      <c r="AC46" s="758">
        <v>2.9292359662663241</v>
      </c>
      <c r="AD46" s="759">
        <v>18.603000000000002</v>
      </c>
      <c r="AE46" s="551">
        <f>IF(AC46=0, "    ---- ", IF(ABS(ROUND(100/AC46*AD46-100,1))&lt;999,ROUND(100/AC46*AD46-100,1),IF(ROUND(100/AC46*AD46-100,1)&gt;999,999,-999)))</f>
        <v>535.1</v>
      </c>
      <c r="AF46" s="758"/>
      <c r="AG46" s="759"/>
      <c r="AH46" s="545"/>
      <c r="AI46" s="758">
        <v>187</v>
      </c>
      <c r="AJ46" s="759">
        <v>83</v>
      </c>
      <c r="AK46" s="551">
        <f>IF(AI46=0, "    ---- ", IF(ABS(ROUND(100/AI46*AJ46-100,1))&lt;999,ROUND(100/AI46*AJ46-100,1),IF(ROUND(100/AI46*AJ46-100,1)&gt;999,999,-999)))</f>
        <v>-55.6</v>
      </c>
      <c r="AL46" s="759"/>
      <c r="AM46" s="759"/>
      <c r="AN46" s="551"/>
      <c r="AO46" s="547">
        <f t="shared" si="11"/>
        <v>1081.6989747399998</v>
      </c>
      <c r="AP46" s="547">
        <f t="shared" si="12"/>
        <v>946.38549264622111</v>
      </c>
      <c r="AQ46" s="551">
        <f t="shared" si="9"/>
        <v>-12.5</v>
      </c>
      <c r="AR46" s="547">
        <f t="shared" si="13"/>
        <v>1097.4715547062663</v>
      </c>
      <c r="AS46" s="547">
        <f t="shared" si="13"/>
        <v>983.06149264622104</v>
      </c>
      <c r="AT46" s="551">
        <f t="shared" si="10"/>
        <v>-10.4</v>
      </c>
    </row>
    <row r="47" spans="1:46" s="549" customFormat="1" ht="18.75" customHeight="1" x14ac:dyDescent="0.3">
      <c r="A47" s="537" t="s">
        <v>364</v>
      </c>
      <c r="B47" s="756"/>
      <c r="C47" s="757"/>
      <c r="D47" s="552"/>
      <c r="E47" s="756"/>
      <c r="F47" s="757"/>
      <c r="G47" s="540"/>
      <c r="H47" s="756"/>
      <c r="I47" s="757"/>
      <c r="J47" s="553"/>
      <c r="K47" s="756"/>
      <c r="L47" s="757"/>
      <c r="M47" s="553"/>
      <c r="N47" s="756"/>
      <c r="O47" s="757"/>
      <c r="P47" s="552"/>
      <c r="Q47" s="756"/>
      <c r="R47" s="757"/>
      <c r="S47" s="553"/>
      <c r="T47" s="756"/>
      <c r="U47" s="757"/>
      <c r="V47" s="553"/>
      <c r="W47" s="756"/>
      <c r="X47" s="757"/>
      <c r="Y47" s="540"/>
      <c r="Z47" s="757"/>
      <c r="AA47" s="757"/>
      <c r="AB47" s="553"/>
      <c r="AC47" s="756"/>
      <c r="AD47" s="757"/>
      <c r="AE47" s="553"/>
      <c r="AF47" s="756"/>
      <c r="AG47" s="757"/>
      <c r="AH47" s="540"/>
      <c r="AI47" s="756"/>
      <c r="AJ47" s="757"/>
      <c r="AK47" s="553"/>
      <c r="AL47" s="757"/>
      <c r="AM47" s="757"/>
      <c r="AN47" s="553"/>
      <c r="AO47" s="552"/>
      <c r="AP47" s="552"/>
      <c r="AQ47" s="553"/>
      <c r="AR47" s="547"/>
      <c r="AS47" s="547"/>
      <c r="AT47" s="553"/>
    </row>
    <row r="48" spans="1:46" s="517" customFormat="1" ht="18.75" customHeight="1" x14ac:dyDescent="0.3">
      <c r="A48" s="542" t="s">
        <v>351</v>
      </c>
      <c r="B48" s="758"/>
      <c r="C48" s="759"/>
      <c r="D48" s="550"/>
      <c r="E48" s="758">
        <v>909.88850600000001</v>
      </c>
      <c r="F48" s="759">
        <v>-594.31200000000001</v>
      </c>
      <c r="G48" s="545">
        <f>IF(E48=0, "    ---- ", IF(ABS(ROUND(100/E48*F48-100,1))&lt;999,ROUND(100/E48*F48-100,1),IF(ROUND(100/E48*F48-100,1)&gt;999,999,-999)))</f>
        <v>-165.3</v>
      </c>
      <c r="H48" s="758"/>
      <c r="I48" s="759"/>
      <c r="J48" s="551"/>
      <c r="K48" s="758"/>
      <c r="L48" s="759"/>
      <c r="M48" s="551"/>
      <c r="N48" s="758"/>
      <c r="O48" s="759"/>
      <c r="P48" s="550"/>
      <c r="Q48" s="758"/>
      <c r="R48" s="759"/>
      <c r="S48" s="551"/>
      <c r="T48" s="758"/>
      <c r="U48" s="759"/>
      <c r="V48" s="551"/>
      <c r="W48" s="758"/>
      <c r="X48" s="759"/>
      <c r="Y48" s="545"/>
      <c r="Z48" s="759"/>
      <c r="AA48" s="759"/>
      <c r="AB48" s="551"/>
      <c r="AC48" s="758"/>
      <c r="AD48" s="759"/>
      <c r="AE48" s="551"/>
      <c r="AF48" s="758"/>
      <c r="AG48" s="759"/>
      <c r="AH48" s="545"/>
      <c r="AI48" s="758"/>
      <c r="AJ48" s="759"/>
      <c r="AK48" s="551"/>
      <c r="AL48" s="759"/>
      <c r="AM48" s="759"/>
      <c r="AN48" s="551"/>
      <c r="AO48" s="547">
        <f t="shared" ref="AO48:AO58" si="14">B48+E48+H48+K48+N48+T48+AL48+W48+Z48+AF48+AI48</f>
        <v>909.88850600000001</v>
      </c>
      <c r="AP48" s="547">
        <f t="shared" ref="AP48:AP58" si="15">C48+F48+I48+L48+O48+U48+AM48+X48+AA48+AG48+AJ48</f>
        <v>-594.31200000000001</v>
      </c>
      <c r="AQ48" s="551">
        <f t="shared" si="9"/>
        <v>-165.3</v>
      </c>
      <c r="AR48" s="547">
        <f t="shared" ref="AR48:AS58" si="16">+B48+E48+H48+K48+N48+Q48+T48+AL48+W48+Z48+AC48+AF48+AI48</f>
        <v>909.88850600000001</v>
      </c>
      <c r="AS48" s="547">
        <f t="shared" si="16"/>
        <v>-594.31200000000001</v>
      </c>
      <c r="AT48" s="551">
        <f t="shared" si="10"/>
        <v>-165.3</v>
      </c>
    </row>
    <row r="49" spans="1:46" s="517" customFormat="1" ht="18.75" customHeight="1" x14ac:dyDescent="0.3">
      <c r="A49" s="542" t="s">
        <v>352</v>
      </c>
      <c r="B49" s="758"/>
      <c r="C49" s="759"/>
      <c r="D49" s="550"/>
      <c r="E49" s="758"/>
      <c r="F49" s="759"/>
      <c r="G49" s="545"/>
      <c r="H49" s="758"/>
      <c r="I49" s="759"/>
      <c r="J49" s="551"/>
      <c r="K49" s="758"/>
      <c r="L49" s="759"/>
      <c r="M49" s="551"/>
      <c r="N49" s="758"/>
      <c r="O49" s="759"/>
      <c r="P49" s="550"/>
      <c r="Q49" s="758"/>
      <c r="R49" s="759"/>
      <c r="S49" s="551"/>
      <c r="T49" s="758"/>
      <c r="U49" s="759"/>
      <c r="V49" s="551"/>
      <c r="W49" s="758"/>
      <c r="X49" s="759"/>
      <c r="Y49" s="545"/>
      <c r="Z49" s="759"/>
      <c r="AA49" s="759"/>
      <c r="AB49" s="551"/>
      <c r="AC49" s="758"/>
      <c r="AD49" s="759"/>
      <c r="AE49" s="551"/>
      <c r="AF49" s="758"/>
      <c r="AG49" s="759"/>
      <c r="AH49" s="545"/>
      <c r="AI49" s="758"/>
      <c r="AJ49" s="759"/>
      <c r="AK49" s="551"/>
      <c r="AL49" s="759"/>
      <c r="AM49" s="759"/>
      <c r="AN49" s="551"/>
      <c r="AO49" s="547">
        <f t="shared" si="14"/>
        <v>0</v>
      </c>
      <c r="AP49" s="547">
        <f t="shared" si="15"/>
        <v>0</v>
      </c>
      <c r="AQ49" s="551" t="str">
        <f t="shared" si="9"/>
        <v xml:space="preserve">    ---- </v>
      </c>
      <c r="AR49" s="547">
        <f t="shared" si="16"/>
        <v>0</v>
      </c>
      <c r="AS49" s="547">
        <f t="shared" si="16"/>
        <v>0</v>
      </c>
      <c r="AT49" s="551" t="str">
        <f t="shared" si="10"/>
        <v xml:space="preserve">    ---- </v>
      </c>
    </row>
    <row r="50" spans="1:46" s="517" customFormat="1" ht="18.75" customHeight="1" x14ac:dyDescent="0.3">
      <c r="A50" s="542" t="s">
        <v>353</v>
      </c>
      <c r="B50" s="758">
        <v>7.1020000000000003</v>
      </c>
      <c r="C50" s="759">
        <v>3.2770000000000001</v>
      </c>
      <c r="D50" s="550">
        <f>IF(B50=0, "    ---- ", IF(ABS(ROUND(100/B50*C50-100,1))&lt;999,ROUND(100/B50*C50-100,1),IF(ROUND(100/B50*C50-100,1)&gt;999,999,-999)))</f>
        <v>-53.9</v>
      </c>
      <c r="E50" s="758">
        <v>5.9609140000000025</v>
      </c>
      <c r="F50" s="759">
        <v>13.702999999999999</v>
      </c>
      <c r="G50" s="545">
        <f>IF(E50=0, "    ---- ", IF(ABS(ROUND(100/E50*F50-100,1))&lt;999,ROUND(100/E50*F50-100,1),IF(ROUND(100/E50*F50-100,1)&gt;999,999,-999)))</f>
        <v>129.9</v>
      </c>
      <c r="H50" s="758"/>
      <c r="I50" s="759"/>
      <c r="J50" s="551"/>
      <c r="K50" s="758"/>
      <c r="L50" s="759"/>
      <c r="M50" s="551"/>
      <c r="N50" s="758"/>
      <c r="O50" s="759"/>
      <c r="P50" s="550"/>
      <c r="Q50" s="758"/>
      <c r="R50" s="759"/>
      <c r="S50" s="551"/>
      <c r="T50" s="758"/>
      <c r="U50" s="759"/>
      <c r="V50" s="551"/>
      <c r="W50" s="758">
        <v>243.61</v>
      </c>
      <c r="X50" s="759">
        <v>289.41565299857166</v>
      </c>
      <c r="Y50" s="545">
        <f t="shared" si="0"/>
        <v>18.8</v>
      </c>
      <c r="Z50" s="759"/>
      <c r="AA50" s="759"/>
      <c r="AB50" s="551"/>
      <c r="AC50" s="758"/>
      <c r="AD50" s="759"/>
      <c r="AE50" s="551"/>
      <c r="AF50" s="758">
        <v>9</v>
      </c>
      <c r="AG50" s="759">
        <v>-13</v>
      </c>
      <c r="AH50" s="545">
        <f>IF(AF50=0, "    ---- ", IF(ABS(ROUND(100/AF50*AG50-100,1))&lt;999,ROUND(100/AF50*AG50-100,1),IF(ROUND(100/AF50*AG50-100,1)&gt;999,999,-999)))</f>
        <v>-244.4</v>
      </c>
      <c r="AI50" s="758">
        <v>5</v>
      </c>
      <c r="AJ50" s="759">
        <v>-7</v>
      </c>
      <c r="AK50" s="551">
        <f>IF(AI50=0, "    ---- ", IF(ABS(ROUND(100/AI50*AJ50-100,1))&lt;999,ROUND(100/AI50*AJ50-100,1),IF(ROUND(100/AI50*AJ50-100,1)&gt;999,999,-999)))</f>
        <v>-240</v>
      </c>
      <c r="AL50" s="759"/>
      <c r="AM50" s="759"/>
      <c r="AN50" s="551"/>
      <c r="AO50" s="547">
        <f t="shared" si="14"/>
        <v>270.67291399999999</v>
      </c>
      <c r="AP50" s="547">
        <f t="shared" si="15"/>
        <v>286.39565299857168</v>
      </c>
      <c r="AQ50" s="551">
        <f t="shared" si="9"/>
        <v>5.8</v>
      </c>
      <c r="AR50" s="547">
        <f t="shared" si="16"/>
        <v>270.67291399999999</v>
      </c>
      <c r="AS50" s="547">
        <f t="shared" si="16"/>
        <v>286.39565299857168</v>
      </c>
      <c r="AT50" s="551">
        <f t="shared" si="10"/>
        <v>5.8</v>
      </c>
    </row>
    <row r="51" spans="1:46" s="517" customFormat="1" ht="18.75" customHeight="1" x14ac:dyDescent="0.3">
      <c r="A51" s="542" t="s">
        <v>354</v>
      </c>
      <c r="B51" s="758"/>
      <c r="C51" s="759"/>
      <c r="D51" s="550"/>
      <c r="E51" s="758"/>
      <c r="F51" s="759"/>
      <c r="G51" s="545"/>
      <c r="H51" s="758"/>
      <c r="I51" s="759"/>
      <c r="J51" s="551"/>
      <c r="K51" s="758"/>
      <c r="L51" s="759"/>
      <c r="M51" s="551"/>
      <c r="N51" s="758"/>
      <c r="O51" s="759"/>
      <c r="P51" s="550"/>
      <c r="Q51" s="758"/>
      <c r="R51" s="759"/>
      <c r="S51" s="551"/>
      <c r="T51" s="758"/>
      <c r="U51" s="759"/>
      <c r="V51" s="551"/>
      <c r="W51" s="758"/>
      <c r="X51" s="759"/>
      <c r="Y51" s="545"/>
      <c r="Z51" s="759"/>
      <c r="AA51" s="759"/>
      <c r="AB51" s="551"/>
      <c r="AC51" s="758"/>
      <c r="AD51" s="759"/>
      <c r="AE51" s="551"/>
      <c r="AF51" s="758"/>
      <c r="AG51" s="759"/>
      <c r="AH51" s="545"/>
      <c r="AI51" s="758"/>
      <c r="AJ51" s="759"/>
      <c r="AK51" s="551"/>
      <c r="AL51" s="759"/>
      <c r="AM51" s="759"/>
      <c r="AN51" s="551"/>
      <c r="AO51" s="547">
        <f t="shared" si="14"/>
        <v>0</v>
      </c>
      <c r="AP51" s="547">
        <f t="shared" si="15"/>
        <v>0</v>
      </c>
      <c r="AQ51" s="551" t="str">
        <f t="shared" si="9"/>
        <v xml:space="preserve">    ---- </v>
      </c>
      <c r="AR51" s="547">
        <f t="shared" si="16"/>
        <v>0</v>
      </c>
      <c r="AS51" s="547">
        <f t="shared" si="16"/>
        <v>0</v>
      </c>
      <c r="AT51" s="551" t="str">
        <f t="shared" si="10"/>
        <v xml:space="preserve">    ---- </v>
      </c>
    </row>
    <row r="52" spans="1:46" s="517" customFormat="1" ht="18.75" customHeight="1" x14ac:dyDescent="0.3">
      <c r="A52" s="542" t="s">
        <v>355</v>
      </c>
      <c r="B52" s="758"/>
      <c r="C52" s="759"/>
      <c r="D52" s="550"/>
      <c r="E52" s="758"/>
      <c r="F52" s="759"/>
      <c r="G52" s="545"/>
      <c r="H52" s="758"/>
      <c r="I52" s="759"/>
      <c r="J52" s="551"/>
      <c r="K52" s="758"/>
      <c r="L52" s="759"/>
      <c r="M52" s="551"/>
      <c r="N52" s="758"/>
      <c r="O52" s="759"/>
      <c r="P52" s="550"/>
      <c r="Q52" s="758"/>
      <c r="R52" s="759"/>
      <c r="S52" s="551"/>
      <c r="T52" s="758"/>
      <c r="U52" s="759"/>
      <c r="V52" s="551"/>
      <c r="W52" s="758"/>
      <c r="X52" s="759"/>
      <c r="Y52" s="545"/>
      <c r="Z52" s="759"/>
      <c r="AA52" s="759"/>
      <c r="AB52" s="551"/>
      <c r="AC52" s="758"/>
      <c r="AD52" s="759"/>
      <c r="AE52" s="551"/>
      <c r="AF52" s="758"/>
      <c r="AG52" s="759"/>
      <c r="AH52" s="545"/>
      <c r="AI52" s="758"/>
      <c r="AJ52" s="759"/>
      <c r="AK52" s="551"/>
      <c r="AL52" s="759"/>
      <c r="AM52" s="759"/>
      <c r="AN52" s="551"/>
      <c r="AO52" s="547">
        <f t="shared" si="14"/>
        <v>0</v>
      </c>
      <c r="AP52" s="547">
        <f t="shared" si="15"/>
        <v>0</v>
      </c>
      <c r="AQ52" s="551" t="str">
        <f t="shared" si="9"/>
        <v xml:space="preserve">    ---- </v>
      </c>
      <c r="AR52" s="547">
        <f t="shared" si="16"/>
        <v>0</v>
      </c>
      <c r="AS52" s="547">
        <f t="shared" si="16"/>
        <v>0</v>
      </c>
      <c r="AT52" s="551" t="str">
        <f t="shared" si="10"/>
        <v xml:space="preserve">    ---- </v>
      </c>
    </row>
    <row r="53" spans="1:46" s="517" customFormat="1" ht="18.75" customHeight="1" x14ac:dyDescent="0.3">
      <c r="A53" s="542" t="s">
        <v>356</v>
      </c>
      <c r="B53" s="758">
        <v>0.52</v>
      </c>
      <c r="C53" s="759">
        <v>-1.3540000000000001</v>
      </c>
      <c r="D53" s="550">
        <f>IF(B53=0, "    ---- ", IF(ABS(ROUND(100/B53*C53-100,1))&lt;999,ROUND(100/B53*C53-100,1),IF(ROUND(100/B53*C53-100,1)&gt;999,999,-999)))</f>
        <v>-360.4</v>
      </c>
      <c r="E53" s="758">
        <v>0.187</v>
      </c>
      <c r="F53" s="759">
        <v>0.55000000000000004</v>
      </c>
      <c r="G53" s="545">
        <f>IF(E53=0, "    ---- ", IF(ABS(ROUND(100/E53*F53-100,1))&lt;999,ROUND(100/E53*F53-100,1),IF(ROUND(100/E53*F53-100,1)&gt;999,999,-999)))</f>
        <v>194.1</v>
      </c>
      <c r="H53" s="758"/>
      <c r="I53" s="759"/>
      <c r="J53" s="551"/>
      <c r="K53" s="758"/>
      <c r="L53" s="759"/>
      <c r="M53" s="551"/>
      <c r="N53" s="758"/>
      <c r="O53" s="759"/>
      <c r="P53" s="550"/>
      <c r="Q53" s="758"/>
      <c r="R53" s="759"/>
      <c r="S53" s="551"/>
      <c r="T53" s="758"/>
      <c r="U53" s="759"/>
      <c r="V53" s="551"/>
      <c r="W53" s="758">
        <v>8.85</v>
      </c>
      <c r="X53" s="759">
        <v>7.9050660599999993</v>
      </c>
      <c r="Y53" s="545">
        <f t="shared" si="0"/>
        <v>-10.7</v>
      </c>
      <c r="Z53" s="759"/>
      <c r="AA53" s="759"/>
      <c r="AB53" s="551"/>
      <c r="AC53" s="758"/>
      <c r="AD53" s="759"/>
      <c r="AE53" s="551"/>
      <c r="AF53" s="758">
        <v>1</v>
      </c>
      <c r="AG53" s="759"/>
      <c r="AH53" s="545">
        <f>IF(AF53=0, "    ---- ", IF(ABS(ROUND(100/AF53*AG53-100,1))&lt;999,ROUND(100/AF53*AG53-100,1),IF(ROUND(100/AF53*AG53-100,1)&gt;999,999,-999)))</f>
        <v>-100</v>
      </c>
      <c r="AI53" s="758"/>
      <c r="AJ53" s="759"/>
      <c r="AK53" s="551"/>
      <c r="AL53" s="759"/>
      <c r="AM53" s="759"/>
      <c r="AN53" s="551"/>
      <c r="AO53" s="547">
        <f t="shared" si="14"/>
        <v>10.557</v>
      </c>
      <c r="AP53" s="547">
        <f t="shared" si="15"/>
        <v>7.1010660599999991</v>
      </c>
      <c r="AQ53" s="551">
        <f t="shared" si="9"/>
        <v>-32.700000000000003</v>
      </c>
      <c r="AR53" s="547">
        <f t="shared" si="16"/>
        <v>10.557</v>
      </c>
      <c r="AS53" s="547">
        <f t="shared" si="16"/>
        <v>7.1010660599999991</v>
      </c>
      <c r="AT53" s="551">
        <f t="shared" si="10"/>
        <v>-32.700000000000003</v>
      </c>
    </row>
    <row r="54" spans="1:46" s="517" customFormat="1" ht="18.75" customHeight="1" x14ac:dyDescent="0.3">
      <c r="A54" s="542" t="s">
        <v>357</v>
      </c>
      <c r="B54" s="758"/>
      <c r="C54" s="759"/>
      <c r="D54" s="550"/>
      <c r="E54" s="758"/>
      <c r="F54" s="759"/>
      <c r="G54" s="545"/>
      <c r="H54" s="758"/>
      <c r="I54" s="759"/>
      <c r="J54" s="551"/>
      <c r="K54" s="758"/>
      <c r="L54" s="759"/>
      <c r="M54" s="551"/>
      <c r="N54" s="758"/>
      <c r="O54" s="759"/>
      <c r="P54" s="550"/>
      <c r="Q54" s="758"/>
      <c r="R54" s="759"/>
      <c r="S54" s="551"/>
      <c r="T54" s="758"/>
      <c r="U54" s="759"/>
      <c r="V54" s="551"/>
      <c r="W54" s="758"/>
      <c r="X54" s="759"/>
      <c r="Y54" s="545"/>
      <c r="Z54" s="759"/>
      <c r="AA54" s="759"/>
      <c r="AB54" s="551"/>
      <c r="AC54" s="758"/>
      <c r="AD54" s="759"/>
      <c r="AE54" s="551"/>
      <c r="AF54" s="758"/>
      <c r="AG54" s="759"/>
      <c r="AH54" s="545"/>
      <c r="AI54" s="758"/>
      <c r="AJ54" s="759"/>
      <c r="AK54" s="551"/>
      <c r="AL54" s="759"/>
      <c r="AM54" s="759"/>
      <c r="AN54" s="551"/>
      <c r="AO54" s="547">
        <f t="shared" si="14"/>
        <v>0</v>
      </c>
      <c r="AP54" s="547">
        <f t="shared" si="15"/>
        <v>0</v>
      </c>
      <c r="AQ54" s="551" t="str">
        <f t="shared" si="9"/>
        <v xml:space="preserve">    ---- </v>
      </c>
      <c r="AR54" s="547">
        <f t="shared" si="16"/>
        <v>0</v>
      </c>
      <c r="AS54" s="547">
        <f t="shared" si="16"/>
        <v>0</v>
      </c>
      <c r="AT54" s="551" t="str">
        <f t="shared" si="10"/>
        <v xml:space="preserve">    ---- </v>
      </c>
    </row>
    <row r="55" spans="1:46" s="517" customFormat="1" ht="18.75" customHeight="1" x14ac:dyDescent="0.3">
      <c r="A55" s="542" t="s">
        <v>358</v>
      </c>
      <c r="B55" s="758"/>
      <c r="C55" s="759"/>
      <c r="D55" s="550"/>
      <c r="E55" s="758"/>
      <c r="F55" s="759"/>
      <c r="G55" s="545"/>
      <c r="H55" s="758"/>
      <c r="I55" s="759"/>
      <c r="J55" s="551"/>
      <c r="K55" s="758"/>
      <c r="L55" s="759"/>
      <c r="M55" s="551"/>
      <c r="N55" s="758"/>
      <c r="O55" s="759"/>
      <c r="P55" s="550"/>
      <c r="Q55" s="758"/>
      <c r="R55" s="759"/>
      <c r="S55" s="551"/>
      <c r="T55" s="758"/>
      <c r="U55" s="759"/>
      <c r="V55" s="551"/>
      <c r="W55" s="758"/>
      <c r="X55" s="759"/>
      <c r="Y55" s="545"/>
      <c r="Z55" s="759"/>
      <c r="AA55" s="759"/>
      <c r="AB55" s="551"/>
      <c r="AC55" s="758"/>
      <c r="AD55" s="759"/>
      <c r="AE55" s="551"/>
      <c r="AF55" s="758"/>
      <c r="AG55" s="759"/>
      <c r="AH55" s="545"/>
      <c r="AI55" s="758"/>
      <c r="AJ55" s="759">
        <v>-6</v>
      </c>
      <c r="AK55" s="551" t="str">
        <f>IF(AI55=0, "    ---- ", IF(ABS(ROUND(100/AI55*AJ55-100,1))&lt;999,ROUND(100/AI55*AJ55-100,1),IF(ROUND(100/AI55*AJ55-100,1)&gt;999,999,-999)))</f>
        <v xml:space="preserve">    ---- </v>
      </c>
      <c r="AL55" s="759"/>
      <c r="AM55" s="759"/>
      <c r="AN55" s="551"/>
      <c r="AO55" s="547">
        <f t="shared" si="14"/>
        <v>0</v>
      </c>
      <c r="AP55" s="547">
        <f t="shared" si="15"/>
        <v>-6</v>
      </c>
      <c r="AQ55" s="551" t="str">
        <f t="shared" si="9"/>
        <v xml:space="preserve">    ---- </v>
      </c>
      <c r="AR55" s="547">
        <f t="shared" si="16"/>
        <v>0</v>
      </c>
      <c r="AS55" s="547">
        <f t="shared" si="16"/>
        <v>-6</v>
      </c>
      <c r="AT55" s="551" t="str">
        <f t="shared" si="10"/>
        <v xml:space="preserve">    ---- </v>
      </c>
    </row>
    <row r="56" spans="1:46" s="549" customFormat="1" ht="18.75" customHeight="1" x14ac:dyDescent="0.3">
      <c r="A56" s="537" t="s">
        <v>359</v>
      </c>
      <c r="B56" s="756">
        <f>SUM(B48:B53)+B55</f>
        <v>7.6219999999999999</v>
      </c>
      <c r="C56" s="757">
        <f>SUM(C48:C53)+C55</f>
        <v>1.923</v>
      </c>
      <c r="D56" s="552">
        <f>IF(B56=0, "    ---- ", IF(ABS(ROUND(100/B56*C56-100,1))&lt;999,ROUND(100/B56*C56-100,1),IF(ROUND(100/B56*C56-100,1)&gt;999,999,-999)))</f>
        <v>-74.8</v>
      </c>
      <c r="E56" s="756">
        <f>SUM(E48:E53)+E55</f>
        <v>916.03642000000002</v>
      </c>
      <c r="F56" s="757">
        <f>SUM(F48:F53)+F55</f>
        <v>-580.05900000000008</v>
      </c>
      <c r="G56" s="540">
        <f>IF(E56=0, "    ---- ", IF(ABS(ROUND(100/E56*F56-100,1))&lt;999,ROUND(100/E56*F56-100,1),IF(ROUND(100/E56*F56-100,1)&gt;999,999,-999)))</f>
        <v>-163.30000000000001</v>
      </c>
      <c r="H56" s="756"/>
      <c r="I56" s="757"/>
      <c r="J56" s="553"/>
      <c r="K56" s="756"/>
      <c r="L56" s="757"/>
      <c r="M56" s="553"/>
      <c r="N56" s="756"/>
      <c r="O56" s="757"/>
      <c r="P56" s="552"/>
      <c r="Q56" s="756"/>
      <c r="R56" s="757"/>
      <c r="S56" s="553"/>
      <c r="T56" s="756"/>
      <c r="U56" s="757"/>
      <c r="V56" s="553"/>
      <c r="W56" s="756">
        <f>SUM(W48:W53)+W55</f>
        <v>252.46</v>
      </c>
      <c r="X56" s="757">
        <f>SUM(X48:X53)+X55</f>
        <v>297.32071905857168</v>
      </c>
      <c r="Y56" s="540">
        <f t="shared" si="0"/>
        <v>17.8</v>
      </c>
      <c r="Z56" s="757"/>
      <c r="AA56" s="757"/>
      <c r="AB56" s="553"/>
      <c r="AC56" s="756"/>
      <c r="AD56" s="757"/>
      <c r="AE56" s="553"/>
      <c r="AF56" s="756">
        <f>SUM(AF48:AF53)+AF55</f>
        <v>10</v>
      </c>
      <c r="AG56" s="757">
        <f>SUM(AG48:AG53)+AG55</f>
        <v>-13</v>
      </c>
      <c r="AH56" s="540">
        <f>IF(AF56=0, "    ---- ", IF(ABS(ROUND(100/AF56*AG56-100,1))&lt;999,ROUND(100/AF56*AG56-100,1),IF(ROUND(100/AF56*AG56-100,1)&gt;999,999,-999)))</f>
        <v>-230</v>
      </c>
      <c r="AI56" s="756">
        <f>SUM(AI48:AI53)+AI55</f>
        <v>5</v>
      </c>
      <c r="AJ56" s="757">
        <f>SUM(AJ48:AJ53)+AJ55</f>
        <v>-13</v>
      </c>
      <c r="AK56" s="553">
        <f>IF(AI56=0, "    ---- ", IF(ABS(ROUND(100/AI56*AJ56-100,1))&lt;999,ROUND(100/AI56*AJ56-100,1),IF(ROUND(100/AI56*AJ56-100,1)&gt;999,999,-999)))</f>
        <v>-360</v>
      </c>
      <c r="AL56" s="757"/>
      <c r="AM56" s="757"/>
      <c r="AN56" s="553"/>
      <c r="AO56" s="548">
        <f t="shared" si="14"/>
        <v>1191.11842</v>
      </c>
      <c r="AP56" s="548">
        <f t="shared" si="15"/>
        <v>-306.8152809414284</v>
      </c>
      <c r="AQ56" s="553">
        <f t="shared" si="9"/>
        <v>-125.8</v>
      </c>
      <c r="AR56" s="548">
        <f t="shared" si="16"/>
        <v>1191.11842</v>
      </c>
      <c r="AS56" s="548">
        <f t="shared" si="16"/>
        <v>-306.8152809414284</v>
      </c>
      <c r="AT56" s="553">
        <f t="shared" si="10"/>
        <v>-125.8</v>
      </c>
    </row>
    <row r="57" spans="1:46" s="517" customFormat="1" ht="18.75" customHeight="1" x14ac:dyDescent="0.3">
      <c r="A57" s="542" t="s">
        <v>360</v>
      </c>
      <c r="B57" s="758"/>
      <c r="C57" s="759"/>
      <c r="D57" s="550"/>
      <c r="E57" s="758">
        <v>909.88880600000005</v>
      </c>
      <c r="F57" s="759">
        <v>-594.31200000000001</v>
      </c>
      <c r="G57" s="540">
        <f>IF(E57=0, "    ---- ", IF(ABS(ROUND(100/E57*F57-100,1))&lt;999,ROUND(100/E57*F57-100,1),IF(ROUND(100/E57*F57-100,1)&gt;999,999,-999)))</f>
        <v>-165.3</v>
      </c>
      <c r="H57" s="758"/>
      <c r="I57" s="759"/>
      <c r="J57" s="551"/>
      <c r="K57" s="758"/>
      <c r="L57" s="759"/>
      <c r="M57" s="551"/>
      <c r="N57" s="758"/>
      <c r="O57" s="759"/>
      <c r="P57" s="550"/>
      <c r="Q57" s="758"/>
      <c r="R57" s="759"/>
      <c r="S57" s="551"/>
      <c r="T57" s="758"/>
      <c r="U57" s="759"/>
      <c r="V57" s="551"/>
      <c r="W57" s="758">
        <v>-4.42</v>
      </c>
      <c r="X57" s="759">
        <v>-3.9525330299999997</v>
      </c>
      <c r="Y57" s="545">
        <f t="shared" si="0"/>
        <v>-10.6</v>
      </c>
      <c r="Z57" s="759"/>
      <c r="AA57" s="759"/>
      <c r="AB57" s="551"/>
      <c r="AC57" s="758"/>
      <c r="AD57" s="759"/>
      <c r="AE57" s="551"/>
      <c r="AF57" s="758"/>
      <c r="AG57" s="759"/>
      <c r="AH57" s="545"/>
      <c r="AI57" s="758"/>
      <c r="AJ57" s="759"/>
      <c r="AK57" s="551"/>
      <c r="AL57" s="759"/>
      <c r="AM57" s="759"/>
      <c r="AN57" s="551"/>
      <c r="AO57" s="547">
        <f t="shared" si="14"/>
        <v>905.46880600000009</v>
      </c>
      <c r="AP57" s="547">
        <f t="shared" si="15"/>
        <v>-598.26453303000005</v>
      </c>
      <c r="AQ57" s="551">
        <f t="shared" si="9"/>
        <v>-166.1</v>
      </c>
      <c r="AR57" s="547">
        <f t="shared" si="16"/>
        <v>905.46880600000009</v>
      </c>
      <c r="AS57" s="547">
        <f t="shared" si="16"/>
        <v>-598.26453303000005</v>
      </c>
      <c r="AT57" s="551">
        <f t="shared" si="10"/>
        <v>-166.1</v>
      </c>
    </row>
    <row r="58" spans="1:46" s="517" customFormat="1" ht="18.75" customHeight="1" x14ac:dyDescent="0.3">
      <c r="A58" s="542" t="s">
        <v>361</v>
      </c>
      <c r="B58" s="758">
        <v>7.6219999999999999</v>
      </c>
      <c r="C58" s="759">
        <v>1.923</v>
      </c>
      <c r="D58" s="550">
        <f>IF(B58=0, "    ---- ", IF(ABS(ROUND(100/B58*C58-100,1))&lt;999,ROUND(100/B58*C58-100,1),IF(ROUND(100/B58*C58-100,1)&gt;999,999,-999)))</f>
        <v>-74.8</v>
      </c>
      <c r="E58" s="758">
        <v>6.1476139999999759</v>
      </c>
      <c r="F58" s="759">
        <v>14.253</v>
      </c>
      <c r="G58" s="545">
        <f>IF(E58=0, "    ---- ", IF(ABS(ROUND(100/E58*F58-100,1))&lt;999,ROUND(100/E58*F58-100,1),IF(ROUND(100/E58*F58-100,1)&gt;999,999,-999)))</f>
        <v>131.80000000000001</v>
      </c>
      <c r="H58" s="758"/>
      <c r="I58" s="759"/>
      <c r="J58" s="551"/>
      <c r="K58" s="758"/>
      <c r="L58" s="759"/>
      <c r="M58" s="551"/>
      <c r="N58" s="758"/>
      <c r="O58" s="759"/>
      <c r="P58" s="550"/>
      <c r="Q58" s="758"/>
      <c r="R58" s="759"/>
      <c r="S58" s="551"/>
      <c r="T58" s="758"/>
      <c r="U58" s="759"/>
      <c r="V58" s="551"/>
      <c r="W58" s="758">
        <v>256.88</v>
      </c>
      <c r="X58" s="759">
        <v>301.27325208857167</v>
      </c>
      <c r="Y58" s="545">
        <f t="shared" si="0"/>
        <v>17.3</v>
      </c>
      <c r="Z58" s="759"/>
      <c r="AA58" s="759"/>
      <c r="AB58" s="551"/>
      <c r="AC58" s="758"/>
      <c r="AD58" s="759"/>
      <c r="AE58" s="551"/>
      <c r="AF58" s="758">
        <v>10</v>
      </c>
      <c r="AG58" s="759">
        <v>-13</v>
      </c>
      <c r="AH58" s="545">
        <f>IF(AF58=0, "    ---- ", IF(ABS(ROUND(100/AF58*AG58-100,1))&lt;999,ROUND(100/AF58*AG58-100,1),IF(ROUND(100/AF58*AG58-100,1)&gt;999,999,-999)))</f>
        <v>-230</v>
      </c>
      <c r="AI58" s="758">
        <v>5</v>
      </c>
      <c r="AJ58" s="759">
        <v>-13</v>
      </c>
      <c r="AK58" s="551">
        <f>IF(AI58=0, "    ---- ", IF(ABS(ROUND(100/AI58*AJ58-100,1))&lt;999,ROUND(100/AI58*AJ58-100,1),IF(ROUND(100/AI58*AJ58-100,1)&gt;999,999,-999)))</f>
        <v>-360</v>
      </c>
      <c r="AL58" s="759"/>
      <c r="AM58" s="759"/>
      <c r="AN58" s="551"/>
      <c r="AO58" s="547">
        <f t="shared" si="14"/>
        <v>285.64961399999999</v>
      </c>
      <c r="AP58" s="547">
        <f t="shared" si="15"/>
        <v>291.44925208857165</v>
      </c>
      <c r="AQ58" s="551">
        <f t="shared" si="9"/>
        <v>2</v>
      </c>
      <c r="AR58" s="547">
        <f t="shared" si="16"/>
        <v>285.64961399999999</v>
      </c>
      <c r="AS58" s="547">
        <f t="shared" si="16"/>
        <v>291.44925208857165</v>
      </c>
      <c r="AT58" s="551">
        <f t="shared" si="10"/>
        <v>2</v>
      </c>
    </row>
    <row r="59" spans="1:46" s="517" customFormat="1" ht="18.75" customHeight="1" x14ac:dyDescent="0.3">
      <c r="A59" s="554"/>
      <c r="B59" s="883"/>
      <c r="C59" s="760"/>
      <c r="D59" s="555"/>
      <c r="E59" s="883"/>
      <c r="F59" s="760"/>
      <c r="G59" s="556"/>
      <c r="H59" s="883"/>
      <c r="I59" s="760"/>
      <c r="J59" s="557"/>
      <c r="K59" s="883"/>
      <c r="L59" s="760"/>
      <c r="M59" s="557"/>
      <c r="N59" s="883"/>
      <c r="O59" s="760"/>
      <c r="P59" s="555"/>
      <c r="Q59" s="883"/>
      <c r="R59" s="760"/>
      <c r="S59" s="557"/>
      <c r="T59" s="883"/>
      <c r="U59" s="760"/>
      <c r="V59" s="557"/>
      <c r="W59" s="883"/>
      <c r="X59" s="760"/>
      <c r="Y59" s="556"/>
      <c r="Z59" s="760"/>
      <c r="AA59" s="760"/>
      <c r="AB59" s="557"/>
      <c r="AC59" s="883"/>
      <c r="AD59" s="760"/>
      <c r="AE59" s="557"/>
      <c r="AF59" s="883"/>
      <c r="AG59" s="760"/>
      <c r="AH59" s="556"/>
      <c r="AI59" s="883"/>
      <c r="AJ59" s="760"/>
      <c r="AK59" s="557"/>
      <c r="AL59" s="760"/>
      <c r="AM59" s="760"/>
      <c r="AN59" s="557"/>
      <c r="AO59" s="555"/>
      <c r="AP59" s="555"/>
      <c r="AQ59" s="557"/>
      <c r="AR59" s="556"/>
      <c r="AS59" s="556"/>
      <c r="AT59" s="557"/>
    </row>
    <row r="60" spans="1:46" s="517" customFormat="1" ht="18.75" customHeight="1" x14ac:dyDescent="0.3">
      <c r="A60" s="558"/>
      <c r="B60" s="884"/>
      <c r="C60" s="761"/>
      <c r="D60" s="559"/>
      <c r="E60" s="884"/>
      <c r="F60" s="761"/>
      <c r="G60" s="560"/>
      <c r="H60" s="884"/>
      <c r="I60" s="761"/>
      <c r="J60" s="561"/>
      <c r="K60" s="884"/>
      <c r="L60" s="761"/>
      <c r="M60" s="561"/>
      <c r="N60" s="884"/>
      <c r="O60" s="761"/>
      <c r="P60" s="559"/>
      <c r="Q60" s="884"/>
      <c r="R60" s="761"/>
      <c r="S60" s="561"/>
      <c r="T60" s="884"/>
      <c r="U60" s="761"/>
      <c r="V60" s="561"/>
      <c r="W60" s="884"/>
      <c r="X60" s="761"/>
      <c r="Y60" s="560"/>
      <c r="Z60" s="761"/>
      <c r="AA60" s="761"/>
      <c r="AB60" s="561"/>
      <c r="AC60" s="884"/>
      <c r="AD60" s="761"/>
      <c r="AE60" s="561"/>
      <c r="AF60" s="884"/>
      <c r="AG60" s="761"/>
      <c r="AH60" s="560"/>
      <c r="AI60" s="884"/>
      <c r="AJ60" s="761"/>
      <c r="AK60" s="561"/>
      <c r="AL60" s="761"/>
      <c r="AM60" s="761"/>
      <c r="AN60" s="561"/>
      <c r="AO60" s="559"/>
      <c r="AP60" s="559"/>
      <c r="AQ60" s="561"/>
      <c r="AR60" s="547"/>
      <c r="AS60" s="547"/>
      <c r="AT60" s="561"/>
    </row>
    <row r="61" spans="1:46" s="549" customFormat="1" ht="18.75" customHeight="1" x14ac:dyDescent="0.3">
      <c r="A61" s="537" t="s">
        <v>365</v>
      </c>
      <c r="B61" s="756"/>
      <c r="C61" s="757"/>
      <c r="D61" s="552"/>
      <c r="E61" s="756"/>
      <c r="F61" s="757"/>
      <c r="G61" s="540"/>
      <c r="H61" s="756"/>
      <c r="I61" s="757"/>
      <c r="J61" s="553"/>
      <c r="K61" s="756"/>
      <c r="L61" s="757"/>
      <c r="M61" s="553"/>
      <c r="N61" s="756"/>
      <c r="O61" s="757"/>
      <c r="P61" s="552"/>
      <c r="Q61" s="756"/>
      <c r="R61" s="757"/>
      <c r="S61" s="553"/>
      <c r="T61" s="756"/>
      <c r="U61" s="757"/>
      <c r="V61" s="553"/>
      <c r="W61" s="756"/>
      <c r="X61" s="757"/>
      <c r="Y61" s="540"/>
      <c r="Z61" s="757"/>
      <c r="AA61" s="757"/>
      <c r="AB61" s="553"/>
      <c r="AC61" s="756"/>
      <c r="AD61" s="757"/>
      <c r="AE61" s="553"/>
      <c r="AF61" s="756"/>
      <c r="AG61" s="757"/>
      <c r="AH61" s="540"/>
      <c r="AI61" s="756"/>
      <c r="AJ61" s="757"/>
      <c r="AK61" s="553"/>
      <c r="AL61" s="757"/>
      <c r="AM61" s="757"/>
      <c r="AN61" s="553"/>
      <c r="AO61" s="552"/>
      <c r="AP61" s="552"/>
      <c r="AQ61" s="553"/>
      <c r="AR61" s="547"/>
      <c r="AS61" s="547"/>
      <c r="AT61" s="553"/>
    </row>
    <row r="62" spans="1:46" s="517" customFormat="1" ht="18.75" customHeight="1" x14ac:dyDescent="0.3">
      <c r="A62" s="542" t="s">
        <v>351</v>
      </c>
      <c r="B62" s="758"/>
      <c r="C62" s="759"/>
      <c r="D62" s="550"/>
      <c r="E62" s="758">
        <v>241.55873495419701</v>
      </c>
      <c r="F62" s="759">
        <v>-217.4194787359209</v>
      </c>
      <c r="G62" s="545">
        <f>IF(E62=0, "    ---- ", IF(ABS(ROUND(100/E62*F62-100,1))&lt;999,ROUND(100/E62*F62-100,1),IF(ROUND(100/E62*F62-100,1)&gt;999,999,-999)))</f>
        <v>-190</v>
      </c>
      <c r="H62" s="758"/>
      <c r="I62" s="759"/>
      <c r="J62" s="551"/>
      <c r="K62" s="758"/>
      <c r="L62" s="759"/>
      <c r="M62" s="551"/>
      <c r="N62" s="758"/>
      <c r="O62" s="759"/>
      <c r="P62" s="550"/>
      <c r="Q62" s="758"/>
      <c r="R62" s="759"/>
      <c r="S62" s="551"/>
      <c r="T62" s="758"/>
      <c r="U62" s="759"/>
      <c r="V62" s="551"/>
      <c r="W62" s="758">
        <v>79.34</v>
      </c>
      <c r="X62" s="759">
        <v>21.640679001411542</v>
      </c>
      <c r="Y62" s="545">
        <f t="shared" ref="Y62:Y108" si="17">IF(W62=0, "    ---- ", IF(ABS(ROUND(100/W62*X62-100,1))&lt;999,ROUND(100/W62*X62-100,1),IF(ROUND(100/W62*X62-100,1)&gt;999,999,-999)))</f>
        <v>-72.7</v>
      </c>
      <c r="Z62" s="759"/>
      <c r="AA62" s="759"/>
      <c r="AB62" s="551"/>
      <c r="AC62" s="758"/>
      <c r="AD62" s="759"/>
      <c r="AE62" s="551"/>
      <c r="AF62" s="758">
        <v>227</v>
      </c>
      <c r="AG62" s="759">
        <v>-13</v>
      </c>
      <c r="AH62" s="545">
        <f>IF(AF62=0, "    ---- ", IF(ABS(ROUND(100/AF62*AG62-100,1))&lt;999,ROUND(100/AF62*AG62-100,1),IF(ROUND(100/AF62*AG62-100,1)&gt;999,999,-999)))</f>
        <v>-105.7</v>
      </c>
      <c r="AI62" s="758">
        <v>42</v>
      </c>
      <c r="AJ62" s="759">
        <v>-142</v>
      </c>
      <c r="AK62" s="551">
        <f>IF(AI62=0, "    ---- ", IF(ABS(ROUND(100/AI62*AJ62-100,1))&lt;999,ROUND(100/AI62*AJ62-100,1),IF(ROUND(100/AI62*AJ62-100,1)&gt;999,999,-999)))</f>
        <v>-438.1</v>
      </c>
      <c r="AL62" s="759"/>
      <c r="AM62" s="759"/>
      <c r="AN62" s="551"/>
      <c r="AO62" s="547">
        <f t="shared" ref="AO62:AO72" si="18">B62+E62+H62+K62+N62+T62+AL62+W62+Z62+AF62+AI62</f>
        <v>589.89873495419704</v>
      </c>
      <c r="AP62" s="547">
        <f t="shared" ref="AP62:AP72" si="19">C62+F62+I62+L62+O62+U62+AM62+X62+AA62+AG62+AJ62</f>
        <v>-350.77879973450933</v>
      </c>
      <c r="AQ62" s="551">
        <f t="shared" si="9"/>
        <v>-159.5</v>
      </c>
      <c r="AR62" s="547">
        <f t="shared" ref="AR62:AS72" si="20">+B62+E62+H62+K62+N62+Q62+T62+AL62+W62+Z62+AC62+AF62+AI62</f>
        <v>589.89873495419704</v>
      </c>
      <c r="AS62" s="547">
        <f t="shared" si="20"/>
        <v>-350.77879973450933</v>
      </c>
      <c r="AT62" s="551">
        <f t="shared" si="10"/>
        <v>-159.5</v>
      </c>
    </row>
    <row r="63" spans="1:46" s="517" customFormat="1" ht="18.75" customHeight="1" x14ac:dyDescent="0.3">
      <c r="A63" s="542" t="s">
        <v>352</v>
      </c>
      <c r="B63" s="758"/>
      <c r="C63" s="759"/>
      <c r="D63" s="550"/>
      <c r="E63" s="758">
        <v>-172.55873495419701</v>
      </c>
      <c r="F63" s="759">
        <v>177.319478735921</v>
      </c>
      <c r="G63" s="545">
        <f>IF(E63=0, "    ---- ", IF(ABS(ROUND(100/E63*F63-100,1))&lt;999,ROUND(100/E63*F63-100,1),IF(ROUND(100/E63*F63-100,1)&gt;999,999,-999)))</f>
        <v>-202.8</v>
      </c>
      <c r="H63" s="758"/>
      <c r="I63" s="759"/>
      <c r="J63" s="551"/>
      <c r="K63" s="758"/>
      <c r="L63" s="759"/>
      <c r="M63" s="551"/>
      <c r="N63" s="758"/>
      <c r="O63" s="759"/>
      <c r="P63" s="550"/>
      <c r="Q63" s="758"/>
      <c r="R63" s="759"/>
      <c r="S63" s="551"/>
      <c r="T63" s="758"/>
      <c r="U63" s="759"/>
      <c r="V63" s="551"/>
      <c r="W63" s="758">
        <v>-79.34</v>
      </c>
      <c r="X63" s="759">
        <v>-21.640679001411542</v>
      </c>
      <c r="Y63" s="545">
        <f t="shared" si="17"/>
        <v>-72.7</v>
      </c>
      <c r="Z63" s="759"/>
      <c r="AA63" s="759"/>
      <c r="AB63" s="551"/>
      <c r="AC63" s="758"/>
      <c r="AD63" s="759"/>
      <c r="AE63" s="551"/>
      <c r="AF63" s="758"/>
      <c r="AG63" s="759">
        <v>6</v>
      </c>
      <c r="AH63" s="545" t="str">
        <f>IF(AF63=0, "    ---- ", IF(ABS(ROUND(100/AF63*AG63-100,1))&lt;999,ROUND(100/AF63*AG63-100,1),IF(ROUND(100/AF63*AG63-100,1)&gt;999,999,-999)))</f>
        <v xml:space="preserve">    ---- </v>
      </c>
      <c r="AI63" s="758">
        <v>-20</v>
      </c>
      <c r="AJ63" s="759">
        <v>116</v>
      </c>
      <c r="AK63" s="551">
        <f>IF(AI63=0, "    ---- ", IF(ABS(ROUND(100/AI63*AJ63-100,1))&lt;999,ROUND(100/AI63*AJ63-100,1),IF(ROUND(100/AI63*AJ63-100,1)&gt;999,999,-999)))</f>
        <v>-680</v>
      </c>
      <c r="AL63" s="759"/>
      <c r="AM63" s="759"/>
      <c r="AN63" s="551"/>
      <c r="AO63" s="547">
        <f t="shared" si="18"/>
        <v>-271.89873495419704</v>
      </c>
      <c r="AP63" s="547">
        <f t="shared" si="19"/>
        <v>277.67879973450943</v>
      </c>
      <c r="AQ63" s="551">
        <f t="shared" si="9"/>
        <v>-202.1</v>
      </c>
      <c r="AR63" s="547">
        <f t="shared" si="20"/>
        <v>-271.89873495419704</v>
      </c>
      <c r="AS63" s="547">
        <f t="shared" si="20"/>
        <v>277.67879973450943</v>
      </c>
      <c r="AT63" s="551">
        <f t="shared" si="10"/>
        <v>-202.1</v>
      </c>
    </row>
    <row r="64" spans="1:46" s="517" customFormat="1" ht="18.75" customHeight="1" x14ac:dyDescent="0.3">
      <c r="A64" s="542" t="s">
        <v>353</v>
      </c>
      <c r="B64" s="758"/>
      <c r="C64" s="759"/>
      <c r="D64" s="550"/>
      <c r="E64" s="758">
        <v>79.770987960752009</v>
      </c>
      <c r="F64" s="759">
        <v>76.490859678185089</v>
      </c>
      <c r="G64" s="545">
        <f>IF(E64=0, "    ---- ", IF(ABS(ROUND(100/E64*F64-100,1))&lt;999,ROUND(100/E64*F64-100,1),IF(ROUND(100/E64*F64-100,1)&gt;999,999,-999)))</f>
        <v>-4.0999999999999996</v>
      </c>
      <c r="H64" s="758"/>
      <c r="I64" s="759"/>
      <c r="J64" s="551"/>
      <c r="K64" s="758"/>
      <c r="L64" s="759"/>
      <c r="M64" s="551"/>
      <c r="N64" s="758"/>
      <c r="O64" s="759"/>
      <c r="P64" s="550"/>
      <c r="Q64" s="758"/>
      <c r="R64" s="759"/>
      <c r="S64" s="551"/>
      <c r="T64" s="758"/>
      <c r="U64" s="759"/>
      <c r="V64" s="551"/>
      <c r="W64" s="758">
        <v>8.27</v>
      </c>
      <c r="X64" s="759">
        <v>8.308497952051896</v>
      </c>
      <c r="Y64" s="545">
        <f t="shared" si="17"/>
        <v>0.5</v>
      </c>
      <c r="Z64" s="759"/>
      <c r="AA64" s="759"/>
      <c r="AB64" s="551"/>
      <c r="AC64" s="758"/>
      <c r="AD64" s="759"/>
      <c r="AE64" s="551"/>
      <c r="AF64" s="758">
        <v>-3</v>
      </c>
      <c r="AG64" s="759">
        <v>-1</v>
      </c>
      <c r="AH64" s="545">
        <f>IF(AF64=0, "    ---- ", IF(ABS(ROUND(100/AF64*AG64-100,1))&lt;999,ROUND(100/AF64*AG64-100,1),IF(ROUND(100/AF64*AG64-100,1)&gt;999,999,-999)))</f>
        <v>-66.7</v>
      </c>
      <c r="AI64" s="758">
        <v>-17</v>
      </c>
      <c r="AJ64" s="759">
        <v>-21</v>
      </c>
      <c r="AK64" s="551">
        <f>IF(AI64=0, "    ---- ", IF(ABS(ROUND(100/AI64*AJ64-100,1))&lt;999,ROUND(100/AI64*AJ64-100,1),IF(ROUND(100/AI64*AJ64-100,1)&gt;999,999,-999)))</f>
        <v>23.5</v>
      </c>
      <c r="AL64" s="759"/>
      <c r="AM64" s="759"/>
      <c r="AN64" s="551"/>
      <c r="AO64" s="547">
        <f t="shared" si="18"/>
        <v>68.040987960752005</v>
      </c>
      <c r="AP64" s="547">
        <f t="shared" si="19"/>
        <v>62.799357630236983</v>
      </c>
      <c r="AQ64" s="551">
        <f t="shared" si="9"/>
        <v>-7.7</v>
      </c>
      <c r="AR64" s="547">
        <f t="shared" si="20"/>
        <v>68.040987960752005</v>
      </c>
      <c r="AS64" s="547">
        <f t="shared" si="20"/>
        <v>62.799357630236983</v>
      </c>
      <c r="AT64" s="551">
        <f t="shared" si="10"/>
        <v>-7.7</v>
      </c>
    </row>
    <row r="65" spans="1:46" s="517" customFormat="1" ht="18.75" customHeight="1" x14ac:dyDescent="0.3">
      <c r="A65" s="542" t="s">
        <v>354</v>
      </c>
      <c r="B65" s="758"/>
      <c r="C65" s="759"/>
      <c r="D65" s="550"/>
      <c r="E65" s="758"/>
      <c r="F65" s="759"/>
      <c r="G65" s="545"/>
      <c r="H65" s="758"/>
      <c r="I65" s="759"/>
      <c r="J65" s="551"/>
      <c r="K65" s="758"/>
      <c r="L65" s="759"/>
      <c r="M65" s="551"/>
      <c r="N65" s="758"/>
      <c r="O65" s="759"/>
      <c r="P65" s="550"/>
      <c r="Q65" s="758"/>
      <c r="R65" s="759"/>
      <c r="S65" s="551"/>
      <c r="T65" s="758"/>
      <c r="U65" s="759"/>
      <c r="V65" s="551"/>
      <c r="W65" s="758"/>
      <c r="X65" s="759"/>
      <c r="Y65" s="545"/>
      <c r="Z65" s="759"/>
      <c r="AA65" s="759"/>
      <c r="AB65" s="551"/>
      <c r="AC65" s="758"/>
      <c r="AD65" s="759"/>
      <c r="AE65" s="551"/>
      <c r="AF65" s="758"/>
      <c r="AG65" s="759"/>
      <c r="AH65" s="545"/>
      <c r="AI65" s="758"/>
      <c r="AJ65" s="759"/>
      <c r="AK65" s="551"/>
      <c r="AL65" s="759"/>
      <c r="AM65" s="759"/>
      <c r="AN65" s="551"/>
      <c r="AO65" s="547">
        <f t="shared" si="18"/>
        <v>0</v>
      </c>
      <c r="AP65" s="547">
        <f t="shared" si="19"/>
        <v>0</v>
      </c>
      <c r="AQ65" s="551" t="str">
        <f t="shared" si="9"/>
        <v xml:space="preserve">    ---- </v>
      </c>
      <c r="AR65" s="547">
        <f t="shared" si="20"/>
        <v>0</v>
      </c>
      <c r="AS65" s="547">
        <f t="shared" si="20"/>
        <v>0</v>
      </c>
      <c r="AT65" s="551" t="str">
        <f t="shared" si="10"/>
        <v xml:space="preserve">    ---- </v>
      </c>
    </row>
    <row r="66" spans="1:46" s="517" customFormat="1" ht="18.75" customHeight="1" x14ac:dyDescent="0.3">
      <c r="A66" s="542" t="s">
        <v>355</v>
      </c>
      <c r="B66" s="758"/>
      <c r="C66" s="759"/>
      <c r="D66" s="550"/>
      <c r="E66" s="758"/>
      <c r="F66" s="759"/>
      <c r="G66" s="545"/>
      <c r="H66" s="758"/>
      <c r="I66" s="759"/>
      <c r="J66" s="551"/>
      <c r="K66" s="758"/>
      <c r="L66" s="759"/>
      <c r="M66" s="551"/>
      <c r="N66" s="758"/>
      <c r="O66" s="759"/>
      <c r="P66" s="550"/>
      <c r="Q66" s="758"/>
      <c r="R66" s="759"/>
      <c r="S66" s="551"/>
      <c r="T66" s="758"/>
      <c r="U66" s="759"/>
      <c r="V66" s="551"/>
      <c r="W66" s="758"/>
      <c r="X66" s="759"/>
      <c r="Y66" s="545"/>
      <c r="Z66" s="759"/>
      <c r="AA66" s="759"/>
      <c r="AB66" s="551"/>
      <c r="AC66" s="758"/>
      <c r="AD66" s="759"/>
      <c r="AE66" s="551"/>
      <c r="AF66" s="758"/>
      <c r="AG66" s="759"/>
      <c r="AH66" s="545"/>
      <c r="AI66" s="758"/>
      <c r="AJ66" s="759"/>
      <c r="AK66" s="551"/>
      <c r="AL66" s="759"/>
      <c r="AM66" s="759"/>
      <c r="AN66" s="551"/>
      <c r="AO66" s="547">
        <f t="shared" si="18"/>
        <v>0</v>
      </c>
      <c r="AP66" s="547">
        <f t="shared" si="19"/>
        <v>0</v>
      </c>
      <c r="AQ66" s="551" t="str">
        <f t="shared" si="9"/>
        <v xml:space="preserve">    ---- </v>
      </c>
      <c r="AR66" s="547">
        <f t="shared" si="20"/>
        <v>0</v>
      </c>
      <c r="AS66" s="547">
        <f t="shared" si="20"/>
        <v>0</v>
      </c>
      <c r="AT66" s="551" t="str">
        <f t="shared" si="10"/>
        <v xml:space="preserve">    ---- </v>
      </c>
    </row>
    <row r="67" spans="1:46" s="517" customFormat="1" ht="18.75" customHeight="1" x14ac:dyDescent="0.3">
      <c r="A67" s="542" t="s">
        <v>356</v>
      </c>
      <c r="B67" s="758"/>
      <c r="C67" s="759"/>
      <c r="D67" s="550"/>
      <c r="E67" s="758">
        <v>41.902551666904344</v>
      </c>
      <c r="F67" s="759">
        <v>16.856343210646003</v>
      </c>
      <c r="G67" s="545">
        <f>IF(E67=0, "    ---- ", IF(ABS(ROUND(100/E67*F67-100,1))&lt;999,ROUND(100/E67*F67-100,1),IF(ROUND(100/E67*F67-100,1)&gt;999,999,-999)))</f>
        <v>-59.8</v>
      </c>
      <c r="H67" s="758"/>
      <c r="I67" s="759"/>
      <c r="J67" s="551"/>
      <c r="K67" s="758"/>
      <c r="L67" s="759"/>
      <c r="M67" s="551"/>
      <c r="N67" s="758"/>
      <c r="O67" s="759"/>
      <c r="P67" s="550"/>
      <c r="Q67" s="758"/>
      <c r="R67" s="759"/>
      <c r="S67" s="551"/>
      <c r="T67" s="758"/>
      <c r="U67" s="759"/>
      <c r="V67" s="551"/>
      <c r="W67" s="758">
        <v>13.5</v>
      </c>
      <c r="X67" s="759">
        <v>17.776820360403661</v>
      </c>
      <c r="Y67" s="545">
        <f t="shared" si="17"/>
        <v>31.7</v>
      </c>
      <c r="Z67" s="759"/>
      <c r="AA67" s="759"/>
      <c r="AB67" s="551"/>
      <c r="AC67" s="758"/>
      <c r="AD67" s="759"/>
      <c r="AE67" s="551"/>
      <c r="AF67" s="758">
        <v>16</v>
      </c>
      <c r="AG67" s="759">
        <v>8</v>
      </c>
      <c r="AH67" s="545">
        <f>IF(AF67=0, "    ---- ", IF(ABS(ROUND(100/AF67*AG67-100,1))&lt;999,ROUND(100/AF67*AG67-100,1),IF(ROUND(100/AF67*AG67-100,1)&gt;999,999,-999)))</f>
        <v>-50</v>
      </c>
      <c r="AI67" s="758">
        <v>34.6</v>
      </c>
      <c r="AJ67" s="759">
        <v>38</v>
      </c>
      <c r="AK67" s="551">
        <f>IF(AI67=0, "    ---- ", IF(ABS(ROUND(100/AI67*AJ67-100,1))&lt;999,ROUND(100/AI67*AJ67-100,1),IF(ROUND(100/AI67*AJ67-100,1)&gt;999,999,-999)))</f>
        <v>9.8000000000000007</v>
      </c>
      <c r="AL67" s="759"/>
      <c r="AM67" s="759"/>
      <c r="AN67" s="551"/>
      <c r="AO67" s="547">
        <f t="shared" si="18"/>
        <v>106.00255166690434</v>
      </c>
      <c r="AP67" s="547">
        <f t="shared" si="19"/>
        <v>80.633163571049664</v>
      </c>
      <c r="AQ67" s="551">
        <f t="shared" si="9"/>
        <v>-23.9</v>
      </c>
      <c r="AR67" s="547">
        <f t="shared" si="20"/>
        <v>106.00255166690434</v>
      </c>
      <c r="AS67" s="547">
        <f t="shared" si="20"/>
        <v>80.633163571049664</v>
      </c>
      <c r="AT67" s="551">
        <f t="shared" si="10"/>
        <v>-23.9</v>
      </c>
    </row>
    <row r="68" spans="1:46" s="517" customFormat="1" ht="18.75" customHeight="1" x14ac:dyDescent="0.3">
      <c r="A68" s="542" t="s">
        <v>357</v>
      </c>
      <c r="B68" s="758"/>
      <c r="C68" s="759"/>
      <c r="D68" s="550"/>
      <c r="E68" s="758"/>
      <c r="F68" s="759"/>
      <c r="G68" s="545"/>
      <c r="H68" s="758"/>
      <c r="I68" s="759"/>
      <c r="J68" s="551"/>
      <c r="K68" s="758"/>
      <c r="L68" s="759"/>
      <c r="M68" s="551"/>
      <c r="N68" s="758"/>
      <c r="O68" s="759"/>
      <c r="P68" s="550"/>
      <c r="Q68" s="758"/>
      <c r="R68" s="759"/>
      <c r="S68" s="551"/>
      <c r="T68" s="758"/>
      <c r="U68" s="759"/>
      <c r="V68" s="551"/>
      <c r="W68" s="758"/>
      <c r="X68" s="759"/>
      <c r="Y68" s="545"/>
      <c r="Z68" s="759"/>
      <c r="AA68" s="759"/>
      <c r="AB68" s="551"/>
      <c r="AC68" s="758"/>
      <c r="AD68" s="759"/>
      <c r="AE68" s="551"/>
      <c r="AF68" s="758"/>
      <c r="AG68" s="759"/>
      <c r="AH68" s="545"/>
      <c r="AI68" s="758"/>
      <c r="AJ68" s="759"/>
      <c r="AK68" s="551"/>
      <c r="AL68" s="759"/>
      <c r="AM68" s="759"/>
      <c r="AN68" s="551"/>
      <c r="AO68" s="547">
        <f t="shared" si="18"/>
        <v>0</v>
      </c>
      <c r="AP68" s="547">
        <f t="shared" si="19"/>
        <v>0</v>
      </c>
      <c r="AQ68" s="551" t="str">
        <f t="shared" si="9"/>
        <v xml:space="preserve">    ---- </v>
      </c>
      <c r="AR68" s="547">
        <f t="shared" si="20"/>
        <v>0</v>
      </c>
      <c r="AS68" s="547">
        <f t="shared" si="20"/>
        <v>0</v>
      </c>
      <c r="AT68" s="551" t="str">
        <f t="shared" si="10"/>
        <v xml:space="preserve">    ---- </v>
      </c>
    </row>
    <row r="69" spans="1:46" s="517" customFormat="1" ht="18.75" customHeight="1" x14ac:dyDescent="0.3">
      <c r="A69" s="542" t="s">
        <v>358</v>
      </c>
      <c r="B69" s="758"/>
      <c r="C69" s="759"/>
      <c r="D69" s="550"/>
      <c r="E69" s="758"/>
      <c r="F69" s="759"/>
      <c r="G69" s="545"/>
      <c r="H69" s="758"/>
      <c r="I69" s="759"/>
      <c r="J69" s="551"/>
      <c r="K69" s="758"/>
      <c r="L69" s="759"/>
      <c r="M69" s="551"/>
      <c r="N69" s="758"/>
      <c r="O69" s="759"/>
      <c r="P69" s="550"/>
      <c r="Q69" s="758"/>
      <c r="R69" s="759"/>
      <c r="S69" s="551"/>
      <c r="T69" s="758"/>
      <c r="U69" s="759"/>
      <c r="V69" s="551"/>
      <c r="W69" s="758"/>
      <c r="X69" s="759"/>
      <c r="Y69" s="545"/>
      <c r="Z69" s="759"/>
      <c r="AA69" s="759"/>
      <c r="AB69" s="551"/>
      <c r="AC69" s="758"/>
      <c r="AD69" s="759"/>
      <c r="AE69" s="551"/>
      <c r="AF69" s="758"/>
      <c r="AG69" s="759"/>
      <c r="AH69" s="545"/>
      <c r="AI69" s="758"/>
      <c r="AJ69" s="759"/>
      <c r="AK69" s="551"/>
      <c r="AL69" s="759"/>
      <c r="AM69" s="759"/>
      <c r="AN69" s="551"/>
      <c r="AO69" s="547">
        <f t="shared" si="18"/>
        <v>0</v>
      </c>
      <c r="AP69" s="547">
        <f t="shared" si="19"/>
        <v>0</v>
      </c>
      <c r="AQ69" s="551" t="str">
        <f t="shared" si="9"/>
        <v xml:space="preserve">    ---- </v>
      </c>
      <c r="AR69" s="547">
        <f t="shared" si="20"/>
        <v>0</v>
      </c>
      <c r="AS69" s="547">
        <f t="shared" si="20"/>
        <v>0</v>
      </c>
      <c r="AT69" s="551" t="str">
        <f t="shared" si="10"/>
        <v xml:space="preserve">    ---- </v>
      </c>
    </row>
    <row r="70" spans="1:46" s="549" customFormat="1" ht="18.75" customHeight="1" x14ac:dyDescent="0.3">
      <c r="A70" s="537" t="s">
        <v>359</v>
      </c>
      <c r="B70" s="756"/>
      <c r="C70" s="757"/>
      <c r="D70" s="552"/>
      <c r="E70" s="756">
        <f>SUM(E62:E67)+E69</f>
        <v>190.67353962765634</v>
      </c>
      <c r="F70" s="757">
        <f>SUM(F62:F67)+F69</f>
        <v>53.247202888831183</v>
      </c>
      <c r="G70" s="540">
        <f>IF(E70=0, "    ---- ", IF(ABS(ROUND(100/E70*F70-100,1))&lt;999,ROUND(100/E70*F70-100,1),IF(ROUND(100/E70*F70-100,1)&gt;999,999,-999)))</f>
        <v>-72.099999999999994</v>
      </c>
      <c r="H70" s="756"/>
      <c r="I70" s="757"/>
      <c r="J70" s="553"/>
      <c r="K70" s="756"/>
      <c r="L70" s="757"/>
      <c r="M70" s="553"/>
      <c r="N70" s="756"/>
      <c r="O70" s="757"/>
      <c r="P70" s="552"/>
      <c r="Q70" s="756"/>
      <c r="R70" s="757"/>
      <c r="S70" s="553"/>
      <c r="T70" s="756"/>
      <c r="U70" s="757"/>
      <c r="V70" s="553"/>
      <c r="W70" s="756">
        <f>SUM(W62:W67)+W69</f>
        <v>21.77</v>
      </c>
      <c r="X70" s="757">
        <f>SUM(X62:X67)+X69</f>
        <v>26.085318312455556</v>
      </c>
      <c r="Y70" s="540">
        <f t="shared" si="17"/>
        <v>19.8</v>
      </c>
      <c r="Z70" s="757"/>
      <c r="AA70" s="757"/>
      <c r="AB70" s="553"/>
      <c r="AC70" s="756"/>
      <c r="AD70" s="757"/>
      <c r="AE70" s="553"/>
      <c r="AF70" s="756">
        <f>SUM(AF62:AF67)+AF69</f>
        <v>240</v>
      </c>
      <c r="AG70" s="757">
        <f>SUM(AG62:AG67)+AG69</f>
        <v>0</v>
      </c>
      <c r="AH70" s="540">
        <f>IF(AF70=0, "    ---- ", IF(ABS(ROUND(100/AF70*AG70-100,1))&lt;999,ROUND(100/AF70*AG70-100,1),IF(ROUND(100/AF70*AG70-100,1)&gt;999,999,-999)))</f>
        <v>-100</v>
      </c>
      <c r="AI70" s="756">
        <f>SUM(AI62:AI67)+AI69</f>
        <v>39.6</v>
      </c>
      <c r="AJ70" s="757">
        <f>SUM(AJ62:AJ67)+AJ69</f>
        <v>-9</v>
      </c>
      <c r="AK70" s="553">
        <f>IF(AI70=0, "    ---- ", IF(ABS(ROUND(100/AI70*AJ70-100,1))&lt;999,ROUND(100/AI70*AJ70-100,1),IF(ROUND(100/AI70*AJ70-100,1)&gt;999,999,-999)))</f>
        <v>-122.7</v>
      </c>
      <c r="AL70" s="757"/>
      <c r="AM70" s="757"/>
      <c r="AN70" s="553"/>
      <c r="AO70" s="548">
        <f t="shared" si="18"/>
        <v>492.0435396276564</v>
      </c>
      <c r="AP70" s="548">
        <f t="shared" si="19"/>
        <v>70.332521201286738</v>
      </c>
      <c r="AQ70" s="553">
        <f t="shared" si="9"/>
        <v>-85.7</v>
      </c>
      <c r="AR70" s="548">
        <f t="shared" si="20"/>
        <v>492.0435396276564</v>
      </c>
      <c r="AS70" s="548">
        <f t="shared" si="20"/>
        <v>70.332521201286738</v>
      </c>
      <c r="AT70" s="553">
        <f t="shared" si="10"/>
        <v>-85.7</v>
      </c>
    </row>
    <row r="71" spans="1:46" s="517" customFormat="1" ht="18.75" customHeight="1" x14ac:dyDescent="0.3">
      <c r="A71" s="542" t="s">
        <v>360</v>
      </c>
      <c r="B71" s="758"/>
      <c r="C71" s="759"/>
      <c r="D71" s="550"/>
      <c r="E71" s="758">
        <v>126.602800757978</v>
      </c>
      <c r="F71" s="759">
        <v>60.675681877740402</v>
      </c>
      <c r="G71" s="545">
        <f>IF(E71=0, "    ---- ", IF(ABS(ROUND(100/E71*F71-100,1))&lt;999,ROUND(100/E71*F71-100,1),IF(ROUND(100/E71*F71-100,1)&gt;999,999,-999)))</f>
        <v>-52.1</v>
      </c>
      <c r="H71" s="758"/>
      <c r="I71" s="759"/>
      <c r="J71" s="551"/>
      <c r="K71" s="758"/>
      <c r="L71" s="759"/>
      <c r="M71" s="551"/>
      <c r="N71" s="758"/>
      <c r="O71" s="759"/>
      <c r="P71" s="550"/>
      <c r="Q71" s="758"/>
      <c r="R71" s="759"/>
      <c r="S71" s="551"/>
      <c r="T71" s="758"/>
      <c r="U71" s="759"/>
      <c r="V71" s="551"/>
      <c r="W71" s="758">
        <v>14.15</v>
      </c>
      <c r="X71" s="759">
        <v>16.955456903096113</v>
      </c>
      <c r="Y71" s="545">
        <f t="shared" si="17"/>
        <v>19.8</v>
      </c>
      <c r="Z71" s="759"/>
      <c r="AA71" s="759"/>
      <c r="AB71" s="551"/>
      <c r="AC71" s="758"/>
      <c r="AD71" s="759"/>
      <c r="AE71" s="551"/>
      <c r="AF71" s="758">
        <v>156</v>
      </c>
      <c r="AG71" s="759"/>
      <c r="AH71" s="545">
        <f>IF(AF71=0, "    ---- ", IF(ABS(ROUND(100/AF71*AG71-100,1))&lt;999,ROUND(100/AF71*AG71-100,1),IF(ROUND(100/AF71*AG71-100,1)&gt;999,999,-999)))</f>
        <v>-100</v>
      </c>
      <c r="AI71" s="758">
        <v>19</v>
      </c>
      <c r="AJ71" s="759">
        <v>1</v>
      </c>
      <c r="AK71" s="551">
        <f>IF(AI71=0, "    ---- ", IF(ABS(ROUND(100/AI71*AJ71-100,1))&lt;999,ROUND(100/AI71*AJ71-100,1),IF(ROUND(100/AI71*AJ71-100,1)&gt;999,999,-999)))</f>
        <v>-94.7</v>
      </c>
      <c r="AL71" s="759"/>
      <c r="AM71" s="759"/>
      <c r="AN71" s="551"/>
      <c r="AO71" s="547">
        <f t="shared" si="18"/>
        <v>315.75280075797798</v>
      </c>
      <c r="AP71" s="547">
        <f t="shared" si="19"/>
        <v>78.631138780836523</v>
      </c>
      <c r="AQ71" s="551">
        <f t="shared" si="9"/>
        <v>-75.099999999999994</v>
      </c>
      <c r="AR71" s="547">
        <f t="shared" si="20"/>
        <v>315.75280075797798</v>
      </c>
      <c r="AS71" s="547">
        <f t="shared" si="20"/>
        <v>78.631138780836523</v>
      </c>
      <c r="AT71" s="551">
        <f t="shared" si="10"/>
        <v>-75.099999999999994</v>
      </c>
    </row>
    <row r="72" spans="1:46" s="517" customFormat="1" ht="18.75" customHeight="1" x14ac:dyDescent="0.3">
      <c r="A72" s="542" t="s">
        <v>361</v>
      </c>
      <c r="B72" s="758"/>
      <c r="C72" s="759"/>
      <c r="D72" s="550"/>
      <c r="E72" s="758">
        <v>64.070738869678337</v>
      </c>
      <c r="F72" s="759">
        <f>-7.42847898890922</f>
        <v>-7.4284789889092204</v>
      </c>
      <c r="G72" s="545">
        <f>IF(E72=0, "    ---- ", IF(ABS(ROUND(100/E72*F72-100,1))&lt;999,ROUND(100/E72*F72-100,1),IF(ROUND(100/E72*F72-100,1)&gt;999,999,-999)))</f>
        <v>-111.6</v>
      </c>
      <c r="H72" s="758"/>
      <c r="I72" s="759"/>
      <c r="J72" s="551"/>
      <c r="K72" s="758"/>
      <c r="L72" s="759"/>
      <c r="M72" s="551"/>
      <c r="N72" s="758"/>
      <c r="O72" s="759"/>
      <c r="P72" s="550"/>
      <c r="Q72" s="758"/>
      <c r="R72" s="759"/>
      <c r="S72" s="551"/>
      <c r="T72" s="758"/>
      <c r="U72" s="759"/>
      <c r="V72" s="551"/>
      <c r="W72" s="758">
        <v>7.62</v>
      </c>
      <c r="X72" s="759">
        <v>9.1298614093594423</v>
      </c>
      <c r="Y72" s="545">
        <f t="shared" si="17"/>
        <v>19.8</v>
      </c>
      <c r="Z72" s="759"/>
      <c r="AA72" s="759"/>
      <c r="AB72" s="551"/>
      <c r="AC72" s="758"/>
      <c r="AD72" s="759"/>
      <c r="AE72" s="551"/>
      <c r="AF72" s="758">
        <v>84</v>
      </c>
      <c r="AG72" s="759"/>
      <c r="AH72" s="545">
        <f>IF(AF72=0, "    ---- ", IF(ABS(ROUND(100/AF72*AG72-100,1))&lt;999,ROUND(100/AF72*AG72-100,1),IF(ROUND(100/AF72*AG72-100,1)&gt;999,999,-999)))</f>
        <v>-100</v>
      </c>
      <c r="AI72" s="758">
        <v>21</v>
      </c>
      <c r="AJ72" s="759">
        <v>-10</v>
      </c>
      <c r="AK72" s="551">
        <f>IF(AI72=0, "    ---- ", IF(ABS(ROUND(100/AI72*AJ72-100,1))&lt;999,ROUND(100/AI72*AJ72-100,1),IF(ROUND(100/AI72*AJ72-100,1)&gt;999,999,-999)))</f>
        <v>-147.6</v>
      </c>
      <c r="AL72" s="759"/>
      <c r="AM72" s="759"/>
      <c r="AN72" s="551"/>
      <c r="AO72" s="547">
        <f t="shared" si="18"/>
        <v>176.69073886967834</v>
      </c>
      <c r="AP72" s="547">
        <f t="shared" si="19"/>
        <v>-8.2986175795497772</v>
      </c>
      <c r="AQ72" s="551">
        <f t="shared" si="9"/>
        <v>-104.7</v>
      </c>
      <c r="AR72" s="547">
        <f t="shared" si="20"/>
        <v>176.69073886967834</v>
      </c>
      <c r="AS72" s="547">
        <f t="shared" si="20"/>
        <v>-8.2986175795497772</v>
      </c>
      <c r="AT72" s="551">
        <f t="shared" si="10"/>
        <v>-104.7</v>
      </c>
    </row>
    <row r="73" spans="1:46" s="549" customFormat="1" ht="18.75" customHeight="1" x14ac:dyDescent="0.3">
      <c r="A73" s="537" t="s">
        <v>366</v>
      </c>
      <c r="B73" s="756"/>
      <c r="C73" s="757"/>
      <c r="D73" s="552"/>
      <c r="E73" s="756"/>
      <c r="F73" s="757"/>
      <c r="G73" s="540"/>
      <c r="H73" s="756"/>
      <c r="I73" s="757"/>
      <c r="J73" s="553"/>
      <c r="K73" s="756"/>
      <c r="L73" s="757"/>
      <c r="M73" s="553"/>
      <c r="N73" s="756"/>
      <c r="O73" s="757"/>
      <c r="P73" s="552"/>
      <c r="Q73" s="756"/>
      <c r="R73" s="757"/>
      <c r="S73" s="553"/>
      <c r="T73" s="756"/>
      <c r="U73" s="757"/>
      <c r="V73" s="553"/>
      <c r="W73" s="756"/>
      <c r="X73" s="757"/>
      <c r="Y73" s="540"/>
      <c r="Z73" s="757"/>
      <c r="AA73" s="757"/>
      <c r="AB73" s="553"/>
      <c r="AC73" s="756"/>
      <c r="AD73" s="757"/>
      <c r="AE73" s="553"/>
      <c r="AF73" s="756"/>
      <c r="AG73" s="757"/>
      <c r="AH73" s="540"/>
      <c r="AI73" s="756"/>
      <c r="AJ73" s="757"/>
      <c r="AK73" s="553"/>
      <c r="AL73" s="757"/>
      <c r="AM73" s="757"/>
      <c r="AN73" s="553"/>
      <c r="AO73" s="552"/>
      <c r="AP73" s="552"/>
      <c r="AQ73" s="553"/>
      <c r="AR73" s="547"/>
      <c r="AS73" s="547"/>
      <c r="AT73" s="553"/>
    </row>
    <row r="74" spans="1:46" s="517" customFormat="1" ht="18.75" customHeight="1" x14ac:dyDescent="0.3">
      <c r="A74" s="542" t="s">
        <v>351</v>
      </c>
      <c r="B74" s="758">
        <v>0.48</v>
      </c>
      <c r="C74" s="759">
        <v>-5.4119999999999999</v>
      </c>
      <c r="D74" s="545">
        <f>IF(B74=0, "    ---- ", IF(ABS(ROUND(100/B74*C74-100,1))&lt;999,ROUND(100/B74*C74-100,1),IF(ROUND(100/B74*C74-100,1)&gt;999,999,-999)))</f>
        <v>-999</v>
      </c>
      <c r="E74" s="758">
        <v>56.31438733580719</v>
      </c>
      <c r="F74" s="759">
        <v>8.64</v>
      </c>
      <c r="G74" s="545">
        <f t="shared" ref="G74:G79" si="21">IF(E74=0, "    ---- ", IF(ABS(ROUND(100/E74*F74-100,1))&lt;999,ROUND(100/E74*F74-100,1),IF(ROUND(100/E74*F74-100,1)&gt;999,999,-999)))</f>
        <v>-84.7</v>
      </c>
      <c r="H74" s="758"/>
      <c r="I74" s="759"/>
      <c r="J74" s="551"/>
      <c r="K74" s="758"/>
      <c r="L74" s="759"/>
      <c r="M74" s="551"/>
      <c r="N74" s="758"/>
      <c r="O74" s="759"/>
      <c r="P74" s="550"/>
      <c r="Q74" s="758"/>
      <c r="R74" s="759"/>
      <c r="S74" s="551"/>
      <c r="T74" s="758"/>
      <c r="U74" s="759"/>
      <c r="V74" s="551"/>
      <c r="W74" s="758">
        <v>24.38</v>
      </c>
      <c r="X74" s="759">
        <v>4.5187212081295884</v>
      </c>
      <c r="Y74" s="545">
        <f t="shared" si="17"/>
        <v>-81.5</v>
      </c>
      <c r="Z74" s="759"/>
      <c r="AA74" s="759"/>
      <c r="AB74" s="551"/>
      <c r="AC74" s="758"/>
      <c r="AD74" s="759"/>
      <c r="AE74" s="551"/>
      <c r="AF74" s="758">
        <v>14</v>
      </c>
      <c r="AG74" s="759">
        <v>-2</v>
      </c>
      <c r="AH74" s="545">
        <f>IF(AF74=0, "    ---- ", IF(ABS(ROUND(100/AF74*AG74-100,1))&lt;999,ROUND(100/AF74*AG74-100,1),IF(ROUND(100/AF74*AG74-100,1)&gt;999,999,-999)))</f>
        <v>-114.3</v>
      </c>
      <c r="AI74" s="758"/>
      <c r="AJ74" s="759"/>
      <c r="AK74" s="551"/>
      <c r="AL74" s="759"/>
      <c r="AM74" s="759"/>
      <c r="AN74" s="551"/>
      <c r="AO74" s="547">
        <f t="shared" ref="AO74:AO84" si="22">B74+E74+H74+K74+N74+T74+AL74+W74+Z74+AF74+AI74</f>
        <v>95.174387335807182</v>
      </c>
      <c r="AP74" s="547">
        <f t="shared" ref="AP74:AP84" si="23">C74+F74+I74+L74+O74+U74+AM74+X74+AA74+AG74+AJ74</f>
        <v>5.7467212081295891</v>
      </c>
      <c r="AQ74" s="551">
        <f t="shared" si="9"/>
        <v>-94</v>
      </c>
      <c r="AR74" s="547">
        <f t="shared" ref="AR74:AS84" si="24">+B74+E74+H74+K74+N74+Q74+T74+AL74+W74+Z74+AC74+AF74+AI74</f>
        <v>95.174387335807182</v>
      </c>
      <c r="AS74" s="547">
        <f t="shared" si="24"/>
        <v>5.7467212081295891</v>
      </c>
      <c r="AT74" s="551">
        <f t="shared" si="10"/>
        <v>-94</v>
      </c>
    </row>
    <row r="75" spans="1:46" s="517" customFormat="1" ht="18.75" customHeight="1" x14ac:dyDescent="0.3">
      <c r="A75" s="542" t="s">
        <v>352</v>
      </c>
      <c r="B75" s="758"/>
      <c r="C75" s="759"/>
      <c r="D75" s="550"/>
      <c r="E75" s="758">
        <v>-4.5999999999999996</v>
      </c>
      <c r="F75" s="759">
        <v>0</v>
      </c>
      <c r="G75" s="545">
        <f t="shared" si="21"/>
        <v>-100</v>
      </c>
      <c r="H75" s="758"/>
      <c r="I75" s="759"/>
      <c r="J75" s="551"/>
      <c r="K75" s="758"/>
      <c r="L75" s="759"/>
      <c r="M75" s="551"/>
      <c r="N75" s="758"/>
      <c r="O75" s="759"/>
      <c r="P75" s="550"/>
      <c r="Q75" s="758"/>
      <c r="R75" s="759"/>
      <c r="S75" s="551"/>
      <c r="T75" s="758"/>
      <c r="U75" s="759"/>
      <c r="V75" s="551"/>
      <c r="W75" s="758">
        <v>-24.03</v>
      </c>
      <c r="X75" s="759">
        <v>-4.3314688388995171</v>
      </c>
      <c r="Y75" s="545">
        <f t="shared" si="17"/>
        <v>-82</v>
      </c>
      <c r="Z75" s="759"/>
      <c r="AA75" s="759"/>
      <c r="AB75" s="551"/>
      <c r="AC75" s="758"/>
      <c r="AD75" s="759"/>
      <c r="AE75" s="551"/>
      <c r="AF75" s="758"/>
      <c r="AG75" s="759">
        <v>2</v>
      </c>
      <c r="AH75" s="545" t="str">
        <f>IF(AF75=0, "    ---- ", IF(ABS(ROUND(100/AF75*AG75-100,1))&lt;999,ROUND(100/AF75*AG75-100,1),IF(ROUND(100/AF75*AG75-100,1)&gt;999,999,-999)))</f>
        <v xml:space="preserve">    ---- </v>
      </c>
      <c r="AI75" s="758"/>
      <c r="AJ75" s="759"/>
      <c r="AK75" s="551"/>
      <c r="AL75" s="759"/>
      <c r="AM75" s="759"/>
      <c r="AN75" s="551"/>
      <c r="AO75" s="547">
        <f t="shared" si="22"/>
        <v>-28.630000000000003</v>
      </c>
      <c r="AP75" s="547">
        <f t="shared" si="23"/>
        <v>-2.3314688388995171</v>
      </c>
      <c r="AQ75" s="551">
        <f t="shared" si="9"/>
        <v>-91.9</v>
      </c>
      <c r="AR75" s="547">
        <f t="shared" si="24"/>
        <v>-28.630000000000003</v>
      </c>
      <c r="AS75" s="547">
        <f t="shared" si="24"/>
        <v>-2.3314688388995171</v>
      </c>
      <c r="AT75" s="551">
        <f t="shared" si="10"/>
        <v>-91.9</v>
      </c>
    </row>
    <row r="76" spans="1:46" s="517" customFormat="1" ht="18.75" customHeight="1" x14ac:dyDescent="0.3">
      <c r="A76" s="542" t="s">
        <v>353</v>
      </c>
      <c r="B76" s="758">
        <v>-0.46600000000000003</v>
      </c>
      <c r="C76" s="759">
        <v>-0.04</v>
      </c>
      <c r="D76" s="545">
        <f>IF(B76=0, "    ---- ", IF(ABS(ROUND(100/B76*C76-100,1))&lt;999,ROUND(100/B76*C76-100,1),IF(ROUND(100/B76*C76-100,1)&gt;999,999,-999)))</f>
        <v>-91.4</v>
      </c>
      <c r="E76" s="758">
        <v>7.6845243876887999</v>
      </c>
      <c r="F76" s="759">
        <v>3.4209999999999998</v>
      </c>
      <c r="G76" s="545">
        <f t="shared" si="21"/>
        <v>-55.5</v>
      </c>
      <c r="H76" s="758"/>
      <c r="I76" s="759"/>
      <c r="J76" s="551"/>
      <c r="K76" s="758"/>
      <c r="L76" s="759"/>
      <c r="M76" s="551"/>
      <c r="N76" s="758"/>
      <c r="O76" s="759"/>
      <c r="P76" s="550"/>
      <c r="Q76" s="758"/>
      <c r="R76" s="759"/>
      <c r="S76" s="551"/>
      <c r="T76" s="758"/>
      <c r="U76" s="759"/>
      <c r="V76" s="551"/>
      <c r="W76" s="758">
        <v>2.7</v>
      </c>
      <c r="X76" s="759">
        <v>3.4667504643218634</v>
      </c>
      <c r="Y76" s="545">
        <f t="shared" si="17"/>
        <v>28.4</v>
      </c>
      <c r="Z76" s="759"/>
      <c r="AA76" s="759"/>
      <c r="AB76" s="551"/>
      <c r="AC76" s="758"/>
      <c r="AD76" s="759"/>
      <c r="AE76" s="551"/>
      <c r="AF76" s="758">
        <v>-2</v>
      </c>
      <c r="AG76" s="759">
        <v>1</v>
      </c>
      <c r="AH76" s="545">
        <f>IF(AF76=0, "    ---- ", IF(ABS(ROUND(100/AF76*AG76-100,1))&lt;999,ROUND(100/AF76*AG76-100,1),IF(ROUND(100/AF76*AG76-100,1)&gt;999,999,-999)))</f>
        <v>-150</v>
      </c>
      <c r="AI76" s="758"/>
      <c r="AJ76" s="759"/>
      <c r="AK76" s="551"/>
      <c r="AL76" s="759"/>
      <c r="AM76" s="759"/>
      <c r="AN76" s="551"/>
      <c r="AO76" s="547">
        <f t="shared" si="22"/>
        <v>7.9185243876887998</v>
      </c>
      <c r="AP76" s="547">
        <f t="shared" si="23"/>
        <v>7.8477504643218632</v>
      </c>
      <c r="AQ76" s="551">
        <f t="shared" si="9"/>
        <v>-0.9</v>
      </c>
      <c r="AR76" s="547">
        <f t="shared" si="24"/>
        <v>7.9185243876887998</v>
      </c>
      <c r="AS76" s="547">
        <f t="shared" si="24"/>
        <v>7.8477504643218632</v>
      </c>
      <c r="AT76" s="551">
        <f t="shared" si="10"/>
        <v>-0.9</v>
      </c>
    </row>
    <row r="77" spans="1:46" s="517" customFormat="1" ht="18.75" customHeight="1" x14ac:dyDescent="0.3">
      <c r="A77" s="542" t="s">
        <v>354</v>
      </c>
      <c r="B77" s="758"/>
      <c r="C77" s="759"/>
      <c r="D77" s="550"/>
      <c r="E77" s="758">
        <v>0.44550613</v>
      </c>
      <c r="F77" s="759">
        <v>0.502</v>
      </c>
      <c r="G77" s="545">
        <f t="shared" si="21"/>
        <v>12.7</v>
      </c>
      <c r="H77" s="758"/>
      <c r="I77" s="759"/>
      <c r="J77" s="551"/>
      <c r="K77" s="758"/>
      <c r="L77" s="759"/>
      <c r="M77" s="551"/>
      <c r="N77" s="758"/>
      <c r="O77" s="759"/>
      <c r="P77" s="550"/>
      <c r="Q77" s="758"/>
      <c r="R77" s="759"/>
      <c r="S77" s="551"/>
      <c r="T77" s="758"/>
      <c r="U77" s="759"/>
      <c r="V77" s="551"/>
      <c r="W77" s="758">
        <v>0</v>
      </c>
      <c r="X77" s="759">
        <v>0</v>
      </c>
      <c r="Y77" s="545" t="str">
        <f t="shared" si="17"/>
        <v xml:space="preserve">    ---- </v>
      </c>
      <c r="Z77" s="759"/>
      <c r="AA77" s="759"/>
      <c r="AB77" s="551"/>
      <c r="AC77" s="758"/>
      <c r="AD77" s="759"/>
      <c r="AE77" s="551"/>
      <c r="AF77" s="758"/>
      <c r="AG77" s="759"/>
      <c r="AH77" s="545"/>
      <c r="AI77" s="758"/>
      <c r="AJ77" s="759"/>
      <c r="AK77" s="551"/>
      <c r="AL77" s="759"/>
      <c r="AM77" s="759"/>
      <c r="AN77" s="551"/>
      <c r="AO77" s="547">
        <f t="shared" si="22"/>
        <v>0.44550613</v>
      </c>
      <c r="AP77" s="547">
        <f t="shared" si="23"/>
        <v>0.502</v>
      </c>
      <c r="AQ77" s="551">
        <f t="shared" si="9"/>
        <v>12.7</v>
      </c>
      <c r="AR77" s="547">
        <f t="shared" si="24"/>
        <v>0.44550613</v>
      </c>
      <c r="AS77" s="547">
        <f t="shared" si="24"/>
        <v>0.502</v>
      </c>
      <c r="AT77" s="551">
        <f t="shared" si="10"/>
        <v>12.7</v>
      </c>
    </row>
    <row r="78" spans="1:46" s="517" customFormat="1" ht="18.75" customHeight="1" x14ac:dyDescent="0.3">
      <c r="A78" s="542" t="s">
        <v>355</v>
      </c>
      <c r="B78" s="758"/>
      <c r="C78" s="759"/>
      <c r="D78" s="550"/>
      <c r="E78" s="758">
        <v>20.758800780000001</v>
      </c>
      <c r="F78" s="759">
        <v>20.558</v>
      </c>
      <c r="G78" s="545">
        <f t="shared" si="21"/>
        <v>-1</v>
      </c>
      <c r="H78" s="758"/>
      <c r="I78" s="759"/>
      <c r="J78" s="551"/>
      <c r="K78" s="758"/>
      <c r="L78" s="759"/>
      <c r="M78" s="551"/>
      <c r="N78" s="758"/>
      <c r="O78" s="759"/>
      <c r="P78" s="550"/>
      <c r="Q78" s="758"/>
      <c r="R78" s="759"/>
      <c r="S78" s="551"/>
      <c r="T78" s="758"/>
      <c r="U78" s="759"/>
      <c r="V78" s="551"/>
      <c r="W78" s="758">
        <v>2.35</v>
      </c>
      <c r="X78" s="759">
        <v>2.5925870000000004</v>
      </c>
      <c r="Y78" s="545">
        <f t="shared" si="17"/>
        <v>10.3</v>
      </c>
      <c r="Z78" s="759"/>
      <c r="AA78" s="759"/>
      <c r="AB78" s="551"/>
      <c r="AC78" s="758"/>
      <c r="AD78" s="759"/>
      <c r="AE78" s="551"/>
      <c r="AF78" s="758">
        <v>1</v>
      </c>
      <c r="AG78" s="759">
        <v>1</v>
      </c>
      <c r="AH78" s="545">
        <f>IF(AF78=0, "    ---- ", IF(ABS(ROUND(100/AF78*AG78-100,1))&lt;999,ROUND(100/AF78*AG78-100,1),IF(ROUND(100/AF78*AG78-100,1)&gt;999,999,-999)))</f>
        <v>0</v>
      </c>
      <c r="AI78" s="758"/>
      <c r="AJ78" s="759"/>
      <c r="AK78" s="551"/>
      <c r="AL78" s="759"/>
      <c r="AM78" s="759"/>
      <c r="AN78" s="551"/>
      <c r="AO78" s="547">
        <f t="shared" si="22"/>
        <v>24.108800780000003</v>
      </c>
      <c r="AP78" s="547">
        <f t="shared" si="23"/>
        <v>24.150587000000002</v>
      </c>
      <c r="AQ78" s="551">
        <f t="shared" si="9"/>
        <v>0.2</v>
      </c>
      <c r="AR78" s="547">
        <f t="shared" si="24"/>
        <v>24.108800780000003</v>
      </c>
      <c r="AS78" s="547">
        <f t="shared" si="24"/>
        <v>24.150587000000002</v>
      </c>
      <c r="AT78" s="551">
        <f t="shared" si="10"/>
        <v>0.2</v>
      </c>
    </row>
    <row r="79" spans="1:46" s="517" customFormat="1" ht="18.75" customHeight="1" x14ac:dyDescent="0.3">
      <c r="A79" s="542" t="s">
        <v>356</v>
      </c>
      <c r="B79" s="758">
        <v>1.631</v>
      </c>
      <c r="C79" s="759">
        <v>1.7070000000000001</v>
      </c>
      <c r="D79" s="545">
        <f>IF(B79=0, "    ---- ", IF(ABS(ROUND(100/B79*C79-100,1))&lt;999,ROUND(100/B79*C79-100,1),IF(ROUND(100/B79*C79-100,1)&gt;999,999,-999)))</f>
        <v>4.7</v>
      </c>
      <c r="E79" s="758">
        <v>1.3658058499997479</v>
      </c>
      <c r="F79" s="759">
        <v>-0.88</v>
      </c>
      <c r="G79" s="545">
        <f t="shared" si="21"/>
        <v>-164.4</v>
      </c>
      <c r="H79" s="758"/>
      <c r="I79" s="759"/>
      <c r="J79" s="551"/>
      <c r="K79" s="758"/>
      <c r="L79" s="759"/>
      <c r="M79" s="551"/>
      <c r="N79" s="758"/>
      <c r="O79" s="759"/>
      <c r="P79" s="550"/>
      <c r="Q79" s="758"/>
      <c r="R79" s="759"/>
      <c r="S79" s="551"/>
      <c r="T79" s="758"/>
      <c r="U79" s="759"/>
      <c r="V79" s="551"/>
      <c r="W79" s="758">
        <v>-0.16</v>
      </c>
      <c r="X79" s="759">
        <v>3.7035677848897466</v>
      </c>
      <c r="Y79" s="545">
        <f t="shared" si="17"/>
        <v>-999</v>
      </c>
      <c r="Z79" s="759"/>
      <c r="AA79" s="759"/>
      <c r="AB79" s="551"/>
      <c r="AC79" s="758"/>
      <c r="AD79" s="759"/>
      <c r="AE79" s="551"/>
      <c r="AF79" s="758">
        <v>-1</v>
      </c>
      <c r="AG79" s="759">
        <v>-1</v>
      </c>
      <c r="AH79" s="545">
        <f>IF(AF79=0, "    ---- ", IF(ABS(ROUND(100/AF79*AG79-100,1))&lt;999,ROUND(100/AF79*AG79-100,1),IF(ROUND(100/AF79*AG79-100,1)&gt;999,999,-999)))</f>
        <v>0</v>
      </c>
      <c r="AI79" s="758"/>
      <c r="AJ79" s="759"/>
      <c r="AK79" s="551"/>
      <c r="AL79" s="759"/>
      <c r="AM79" s="759"/>
      <c r="AN79" s="551"/>
      <c r="AO79" s="547">
        <f t="shared" si="22"/>
        <v>1.8368058499997479</v>
      </c>
      <c r="AP79" s="547">
        <f t="shared" si="23"/>
        <v>3.5305677848897465</v>
      </c>
      <c r="AQ79" s="551">
        <f t="shared" si="9"/>
        <v>92.2</v>
      </c>
      <c r="AR79" s="547">
        <f t="shared" si="24"/>
        <v>1.8368058499997479</v>
      </c>
      <c r="AS79" s="547">
        <f t="shared" si="24"/>
        <v>3.5305677848897465</v>
      </c>
      <c r="AT79" s="551">
        <f t="shared" si="10"/>
        <v>92.2</v>
      </c>
    </row>
    <row r="80" spans="1:46" s="517" customFormat="1" ht="18.75" customHeight="1" x14ac:dyDescent="0.3">
      <c r="A80" s="542" t="s">
        <v>357</v>
      </c>
      <c r="B80" s="758">
        <v>0.81499999999999995</v>
      </c>
      <c r="C80" s="759">
        <v>0</v>
      </c>
      <c r="D80" s="545">
        <f>IF(B80=0, "    ---- ", IF(ABS(ROUND(100/B80*C80-100,1))&lt;999,ROUND(100/B80*C80-100,1),IF(ROUND(100/B80*C80-100,1)&gt;999,999,-999)))</f>
        <v>-100</v>
      </c>
      <c r="E80" s="758"/>
      <c r="F80" s="759"/>
      <c r="G80" s="545"/>
      <c r="H80" s="758"/>
      <c r="I80" s="759"/>
      <c r="J80" s="551"/>
      <c r="K80" s="758"/>
      <c r="L80" s="759"/>
      <c r="M80" s="551"/>
      <c r="N80" s="758"/>
      <c r="O80" s="759"/>
      <c r="P80" s="550"/>
      <c r="Q80" s="758"/>
      <c r="R80" s="759"/>
      <c r="S80" s="551"/>
      <c r="T80" s="758"/>
      <c r="U80" s="759"/>
      <c r="V80" s="551"/>
      <c r="W80" s="758">
        <v>5.51</v>
      </c>
      <c r="X80" s="759">
        <v>7.5475737013063533</v>
      </c>
      <c r="Y80" s="545">
        <f t="shared" si="17"/>
        <v>37</v>
      </c>
      <c r="Z80" s="759"/>
      <c r="AA80" s="759"/>
      <c r="AB80" s="551"/>
      <c r="AC80" s="758"/>
      <c r="AD80" s="759"/>
      <c r="AE80" s="551"/>
      <c r="AF80" s="758"/>
      <c r="AG80" s="759"/>
      <c r="AH80" s="545"/>
      <c r="AI80" s="758"/>
      <c r="AJ80" s="759"/>
      <c r="AK80" s="551"/>
      <c r="AL80" s="759"/>
      <c r="AM80" s="759"/>
      <c r="AN80" s="551"/>
      <c r="AO80" s="547">
        <f t="shared" si="22"/>
        <v>6.3249999999999993</v>
      </c>
      <c r="AP80" s="547">
        <f t="shared" si="23"/>
        <v>7.5475737013063533</v>
      </c>
      <c r="AQ80" s="551">
        <f t="shared" si="9"/>
        <v>19.3</v>
      </c>
      <c r="AR80" s="547">
        <f t="shared" si="24"/>
        <v>6.3249999999999993</v>
      </c>
      <c r="AS80" s="547">
        <f t="shared" si="24"/>
        <v>7.5475737013063533</v>
      </c>
      <c r="AT80" s="551">
        <f t="shared" si="10"/>
        <v>19.3</v>
      </c>
    </row>
    <row r="81" spans="1:46" s="517" customFormat="1" ht="18.75" customHeight="1" x14ac:dyDescent="0.3">
      <c r="A81" s="542" t="s">
        <v>358</v>
      </c>
      <c r="B81" s="758"/>
      <c r="C81" s="759"/>
      <c r="D81" s="550"/>
      <c r="E81" s="758"/>
      <c r="F81" s="759"/>
      <c r="G81" s="545"/>
      <c r="H81" s="758"/>
      <c r="I81" s="759"/>
      <c r="J81" s="551"/>
      <c r="K81" s="758"/>
      <c r="L81" s="759"/>
      <c r="M81" s="551"/>
      <c r="N81" s="758"/>
      <c r="O81" s="759"/>
      <c r="P81" s="550"/>
      <c r="Q81" s="758"/>
      <c r="R81" s="759"/>
      <c r="S81" s="551"/>
      <c r="T81" s="758"/>
      <c r="U81" s="759"/>
      <c r="V81" s="551"/>
      <c r="W81" s="758">
        <v>0</v>
      </c>
      <c r="X81" s="759">
        <v>0</v>
      </c>
      <c r="Y81" s="545" t="str">
        <f t="shared" si="17"/>
        <v xml:space="preserve">    ---- </v>
      </c>
      <c r="Z81" s="759"/>
      <c r="AA81" s="759"/>
      <c r="AB81" s="551"/>
      <c r="AC81" s="758"/>
      <c r="AD81" s="759"/>
      <c r="AE81" s="551"/>
      <c r="AF81" s="758"/>
      <c r="AG81" s="759"/>
      <c r="AH81" s="545"/>
      <c r="AI81" s="758"/>
      <c r="AJ81" s="759"/>
      <c r="AK81" s="551"/>
      <c r="AL81" s="759"/>
      <c r="AM81" s="759"/>
      <c r="AN81" s="551"/>
      <c r="AO81" s="547">
        <f t="shared" si="22"/>
        <v>0</v>
      </c>
      <c r="AP81" s="547">
        <f t="shared" si="23"/>
        <v>0</v>
      </c>
      <c r="AQ81" s="551" t="str">
        <f t="shared" si="9"/>
        <v xml:space="preserve">    ---- </v>
      </c>
      <c r="AR81" s="547">
        <f t="shared" si="24"/>
        <v>0</v>
      </c>
      <c r="AS81" s="547">
        <f t="shared" si="24"/>
        <v>0</v>
      </c>
      <c r="AT81" s="551" t="str">
        <f t="shared" si="10"/>
        <v xml:space="preserve">    ---- </v>
      </c>
    </row>
    <row r="82" spans="1:46" s="549" customFormat="1" ht="18.75" customHeight="1" x14ac:dyDescent="0.3">
      <c r="A82" s="537" t="s">
        <v>359</v>
      </c>
      <c r="B82" s="756">
        <f>SUM(B74:B79)+B81</f>
        <v>1.645</v>
      </c>
      <c r="C82" s="757">
        <f>SUM(C74:C79)+C81</f>
        <v>-3.7450000000000001</v>
      </c>
      <c r="D82" s="545">
        <f>IF(B82=0, "    ---- ", IF(ABS(ROUND(100/B82*C82-100,1))&lt;999,ROUND(100/B82*C82-100,1),IF(ROUND(100/B82*C82-100,1)&gt;999,999,-999)))</f>
        <v>-327.7</v>
      </c>
      <c r="E82" s="756">
        <f>SUM(E74:E79)+E81</f>
        <v>81.96902448349573</v>
      </c>
      <c r="F82" s="757">
        <f>SUM(F74:F79)+F81</f>
        <v>32.241</v>
      </c>
      <c r="G82" s="540">
        <f>IF(E82=0, "    ---- ", IF(ABS(ROUND(100/E82*F82-100,1))&lt;999,ROUND(100/E82*F82-100,1),IF(ROUND(100/E82*F82-100,1)&gt;999,999,-999)))</f>
        <v>-60.7</v>
      </c>
      <c r="H82" s="756"/>
      <c r="I82" s="757"/>
      <c r="J82" s="553"/>
      <c r="K82" s="756"/>
      <c r="L82" s="757"/>
      <c r="M82" s="553"/>
      <c r="N82" s="756"/>
      <c r="O82" s="757"/>
      <c r="P82" s="552"/>
      <c r="Q82" s="756"/>
      <c r="R82" s="757"/>
      <c r="S82" s="553"/>
      <c r="T82" s="756"/>
      <c r="U82" s="757"/>
      <c r="V82" s="553"/>
      <c r="W82" s="756">
        <f>SUM(W74:W79)+W81</f>
        <v>5.2399999999999984</v>
      </c>
      <c r="X82" s="757">
        <f>SUM(X74:X79)+X81</f>
        <v>9.9501576184416827</v>
      </c>
      <c r="Y82" s="540">
        <f t="shared" si="17"/>
        <v>89.9</v>
      </c>
      <c r="Z82" s="757"/>
      <c r="AA82" s="757"/>
      <c r="AB82" s="553"/>
      <c r="AC82" s="756"/>
      <c r="AD82" s="757"/>
      <c r="AE82" s="553"/>
      <c r="AF82" s="756">
        <f>SUM(AF74:AF79)+AF81</f>
        <v>12</v>
      </c>
      <c r="AG82" s="757">
        <f>SUM(AG74:AG79)+AG81</f>
        <v>1</v>
      </c>
      <c r="AH82" s="540">
        <f>IF(AF82=0, "    ---- ", IF(ABS(ROUND(100/AF82*AG82-100,1))&lt;999,ROUND(100/AF82*AG82-100,1),IF(ROUND(100/AF82*AG82-100,1)&gt;999,999,-999)))</f>
        <v>-91.7</v>
      </c>
      <c r="AI82" s="756"/>
      <c r="AJ82" s="757"/>
      <c r="AK82" s="553"/>
      <c r="AL82" s="757"/>
      <c r="AM82" s="757"/>
      <c r="AN82" s="553"/>
      <c r="AO82" s="548">
        <f t="shared" si="22"/>
        <v>100.85402448349572</v>
      </c>
      <c r="AP82" s="548">
        <f t="shared" si="23"/>
        <v>39.446157618441681</v>
      </c>
      <c r="AQ82" s="553">
        <f t="shared" si="9"/>
        <v>-60.9</v>
      </c>
      <c r="AR82" s="548">
        <f t="shared" si="24"/>
        <v>100.85402448349572</v>
      </c>
      <c r="AS82" s="548">
        <f t="shared" si="24"/>
        <v>39.446157618441681</v>
      </c>
      <c r="AT82" s="553">
        <f t="shared" si="10"/>
        <v>-60.9</v>
      </c>
    </row>
    <row r="83" spans="1:46" s="517" customFormat="1" ht="18.75" customHeight="1" x14ac:dyDescent="0.3">
      <c r="A83" s="542" t="s">
        <v>360</v>
      </c>
      <c r="B83" s="758">
        <f>0.48+0.815</f>
        <v>1.2949999999999999</v>
      </c>
      <c r="C83" s="759"/>
      <c r="D83" s="545">
        <f>IF(B83=0, "    ---- ", IF(ABS(ROUND(100/B83*C83-100,1))&lt;999,ROUND(100/B83*C83-100,1),IF(ROUND(100/B83*C83-100,1)&gt;999,999,-999)))</f>
        <v>-100</v>
      </c>
      <c r="E83" s="758">
        <v>52.397290260807097</v>
      </c>
      <c r="F83" s="759">
        <v>8.64</v>
      </c>
      <c r="G83" s="545">
        <f>IF(E83=0, "    ---- ", IF(ABS(ROUND(100/E83*F83-100,1))&lt;999,ROUND(100/E83*F83-100,1),IF(ROUND(100/E83*F83-100,1)&gt;999,999,-999)))</f>
        <v>-83.5</v>
      </c>
      <c r="H83" s="758"/>
      <c r="I83" s="759"/>
      <c r="J83" s="551"/>
      <c r="K83" s="758"/>
      <c r="L83" s="759"/>
      <c r="M83" s="551"/>
      <c r="N83" s="758"/>
      <c r="O83" s="759"/>
      <c r="P83" s="550"/>
      <c r="Q83" s="758"/>
      <c r="R83" s="759"/>
      <c r="S83" s="551"/>
      <c r="T83" s="758"/>
      <c r="U83" s="759"/>
      <c r="V83" s="551"/>
      <c r="W83" s="758">
        <v>0</v>
      </c>
      <c r="X83" s="759">
        <v>1.8517838924448733</v>
      </c>
      <c r="Y83" s="545" t="str">
        <f t="shared" si="17"/>
        <v xml:space="preserve">    ---- </v>
      </c>
      <c r="Z83" s="759"/>
      <c r="AA83" s="759"/>
      <c r="AB83" s="551"/>
      <c r="AC83" s="758"/>
      <c r="AD83" s="759"/>
      <c r="AE83" s="551"/>
      <c r="AF83" s="758">
        <v>11</v>
      </c>
      <c r="AG83" s="759"/>
      <c r="AH83" s="545">
        <f>IF(AF83=0, "    ---- ", IF(ABS(ROUND(100/AF83*AG83-100,1))&lt;999,ROUND(100/AF83*AG83-100,1),IF(ROUND(100/AF83*AG83-100,1)&gt;999,999,-999)))</f>
        <v>-100</v>
      </c>
      <c r="AI83" s="758"/>
      <c r="AJ83" s="759"/>
      <c r="AK83" s="551"/>
      <c r="AL83" s="759"/>
      <c r="AM83" s="759"/>
      <c r="AN83" s="551"/>
      <c r="AO83" s="547">
        <f t="shared" si="22"/>
        <v>64.692290260807098</v>
      </c>
      <c r="AP83" s="547">
        <f t="shared" si="23"/>
        <v>10.491783892444873</v>
      </c>
      <c r="AQ83" s="551">
        <f t="shared" si="9"/>
        <v>-83.8</v>
      </c>
      <c r="AR83" s="547">
        <f t="shared" si="24"/>
        <v>64.692290260807098</v>
      </c>
      <c r="AS83" s="547">
        <f t="shared" si="24"/>
        <v>10.491783892444873</v>
      </c>
      <c r="AT83" s="551">
        <f t="shared" si="10"/>
        <v>-83.8</v>
      </c>
    </row>
    <row r="84" spans="1:46" s="517" customFormat="1" ht="18.75" customHeight="1" x14ac:dyDescent="0.3">
      <c r="A84" s="542" t="s">
        <v>361</v>
      </c>
      <c r="B84" s="758">
        <v>0.35</v>
      </c>
      <c r="C84" s="759">
        <f>-2.97-0.774</f>
        <v>-3.7440000000000002</v>
      </c>
      <c r="D84" s="545">
        <f>IF(B84=0, "    ---- ", IF(ABS(ROUND(100/B84*C84-100,1))&lt;999,ROUND(100/B84*C84-100,1),IF(ROUND(100/B84*C84-100,1)&gt;999,999,-999)))</f>
        <v>-999</v>
      </c>
      <c r="E84" s="758">
        <v>29.571734222688633</v>
      </c>
      <c r="F84" s="759">
        <f>+F82-F83</f>
        <v>23.600999999999999</v>
      </c>
      <c r="G84" s="545">
        <f>IF(E84=0, "    ---- ", IF(ABS(ROUND(100/E84*F84-100,1))&lt;999,ROUND(100/E84*F84-100,1),IF(ROUND(100/E84*F84-100,1)&gt;999,999,-999)))</f>
        <v>-20.2</v>
      </c>
      <c r="H84" s="758"/>
      <c r="I84" s="759"/>
      <c r="J84" s="551"/>
      <c r="K84" s="758"/>
      <c r="L84" s="759"/>
      <c r="M84" s="551"/>
      <c r="N84" s="758"/>
      <c r="O84" s="759"/>
      <c r="P84" s="550"/>
      <c r="Q84" s="758"/>
      <c r="R84" s="759"/>
      <c r="S84" s="551"/>
      <c r="T84" s="758"/>
      <c r="U84" s="759"/>
      <c r="V84" s="551"/>
      <c r="W84" s="758">
        <v>5.24</v>
      </c>
      <c r="X84" s="759">
        <v>8.0983737259968098</v>
      </c>
      <c r="Y84" s="545">
        <f t="shared" si="17"/>
        <v>54.5</v>
      </c>
      <c r="Z84" s="759"/>
      <c r="AA84" s="759"/>
      <c r="AB84" s="551"/>
      <c r="AC84" s="758"/>
      <c r="AD84" s="759"/>
      <c r="AE84" s="551"/>
      <c r="AF84" s="758">
        <v>1</v>
      </c>
      <c r="AG84" s="759">
        <v>1</v>
      </c>
      <c r="AH84" s="545">
        <f>IF(AF84=0, "    ---- ", IF(ABS(ROUND(100/AF84*AG84-100,1))&lt;999,ROUND(100/AF84*AG84-100,1),IF(ROUND(100/AF84*AG84-100,1)&gt;999,999,-999)))</f>
        <v>0</v>
      </c>
      <c r="AI84" s="758"/>
      <c r="AJ84" s="759"/>
      <c r="AK84" s="551"/>
      <c r="AL84" s="759"/>
      <c r="AM84" s="759"/>
      <c r="AN84" s="551"/>
      <c r="AO84" s="547">
        <f t="shared" si="22"/>
        <v>36.161734222688636</v>
      </c>
      <c r="AP84" s="547">
        <f t="shared" si="23"/>
        <v>28.955373725996807</v>
      </c>
      <c r="AQ84" s="551">
        <f t="shared" si="9"/>
        <v>-19.899999999999999</v>
      </c>
      <c r="AR84" s="547">
        <f t="shared" si="24"/>
        <v>36.161734222688636</v>
      </c>
      <c r="AS84" s="547">
        <f t="shared" si="24"/>
        <v>28.955373725996807</v>
      </c>
      <c r="AT84" s="551">
        <f t="shared" si="10"/>
        <v>-19.899999999999999</v>
      </c>
    </row>
    <row r="85" spans="1:46" s="549" customFormat="1" ht="18.75" customHeight="1" x14ac:dyDescent="0.3">
      <c r="A85" s="537" t="s">
        <v>367</v>
      </c>
      <c r="B85" s="756"/>
      <c r="C85" s="757"/>
      <c r="D85" s="552"/>
      <c r="E85" s="756"/>
      <c r="F85" s="939"/>
      <c r="G85" s="540"/>
      <c r="H85" s="756"/>
      <c r="I85" s="757"/>
      <c r="J85" s="553"/>
      <c r="K85" s="756"/>
      <c r="L85" s="757"/>
      <c r="M85" s="553"/>
      <c r="N85" s="756"/>
      <c r="O85" s="757"/>
      <c r="P85" s="552"/>
      <c r="Q85" s="756"/>
      <c r="R85" s="757"/>
      <c r="S85" s="553"/>
      <c r="T85" s="756"/>
      <c r="U85" s="757"/>
      <c r="V85" s="553"/>
      <c r="W85" s="756"/>
      <c r="X85" s="757"/>
      <c r="Y85" s="540"/>
      <c r="Z85" s="757"/>
      <c r="AA85" s="757"/>
      <c r="AB85" s="553"/>
      <c r="AC85" s="756"/>
      <c r="AD85" s="757"/>
      <c r="AE85" s="553"/>
      <c r="AF85" s="756"/>
      <c r="AG85" s="757"/>
      <c r="AH85" s="540"/>
      <c r="AI85" s="756"/>
      <c r="AJ85" s="757"/>
      <c r="AK85" s="553"/>
      <c r="AL85" s="757"/>
      <c r="AM85" s="757"/>
      <c r="AN85" s="553"/>
      <c r="AO85" s="552"/>
      <c r="AP85" s="552"/>
      <c r="AQ85" s="553"/>
      <c r="AR85" s="547"/>
      <c r="AS85" s="547"/>
      <c r="AT85" s="553"/>
    </row>
    <row r="86" spans="1:46" s="517" customFormat="1" ht="18.75" customHeight="1" x14ac:dyDescent="0.3">
      <c r="A86" s="542" t="s">
        <v>351</v>
      </c>
      <c r="B86" s="758">
        <v>0.71199999999999997</v>
      </c>
      <c r="C86" s="759">
        <v>-0.503</v>
      </c>
      <c r="D86" s="545">
        <f>IF(B86=0, "    ---- ", IF(ABS(ROUND(100/B86*C86-100,1))&lt;999,ROUND(100/B86*C86-100,1),IF(ROUND(100/B86*C86-100,1)&gt;999,999,-999)))</f>
        <v>-170.6</v>
      </c>
      <c r="E86" s="758"/>
      <c r="F86" s="940"/>
      <c r="G86" s="545"/>
      <c r="H86" s="758"/>
      <c r="I86" s="759"/>
      <c r="J86" s="545"/>
      <c r="K86" s="758">
        <v>33.993000000000002</v>
      </c>
      <c r="L86" s="759">
        <v>-13.738</v>
      </c>
      <c r="M86" s="545">
        <f>IF(K86=0, "    ---- ", IF(ABS(ROUND(100/K86*L86-100,1))&lt;999,ROUND(100/K86*L86-100,1),IF(ROUND(100/K86*L86-100,1)&gt;999,999,-999)))</f>
        <v>-140.4</v>
      </c>
      <c r="N86" s="758">
        <v>25.5</v>
      </c>
      <c r="O86" s="759">
        <v>23</v>
      </c>
      <c r="P86" s="547">
        <f>IF(N86=0, "    ---- ", IF(ABS(ROUND(100/N86*O86-100,1))&lt;999,ROUND(100/N86*O86-100,1),IF(ROUND(100/N86*O86-100,1)&gt;999,999,-999)))</f>
        <v>-9.8000000000000007</v>
      </c>
      <c r="Q86" s="758"/>
      <c r="R86" s="759"/>
      <c r="S86" s="563"/>
      <c r="T86" s="758"/>
      <c r="U86" s="759"/>
      <c r="V86" s="563"/>
      <c r="W86" s="758">
        <v>28.04</v>
      </c>
      <c r="X86" s="759">
        <v>7.3473671083092649</v>
      </c>
      <c r="Y86" s="545">
        <f t="shared" si="17"/>
        <v>-73.8</v>
      </c>
      <c r="Z86" s="759"/>
      <c r="AA86" s="759"/>
      <c r="AB86" s="545"/>
      <c r="AC86" s="758"/>
      <c r="AD86" s="759"/>
      <c r="AE86" s="563"/>
      <c r="AF86" s="758"/>
      <c r="AG86" s="759"/>
      <c r="AH86" s="545"/>
      <c r="AI86" s="758"/>
      <c r="AJ86" s="759"/>
      <c r="AK86" s="545"/>
      <c r="AL86" s="759"/>
      <c r="AM86" s="759"/>
      <c r="AN86" s="563"/>
      <c r="AO86" s="547">
        <f t="shared" ref="AO86:AO96" si="25">B86+E86+H86+K86+N86+T86+AL86+W86+Z86+AF86+AI86</f>
        <v>88.245000000000005</v>
      </c>
      <c r="AP86" s="547">
        <f t="shared" ref="AP86:AP96" si="26">C86+F86+I86+L86+O86+U86+AM86+X86+AA86+AG86+AJ86</f>
        <v>16.106367108309264</v>
      </c>
      <c r="AQ86" s="545">
        <f t="shared" si="9"/>
        <v>-81.7</v>
      </c>
      <c r="AR86" s="547">
        <f t="shared" ref="AR86:AS96" si="27">+B86+E86+H86+K86+N86+Q86+T86+AL86+W86+Z86+AC86+AF86+AI86</f>
        <v>88.245000000000005</v>
      </c>
      <c r="AS86" s="547">
        <f t="shared" si="27"/>
        <v>16.106367108309264</v>
      </c>
      <c r="AT86" s="545">
        <f t="shared" si="10"/>
        <v>-81.7</v>
      </c>
    </row>
    <row r="87" spans="1:46" s="517" customFormat="1" ht="18.75" customHeight="1" x14ac:dyDescent="0.3">
      <c r="A87" s="542" t="s">
        <v>352</v>
      </c>
      <c r="B87" s="758"/>
      <c r="C87" s="759"/>
      <c r="D87" s="562"/>
      <c r="E87" s="758"/>
      <c r="F87" s="940"/>
      <c r="G87" s="545"/>
      <c r="H87" s="758"/>
      <c r="I87" s="759"/>
      <c r="J87" s="563"/>
      <c r="K87" s="758"/>
      <c r="L87" s="759"/>
      <c r="M87" s="563"/>
      <c r="N87" s="758"/>
      <c r="O87" s="759"/>
      <c r="P87" s="562"/>
      <c r="Q87" s="758"/>
      <c r="R87" s="759"/>
      <c r="S87" s="563"/>
      <c r="T87" s="758"/>
      <c r="U87" s="759"/>
      <c r="V87" s="563"/>
      <c r="W87" s="758"/>
      <c r="X87" s="759"/>
      <c r="Y87" s="545"/>
      <c r="Z87" s="759"/>
      <c r="AA87" s="759"/>
      <c r="AB87" s="563"/>
      <c r="AC87" s="758"/>
      <c r="AD87" s="759"/>
      <c r="AE87" s="563"/>
      <c r="AF87" s="758"/>
      <c r="AG87" s="759"/>
      <c r="AH87" s="545"/>
      <c r="AI87" s="758"/>
      <c r="AJ87" s="759"/>
      <c r="AK87" s="563"/>
      <c r="AL87" s="759"/>
      <c r="AM87" s="759"/>
      <c r="AN87" s="563"/>
      <c r="AO87" s="547">
        <f t="shared" si="25"/>
        <v>0</v>
      </c>
      <c r="AP87" s="547">
        <f t="shared" si="26"/>
        <v>0</v>
      </c>
      <c r="AQ87" s="563" t="str">
        <f t="shared" si="9"/>
        <v xml:space="preserve">    ---- </v>
      </c>
      <c r="AR87" s="547">
        <f t="shared" si="27"/>
        <v>0</v>
      </c>
      <c r="AS87" s="547">
        <f t="shared" si="27"/>
        <v>0</v>
      </c>
      <c r="AT87" s="563" t="str">
        <f t="shared" si="10"/>
        <v xml:space="preserve">    ---- </v>
      </c>
    </row>
    <row r="88" spans="1:46" s="517" customFormat="1" ht="18.75" customHeight="1" x14ac:dyDescent="0.3">
      <c r="A88" s="542" t="s">
        <v>353</v>
      </c>
      <c r="B88" s="758">
        <v>-0.251</v>
      </c>
      <c r="C88" s="759">
        <v>0.64200000000000002</v>
      </c>
      <c r="D88" s="545">
        <f>IF(B88=0, "    ---- ", IF(ABS(ROUND(100/B88*C88-100,1))&lt;999,ROUND(100/B88*C88-100,1),IF(ROUND(100/B88*C88-100,1)&gt;999,999,-999)))</f>
        <v>-355.8</v>
      </c>
      <c r="E88" s="758"/>
      <c r="F88" s="940"/>
      <c r="G88" s="545"/>
      <c r="H88" s="758"/>
      <c r="I88" s="759"/>
      <c r="J88" s="551"/>
      <c r="K88" s="758">
        <v>-29.957000000000001</v>
      </c>
      <c r="L88" s="759">
        <v>-30.138999999999999</v>
      </c>
      <c r="M88" s="551">
        <f>IF(K88=0, "    ---- ", IF(ABS(ROUND(100/K88*L88-100,1))&lt;999,ROUND(100/K88*L88-100,1),IF(ROUND(100/K88*L88-100,1)&gt;999,999,-999)))</f>
        <v>0.6</v>
      </c>
      <c r="N88" s="758">
        <v>39.799999999999997</v>
      </c>
      <c r="O88" s="759">
        <v>47.1</v>
      </c>
      <c r="P88" s="550">
        <f>IF(N88=0, "    ---- ", IF(ABS(ROUND(100/N88*O88-100,1))&lt;999,ROUND(100/N88*O88-100,1),IF(ROUND(100/N88*O88-100,1)&gt;999,999,-999)))</f>
        <v>18.3</v>
      </c>
      <c r="Q88" s="758"/>
      <c r="R88" s="759"/>
      <c r="S88" s="551"/>
      <c r="T88" s="758"/>
      <c r="U88" s="759"/>
      <c r="V88" s="551"/>
      <c r="W88" s="758">
        <v>13.98</v>
      </c>
      <c r="X88" s="759">
        <v>14.340431031990841</v>
      </c>
      <c r="Y88" s="545">
        <f t="shared" si="17"/>
        <v>2.6</v>
      </c>
      <c r="Z88" s="759"/>
      <c r="AA88" s="759"/>
      <c r="AB88" s="551"/>
      <c r="AC88" s="758"/>
      <c r="AD88" s="759"/>
      <c r="AE88" s="551"/>
      <c r="AF88" s="758"/>
      <c r="AG88" s="759"/>
      <c r="AH88" s="545"/>
      <c r="AI88" s="758"/>
      <c r="AJ88" s="759"/>
      <c r="AK88" s="551"/>
      <c r="AL88" s="759"/>
      <c r="AM88" s="759"/>
      <c r="AN88" s="551"/>
      <c r="AO88" s="547">
        <f t="shared" si="25"/>
        <v>23.571999999999996</v>
      </c>
      <c r="AP88" s="547">
        <f t="shared" si="26"/>
        <v>31.943431031990841</v>
      </c>
      <c r="AQ88" s="551">
        <f t="shared" ref="AQ88:AQ108" si="28">IF(AO88=0, "    ---- ", IF(ABS(ROUND(100/AO88*AP88-100,1))&lt;999,ROUND(100/AO88*AP88-100,1),IF(ROUND(100/AO88*AP88-100,1)&gt;999,999,-999)))</f>
        <v>35.5</v>
      </c>
      <c r="AR88" s="547">
        <f t="shared" si="27"/>
        <v>23.571999999999996</v>
      </c>
      <c r="AS88" s="547">
        <f t="shared" si="27"/>
        <v>31.943431031990841</v>
      </c>
      <c r="AT88" s="551">
        <f t="shared" ref="AT88:AT108" si="29">IF(AR88=0, "    ---- ", IF(ABS(ROUND(100/AR88*AS88-100,1))&lt;999,ROUND(100/AR88*AS88-100,1),IF(ROUND(100/AR88*AS88-100,1)&gt;999,999,-999)))</f>
        <v>35.5</v>
      </c>
    </row>
    <row r="89" spans="1:46" s="517" customFormat="1" ht="18.75" customHeight="1" x14ac:dyDescent="0.3">
      <c r="A89" s="542" t="s">
        <v>354</v>
      </c>
      <c r="B89" s="758"/>
      <c r="C89" s="759"/>
      <c r="D89" s="550"/>
      <c r="E89" s="758"/>
      <c r="F89" s="759"/>
      <c r="G89" s="545"/>
      <c r="H89" s="758"/>
      <c r="I89" s="759"/>
      <c r="J89" s="551"/>
      <c r="K89" s="758"/>
      <c r="L89" s="759"/>
      <c r="M89" s="551"/>
      <c r="N89" s="758"/>
      <c r="O89" s="759"/>
      <c r="P89" s="550"/>
      <c r="Q89" s="758"/>
      <c r="R89" s="759"/>
      <c r="S89" s="551"/>
      <c r="T89" s="758"/>
      <c r="U89" s="759"/>
      <c r="V89" s="551"/>
      <c r="W89" s="758"/>
      <c r="X89" s="759"/>
      <c r="Y89" s="545"/>
      <c r="Z89" s="759"/>
      <c r="AA89" s="759"/>
      <c r="AB89" s="551"/>
      <c r="AC89" s="758"/>
      <c r="AD89" s="759"/>
      <c r="AE89" s="551"/>
      <c r="AF89" s="758"/>
      <c r="AG89" s="759"/>
      <c r="AH89" s="545"/>
      <c r="AI89" s="758"/>
      <c r="AJ89" s="759"/>
      <c r="AK89" s="551"/>
      <c r="AL89" s="759"/>
      <c r="AM89" s="759"/>
      <c r="AN89" s="551"/>
      <c r="AO89" s="547">
        <f t="shared" si="25"/>
        <v>0</v>
      </c>
      <c r="AP89" s="547">
        <f t="shared" si="26"/>
        <v>0</v>
      </c>
      <c r="AQ89" s="551" t="str">
        <f t="shared" si="28"/>
        <v xml:space="preserve">    ---- </v>
      </c>
      <c r="AR89" s="547">
        <f t="shared" si="27"/>
        <v>0</v>
      </c>
      <c r="AS89" s="547">
        <f t="shared" si="27"/>
        <v>0</v>
      </c>
      <c r="AT89" s="551" t="str">
        <f t="shared" si="29"/>
        <v xml:space="preserve">    ---- </v>
      </c>
    </row>
    <row r="90" spans="1:46" s="517" customFormat="1" ht="18.75" customHeight="1" x14ac:dyDescent="0.3">
      <c r="A90" s="542" t="s">
        <v>355</v>
      </c>
      <c r="B90" s="758"/>
      <c r="C90" s="759"/>
      <c r="D90" s="550"/>
      <c r="E90" s="758"/>
      <c r="F90" s="759"/>
      <c r="G90" s="545"/>
      <c r="H90" s="758"/>
      <c r="I90" s="759"/>
      <c r="J90" s="551"/>
      <c r="K90" s="758"/>
      <c r="L90" s="759"/>
      <c r="M90" s="551"/>
      <c r="N90" s="758"/>
      <c r="O90" s="759"/>
      <c r="P90" s="550"/>
      <c r="Q90" s="758"/>
      <c r="R90" s="759"/>
      <c r="S90" s="551"/>
      <c r="T90" s="758"/>
      <c r="U90" s="759"/>
      <c r="V90" s="551"/>
      <c r="W90" s="758"/>
      <c r="X90" s="759"/>
      <c r="Y90" s="545"/>
      <c r="Z90" s="759"/>
      <c r="AA90" s="759"/>
      <c r="AB90" s="551"/>
      <c r="AC90" s="758"/>
      <c r="AD90" s="759"/>
      <c r="AE90" s="551"/>
      <c r="AF90" s="758"/>
      <c r="AG90" s="759"/>
      <c r="AH90" s="545"/>
      <c r="AI90" s="758"/>
      <c r="AJ90" s="759"/>
      <c r="AK90" s="551"/>
      <c r="AL90" s="759"/>
      <c r="AM90" s="759"/>
      <c r="AN90" s="551"/>
      <c r="AO90" s="547">
        <f t="shared" si="25"/>
        <v>0</v>
      </c>
      <c r="AP90" s="547">
        <f t="shared" si="26"/>
        <v>0</v>
      </c>
      <c r="AQ90" s="551" t="str">
        <f t="shared" si="28"/>
        <v xml:space="preserve">    ---- </v>
      </c>
      <c r="AR90" s="547">
        <f t="shared" si="27"/>
        <v>0</v>
      </c>
      <c r="AS90" s="547">
        <f t="shared" si="27"/>
        <v>0</v>
      </c>
      <c r="AT90" s="551" t="str">
        <f t="shared" si="29"/>
        <v xml:space="preserve">    ---- </v>
      </c>
    </row>
    <row r="91" spans="1:46" s="517" customFormat="1" ht="18.75" customHeight="1" x14ac:dyDescent="0.3">
      <c r="A91" s="542" t="s">
        <v>356</v>
      </c>
      <c r="B91" s="758">
        <v>0.41899999999999998</v>
      </c>
      <c r="C91" s="759">
        <v>-29.004000000000001</v>
      </c>
      <c r="D91" s="545">
        <f>IF(B91=0, "    ---- ", IF(ABS(ROUND(100/B91*C91-100,1))&lt;999,ROUND(100/B91*C91-100,1),IF(ROUND(100/B91*C91-100,1)&gt;999,999,-999)))</f>
        <v>-999</v>
      </c>
      <c r="E91" s="758"/>
      <c r="F91" s="759"/>
      <c r="G91" s="545"/>
      <c r="H91" s="758"/>
      <c r="I91" s="759"/>
      <c r="J91" s="551"/>
      <c r="K91" s="758">
        <v>-108.75700000000001</v>
      </c>
      <c r="L91" s="759">
        <v>-79.468000000000004</v>
      </c>
      <c r="M91" s="551">
        <f>IF(K91=0, "    ---- ", IF(ABS(ROUND(100/K91*L91-100,1))&lt;999,ROUND(100/K91*L91-100,1),IF(ROUND(100/K91*L91-100,1)&gt;999,999,-999)))</f>
        <v>-26.9</v>
      </c>
      <c r="N91" s="758">
        <v>0.2</v>
      </c>
      <c r="O91" s="759">
        <v>0.5</v>
      </c>
      <c r="P91" s="550">
        <f>IF(N91=0, "    ---- ", IF(ABS(ROUND(100/N91*O91-100,1))&lt;999,ROUND(100/N91*O91-100,1),IF(ROUND(100/N91*O91-100,1)&gt;999,999,-999)))</f>
        <v>150</v>
      </c>
      <c r="Q91" s="758"/>
      <c r="R91" s="759"/>
      <c r="S91" s="551"/>
      <c r="T91" s="758"/>
      <c r="U91" s="759"/>
      <c r="V91" s="551"/>
      <c r="W91" s="758">
        <v>24.18</v>
      </c>
      <c r="X91" s="759">
        <v>22.580079527128145</v>
      </c>
      <c r="Y91" s="545">
        <f t="shared" si="17"/>
        <v>-6.6</v>
      </c>
      <c r="Z91" s="759"/>
      <c r="AA91" s="759"/>
      <c r="AB91" s="551"/>
      <c r="AC91" s="758"/>
      <c r="AD91" s="759"/>
      <c r="AE91" s="551"/>
      <c r="AF91" s="758"/>
      <c r="AG91" s="759"/>
      <c r="AH91" s="545"/>
      <c r="AI91" s="758"/>
      <c r="AJ91" s="759"/>
      <c r="AK91" s="551"/>
      <c r="AL91" s="759"/>
      <c r="AM91" s="759"/>
      <c r="AN91" s="551"/>
      <c r="AO91" s="547">
        <f t="shared" si="25"/>
        <v>-83.957999999999998</v>
      </c>
      <c r="AP91" s="547">
        <f t="shared" si="26"/>
        <v>-85.39192047287186</v>
      </c>
      <c r="AQ91" s="551">
        <f t="shared" si="28"/>
        <v>1.7</v>
      </c>
      <c r="AR91" s="547">
        <f t="shared" si="27"/>
        <v>-83.957999999999998</v>
      </c>
      <c r="AS91" s="547">
        <f t="shared" si="27"/>
        <v>-85.39192047287186</v>
      </c>
      <c r="AT91" s="551">
        <f t="shared" si="29"/>
        <v>1.7</v>
      </c>
    </row>
    <row r="92" spans="1:46" s="517" customFormat="1" ht="18.75" customHeight="1" x14ac:dyDescent="0.3">
      <c r="A92" s="542" t="s">
        <v>357</v>
      </c>
      <c r="B92" s="758"/>
      <c r="C92" s="759"/>
      <c r="D92" s="550"/>
      <c r="E92" s="758"/>
      <c r="F92" s="759"/>
      <c r="G92" s="545"/>
      <c r="H92" s="758"/>
      <c r="I92" s="759"/>
      <c r="J92" s="551"/>
      <c r="K92" s="758"/>
      <c r="L92" s="759"/>
      <c r="M92" s="551"/>
      <c r="N92" s="758"/>
      <c r="O92" s="759"/>
      <c r="P92" s="550"/>
      <c r="Q92" s="758"/>
      <c r="R92" s="759"/>
      <c r="S92" s="551"/>
      <c r="T92" s="758"/>
      <c r="U92" s="759"/>
      <c r="V92" s="551"/>
      <c r="W92" s="758"/>
      <c r="X92" s="759"/>
      <c r="Y92" s="545"/>
      <c r="Z92" s="759"/>
      <c r="AA92" s="759"/>
      <c r="AB92" s="551"/>
      <c r="AC92" s="758"/>
      <c r="AD92" s="759"/>
      <c r="AE92" s="551"/>
      <c r="AF92" s="758"/>
      <c r="AG92" s="759"/>
      <c r="AH92" s="545"/>
      <c r="AI92" s="758"/>
      <c r="AJ92" s="759"/>
      <c r="AK92" s="551"/>
      <c r="AL92" s="759"/>
      <c r="AM92" s="759"/>
      <c r="AN92" s="551"/>
      <c r="AO92" s="547">
        <f t="shared" si="25"/>
        <v>0</v>
      </c>
      <c r="AP92" s="547">
        <f t="shared" si="26"/>
        <v>0</v>
      </c>
      <c r="AQ92" s="551" t="str">
        <f t="shared" si="28"/>
        <v xml:space="preserve">    ---- </v>
      </c>
      <c r="AR92" s="547">
        <f t="shared" si="27"/>
        <v>0</v>
      </c>
      <c r="AS92" s="547">
        <f t="shared" si="27"/>
        <v>0</v>
      </c>
      <c r="AT92" s="551" t="str">
        <f t="shared" si="29"/>
        <v xml:space="preserve">    ---- </v>
      </c>
    </row>
    <row r="93" spans="1:46" s="517" customFormat="1" ht="18.75" customHeight="1" x14ac:dyDescent="0.3">
      <c r="A93" s="542" t="s">
        <v>358</v>
      </c>
      <c r="B93" s="758"/>
      <c r="C93" s="759"/>
      <c r="D93" s="550"/>
      <c r="E93" s="758"/>
      <c r="F93" s="759"/>
      <c r="G93" s="545"/>
      <c r="H93" s="758"/>
      <c r="I93" s="759"/>
      <c r="J93" s="551"/>
      <c r="K93" s="758"/>
      <c r="L93" s="759"/>
      <c r="M93" s="551"/>
      <c r="N93" s="758"/>
      <c r="O93" s="759"/>
      <c r="P93" s="550"/>
      <c r="Q93" s="758"/>
      <c r="R93" s="759"/>
      <c r="S93" s="551"/>
      <c r="T93" s="758"/>
      <c r="U93" s="759"/>
      <c r="V93" s="551"/>
      <c r="W93" s="758"/>
      <c r="X93" s="759"/>
      <c r="Y93" s="545"/>
      <c r="Z93" s="759"/>
      <c r="AA93" s="759"/>
      <c r="AB93" s="551"/>
      <c r="AC93" s="758"/>
      <c r="AD93" s="759"/>
      <c r="AE93" s="551"/>
      <c r="AF93" s="758"/>
      <c r="AG93" s="759"/>
      <c r="AH93" s="545"/>
      <c r="AI93" s="758"/>
      <c r="AJ93" s="759"/>
      <c r="AK93" s="551"/>
      <c r="AL93" s="759"/>
      <c r="AM93" s="759"/>
      <c r="AN93" s="551"/>
      <c r="AO93" s="547">
        <f t="shared" si="25"/>
        <v>0</v>
      </c>
      <c r="AP93" s="547">
        <f t="shared" si="26"/>
        <v>0</v>
      </c>
      <c r="AQ93" s="551" t="str">
        <f t="shared" si="28"/>
        <v xml:space="preserve">    ---- </v>
      </c>
      <c r="AR93" s="547">
        <f t="shared" si="27"/>
        <v>0</v>
      </c>
      <c r="AS93" s="547">
        <f t="shared" si="27"/>
        <v>0</v>
      </c>
      <c r="AT93" s="551" t="str">
        <f t="shared" si="29"/>
        <v xml:space="preserve">    ---- </v>
      </c>
    </row>
    <row r="94" spans="1:46" s="549" customFormat="1" ht="18.75" customHeight="1" x14ac:dyDescent="0.3">
      <c r="A94" s="537" t="s">
        <v>359</v>
      </c>
      <c r="B94" s="756">
        <f>SUM(B86:B91)+B93</f>
        <v>0.87999999999999989</v>
      </c>
      <c r="C94" s="757">
        <f>SUM(C86:C91)+C93</f>
        <v>-28.865000000000002</v>
      </c>
      <c r="D94" s="545">
        <f>IF(B94=0, "    ---- ", IF(ABS(ROUND(100/B94*C94-100,1))&lt;999,ROUND(100/B94*C94-100,1),IF(ROUND(100/B94*C94-100,1)&gt;999,999,-999)))</f>
        <v>-999</v>
      </c>
      <c r="E94" s="756"/>
      <c r="F94" s="757"/>
      <c r="G94" s="540"/>
      <c r="H94" s="756"/>
      <c r="I94" s="757"/>
      <c r="J94" s="553"/>
      <c r="K94" s="756">
        <f>SUM(K86:K91)+K93</f>
        <v>-104.721</v>
      </c>
      <c r="L94" s="757">
        <f>SUM(L86:L91)+L93</f>
        <v>-123.345</v>
      </c>
      <c r="M94" s="553">
        <f>IF(K94=0, "    ---- ", IF(ABS(ROUND(100/K94*L94-100,1))&lt;999,ROUND(100/K94*L94-100,1),IF(ROUND(100/K94*L94-100,1)&gt;999,999,-999)))</f>
        <v>17.8</v>
      </c>
      <c r="N94" s="756">
        <f>SUM(N86:N91)+N93</f>
        <v>65.5</v>
      </c>
      <c r="O94" s="757">
        <f>SUM(O86:O91)+O93</f>
        <v>70.599999999999994</v>
      </c>
      <c r="P94" s="552">
        <f>IF(N94=0, "    ---- ", IF(ABS(ROUND(100/N94*O94-100,1))&lt;999,ROUND(100/N94*O94-100,1),IF(ROUND(100/N94*O94-100,1)&gt;999,999,-999)))</f>
        <v>7.8</v>
      </c>
      <c r="Q94" s="756"/>
      <c r="R94" s="757"/>
      <c r="S94" s="553"/>
      <c r="T94" s="756"/>
      <c r="U94" s="757"/>
      <c r="V94" s="553"/>
      <c r="W94" s="756">
        <f>SUM(W86:W91)+W93</f>
        <v>66.199999999999989</v>
      </c>
      <c r="X94" s="757">
        <f>SUM(X86:X91)+X93</f>
        <v>44.267877667428252</v>
      </c>
      <c r="Y94" s="540">
        <f t="shared" si="17"/>
        <v>-33.1</v>
      </c>
      <c r="Z94" s="757"/>
      <c r="AA94" s="757"/>
      <c r="AB94" s="553"/>
      <c r="AC94" s="756"/>
      <c r="AD94" s="757"/>
      <c r="AE94" s="553"/>
      <c r="AF94" s="756"/>
      <c r="AG94" s="757"/>
      <c r="AH94" s="540"/>
      <c r="AI94" s="756"/>
      <c r="AJ94" s="757"/>
      <c r="AK94" s="553"/>
      <c r="AL94" s="757"/>
      <c r="AM94" s="757"/>
      <c r="AN94" s="553"/>
      <c r="AO94" s="548">
        <f t="shared" si="25"/>
        <v>27.85899999999998</v>
      </c>
      <c r="AP94" s="548">
        <f t="shared" si="26"/>
        <v>-37.342122332571762</v>
      </c>
      <c r="AQ94" s="553">
        <f t="shared" si="28"/>
        <v>-234</v>
      </c>
      <c r="AR94" s="548">
        <f t="shared" si="27"/>
        <v>27.85899999999998</v>
      </c>
      <c r="AS94" s="548">
        <f t="shared" si="27"/>
        <v>-37.342122332571762</v>
      </c>
      <c r="AT94" s="553">
        <f t="shared" si="29"/>
        <v>-234</v>
      </c>
    </row>
    <row r="95" spans="1:46" s="517" customFormat="1" ht="18.75" customHeight="1" x14ac:dyDescent="0.3">
      <c r="A95" s="542" t="s">
        <v>360</v>
      </c>
      <c r="B95" s="758"/>
      <c r="C95" s="759"/>
      <c r="D95" s="550"/>
      <c r="E95" s="758"/>
      <c r="F95" s="759"/>
      <c r="G95" s="545"/>
      <c r="H95" s="758"/>
      <c r="I95" s="759"/>
      <c r="J95" s="551"/>
      <c r="K95" s="758"/>
      <c r="L95" s="759"/>
      <c r="M95" s="551"/>
      <c r="N95" s="758">
        <v>0.4</v>
      </c>
      <c r="O95" s="759">
        <v>2</v>
      </c>
      <c r="P95" s="550">
        <f>IF(N95=0, "    ---- ", IF(ABS(ROUND(100/N95*O95-100,1))&lt;999,ROUND(100/N95*O95-100,1),IF(ROUND(100/N95*O95-100,1)&gt;999,999,-999)))</f>
        <v>400</v>
      </c>
      <c r="Q95" s="758"/>
      <c r="R95" s="759"/>
      <c r="S95" s="551"/>
      <c r="T95" s="758"/>
      <c r="U95" s="759"/>
      <c r="V95" s="551"/>
      <c r="W95" s="758">
        <v>-16.2</v>
      </c>
      <c r="X95" s="759">
        <v>-0.77936709001947602</v>
      </c>
      <c r="Y95" s="545">
        <f t="shared" si="17"/>
        <v>-95.2</v>
      </c>
      <c r="Z95" s="759"/>
      <c r="AA95" s="759"/>
      <c r="AB95" s="551"/>
      <c r="AC95" s="758"/>
      <c r="AD95" s="759"/>
      <c r="AE95" s="551"/>
      <c r="AF95" s="758"/>
      <c r="AG95" s="759"/>
      <c r="AH95" s="545"/>
      <c r="AI95" s="758"/>
      <c r="AJ95" s="759"/>
      <c r="AK95" s="551"/>
      <c r="AL95" s="759"/>
      <c r="AM95" s="759"/>
      <c r="AN95" s="551"/>
      <c r="AO95" s="547">
        <f t="shared" si="25"/>
        <v>-15.799999999999999</v>
      </c>
      <c r="AP95" s="547">
        <f t="shared" si="26"/>
        <v>1.220632909980524</v>
      </c>
      <c r="AQ95" s="551">
        <f t="shared" si="28"/>
        <v>-107.7</v>
      </c>
      <c r="AR95" s="547">
        <f t="shared" si="27"/>
        <v>-15.799999999999999</v>
      </c>
      <c r="AS95" s="547">
        <f t="shared" si="27"/>
        <v>1.220632909980524</v>
      </c>
      <c r="AT95" s="551">
        <f t="shared" si="29"/>
        <v>-107.7</v>
      </c>
    </row>
    <row r="96" spans="1:46" s="517" customFormat="1" ht="18.75" customHeight="1" x14ac:dyDescent="0.3">
      <c r="A96" s="542" t="s">
        <v>361</v>
      </c>
      <c r="B96" s="758">
        <v>0.88</v>
      </c>
      <c r="C96" s="759">
        <v>-28.864999999999998</v>
      </c>
      <c r="D96" s="545">
        <f>IF(B96=0, "    ---- ", IF(ABS(ROUND(100/B96*C96-100,1))&lt;999,ROUND(100/B96*C96-100,1),IF(ROUND(100/B96*C96-100,1)&gt;999,999,-999)))</f>
        <v>-999</v>
      </c>
      <c r="E96" s="758"/>
      <c r="F96" s="759"/>
      <c r="G96" s="545"/>
      <c r="H96" s="758"/>
      <c r="I96" s="759"/>
      <c r="J96" s="551"/>
      <c r="K96" s="758">
        <v>-104.703</v>
      </c>
      <c r="L96" s="759">
        <v>-123.16</v>
      </c>
      <c r="M96" s="551">
        <f>IF(K96=0, "    ---- ", IF(ABS(ROUND(100/K96*L96-100,1))&lt;999,ROUND(100/K96*L96-100,1),IF(ROUND(100/K96*L96-100,1)&gt;999,999,-999)))</f>
        <v>17.600000000000001</v>
      </c>
      <c r="N96" s="758">
        <v>65.099999999999994</v>
      </c>
      <c r="O96" s="759">
        <v>68.599999999999994</v>
      </c>
      <c r="P96" s="550">
        <f>IF(N96=0, "    ---- ", IF(ABS(ROUND(100/N96*O96-100,1))&lt;999,ROUND(100/N96*O96-100,1),IF(ROUND(100/N96*O96-100,1)&gt;999,999,-999)))</f>
        <v>5.4</v>
      </c>
      <c r="Q96" s="758"/>
      <c r="R96" s="759"/>
      <c r="S96" s="551"/>
      <c r="T96" s="758"/>
      <c r="U96" s="759"/>
      <c r="V96" s="551"/>
      <c r="W96" s="758">
        <v>82.39</v>
      </c>
      <c r="X96" s="759">
        <v>45.047244757447729</v>
      </c>
      <c r="Y96" s="545">
        <f t="shared" si="17"/>
        <v>-45.3</v>
      </c>
      <c r="Z96" s="759"/>
      <c r="AA96" s="759"/>
      <c r="AB96" s="551"/>
      <c r="AC96" s="758"/>
      <c r="AD96" s="759"/>
      <c r="AE96" s="551"/>
      <c r="AF96" s="758"/>
      <c r="AG96" s="759"/>
      <c r="AH96" s="545"/>
      <c r="AI96" s="758"/>
      <c r="AJ96" s="759"/>
      <c r="AK96" s="551"/>
      <c r="AL96" s="759"/>
      <c r="AM96" s="759"/>
      <c r="AN96" s="551"/>
      <c r="AO96" s="547">
        <f t="shared" si="25"/>
        <v>43.666999999999987</v>
      </c>
      <c r="AP96" s="547">
        <f t="shared" si="26"/>
        <v>-38.377755242552283</v>
      </c>
      <c r="AQ96" s="551">
        <f t="shared" si="28"/>
        <v>-187.9</v>
      </c>
      <c r="AR96" s="547">
        <f t="shared" si="27"/>
        <v>43.666999999999987</v>
      </c>
      <c r="AS96" s="547">
        <f t="shared" si="27"/>
        <v>-38.377755242552283</v>
      </c>
      <c r="AT96" s="551">
        <f t="shared" si="29"/>
        <v>-187.9</v>
      </c>
    </row>
    <row r="97" spans="1:46" s="517" customFormat="1" ht="18.75" customHeight="1" x14ac:dyDescent="0.3">
      <c r="A97" s="537" t="s">
        <v>368</v>
      </c>
      <c r="B97" s="758"/>
      <c r="C97" s="759"/>
      <c r="D97" s="550"/>
      <c r="E97" s="758"/>
      <c r="F97" s="759"/>
      <c r="G97" s="545"/>
      <c r="H97" s="758"/>
      <c r="I97" s="759"/>
      <c r="J97" s="551"/>
      <c r="K97" s="758"/>
      <c r="L97" s="759"/>
      <c r="M97" s="551"/>
      <c r="N97" s="758"/>
      <c r="O97" s="759"/>
      <c r="P97" s="550"/>
      <c r="Q97" s="758"/>
      <c r="R97" s="759"/>
      <c r="S97" s="551"/>
      <c r="T97" s="758"/>
      <c r="U97" s="759"/>
      <c r="V97" s="551"/>
      <c r="W97" s="758"/>
      <c r="X97" s="759"/>
      <c r="Y97" s="545"/>
      <c r="Z97" s="759"/>
      <c r="AA97" s="759"/>
      <c r="AB97" s="551"/>
      <c r="AC97" s="758"/>
      <c r="AD97" s="759"/>
      <c r="AE97" s="551"/>
      <c r="AF97" s="758"/>
      <c r="AG97" s="759"/>
      <c r="AH97" s="545"/>
      <c r="AI97" s="758"/>
      <c r="AJ97" s="759"/>
      <c r="AK97" s="551"/>
      <c r="AL97" s="759"/>
      <c r="AM97" s="759"/>
      <c r="AN97" s="551"/>
      <c r="AO97" s="550"/>
      <c r="AP97" s="550"/>
      <c r="AQ97" s="551"/>
      <c r="AR97" s="547"/>
      <c r="AS97" s="547"/>
      <c r="AT97" s="551"/>
    </row>
    <row r="98" spans="1:46" s="517" customFormat="1" ht="18.75" customHeight="1" x14ac:dyDescent="0.3">
      <c r="A98" s="542" t="s">
        <v>351</v>
      </c>
      <c r="B98" s="758"/>
      <c r="C98" s="759"/>
      <c r="D98" s="550"/>
      <c r="E98" s="758">
        <v>713.96108300000003</v>
      </c>
      <c r="F98" s="759">
        <v>-434.87055326226772</v>
      </c>
      <c r="G98" s="545">
        <f>IF(E98=0, "    ---- ", IF(ABS(ROUND(100/E98*F98-100,1))&lt;999,ROUND(100/E98*F98-100,1),IF(ROUND(100/E98*F98-100,1)&gt;999,999,-999)))</f>
        <v>-160.9</v>
      </c>
      <c r="H98" s="758"/>
      <c r="I98" s="759"/>
      <c r="J98" s="551"/>
      <c r="K98" s="758"/>
      <c r="L98" s="759"/>
      <c r="M98" s="551"/>
      <c r="N98" s="758"/>
      <c r="O98" s="759"/>
      <c r="P98" s="550"/>
      <c r="Q98" s="758"/>
      <c r="R98" s="759"/>
      <c r="S98" s="551"/>
      <c r="T98" s="758"/>
      <c r="U98" s="759"/>
      <c r="V98" s="551"/>
      <c r="W98" s="758"/>
      <c r="X98" s="759"/>
      <c r="Y98" s="545"/>
      <c r="Z98" s="759"/>
      <c r="AA98" s="759"/>
      <c r="AB98" s="551"/>
      <c r="AC98" s="758">
        <v>8.4192118889639997E-2</v>
      </c>
      <c r="AD98" s="759"/>
      <c r="AE98" s="551">
        <f>IF(AC98=0, "    ---- ", IF(ABS(ROUND(100/AC98*AD98-100,1))&lt;999,ROUND(100/AC98*AD98-100,1),IF(ROUND(100/AC98*AD98-100,1)&gt;999,999,-999)))</f>
        <v>-100</v>
      </c>
      <c r="AF98" s="758"/>
      <c r="AG98" s="759"/>
      <c r="AH98" s="545"/>
      <c r="AI98" s="758">
        <v>0</v>
      </c>
      <c r="AJ98" s="759">
        <v>-1</v>
      </c>
      <c r="AK98" s="551" t="str">
        <f>IF(AI98=0, "    ---- ", IF(ABS(ROUND(100/AI98*AJ98-100,1))&lt;999,ROUND(100/AI98*AJ98-100,1),IF(ROUND(100/AI98*AJ98-100,1)&gt;999,999,-999)))</f>
        <v xml:space="preserve">    ---- </v>
      </c>
      <c r="AL98" s="759"/>
      <c r="AM98" s="759"/>
      <c r="AN98" s="551"/>
      <c r="AO98" s="547">
        <f t="shared" ref="AO98:AO108" si="30">B98+E98+H98+K98+N98+T98+AL98+W98+Z98+AF98+AI98</f>
        <v>713.96108300000003</v>
      </c>
      <c r="AP98" s="547">
        <f t="shared" ref="AP98:AP108" si="31">C98+F98+I98+L98+O98+U98+AM98+X98+AA98+AG98+AJ98</f>
        <v>-435.87055326226772</v>
      </c>
      <c r="AQ98" s="551">
        <f t="shared" si="28"/>
        <v>-161</v>
      </c>
      <c r="AR98" s="547">
        <f t="shared" ref="AR98:AS108" si="32">+B98+E98+H98+K98+N98+Q98+T98+AL98+W98+Z98+AC98+AF98+AI98</f>
        <v>714.04527511888966</v>
      </c>
      <c r="AS98" s="547">
        <f t="shared" si="32"/>
        <v>-435.87055326226772</v>
      </c>
      <c r="AT98" s="551">
        <f t="shared" si="29"/>
        <v>-161</v>
      </c>
    </row>
    <row r="99" spans="1:46" s="517" customFormat="1" ht="18.75" customHeight="1" x14ac:dyDescent="0.3">
      <c r="A99" s="542" t="s">
        <v>352</v>
      </c>
      <c r="B99" s="758"/>
      <c r="C99" s="759"/>
      <c r="D99" s="550"/>
      <c r="E99" s="758"/>
      <c r="F99" s="759"/>
      <c r="G99" s="545"/>
      <c r="H99" s="758"/>
      <c r="I99" s="759"/>
      <c r="J99" s="551"/>
      <c r="K99" s="758"/>
      <c r="L99" s="759"/>
      <c r="M99" s="551"/>
      <c r="N99" s="758"/>
      <c r="O99" s="759"/>
      <c r="P99" s="550"/>
      <c r="Q99" s="758"/>
      <c r="R99" s="759"/>
      <c r="S99" s="551"/>
      <c r="T99" s="758"/>
      <c r="U99" s="759"/>
      <c r="V99" s="551"/>
      <c r="W99" s="758"/>
      <c r="X99" s="759"/>
      <c r="Y99" s="545"/>
      <c r="Z99" s="759"/>
      <c r="AA99" s="759"/>
      <c r="AB99" s="551"/>
      <c r="AC99" s="758"/>
      <c r="AD99" s="759"/>
      <c r="AE99" s="551"/>
      <c r="AF99" s="758"/>
      <c r="AG99" s="759"/>
      <c r="AH99" s="545"/>
      <c r="AI99" s="758"/>
      <c r="AJ99" s="759"/>
      <c r="AK99" s="551"/>
      <c r="AL99" s="759"/>
      <c r="AM99" s="759"/>
      <c r="AN99" s="551"/>
      <c r="AO99" s="547">
        <f t="shared" si="30"/>
        <v>0</v>
      </c>
      <c r="AP99" s="547">
        <f t="shared" si="31"/>
        <v>0</v>
      </c>
      <c r="AQ99" s="551" t="str">
        <f t="shared" si="28"/>
        <v xml:space="preserve">    ---- </v>
      </c>
      <c r="AR99" s="547">
        <f t="shared" si="32"/>
        <v>0</v>
      </c>
      <c r="AS99" s="547">
        <f t="shared" si="32"/>
        <v>0</v>
      </c>
      <c r="AT99" s="551" t="str">
        <f t="shared" si="29"/>
        <v xml:space="preserve">    ---- </v>
      </c>
    </row>
    <row r="100" spans="1:46" s="517" customFormat="1" ht="18.75" customHeight="1" x14ac:dyDescent="0.3">
      <c r="A100" s="542" t="s">
        <v>353</v>
      </c>
      <c r="B100" s="758">
        <v>12.574999999999999</v>
      </c>
      <c r="C100" s="759">
        <v>12.311</v>
      </c>
      <c r="D100" s="550">
        <f>IF(B100=0, "    ---- ", IF(ABS(ROUND(100/B100*C100-100,1))&lt;999,ROUND(100/B100*C100-100,1),IF(ROUND(100/B100*C100-100,1)&gt;999,999,-999)))</f>
        <v>-2.1</v>
      </c>
      <c r="E100" s="758">
        <v>17.667058000000004</v>
      </c>
      <c r="F100" s="759">
        <v>13.554363073341833</v>
      </c>
      <c r="G100" s="545">
        <f>IF(E100=0, "    ---- ", IF(ABS(ROUND(100/E100*F100-100,1))&lt;999,ROUND(100/E100*F100-100,1),IF(ROUND(100/E100*F100-100,1)&gt;999,999,-999)))</f>
        <v>-23.3</v>
      </c>
      <c r="H100" s="758"/>
      <c r="I100" s="759"/>
      <c r="J100" s="551"/>
      <c r="K100" s="758"/>
      <c r="L100" s="759"/>
      <c r="M100" s="551"/>
      <c r="N100" s="758">
        <v>-8.6999999999999993</v>
      </c>
      <c r="O100" s="759">
        <v>-15.7</v>
      </c>
      <c r="P100" s="550">
        <f>IF(N100=0, "    ---- ", IF(ABS(ROUND(100/N100*O100-100,1))&lt;999,ROUND(100/N100*O100-100,1),IF(ROUND(100/N100*O100-100,1)&gt;999,999,-999)))</f>
        <v>80.5</v>
      </c>
      <c r="Q100" s="758"/>
      <c r="R100" s="759"/>
      <c r="S100" s="551"/>
      <c r="T100" s="758"/>
      <c r="U100" s="759"/>
      <c r="V100" s="551"/>
      <c r="W100" s="758">
        <v>33.5</v>
      </c>
      <c r="X100" s="759">
        <v>37.171160577663976</v>
      </c>
      <c r="Y100" s="545">
        <f t="shared" si="17"/>
        <v>11</v>
      </c>
      <c r="Z100" s="759"/>
      <c r="AA100" s="759"/>
      <c r="AB100" s="551"/>
      <c r="AC100" s="758">
        <v>14.5131322471582</v>
      </c>
      <c r="AD100" s="759">
        <v>3.0150000000000001</v>
      </c>
      <c r="AE100" s="551">
        <f>IF(AC100=0, "    ---- ", IF(ABS(ROUND(100/AC100*AD100-100,1))&lt;999,ROUND(100/AC100*AD100-100,1),IF(ROUND(100/AC100*AD100-100,1)&gt;999,999,-999)))</f>
        <v>-79.2</v>
      </c>
      <c r="AF100" s="758">
        <v>6</v>
      </c>
      <c r="AG100" s="759">
        <v>-4</v>
      </c>
      <c r="AH100" s="545">
        <f>IF(AF100=0, "    ---- ", IF(ABS(ROUND(100/AF100*AG100-100,1))&lt;999,ROUND(100/AF100*AG100-100,1),IF(ROUND(100/AF100*AG100-100,1)&gt;999,999,-999)))</f>
        <v>-166.7</v>
      </c>
      <c r="AI100" s="758">
        <v>20</v>
      </c>
      <c r="AJ100" s="759">
        <v>31</v>
      </c>
      <c r="AK100" s="551">
        <f>IF(AI100=0, "    ---- ", IF(ABS(ROUND(100/AI100*AJ100-100,1))&lt;999,ROUND(100/AI100*AJ100-100,1),IF(ROUND(100/AI100*AJ100-100,1)&gt;999,999,-999)))</f>
        <v>55</v>
      </c>
      <c r="AL100" s="759"/>
      <c r="AM100" s="759"/>
      <c r="AN100" s="551"/>
      <c r="AO100" s="547">
        <f t="shared" si="30"/>
        <v>81.042057999999997</v>
      </c>
      <c r="AP100" s="547">
        <f t="shared" si="31"/>
        <v>74.336523651005805</v>
      </c>
      <c r="AQ100" s="551">
        <f t="shared" si="28"/>
        <v>-8.3000000000000007</v>
      </c>
      <c r="AR100" s="547">
        <f t="shared" si="32"/>
        <v>95.555190247158208</v>
      </c>
      <c r="AS100" s="547">
        <f t="shared" si="32"/>
        <v>77.351523651005806</v>
      </c>
      <c r="AT100" s="551">
        <f t="shared" si="29"/>
        <v>-19.100000000000001</v>
      </c>
    </row>
    <row r="101" spans="1:46" s="517" customFormat="1" ht="18.75" customHeight="1" x14ac:dyDescent="0.3">
      <c r="A101" s="542" t="s">
        <v>354</v>
      </c>
      <c r="B101" s="758"/>
      <c r="C101" s="759"/>
      <c r="D101" s="550"/>
      <c r="E101" s="758"/>
      <c r="F101" s="759"/>
      <c r="G101" s="545"/>
      <c r="H101" s="758"/>
      <c r="I101" s="759"/>
      <c r="J101" s="551"/>
      <c r="K101" s="758"/>
      <c r="L101" s="759"/>
      <c r="M101" s="551"/>
      <c r="N101" s="758"/>
      <c r="O101" s="759"/>
      <c r="P101" s="550"/>
      <c r="Q101" s="758"/>
      <c r="R101" s="759"/>
      <c r="S101" s="551"/>
      <c r="T101" s="758"/>
      <c r="U101" s="759"/>
      <c r="V101" s="551"/>
      <c r="W101" s="758"/>
      <c r="X101" s="759"/>
      <c r="Y101" s="545"/>
      <c r="Z101" s="759"/>
      <c r="AA101" s="759"/>
      <c r="AB101" s="551"/>
      <c r="AC101" s="758"/>
      <c r="AD101" s="759"/>
      <c r="AE101" s="551"/>
      <c r="AF101" s="758"/>
      <c r="AG101" s="759"/>
      <c r="AH101" s="545"/>
      <c r="AI101" s="758"/>
      <c r="AJ101" s="759"/>
      <c r="AK101" s="551"/>
      <c r="AL101" s="759"/>
      <c r="AM101" s="759"/>
      <c r="AN101" s="551"/>
      <c r="AO101" s="547">
        <f t="shared" si="30"/>
        <v>0</v>
      </c>
      <c r="AP101" s="547">
        <f t="shared" si="31"/>
        <v>0</v>
      </c>
      <c r="AQ101" s="551" t="str">
        <f t="shared" si="28"/>
        <v xml:space="preserve">    ---- </v>
      </c>
      <c r="AR101" s="547">
        <f t="shared" si="32"/>
        <v>0</v>
      </c>
      <c r="AS101" s="547">
        <f t="shared" si="32"/>
        <v>0</v>
      </c>
      <c r="AT101" s="551" t="str">
        <f t="shared" si="29"/>
        <v xml:space="preserve">    ---- </v>
      </c>
    </row>
    <row r="102" spans="1:46" s="517" customFormat="1" ht="18.75" customHeight="1" x14ac:dyDescent="0.3">
      <c r="A102" s="542" t="s">
        <v>355</v>
      </c>
      <c r="B102" s="758"/>
      <c r="C102" s="759"/>
      <c r="D102" s="550"/>
      <c r="E102" s="758"/>
      <c r="F102" s="759"/>
      <c r="G102" s="545"/>
      <c r="H102" s="758"/>
      <c r="I102" s="759"/>
      <c r="J102" s="551"/>
      <c r="K102" s="758"/>
      <c r="L102" s="759"/>
      <c r="M102" s="551"/>
      <c r="N102" s="758"/>
      <c r="O102" s="759"/>
      <c r="P102" s="550"/>
      <c r="Q102" s="758"/>
      <c r="R102" s="759"/>
      <c r="S102" s="551"/>
      <c r="T102" s="758"/>
      <c r="U102" s="759"/>
      <c r="V102" s="551"/>
      <c r="W102" s="758"/>
      <c r="X102" s="759"/>
      <c r="Y102" s="545"/>
      <c r="Z102" s="759"/>
      <c r="AA102" s="759"/>
      <c r="AB102" s="551"/>
      <c r="AC102" s="758"/>
      <c r="AD102" s="759"/>
      <c r="AE102" s="551"/>
      <c r="AF102" s="758"/>
      <c r="AG102" s="759"/>
      <c r="AH102" s="545"/>
      <c r="AI102" s="758"/>
      <c r="AJ102" s="759"/>
      <c r="AK102" s="551"/>
      <c r="AL102" s="759"/>
      <c r="AM102" s="759"/>
      <c r="AN102" s="551"/>
      <c r="AO102" s="547">
        <f t="shared" si="30"/>
        <v>0</v>
      </c>
      <c r="AP102" s="547">
        <f t="shared" si="31"/>
        <v>0</v>
      </c>
      <c r="AQ102" s="551" t="str">
        <f t="shared" si="28"/>
        <v xml:space="preserve">    ---- </v>
      </c>
      <c r="AR102" s="547">
        <f t="shared" si="32"/>
        <v>0</v>
      </c>
      <c r="AS102" s="547">
        <f t="shared" si="32"/>
        <v>0</v>
      </c>
      <c r="AT102" s="551" t="str">
        <f t="shared" si="29"/>
        <v xml:space="preserve">    ---- </v>
      </c>
    </row>
    <row r="103" spans="1:46" s="517" customFormat="1" ht="18.75" customHeight="1" x14ac:dyDescent="0.3">
      <c r="A103" s="542" t="s">
        <v>356</v>
      </c>
      <c r="B103" s="758">
        <v>-3.867</v>
      </c>
      <c r="C103" s="759">
        <v>-2</v>
      </c>
      <c r="D103" s="550">
        <f>IF(B103=0, "    ---- ", IF(ABS(ROUND(100/B103*C103-100,1))&lt;999,ROUND(100/B103*C103-100,1),IF(ROUND(100/B103*C103-100,1)&gt;999,999,-999)))</f>
        <v>-48.3</v>
      </c>
      <c r="E103" s="758">
        <v>-1.8160000000000025</v>
      </c>
      <c r="F103" s="759">
        <v>-2.2412569299999987</v>
      </c>
      <c r="G103" s="545">
        <f>IF(E103=0, "    ---- ", IF(ABS(ROUND(100/E103*F103-100,1))&lt;999,ROUND(100/E103*F103-100,1),IF(ROUND(100/E103*F103-100,1)&gt;999,999,-999)))</f>
        <v>23.4</v>
      </c>
      <c r="H103" s="758"/>
      <c r="I103" s="759"/>
      <c r="J103" s="551"/>
      <c r="K103" s="758"/>
      <c r="L103" s="759"/>
      <c r="M103" s="551"/>
      <c r="N103" s="758">
        <v>1</v>
      </c>
      <c r="O103" s="759">
        <v>1.1000000000000001</v>
      </c>
      <c r="P103" s="550">
        <f>IF(N103=0, "    ---- ", IF(ABS(ROUND(100/N103*O103-100,1))&lt;999,ROUND(100/N103*O103-100,1),IF(ROUND(100/N103*O103-100,1)&gt;999,999,-999)))</f>
        <v>10</v>
      </c>
      <c r="Q103" s="758"/>
      <c r="R103" s="759"/>
      <c r="S103" s="551"/>
      <c r="T103" s="758"/>
      <c r="U103" s="759"/>
      <c r="V103" s="551"/>
      <c r="W103" s="758">
        <v>0</v>
      </c>
      <c r="X103" s="759">
        <v>2.3283064365386965E-15</v>
      </c>
      <c r="Y103" s="545" t="str">
        <f t="shared" si="17"/>
        <v xml:space="preserve">    ---- </v>
      </c>
      <c r="Z103" s="759"/>
      <c r="AA103" s="759"/>
      <c r="AB103" s="551"/>
      <c r="AC103" s="758">
        <v>-3.5697200000001102E-2</v>
      </c>
      <c r="AD103" s="759"/>
      <c r="AE103" s="551"/>
      <c r="AF103" s="758">
        <v>-1</v>
      </c>
      <c r="AG103" s="759">
        <v>-2</v>
      </c>
      <c r="AH103" s="545">
        <f>IF(AF103=0, "    ---- ", IF(ABS(ROUND(100/AF103*AG103-100,1))&lt;999,ROUND(100/AF103*AG103-100,1),IF(ROUND(100/AF103*AG103-100,1)&gt;999,999,-999)))</f>
        <v>100</v>
      </c>
      <c r="AI103" s="758">
        <v>-1</v>
      </c>
      <c r="AJ103" s="759">
        <v>-1</v>
      </c>
      <c r="AK103" s="551">
        <f>IF(AI103=0, "    ---- ", IF(ABS(ROUND(100/AI103*AJ103-100,1))&lt;999,ROUND(100/AI103*AJ103-100,1),IF(ROUND(100/AI103*AJ103-100,1)&gt;999,999,-999)))</f>
        <v>0</v>
      </c>
      <c r="AL103" s="759"/>
      <c r="AM103" s="759"/>
      <c r="AN103" s="551"/>
      <c r="AO103" s="547">
        <f t="shared" si="30"/>
        <v>-6.6830000000000025</v>
      </c>
      <c r="AP103" s="547">
        <f t="shared" si="31"/>
        <v>-6.1412569299999964</v>
      </c>
      <c r="AQ103" s="551">
        <f t="shared" si="28"/>
        <v>-8.1</v>
      </c>
      <c r="AR103" s="547">
        <f t="shared" si="32"/>
        <v>-6.7186972000000038</v>
      </c>
      <c r="AS103" s="547">
        <f t="shared" si="32"/>
        <v>-6.1412569299999964</v>
      </c>
      <c r="AT103" s="551">
        <f t="shared" si="29"/>
        <v>-8.6</v>
      </c>
    </row>
    <row r="104" spans="1:46" s="517" customFormat="1" ht="18.75" customHeight="1" x14ac:dyDescent="0.3">
      <c r="A104" s="542" t="s">
        <v>357</v>
      </c>
      <c r="B104" s="758"/>
      <c r="C104" s="759"/>
      <c r="D104" s="550"/>
      <c r="E104" s="758"/>
      <c r="F104" s="759"/>
      <c r="G104" s="545"/>
      <c r="H104" s="758"/>
      <c r="I104" s="759"/>
      <c r="J104" s="551"/>
      <c r="K104" s="758"/>
      <c r="L104" s="759"/>
      <c r="M104" s="551"/>
      <c r="N104" s="758"/>
      <c r="O104" s="759"/>
      <c r="P104" s="550"/>
      <c r="Q104" s="758"/>
      <c r="R104" s="759"/>
      <c r="S104" s="551"/>
      <c r="T104" s="758"/>
      <c r="U104" s="759"/>
      <c r="V104" s="551"/>
      <c r="W104" s="758"/>
      <c r="X104" s="759"/>
      <c r="Y104" s="545"/>
      <c r="Z104" s="759"/>
      <c r="AA104" s="759"/>
      <c r="AB104" s="551"/>
      <c r="AC104" s="758"/>
      <c r="AD104" s="759"/>
      <c r="AE104" s="551"/>
      <c r="AF104" s="758"/>
      <c r="AG104" s="759"/>
      <c r="AH104" s="545"/>
      <c r="AI104" s="758"/>
      <c r="AJ104" s="759"/>
      <c r="AK104" s="551"/>
      <c r="AL104" s="759"/>
      <c r="AM104" s="759"/>
      <c r="AN104" s="551"/>
      <c r="AO104" s="547">
        <f t="shared" si="30"/>
        <v>0</v>
      </c>
      <c r="AP104" s="547">
        <f t="shared" si="31"/>
        <v>0</v>
      </c>
      <c r="AQ104" s="551" t="str">
        <f t="shared" si="28"/>
        <v xml:space="preserve">    ---- </v>
      </c>
      <c r="AR104" s="547">
        <f t="shared" si="32"/>
        <v>0</v>
      </c>
      <c r="AS104" s="547">
        <f t="shared" si="32"/>
        <v>0</v>
      </c>
      <c r="AT104" s="551" t="str">
        <f t="shared" si="29"/>
        <v xml:space="preserve">    ---- </v>
      </c>
    </row>
    <row r="105" spans="1:46" s="517" customFormat="1" ht="18.75" customHeight="1" x14ac:dyDescent="0.3">
      <c r="A105" s="542" t="s">
        <v>358</v>
      </c>
      <c r="B105" s="758"/>
      <c r="C105" s="759"/>
      <c r="D105" s="550"/>
      <c r="E105" s="758"/>
      <c r="F105" s="759"/>
      <c r="G105" s="545"/>
      <c r="H105" s="758"/>
      <c r="I105" s="759"/>
      <c r="J105" s="551"/>
      <c r="K105" s="758"/>
      <c r="L105" s="759"/>
      <c r="M105" s="551"/>
      <c r="N105" s="758"/>
      <c r="O105" s="759"/>
      <c r="P105" s="550"/>
      <c r="Q105" s="758"/>
      <c r="R105" s="759"/>
      <c r="S105" s="551"/>
      <c r="T105" s="758"/>
      <c r="U105" s="759"/>
      <c r="V105" s="551"/>
      <c r="W105" s="758">
        <v>-0.53</v>
      </c>
      <c r="X105" s="759">
        <v>-0.52896636000000008</v>
      </c>
      <c r="Y105" s="545">
        <f t="shared" si="17"/>
        <v>-0.2</v>
      </c>
      <c r="Z105" s="759"/>
      <c r="AA105" s="759"/>
      <c r="AB105" s="551"/>
      <c r="AC105" s="758"/>
      <c r="AD105" s="759"/>
      <c r="AE105" s="551"/>
      <c r="AF105" s="758"/>
      <c r="AG105" s="759"/>
      <c r="AH105" s="545"/>
      <c r="AI105" s="758"/>
      <c r="AJ105" s="759">
        <v>-4</v>
      </c>
      <c r="AK105" s="551" t="str">
        <f>IF(AI105=0, "    ---- ", IF(ABS(ROUND(100/AI105*AJ105-100,1))&lt;999,ROUND(100/AI105*AJ105-100,1),IF(ROUND(100/AI105*AJ105-100,1)&gt;999,999,-999)))</f>
        <v xml:space="preserve">    ---- </v>
      </c>
      <c r="AL105" s="759"/>
      <c r="AM105" s="759"/>
      <c r="AN105" s="551"/>
      <c r="AO105" s="547">
        <f t="shared" si="30"/>
        <v>-0.53</v>
      </c>
      <c r="AP105" s="547">
        <f t="shared" si="31"/>
        <v>-4.5289663600000001</v>
      </c>
      <c r="AQ105" s="551">
        <f t="shared" si="28"/>
        <v>754.5</v>
      </c>
      <c r="AR105" s="547">
        <f t="shared" si="32"/>
        <v>-0.53</v>
      </c>
      <c r="AS105" s="547">
        <f t="shared" si="32"/>
        <v>-4.5289663600000001</v>
      </c>
      <c r="AT105" s="551">
        <f t="shared" si="29"/>
        <v>754.5</v>
      </c>
    </row>
    <row r="106" spans="1:46" s="549" customFormat="1" ht="18.75" customHeight="1" x14ac:dyDescent="0.3">
      <c r="A106" s="537" t="s">
        <v>359</v>
      </c>
      <c r="B106" s="756">
        <f>SUM(B98:B103)+B105</f>
        <v>8.7079999999999984</v>
      </c>
      <c r="C106" s="757">
        <f>SUM(C98:C103)+C105</f>
        <v>10.311</v>
      </c>
      <c r="D106" s="552">
        <f>IF(B106=0, "    ---- ", IF(ABS(ROUND(100/B106*C106-100,1))&lt;999,ROUND(100/B106*C106-100,1),IF(ROUND(100/B106*C106-100,1)&gt;999,999,-999)))</f>
        <v>18.399999999999999</v>
      </c>
      <c r="E106" s="756">
        <f>SUM(E98:E103)+E105</f>
        <v>729.812141</v>
      </c>
      <c r="F106" s="757">
        <f>SUM(F98:F103)+F105</f>
        <v>-423.55744711892589</v>
      </c>
      <c r="G106" s="540">
        <f>IF(E106=0, "    ---- ", IF(ABS(ROUND(100/E106*F106-100,1))&lt;999,ROUND(100/E106*F106-100,1),IF(ROUND(100/E106*F106-100,1)&gt;999,999,-999)))</f>
        <v>-158</v>
      </c>
      <c r="H106" s="756"/>
      <c r="I106" s="757"/>
      <c r="J106" s="553"/>
      <c r="K106" s="756"/>
      <c r="L106" s="757"/>
      <c r="M106" s="553"/>
      <c r="N106" s="756">
        <f>SUM(N98:N103)+N105</f>
        <v>-7.6999999999999993</v>
      </c>
      <c r="O106" s="757">
        <f>SUM(O98:O103)+O105</f>
        <v>-14.6</v>
      </c>
      <c r="P106" s="552">
        <f>IF(N106=0, "    ---- ", IF(ABS(ROUND(100/N106*O106-100,1))&lt;999,ROUND(100/N106*O106-100,1),IF(ROUND(100/N106*O106-100,1)&gt;999,999,-999)))</f>
        <v>89.6</v>
      </c>
      <c r="Q106" s="756"/>
      <c r="R106" s="757"/>
      <c r="S106" s="553"/>
      <c r="T106" s="756"/>
      <c r="U106" s="757"/>
      <c r="V106" s="553"/>
      <c r="W106" s="756">
        <f>SUM(W98:W103)+W105</f>
        <v>32.97</v>
      </c>
      <c r="X106" s="757">
        <f>SUM(X98:X103)+X105</f>
        <v>36.642194217663977</v>
      </c>
      <c r="Y106" s="540">
        <f t="shared" si="17"/>
        <v>11.1</v>
      </c>
      <c r="Z106" s="757"/>
      <c r="AA106" s="757"/>
      <c r="AB106" s="553"/>
      <c r="AC106" s="756">
        <f>SUM(AC98:AC103)+AC105</f>
        <v>14.561627166047838</v>
      </c>
      <c r="AD106" s="757">
        <f>SUM(AD98:AD103)+AD105</f>
        <v>3.0150000000000001</v>
      </c>
      <c r="AE106" s="553">
        <f>IF(AC106=0, "    ---- ", IF(ABS(ROUND(100/AC106*AD106-100,1))&lt;999,ROUND(100/AC106*AD106-100,1),IF(ROUND(100/AC106*AD106-100,1)&gt;999,999,-999)))</f>
        <v>-79.3</v>
      </c>
      <c r="AF106" s="756">
        <f>SUM(AF98:AF103)+AF105</f>
        <v>5</v>
      </c>
      <c r="AG106" s="757">
        <f>SUM(AG98:AG103)+AG105</f>
        <v>-6</v>
      </c>
      <c r="AH106" s="540">
        <f>IF(AF106=0, "    ---- ", IF(ABS(ROUND(100/AF106*AG106-100,1))&lt;999,ROUND(100/AF106*AG106-100,1),IF(ROUND(100/AF106*AG106-100,1)&gt;999,999,-999)))</f>
        <v>-220</v>
      </c>
      <c r="AI106" s="756">
        <f>SUM(AI98:AI103)+AI105</f>
        <v>19</v>
      </c>
      <c r="AJ106" s="757">
        <f>SUM(AJ98:AJ103)+AJ105</f>
        <v>25</v>
      </c>
      <c r="AK106" s="553">
        <f>IF(AI106=0, "    ---- ", IF(ABS(ROUND(100/AI106*AJ106-100,1))&lt;999,ROUND(100/AI106*AJ106-100,1),IF(ROUND(100/AI106*AJ106-100,1)&gt;999,999,-999)))</f>
        <v>31.6</v>
      </c>
      <c r="AL106" s="757"/>
      <c r="AM106" s="757"/>
      <c r="AN106" s="553"/>
      <c r="AO106" s="548">
        <f t="shared" si="30"/>
        <v>787.79014099999995</v>
      </c>
      <c r="AP106" s="548">
        <f t="shared" si="31"/>
        <v>-372.20425290126195</v>
      </c>
      <c r="AQ106" s="553">
        <f t="shared" si="28"/>
        <v>-147.19999999999999</v>
      </c>
      <c r="AR106" s="548">
        <f t="shared" si="32"/>
        <v>802.3517681660478</v>
      </c>
      <c r="AS106" s="548">
        <f t="shared" si="32"/>
        <v>-369.18925290126197</v>
      </c>
      <c r="AT106" s="553">
        <f t="shared" si="29"/>
        <v>-146</v>
      </c>
    </row>
    <row r="107" spans="1:46" s="517" customFormat="1" ht="18.75" customHeight="1" x14ac:dyDescent="0.3">
      <c r="A107" s="542" t="s">
        <v>360</v>
      </c>
      <c r="B107" s="758"/>
      <c r="C107" s="759"/>
      <c r="D107" s="550"/>
      <c r="E107" s="758">
        <v>713.96371999999997</v>
      </c>
      <c r="F107" s="759">
        <v>-434.870553262268</v>
      </c>
      <c r="G107" s="545">
        <f>IF(E107=0, "    ---- ", IF(ABS(ROUND(100/E107*F107-100,1))&lt;999,ROUND(100/E107*F107-100,1),IF(ROUND(100/E107*F107-100,1)&gt;999,999,-999)))</f>
        <v>-160.9</v>
      </c>
      <c r="H107" s="758"/>
      <c r="I107" s="759"/>
      <c r="J107" s="551"/>
      <c r="K107" s="758"/>
      <c r="L107" s="759"/>
      <c r="M107" s="551"/>
      <c r="N107" s="758"/>
      <c r="O107" s="759"/>
      <c r="P107" s="550"/>
      <c r="Q107" s="758"/>
      <c r="R107" s="759"/>
      <c r="S107" s="551"/>
      <c r="T107" s="758"/>
      <c r="U107" s="759"/>
      <c r="V107" s="551"/>
      <c r="W107" s="758">
        <v>0</v>
      </c>
      <c r="X107" s="759">
        <v>0</v>
      </c>
      <c r="Y107" s="545" t="str">
        <f t="shared" si="17"/>
        <v xml:space="preserve">    ---- </v>
      </c>
      <c r="Z107" s="759"/>
      <c r="AA107" s="759"/>
      <c r="AB107" s="551"/>
      <c r="AC107" s="758"/>
      <c r="AD107" s="759"/>
      <c r="AE107" s="551"/>
      <c r="AF107" s="758"/>
      <c r="AG107" s="759"/>
      <c r="AH107" s="545"/>
      <c r="AI107" s="758"/>
      <c r="AJ107" s="759"/>
      <c r="AK107" s="551"/>
      <c r="AL107" s="759"/>
      <c r="AM107" s="759"/>
      <c r="AN107" s="551"/>
      <c r="AO107" s="547">
        <f t="shared" si="30"/>
        <v>713.96371999999997</v>
      </c>
      <c r="AP107" s="547">
        <f t="shared" si="31"/>
        <v>-434.870553262268</v>
      </c>
      <c r="AQ107" s="551">
        <f t="shared" si="28"/>
        <v>-160.9</v>
      </c>
      <c r="AR107" s="547">
        <f t="shared" si="32"/>
        <v>713.96371999999997</v>
      </c>
      <c r="AS107" s="547">
        <f t="shared" si="32"/>
        <v>-434.870553262268</v>
      </c>
      <c r="AT107" s="551">
        <f t="shared" si="29"/>
        <v>-160.9</v>
      </c>
    </row>
    <row r="108" spans="1:46" s="517" customFormat="1" ht="18.75" customHeight="1" x14ac:dyDescent="0.3">
      <c r="A108" s="554" t="s">
        <v>361</v>
      </c>
      <c r="B108" s="883">
        <v>8.7080000000000002</v>
      </c>
      <c r="C108" s="760">
        <v>10.311</v>
      </c>
      <c r="D108" s="555">
        <f>IF(B108=0, "    ---- ", IF(ABS(ROUND(100/B108*C108-100,1))&lt;999,ROUND(100/B108*C108-100,1),IF(ROUND(100/B108*C108-100,1)&gt;999,999,-999)))</f>
        <v>18.399999999999999</v>
      </c>
      <c r="E108" s="883">
        <v>15.84842100000003</v>
      </c>
      <c r="F108" s="760">
        <v>11.313000000000001</v>
      </c>
      <c r="G108" s="556">
        <f>IF(E108=0, "    ---- ", IF(ABS(ROUND(100/E108*F108-100,1))&lt;999,ROUND(100/E108*F108-100,1),IF(ROUND(100/E108*F108-100,1)&gt;999,999,-999)))</f>
        <v>-28.6</v>
      </c>
      <c r="H108" s="883"/>
      <c r="I108" s="760"/>
      <c r="J108" s="557"/>
      <c r="K108" s="883"/>
      <c r="L108" s="760"/>
      <c r="M108" s="557"/>
      <c r="N108" s="883">
        <v>-7.7</v>
      </c>
      <c r="O108" s="760">
        <v>-14.6</v>
      </c>
      <c r="P108" s="555">
        <f>IF(N108=0, "    ---- ", IF(ABS(ROUND(100/N108*O108-100,1))&lt;999,ROUND(100/N108*O108-100,1),IF(ROUND(100/N108*O108-100,1)&gt;999,999,-999)))</f>
        <v>89.6</v>
      </c>
      <c r="Q108" s="883"/>
      <c r="R108" s="760"/>
      <c r="S108" s="557"/>
      <c r="T108" s="883"/>
      <c r="U108" s="760"/>
      <c r="V108" s="557"/>
      <c r="W108" s="883">
        <v>32.979999999999997</v>
      </c>
      <c r="X108" s="760">
        <v>36.642194217663977</v>
      </c>
      <c r="Y108" s="556">
        <f t="shared" si="17"/>
        <v>11.1</v>
      </c>
      <c r="Z108" s="760"/>
      <c r="AA108" s="760"/>
      <c r="AB108" s="557"/>
      <c r="AC108" s="883">
        <v>14.561627166047838</v>
      </c>
      <c r="AD108" s="760"/>
      <c r="AE108" s="557"/>
      <c r="AF108" s="883">
        <v>5</v>
      </c>
      <c r="AG108" s="760">
        <v>-6</v>
      </c>
      <c r="AH108" s="556">
        <f>IF(AF108=0, "    ---- ", IF(ABS(ROUND(100/AF108*AG108-100,1))&lt;999,ROUND(100/AF108*AG108-100,1),IF(ROUND(100/AF108*AG108-100,1)&gt;999,999,-999)))</f>
        <v>-220</v>
      </c>
      <c r="AI108" s="883">
        <v>19</v>
      </c>
      <c r="AJ108" s="760">
        <v>25</v>
      </c>
      <c r="AK108" s="557">
        <f>IF(AI108=0, "    ---- ", IF(ABS(ROUND(100/AI108*AJ108-100,1))&lt;999,ROUND(100/AI108*AJ108-100,1),IF(ROUND(100/AI108*AJ108-100,1)&gt;999,999,-999)))</f>
        <v>31.6</v>
      </c>
      <c r="AL108" s="760"/>
      <c r="AM108" s="760"/>
      <c r="AN108" s="557"/>
      <c r="AO108" s="556">
        <f t="shared" si="30"/>
        <v>73.83642100000003</v>
      </c>
      <c r="AP108" s="556">
        <f t="shared" si="31"/>
        <v>62.666194217663978</v>
      </c>
      <c r="AQ108" s="557">
        <f t="shared" si="28"/>
        <v>-15.1</v>
      </c>
      <c r="AR108" s="556">
        <f t="shared" si="32"/>
        <v>88.398048166047872</v>
      </c>
      <c r="AS108" s="556">
        <f t="shared" si="32"/>
        <v>62.666194217663978</v>
      </c>
      <c r="AT108" s="557">
        <f t="shared" si="29"/>
        <v>-29.1</v>
      </c>
    </row>
    <row r="109" spans="1:46" s="517" customFormat="1" ht="18.75" customHeight="1" x14ac:dyDescent="0.3">
      <c r="A109" s="517" t="s">
        <v>245</v>
      </c>
      <c r="B109" s="565"/>
      <c r="C109" s="565"/>
      <c r="D109" s="565"/>
      <c r="E109" s="566"/>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row>
    <row r="110" spans="1:46" s="508" customFormat="1" ht="18.75" customHeight="1" x14ac:dyDescent="0.3">
      <c r="A110" s="514"/>
      <c r="B110" s="567"/>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c r="AG110" s="567"/>
      <c r="AH110" s="567"/>
      <c r="AI110" s="567"/>
      <c r="AJ110" s="567"/>
      <c r="AK110" s="567"/>
      <c r="AL110" s="567"/>
      <c r="AM110" s="567"/>
      <c r="AN110" s="567"/>
      <c r="AO110" s="567"/>
      <c r="AP110" s="567"/>
      <c r="AQ110" s="567"/>
      <c r="AR110" s="567"/>
      <c r="AS110" s="567"/>
      <c r="AT110" s="567"/>
    </row>
    <row r="111" spans="1:46" ht="18.75" x14ac:dyDescent="0.3">
      <c r="A111" s="517"/>
    </row>
    <row r="112" spans="1:46" ht="18.75" x14ac:dyDescent="0.3">
      <c r="A112" s="517"/>
    </row>
    <row r="113" spans="1:1" ht="18.75" x14ac:dyDescent="0.3">
      <c r="A113" s="517"/>
    </row>
    <row r="114" spans="1:1" ht="18.75" x14ac:dyDescent="0.3">
      <c r="A114" s="517"/>
    </row>
    <row r="115" spans="1:1" ht="18.75" x14ac:dyDescent="0.3">
      <c r="A115" s="517"/>
    </row>
    <row r="116" spans="1:1" ht="18.75" x14ac:dyDescent="0.3">
      <c r="A116" s="517"/>
    </row>
    <row r="117" spans="1:1" ht="18.75" x14ac:dyDescent="0.3">
      <c r="A117" s="517"/>
    </row>
    <row r="118" spans="1:1" ht="18.75" x14ac:dyDescent="0.3">
      <c r="A118" s="517"/>
    </row>
    <row r="119" spans="1:1" ht="18.75" x14ac:dyDescent="0.3">
      <c r="A119" s="517"/>
    </row>
    <row r="120" spans="1:1" ht="18.75" x14ac:dyDescent="0.3">
      <c r="A120" s="517"/>
    </row>
    <row r="121" spans="1:1" ht="18.75" x14ac:dyDescent="0.3">
      <c r="A121" s="517"/>
    </row>
    <row r="122" spans="1:1" ht="18.75" x14ac:dyDescent="0.3">
      <c r="A122" s="517"/>
    </row>
    <row r="123" spans="1:1" ht="18.75" x14ac:dyDescent="0.3">
      <c r="A123" s="517"/>
    </row>
    <row r="124" spans="1:1" ht="18.75" x14ac:dyDescent="0.3">
      <c r="A124" s="517"/>
    </row>
    <row r="125" spans="1:1" ht="18.75" x14ac:dyDescent="0.3">
      <c r="A125" s="517"/>
    </row>
    <row r="126" spans="1:1" ht="18.75" x14ac:dyDescent="0.3">
      <c r="A126" s="517"/>
    </row>
    <row r="127" spans="1:1" ht="18.75" x14ac:dyDescent="0.3">
      <c r="A127" s="517"/>
    </row>
    <row r="128" spans="1:1" ht="18.75" x14ac:dyDescent="0.3">
      <c r="A128" s="517"/>
    </row>
    <row r="129" spans="1:1" ht="18.75" x14ac:dyDescent="0.3">
      <c r="A129" s="517"/>
    </row>
    <row r="130" spans="1:1" ht="18.75" x14ac:dyDescent="0.3">
      <c r="A130" s="517"/>
    </row>
    <row r="131" spans="1:1" ht="18.75" x14ac:dyDescent="0.3">
      <c r="A131" s="517"/>
    </row>
    <row r="132" spans="1:1" ht="18.75" x14ac:dyDescent="0.3">
      <c r="A132" s="517"/>
    </row>
    <row r="133" spans="1:1" ht="18.75" x14ac:dyDescent="0.3">
      <c r="A133" s="517"/>
    </row>
    <row r="134" spans="1:1" ht="18.75" x14ac:dyDescent="0.3">
      <c r="A134" s="517"/>
    </row>
    <row r="135" spans="1:1" ht="18.75" x14ac:dyDescent="0.3">
      <c r="A135" s="517"/>
    </row>
    <row r="136" spans="1:1" ht="18.75" x14ac:dyDescent="0.3">
      <c r="A136" s="517"/>
    </row>
    <row r="137" spans="1:1" ht="18.75" x14ac:dyDescent="0.3">
      <c r="A137" s="517"/>
    </row>
    <row r="138" spans="1:1" ht="18.75" x14ac:dyDescent="0.3">
      <c r="A138" s="517"/>
    </row>
    <row r="139" spans="1:1" ht="18.75" x14ac:dyDescent="0.3">
      <c r="A139" s="517"/>
    </row>
    <row r="140" spans="1:1" ht="18.75" x14ac:dyDescent="0.3">
      <c r="A140" s="517"/>
    </row>
    <row r="141" spans="1:1" ht="18.75" x14ac:dyDescent="0.3">
      <c r="A141" s="517"/>
    </row>
    <row r="142" spans="1:1" ht="18.75" x14ac:dyDescent="0.3">
      <c r="A142" s="517"/>
    </row>
    <row r="143" spans="1:1" ht="18.75" x14ac:dyDescent="0.3">
      <c r="A143" s="517"/>
    </row>
    <row r="144" spans="1:1" ht="18.75" x14ac:dyDescent="0.3">
      <c r="A144" s="517"/>
    </row>
    <row r="145" spans="1:1" ht="18.75" x14ac:dyDescent="0.3">
      <c r="A145" s="517"/>
    </row>
    <row r="146" spans="1:1" ht="18.75" x14ac:dyDescent="0.3">
      <c r="A146" s="517"/>
    </row>
    <row r="147" spans="1:1" ht="18.75" x14ac:dyDescent="0.3">
      <c r="A147" s="517"/>
    </row>
    <row r="148" spans="1:1" ht="18.75" x14ac:dyDescent="0.3">
      <c r="A148" s="517"/>
    </row>
    <row r="149" spans="1:1" ht="18.75" x14ac:dyDescent="0.3">
      <c r="A149" s="517"/>
    </row>
    <row r="150" spans="1:1" ht="18.75" x14ac:dyDescent="0.3">
      <c r="A150" s="517"/>
    </row>
    <row r="151" spans="1:1" ht="18.75" x14ac:dyDescent="0.3">
      <c r="A151" s="517"/>
    </row>
    <row r="152" spans="1:1" ht="18.75" x14ac:dyDescent="0.3">
      <c r="A152" s="517"/>
    </row>
    <row r="153" spans="1:1" ht="18.75" x14ac:dyDescent="0.3">
      <c r="A153" s="517"/>
    </row>
    <row r="154" spans="1:1" ht="18.75" x14ac:dyDescent="0.3">
      <c r="A154" s="517"/>
    </row>
    <row r="155" spans="1:1" ht="18.75" x14ac:dyDescent="0.3">
      <c r="A155" s="517"/>
    </row>
    <row r="156" spans="1:1" ht="18.75" x14ac:dyDescent="0.3">
      <c r="A156" s="517"/>
    </row>
    <row r="157" spans="1:1" ht="18.75" x14ac:dyDescent="0.3">
      <c r="A157" s="517"/>
    </row>
    <row r="158" spans="1:1" ht="18.75" x14ac:dyDescent="0.3">
      <c r="A158" s="517"/>
    </row>
    <row r="159" spans="1:1" ht="18.75" x14ac:dyDescent="0.3">
      <c r="A159" s="517"/>
    </row>
    <row r="160" spans="1:1" ht="18.75" x14ac:dyDescent="0.3">
      <c r="A160" s="517"/>
    </row>
    <row r="161" spans="1:1" ht="18.75" x14ac:dyDescent="0.3">
      <c r="A161" s="517"/>
    </row>
    <row r="162" spans="1:1" ht="18.75" x14ac:dyDescent="0.3">
      <c r="A162" s="517"/>
    </row>
    <row r="163" spans="1:1" ht="18.75" x14ac:dyDescent="0.3">
      <c r="A163" s="517"/>
    </row>
    <row r="164" spans="1:1" ht="18.75" x14ac:dyDescent="0.3">
      <c r="A164" s="517"/>
    </row>
    <row r="165" spans="1:1" ht="18.75" x14ac:dyDescent="0.3">
      <c r="A165" s="517"/>
    </row>
    <row r="166" spans="1:1" ht="18.75" x14ac:dyDescent="0.3">
      <c r="A166" s="517"/>
    </row>
    <row r="167" spans="1:1" ht="18.75" x14ac:dyDescent="0.3">
      <c r="A167" s="517"/>
    </row>
    <row r="168" spans="1:1" ht="18.75" x14ac:dyDescent="0.3">
      <c r="A168" s="517"/>
    </row>
    <row r="169" spans="1:1" ht="18.75" x14ac:dyDescent="0.3">
      <c r="A169" s="517"/>
    </row>
    <row r="170" spans="1:1" ht="18.75" x14ac:dyDescent="0.3">
      <c r="A170" s="517"/>
    </row>
    <row r="171" spans="1:1" ht="18.75" x14ac:dyDescent="0.3">
      <c r="A171" s="517"/>
    </row>
    <row r="172" spans="1:1" ht="18.75" x14ac:dyDescent="0.3">
      <c r="A172" s="517"/>
    </row>
    <row r="173" spans="1:1" ht="18.75" x14ac:dyDescent="0.3">
      <c r="A173" s="517"/>
    </row>
    <row r="174" spans="1:1" ht="18.75" x14ac:dyDescent="0.3">
      <c r="A174" s="517"/>
    </row>
    <row r="175" spans="1:1" ht="18.75" x14ac:dyDescent="0.3">
      <c r="A175" s="517"/>
    </row>
    <row r="176" spans="1:1" ht="18.75" x14ac:dyDescent="0.3">
      <c r="A176" s="517"/>
    </row>
    <row r="177" spans="1:1" ht="18.75" x14ac:dyDescent="0.3">
      <c r="A177" s="517"/>
    </row>
    <row r="178" spans="1:1" ht="18.75" x14ac:dyDescent="0.3">
      <c r="A178" s="517"/>
    </row>
    <row r="179" spans="1:1" ht="18.75" x14ac:dyDescent="0.3">
      <c r="A179" s="517"/>
    </row>
    <row r="180" spans="1:1" ht="18.75" x14ac:dyDescent="0.3">
      <c r="A180" s="517"/>
    </row>
    <row r="181" spans="1:1" ht="18.75" x14ac:dyDescent="0.3">
      <c r="A181" s="517"/>
    </row>
    <row r="182" spans="1:1" ht="18.75" x14ac:dyDescent="0.3">
      <c r="A182" s="517"/>
    </row>
    <row r="183" spans="1:1" ht="18.75" x14ac:dyDescent="0.3">
      <c r="A183" s="517"/>
    </row>
    <row r="184" spans="1:1" ht="18.75" x14ac:dyDescent="0.3">
      <c r="A184" s="517"/>
    </row>
    <row r="185" spans="1:1" ht="18.75" x14ac:dyDescent="0.3">
      <c r="A185" s="517"/>
    </row>
    <row r="186" spans="1:1" ht="18.75" x14ac:dyDescent="0.3">
      <c r="A186" s="517"/>
    </row>
    <row r="187" spans="1:1" ht="18.75" x14ac:dyDescent="0.3">
      <c r="A187" s="517"/>
    </row>
    <row r="188" spans="1:1" ht="18.75" x14ac:dyDescent="0.3">
      <c r="A188" s="517"/>
    </row>
    <row r="189" spans="1:1" ht="18.75" x14ac:dyDescent="0.3">
      <c r="A189" s="517"/>
    </row>
  </sheetData>
  <mergeCells count="27">
    <mergeCell ref="AR6:AT6"/>
    <mergeCell ref="AR7:AT7"/>
    <mergeCell ref="AO7:AQ7"/>
    <mergeCell ref="AL7:AN7"/>
    <mergeCell ref="W7:Y7"/>
    <mergeCell ref="Z7:AB7"/>
    <mergeCell ref="AC7:AE7"/>
    <mergeCell ref="AF7:AH7"/>
    <mergeCell ref="AO6:AQ6"/>
    <mergeCell ref="AL6:AN6"/>
    <mergeCell ref="B7:D7"/>
    <mergeCell ref="E7:G7"/>
    <mergeCell ref="K7:M7"/>
    <mergeCell ref="N7:P7"/>
    <mergeCell ref="Q7:S7"/>
    <mergeCell ref="H7:J7"/>
    <mergeCell ref="T7:V7"/>
    <mergeCell ref="Z6:AB6"/>
    <mergeCell ref="AF6:AH6"/>
    <mergeCell ref="AI6:AK6"/>
    <mergeCell ref="AI7:AK7"/>
    <mergeCell ref="B6:D6"/>
    <mergeCell ref="E6:G6"/>
    <mergeCell ref="K6:M6"/>
    <mergeCell ref="N6:P6"/>
    <mergeCell ref="Q6:S6"/>
    <mergeCell ref="H6:J6"/>
  </mergeCells>
  <conditionalFormatting sqref="AL20">
    <cfRule type="expression" dxfId="870" priority="545">
      <formula>#REF!="20≠21+22"</formula>
    </cfRule>
    <cfRule type="expression" dxfId="869" priority="546">
      <formula>#REF!="20≠12+13+14+15+16+17+19"</formula>
    </cfRule>
  </conditionalFormatting>
  <conditionalFormatting sqref="AL32">
    <cfRule type="expression" dxfId="868" priority="547">
      <formula>#REF!="32≠33+34"</formula>
    </cfRule>
  </conditionalFormatting>
  <conditionalFormatting sqref="AL44">
    <cfRule type="expression" dxfId="867" priority="548">
      <formula>#REF!="44≠45+46"</formula>
    </cfRule>
  </conditionalFormatting>
  <conditionalFormatting sqref="AL56">
    <cfRule type="expression" dxfId="866" priority="549">
      <formula>#REF!="56≠57+58"</formula>
    </cfRule>
  </conditionalFormatting>
  <conditionalFormatting sqref="AL70">
    <cfRule type="expression" dxfId="865" priority="550">
      <formula>#REF!="70≠62+63+64+65+66+67+69"</formula>
    </cfRule>
  </conditionalFormatting>
  <conditionalFormatting sqref="AL82">
    <cfRule type="expression" dxfId="864" priority="551">
      <formula>#REF!="82≠83+84"</formula>
    </cfRule>
  </conditionalFormatting>
  <conditionalFormatting sqref="AL94">
    <cfRule type="expression" dxfId="863" priority="552">
      <formula>#REF!="94≠95+96"</formula>
    </cfRule>
  </conditionalFormatting>
  <conditionalFormatting sqref="AL106">
    <cfRule type="expression" dxfId="862" priority="553">
      <formula>#REF!="106≠107+108"</formula>
    </cfRule>
  </conditionalFormatting>
  <conditionalFormatting sqref="AL32">
    <cfRule type="expression" dxfId="861" priority="554">
      <formula>#REF!="32≠24+25+26+27+28+29+31"</formula>
    </cfRule>
  </conditionalFormatting>
  <conditionalFormatting sqref="AL44">
    <cfRule type="expression" dxfId="860" priority="555">
      <formula>#REF!="44≠36+37+38+39+40+41+43"</formula>
    </cfRule>
  </conditionalFormatting>
  <conditionalFormatting sqref="AL56">
    <cfRule type="expression" dxfId="859" priority="556">
      <formula>#REF!="56≠48+49+50+51+52+53+55"</formula>
    </cfRule>
  </conditionalFormatting>
  <conditionalFormatting sqref="AL70">
    <cfRule type="expression" dxfId="858" priority="557">
      <formula>#REF!="70≠71+72"</formula>
    </cfRule>
  </conditionalFormatting>
  <conditionalFormatting sqref="AL82">
    <cfRule type="expression" dxfId="857" priority="558">
      <formula>#REF!="82≠74+75+76+77+78+79+81"</formula>
    </cfRule>
  </conditionalFormatting>
  <conditionalFormatting sqref="AL94">
    <cfRule type="expression" dxfId="856" priority="559">
      <formula>#REF!="94≠86+87+88+89+90+91+93"</formula>
    </cfRule>
  </conditionalFormatting>
  <conditionalFormatting sqref="AL106">
    <cfRule type="expression" dxfId="855" priority="560">
      <formula>#REF!="106≠98+99+100+101+102+103+105"</formula>
    </cfRule>
  </conditionalFormatting>
  <conditionalFormatting sqref="Z20">
    <cfRule type="expression" dxfId="854" priority="417">
      <formula>#REF!="20≠21+22"</formula>
    </cfRule>
    <cfRule type="expression" dxfId="853" priority="418">
      <formula>#REF!="20≠12+13+14+15+16+17+19"</formula>
    </cfRule>
  </conditionalFormatting>
  <conditionalFormatting sqref="Z32">
    <cfRule type="expression" dxfId="852" priority="419">
      <formula>#REF!="32≠33+34"</formula>
    </cfRule>
  </conditionalFormatting>
  <conditionalFormatting sqref="Z44">
    <cfRule type="expression" dxfId="851" priority="420">
      <formula>#REF!="44≠45+46"</formula>
    </cfRule>
  </conditionalFormatting>
  <conditionalFormatting sqref="Z56">
    <cfRule type="expression" dxfId="850" priority="421">
      <formula>#REF!="56≠57+58"</formula>
    </cfRule>
  </conditionalFormatting>
  <conditionalFormatting sqref="Z70">
    <cfRule type="expression" dxfId="849" priority="422">
      <formula>#REF!="70≠62+63+64+65+66+67+69"</formula>
    </cfRule>
  </conditionalFormatting>
  <conditionalFormatting sqref="Z82">
    <cfRule type="expression" dxfId="848" priority="423">
      <formula>#REF!="82≠83+84"</formula>
    </cfRule>
  </conditionalFormatting>
  <conditionalFormatting sqref="Z94">
    <cfRule type="expression" dxfId="847" priority="424">
      <formula>#REF!="94≠95+96"</formula>
    </cfRule>
  </conditionalFormatting>
  <conditionalFormatting sqref="Z106">
    <cfRule type="expression" dxfId="846" priority="425">
      <formula>#REF!="106≠107+108"</formula>
    </cfRule>
  </conditionalFormatting>
  <conditionalFormatting sqref="Z32">
    <cfRule type="expression" dxfId="845" priority="426">
      <formula>#REF!="32≠24+25+26+27+28+29+31"</formula>
    </cfRule>
  </conditionalFormatting>
  <conditionalFormatting sqref="Z44">
    <cfRule type="expression" dxfId="844" priority="427">
      <formula>#REF!="44≠36+37+38+39+40+41+43"</formula>
    </cfRule>
  </conditionalFormatting>
  <conditionalFormatting sqref="Z56">
    <cfRule type="expression" dxfId="843" priority="428">
      <formula>#REF!="56≠48+49+50+51+52+53+55"</formula>
    </cfRule>
  </conditionalFormatting>
  <conditionalFormatting sqref="Z70">
    <cfRule type="expression" dxfId="842" priority="429">
      <formula>#REF!="70≠71+72"</formula>
    </cfRule>
  </conditionalFormatting>
  <conditionalFormatting sqref="Z82">
    <cfRule type="expression" dxfId="841" priority="430">
      <formula>#REF!="82≠74+75+76+77+78+79+81"</formula>
    </cfRule>
  </conditionalFormatting>
  <conditionalFormatting sqref="Z94">
    <cfRule type="expression" dxfId="840" priority="431">
      <formula>#REF!="94≠86+87+88+89+90+91+93"</formula>
    </cfRule>
  </conditionalFormatting>
  <conditionalFormatting sqref="Z106">
    <cfRule type="expression" dxfId="839" priority="432">
      <formula>#REF!="106≠98+99+100+101+102+103+105"</formula>
    </cfRule>
  </conditionalFormatting>
  <conditionalFormatting sqref="N20">
    <cfRule type="expression" dxfId="838" priority="321">
      <formula>#REF!="20≠21+22"</formula>
    </cfRule>
    <cfRule type="expression" dxfId="837" priority="322">
      <formula>#REF!="20≠12+13+14+15+16+17+19"</formula>
    </cfRule>
  </conditionalFormatting>
  <conditionalFormatting sqref="N32">
    <cfRule type="expression" dxfId="836" priority="323">
      <formula>#REF!="32≠33+34"</formula>
    </cfRule>
  </conditionalFormatting>
  <conditionalFormatting sqref="N44">
    <cfRule type="expression" dxfId="835" priority="324">
      <formula>#REF!="44≠45+46"</formula>
    </cfRule>
  </conditionalFormatting>
  <conditionalFormatting sqref="N56">
    <cfRule type="expression" dxfId="834" priority="325">
      <formula>#REF!="56≠57+58"</formula>
    </cfRule>
  </conditionalFormatting>
  <conditionalFormatting sqref="N70">
    <cfRule type="expression" dxfId="833" priority="326">
      <formula>#REF!="70≠62+63+64+65+66+67+69"</formula>
    </cfRule>
  </conditionalFormatting>
  <conditionalFormatting sqref="N82">
    <cfRule type="expression" dxfId="832" priority="327">
      <formula>#REF!="82≠83+84"</formula>
    </cfRule>
  </conditionalFormatting>
  <conditionalFormatting sqref="N94">
    <cfRule type="expression" dxfId="831" priority="328">
      <formula>#REF!="94≠95+96"</formula>
    </cfRule>
  </conditionalFormatting>
  <conditionalFormatting sqref="N106">
    <cfRule type="expression" dxfId="830" priority="329">
      <formula>#REF!="106≠107+108"</formula>
    </cfRule>
  </conditionalFormatting>
  <conditionalFormatting sqref="N32">
    <cfRule type="expression" dxfId="829" priority="330">
      <formula>#REF!="32≠24+25+26+27+28+29+31"</formula>
    </cfRule>
  </conditionalFormatting>
  <conditionalFormatting sqref="N44">
    <cfRule type="expression" dxfId="828" priority="331">
      <formula>#REF!="44≠36+37+38+39+40+41+43"</formula>
    </cfRule>
  </conditionalFormatting>
  <conditionalFormatting sqref="N56">
    <cfRule type="expression" dxfId="827" priority="332">
      <formula>#REF!="56≠48+49+50+51+52+53+55"</formula>
    </cfRule>
  </conditionalFormatting>
  <conditionalFormatting sqref="N70">
    <cfRule type="expression" dxfId="826" priority="333">
      <formula>#REF!="70≠71+72"</formula>
    </cfRule>
  </conditionalFormatting>
  <conditionalFormatting sqref="N82">
    <cfRule type="expression" dxfId="825" priority="334">
      <formula>#REF!="82≠74+75+76+77+78+79+81"</formula>
    </cfRule>
  </conditionalFormatting>
  <conditionalFormatting sqref="N94">
    <cfRule type="expression" dxfId="824" priority="335">
      <formula>#REF!="94≠86+87+88+89+90+91+93"</formula>
    </cfRule>
  </conditionalFormatting>
  <conditionalFormatting sqref="N106">
    <cfRule type="expression" dxfId="823" priority="336">
      <formula>#REF!="106≠98+99+100+101+102+103+105"</formula>
    </cfRule>
  </conditionalFormatting>
  <conditionalFormatting sqref="W20">
    <cfRule type="expression" dxfId="822" priority="289">
      <formula>#REF!="20≠21+22"</formula>
    </cfRule>
    <cfRule type="expression" dxfId="821" priority="290">
      <formula>#REF!="20≠12+13+14+15+16+17+19"</formula>
    </cfRule>
  </conditionalFormatting>
  <conditionalFormatting sqref="W32">
    <cfRule type="expression" dxfId="820" priority="291">
      <formula>#REF!="32≠33+34"</formula>
    </cfRule>
  </conditionalFormatting>
  <conditionalFormatting sqref="W44">
    <cfRule type="expression" dxfId="819" priority="292">
      <formula>#REF!="44≠45+46"</formula>
    </cfRule>
  </conditionalFormatting>
  <conditionalFormatting sqref="W56">
    <cfRule type="expression" dxfId="818" priority="293">
      <formula>#REF!="56≠57+58"</formula>
    </cfRule>
  </conditionalFormatting>
  <conditionalFormatting sqref="W70">
    <cfRule type="expression" dxfId="817" priority="294">
      <formula>#REF!="70≠62+63+64+65+66+67+69"</formula>
    </cfRule>
  </conditionalFormatting>
  <conditionalFormatting sqref="W82">
    <cfRule type="expression" dxfId="816" priority="295">
      <formula>#REF!="82≠83+84"</formula>
    </cfRule>
  </conditionalFormatting>
  <conditionalFormatting sqref="W94">
    <cfRule type="expression" dxfId="815" priority="296">
      <formula>#REF!="94≠95+96"</formula>
    </cfRule>
  </conditionalFormatting>
  <conditionalFormatting sqref="W106">
    <cfRule type="expression" dxfId="814" priority="297">
      <formula>#REF!="106≠107+108"</formula>
    </cfRule>
  </conditionalFormatting>
  <conditionalFormatting sqref="W32">
    <cfRule type="expression" dxfId="813" priority="298">
      <formula>#REF!="32≠24+25+26+27+28+29+31"</formula>
    </cfRule>
  </conditionalFormatting>
  <conditionalFormatting sqref="W44">
    <cfRule type="expression" dxfId="812" priority="299">
      <formula>#REF!="44≠36+37+38+39+40+41+43"</formula>
    </cfRule>
  </conditionalFormatting>
  <conditionalFormatting sqref="W56">
    <cfRule type="expression" dxfId="811" priority="300">
      <formula>#REF!="56≠48+49+50+51+52+53+55"</formula>
    </cfRule>
  </conditionalFormatting>
  <conditionalFormatting sqref="W70">
    <cfRule type="expression" dxfId="810" priority="301">
      <formula>#REF!="70≠71+72"</formula>
    </cfRule>
  </conditionalFormatting>
  <conditionalFormatting sqref="W82">
    <cfRule type="expression" dxfId="809" priority="302">
      <formula>#REF!="82≠74+75+76+77+78+79+81"</formula>
    </cfRule>
  </conditionalFormatting>
  <conditionalFormatting sqref="W94">
    <cfRule type="expression" dxfId="808" priority="303">
      <formula>#REF!="94≠86+87+88+89+90+91+93"</formula>
    </cfRule>
  </conditionalFormatting>
  <conditionalFormatting sqref="W106">
    <cfRule type="expression" dxfId="807" priority="304">
      <formula>#REF!="106≠98+99+100+101+102+103+105"</formula>
    </cfRule>
  </conditionalFormatting>
  <conditionalFormatting sqref="AI20">
    <cfRule type="expression" dxfId="806" priority="257">
      <formula>#REF!="20≠21+22"</formula>
    </cfRule>
    <cfRule type="expression" dxfId="805" priority="258">
      <formula>#REF!="20≠12+13+14+15+16+17+19"</formula>
    </cfRule>
  </conditionalFormatting>
  <conditionalFormatting sqref="AI32">
    <cfRule type="expression" dxfId="804" priority="259">
      <formula>#REF!="32≠33+34"</formula>
    </cfRule>
  </conditionalFormatting>
  <conditionalFormatting sqref="AI44">
    <cfRule type="expression" dxfId="803" priority="260">
      <formula>#REF!="44≠45+46"</formula>
    </cfRule>
  </conditionalFormatting>
  <conditionalFormatting sqref="AI56">
    <cfRule type="expression" dxfId="802" priority="261">
      <formula>#REF!="56≠57+58"</formula>
    </cfRule>
  </conditionalFormatting>
  <conditionalFormatting sqref="AI70">
    <cfRule type="expression" dxfId="801" priority="262">
      <formula>#REF!="70≠62+63+64+65+66+67+69"</formula>
    </cfRule>
  </conditionalFormatting>
  <conditionalFormatting sqref="AI82">
    <cfRule type="expression" dxfId="800" priority="263">
      <formula>#REF!="82≠83+84"</formula>
    </cfRule>
  </conditionalFormatting>
  <conditionalFormatting sqref="AI94">
    <cfRule type="expression" dxfId="799" priority="264">
      <formula>#REF!="94≠95+96"</formula>
    </cfRule>
  </conditionalFormatting>
  <conditionalFormatting sqref="AI106">
    <cfRule type="expression" dxfId="798" priority="265">
      <formula>#REF!="106≠107+108"</formula>
    </cfRule>
  </conditionalFormatting>
  <conditionalFormatting sqref="AI32">
    <cfRule type="expression" dxfId="797" priority="266">
      <formula>#REF!="32≠24+25+26+27+28+29+31"</formula>
    </cfRule>
  </conditionalFormatting>
  <conditionalFormatting sqref="AI44">
    <cfRule type="expression" dxfId="796" priority="267">
      <formula>#REF!="44≠36+37+38+39+40+41+43"</formula>
    </cfRule>
  </conditionalFormatting>
  <conditionalFormatting sqref="AI56">
    <cfRule type="expression" dxfId="795" priority="268">
      <formula>#REF!="56≠48+49+50+51+52+53+55"</formula>
    </cfRule>
  </conditionalFormatting>
  <conditionalFormatting sqref="AI70">
    <cfRule type="expression" dxfId="794" priority="269">
      <formula>#REF!="70≠71+72"</formula>
    </cfRule>
  </conditionalFormatting>
  <conditionalFormatting sqref="AI82">
    <cfRule type="expression" dxfId="793" priority="270">
      <formula>#REF!="82≠74+75+76+77+78+79+81"</formula>
    </cfRule>
  </conditionalFormatting>
  <conditionalFormatting sqref="AI94">
    <cfRule type="expression" dxfId="792" priority="271">
      <formula>#REF!="94≠86+87+88+89+90+91+93"</formula>
    </cfRule>
  </conditionalFormatting>
  <conditionalFormatting sqref="AI106">
    <cfRule type="expression" dxfId="791" priority="272">
      <formula>#REF!="106≠98+99+100+101+102+103+105"</formula>
    </cfRule>
  </conditionalFormatting>
  <conditionalFormatting sqref="Q20">
    <cfRule type="expression" dxfId="790" priority="225">
      <formula>#REF!="20≠21+22"</formula>
    </cfRule>
    <cfRule type="expression" dxfId="789" priority="226">
      <formula>#REF!="20≠12+13+14+15+16+17+19"</formula>
    </cfRule>
  </conditionalFormatting>
  <conditionalFormatting sqref="Q32">
    <cfRule type="expression" dxfId="788" priority="227">
      <formula>#REF!="32≠33+34"</formula>
    </cfRule>
  </conditionalFormatting>
  <conditionalFormatting sqref="Q44">
    <cfRule type="expression" dxfId="787" priority="228">
      <formula>#REF!="44≠45+46"</formula>
    </cfRule>
  </conditionalFormatting>
  <conditionalFormatting sqref="Q56">
    <cfRule type="expression" dxfId="786" priority="229">
      <formula>#REF!="56≠57+58"</formula>
    </cfRule>
  </conditionalFormatting>
  <conditionalFormatting sqref="Q70">
    <cfRule type="expression" dxfId="785" priority="230">
      <formula>#REF!="70≠62+63+64+65+66+67+69"</formula>
    </cfRule>
  </conditionalFormatting>
  <conditionalFormatting sqref="Q82">
    <cfRule type="expression" dxfId="784" priority="231">
      <formula>#REF!="82≠83+84"</formula>
    </cfRule>
  </conditionalFormatting>
  <conditionalFormatting sqref="Q94">
    <cfRule type="expression" dxfId="783" priority="232">
      <formula>#REF!="94≠95+96"</formula>
    </cfRule>
  </conditionalFormatting>
  <conditionalFormatting sqref="Q106">
    <cfRule type="expression" dxfId="782" priority="233">
      <formula>#REF!="106≠107+108"</formula>
    </cfRule>
  </conditionalFormatting>
  <conditionalFormatting sqref="Q32">
    <cfRule type="expression" dxfId="781" priority="234">
      <formula>#REF!="32≠24+25+26+27+28+29+31"</formula>
    </cfRule>
  </conditionalFormatting>
  <conditionalFormatting sqref="Q44">
    <cfRule type="expression" dxfId="780" priority="235">
      <formula>#REF!="44≠36+37+38+39+40+41+43"</formula>
    </cfRule>
  </conditionalFormatting>
  <conditionalFormatting sqref="Q56">
    <cfRule type="expression" dxfId="779" priority="236">
      <formula>#REF!="56≠48+49+50+51+52+53+55"</formula>
    </cfRule>
  </conditionalFormatting>
  <conditionalFormatting sqref="Q70">
    <cfRule type="expression" dxfId="778" priority="237">
      <formula>#REF!="70≠71+72"</formula>
    </cfRule>
  </conditionalFormatting>
  <conditionalFormatting sqref="Q82">
    <cfRule type="expression" dxfId="777" priority="238">
      <formula>#REF!="82≠74+75+76+77+78+79+81"</formula>
    </cfRule>
  </conditionalFormatting>
  <conditionalFormatting sqref="Q94">
    <cfRule type="expression" dxfId="776" priority="239">
      <formula>#REF!="94≠86+87+88+89+90+91+93"</formula>
    </cfRule>
  </conditionalFormatting>
  <conditionalFormatting sqref="Q106">
    <cfRule type="expression" dxfId="775" priority="240">
      <formula>#REF!="106≠98+99+100+101+102+103+105"</formula>
    </cfRule>
  </conditionalFormatting>
  <conditionalFormatting sqref="AC20">
    <cfRule type="expression" dxfId="774" priority="193">
      <formula>#REF!="20≠21+22"</formula>
    </cfRule>
    <cfRule type="expression" dxfId="773" priority="194">
      <formula>#REF!="20≠12+13+14+15+16+17+19"</formula>
    </cfRule>
  </conditionalFormatting>
  <conditionalFormatting sqref="AC32">
    <cfRule type="expression" dxfId="772" priority="195">
      <formula>#REF!="32≠33+34"</formula>
    </cfRule>
  </conditionalFormatting>
  <conditionalFormatting sqref="AC44">
    <cfRule type="expression" dxfId="771" priority="196">
      <formula>#REF!="44≠45+46"</formula>
    </cfRule>
  </conditionalFormatting>
  <conditionalFormatting sqref="AC56">
    <cfRule type="expression" dxfId="770" priority="197">
      <formula>#REF!="56≠57+58"</formula>
    </cfRule>
  </conditionalFormatting>
  <conditionalFormatting sqref="AC70">
    <cfRule type="expression" dxfId="769" priority="198">
      <formula>#REF!="70≠62+63+64+65+66+67+69"</formula>
    </cfRule>
  </conditionalFormatting>
  <conditionalFormatting sqref="AC82">
    <cfRule type="expression" dxfId="768" priority="199">
      <formula>#REF!="82≠83+84"</formula>
    </cfRule>
  </conditionalFormatting>
  <conditionalFormatting sqref="AC94">
    <cfRule type="expression" dxfId="767" priority="200">
      <formula>#REF!="94≠95+96"</formula>
    </cfRule>
  </conditionalFormatting>
  <conditionalFormatting sqref="AC106">
    <cfRule type="expression" dxfId="766" priority="201">
      <formula>#REF!="106≠107+108"</formula>
    </cfRule>
  </conditionalFormatting>
  <conditionalFormatting sqref="AC32">
    <cfRule type="expression" dxfId="765" priority="202">
      <formula>#REF!="32≠24+25+26+27+28+29+31"</formula>
    </cfRule>
  </conditionalFormatting>
  <conditionalFormatting sqref="AC44">
    <cfRule type="expression" dxfId="764" priority="203">
      <formula>#REF!="44≠36+37+38+39+40+41+43"</formula>
    </cfRule>
  </conditionalFormatting>
  <conditionalFormatting sqref="AC56">
    <cfRule type="expression" dxfId="763" priority="204">
      <formula>#REF!="56≠48+49+50+51+52+53+55"</formula>
    </cfRule>
  </conditionalFormatting>
  <conditionalFormatting sqref="AC70">
    <cfRule type="expression" dxfId="762" priority="205">
      <formula>#REF!="70≠71+72"</formula>
    </cfRule>
  </conditionalFormatting>
  <conditionalFormatting sqref="AC82">
    <cfRule type="expression" dxfId="761" priority="206">
      <formula>#REF!="82≠74+75+76+77+78+79+81"</formula>
    </cfRule>
  </conditionalFormatting>
  <conditionalFormatting sqref="AC94">
    <cfRule type="expression" dxfId="760" priority="207">
      <formula>#REF!="94≠86+87+88+89+90+91+93"</formula>
    </cfRule>
  </conditionalFormatting>
  <conditionalFormatting sqref="AC106">
    <cfRule type="expression" dxfId="759" priority="208">
      <formula>#REF!="106≠98+99+100+101+102+103+105"</formula>
    </cfRule>
  </conditionalFormatting>
  <conditionalFormatting sqref="H20">
    <cfRule type="expression" dxfId="758" priority="161">
      <formula>#REF!="20≠21+22"</formula>
    </cfRule>
    <cfRule type="expression" dxfId="757" priority="162">
      <formula>#REF!="20≠12+13+14+15+16+17+19"</formula>
    </cfRule>
  </conditionalFormatting>
  <conditionalFormatting sqref="H32">
    <cfRule type="expression" dxfId="756" priority="163">
      <formula>#REF!="32≠33+34"</formula>
    </cfRule>
  </conditionalFormatting>
  <conditionalFormatting sqref="H44">
    <cfRule type="expression" dxfId="755" priority="164">
      <formula>#REF!="44≠45+46"</formula>
    </cfRule>
  </conditionalFormatting>
  <conditionalFormatting sqref="H56">
    <cfRule type="expression" dxfId="754" priority="165">
      <formula>#REF!="56≠57+58"</formula>
    </cfRule>
  </conditionalFormatting>
  <conditionalFormatting sqref="H70">
    <cfRule type="expression" dxfId="753" priority="166">
      <formula>#REF!="70≠62+63+64+65+66+67+69"</formula>
    </cfRule>
  </conditionalFormatting>
  <conditionalFormatting sqref="H82">
    <cfRule type="expression" dxfId="752" priority="167">
      <formula>#REF!="82≠83+84"</formula>
    </cfRule>
  </conditionalFormatting>
  <conditionalFormatting sqref="H94">
    <cfRule type="expression" dxfId="751" priority="168">
      <formula>#REF!="94≠95+96"</formula>
    </cfRule>
  </conditionalFormatting>
  <conditionalFormatting sqref="H106">
    <cfRule type="expression" dxfId="750" priority="169">
      <formula>#REF!="106≠107+108"</formula>
    </cfRule>
  </conditionalFormatting>
  <conditionalFormatting sqref="H32">
    <cfRule type="expression" dxfId="749" priority="170">
      <formula>#REF!="32≠24+25+26+27+28+29+31"</formula>
    </cfRule>
  </conditionalFormatting>
  <conditionalFormatting sqref="H44">
    <cfRule type="expression" dxfId="748" priority="171">
      <formula>#REF!="44≠36+37+38+39+40+41+43"</formula>
    </cfRule>
  </conditionalFormatting>
  <conditionalFormatting sqref="H56">
    <cfRule type="expression" dxfId="747" priority="172">
      <formula>#REF!="56≠48+49+50+51+52+53+55"</formula>
    </cfRule>
  </conditionalFormatting>
  <conditionalFormatting sqref="H70">
    <cfRule type="expression" dxfId="746" priority="173">
      <formula>#REF!="70≠71+72"</formula>
    </cfRule>
  </conditionalFormatting>
  <conditionalFormatting sqref="H82">
    <cfRule type="expression" dxfId="745" priority="174">
      <formula>#REF!="82≠74+75+76+77+78+79+81"</formula>
    </cfRule>
  </conditionalFormatting>
  <conditionalFormatting sqref="H94">
    <cfRule type="expression" dxfId="744" priority="175">
      <formula>#REF!="94≠86+87+88+89+90+91+93"</formula>
    </cfRule>
  </conditionalFormatting>
  <conditionalFormatting sqref="H106">
    <cfRule type="expression" dxfId="743" priority="176">
      <formula>#REF!="106≠98+99+100+101+102+103+105"</formula>
    </cfRule>
  </conditionalFormatting>
  <conditionalFormatting sqref="AF20">
    <cfRule type="expression" dxfId="742" priority="129">
      <formula>#REF!="20≠21+22"</formula>
    </cfRule>
    <cfRule type="expression" dxfId="741" priority="130">
      <formula>#REF!="20≠12+13+14+15+16+17+19"</formula>
    </cfRule>
  </conditionalFormatting>
  <conditionalFormatting sqref="AF32">
    <cfRule type="expression" dxfId="740" priority="131">
      <formula>#REF!="32≠33+34"</formula>
    </cfRule>
  </conditionalFormatting>
  <conditionalFormatting sqref="AF44">
    <cfRule type="expression" dxfId="739" priority="132">
      <formula>#REF!="44≠45+46"</formula>
    </cfRule>
  </conditionalFormatting>
  <conditionalFormatting sqref="AF56">
    <cfRule type="expression" dxfId="738" priority="133">
      <formula>#REF!="56≠57+58"</formula>
    </cfRule>
  </conditionalFormatting>
  <conditionalFormatting sqref="AF70">
    <cfRule type="expression" dxfId="737" priority="134">
      <formula>#REF!="70≠62+63+64+65+66+67+69"</formula>
    </cfRule>
  </conditionalFormatting>
  <conditionalFormatting sqref="AF82">
    <cfRule type="expression" dxfId="736" priority="135">
      <formula>#REF!="82≠83+84"</formula>
    </cfRule>
  </conditionalFormatting>
  <conditionalFormatting sqref="AF94">
    <cfRule type="expression" dxfId="735" priority="136">
      <formula>#REF!="94≠95+96"</formula>
    </cfRule>
  </conditionalFormatting>
  <conditionalFormatting sqref="AF106">
    <cfRule type="expression" dxfId="734" priority="137">
      <formula>#REF!="106≠107+108"</formula>
    </cfRule>
  </conditionalFormatting>
  <conditionalFormatting sqref="AF32">
    <cfRule type="expression" dxfId="733" priority="138">
      <formula>#REF!="32≠24+25+26+27+28+29+31"</formula>
    </cfRule>
  </conditionalFormatting>
  <conditionalFormatting sqref="AF44">
    <cfRule type="expression" dxfId="732" priority="139">
      <formula>#REF!="44≠36+37+38+39+40+41+43"</formula>
    </cfRule>
  </conditionalFormatting>
  <conditionalFormatting sqref="AF56">
    <cfRule type="expression" dxfId="731" priority="140">
      <formula>#REF!="56≠48+49+50+51+52+53+55"</formula>
    </cfRule>
  </conditionalFormatting>
  <conditionalFormatting sqref="AF70">
    <cfRule type="expression" dxfId="730" priority="141">
      <formula>#REF!="70≠71+72"</formula>
    </cfRule>
  </conditionalFormatting>
  <conditionalFormatting sqref="AF82">
    <cfRule type="expression" dxfId="729" priority="142">
      <formula>#REF!="82≠74+75+76+77+78+79+81"</formula>
    </cfRule>
  </conditionalFormatting>
  <conditionalFormatting sqref="AF94">
    <cfRule type="expression" dxfId="728" priority="143">
      <formula>#REF!="94≠86+87+88+89+90+91+93"</formula>
    </cfRule>
  </conditionalFormatting>
  <conditionalFormatting sqref="AF106">
    <cfRule type="expression" dxfId="727" priority="144">
      <formula>#REF!="106≠98+99+100+101+102+103+105"</formula>
    </cfRule>
  </conditionalFormatting>
  <conditionalFormatting sqref="E20">
    <cfRule type="expression" dxfId="726" priority="97">
      <formula>#REF!="20≠21+22"</formula>
    </cfRule>
    <cfRule type="expression" dxfId="725" priority="98">
      <formula>#REF!="20≠12+13+14+15+16+17+19"</formula>
    </cfRule>
  </conditionalFormatting>
  <conditionalFormatting sqref="E32">
    <cfRule type="expression" dxfId="724" priority="99">
      <formula>#REF!="32≠33+34"</formula>
    </cfRule>
  </conditionalFormatting>
  <conditionalFormatting sqref="E44">
    <cfRule type="expression" dxfId="723" priority="100">
      <formula>#REF!="44≠45+46"</formula>
    </cfRule>
  </conditionalFormatting>
  <conditionalFormatting sqref="E56">
    <cfRule type="expression" dxfId="722" priority="101">
      <formula>#REF!="56≠57+58"</formula>
    </cfRule>
  </conditionalFormatting>
  <conditionalFormatting sqref="E70">
    <cfRule type="expression" dxfId="721" priority="102">
      <formula>#REF!="70≠62+63+64+65+66+67+69"</formula>
    </cfRule>
  </conditionalFormatting>
  <conditionalFormatting sqref="E82">
    <cfRule type="expression" dxfId="720" priority="103">
      <formula>#REF!="82≠83+84"</formula>
    </cfRule>
  </conditionalFormatting>
  <conditionalFormatting sqref="E94">
    <cfRule type="expression" dxfId="719" priority="104">
      <formula>#REF!="94≠95+96"</formula>
    </cfRule>
  </conditionalFormatting>
  <conditionalFormatting sqref="E106">
    <cfRule type="expression" dxfId="718" priority="105">
      <formula>#REF!="106≠107+108"</formula>
    </cfRule>
  </conditionalFormatting>
  <conditionalFormatting sqref="E32">
    <cfRule type="expression" dxfId="717" priority="106">
      <formula>#REF!="32≠24+25+26+27+28+29+31"</formula>
    </cfRule>
  </conditionalFormatting>
  <conditionalFormatting sqref="E44">
    <cfRule type="expression" dxfId="716" priority="107">
      <formula>#REF!="44≠36+37+38+39+40+41+43"</formula>
    </cfRule>
  </conditionalFormatting>
  <conditionalFormatting sqref="E56">
    <cfRule type="expression" dxfId="715" priority="108">
      <formula>#REF!="56≠48+49+50+51+52+53+55"</formula>
    </cfRule>
  </conditionalFormatting>
  <conditionalFormatting sqref="E70">
    <cfRule type="expression" dxfId="714" priority="109">
      <formula>#REF!="70≠71+72"</formula>
    </cfRule>
  </conditionalFormatting>
  <conditionalFormatting sqref="E82">
    <cfRule type="expression" dxfId="713" priority="110">
      <formula>#REF!="82≠74+75+76+77+78+79+81"</formula>
    </cfRule>
  </conditionalFormatting>
  <conditionalFormatting sqref="E94">
    <cfRule type="expression" dxfId="712" priority="111">
      <formula>#REF!="94≠86+87+88+89+90+91+93"</formula>
    </cfRule>
  </conditionalFormatting>
  <conditionalFormatting sqref="E106">
    <cfRule type="expression" dxfId="711" priority="112">
      <formula>#REF!="106≠98+99+100+101+102+103+105"</formula>
    </cfRule>
  </conditionalFormatting>
  <conditionalFormatting sqref="B20">
    <cfRule type="expression" dxfId="710" priority="65">
      <formula>#REF!="20≠21+22"</formula>
    </cfRule>
    <cfRule type="expression" dxfId="709" priority="66">
      <formula>#REF!="20≠12+13+14+15+16+17+19"</formula>
    </cfRule>
  </conditionalFormatting>
  <conditionalFormatting sqref="B32">
    <cfRule type="expression" dxfId="708" priority="67">
      <formula>#REF!="32≠33+34"</formula>
    </cfRule>
  </conditionalFormatting>
  <conditionalFormatting sqref="B44">
    <cfRule type="expression" dxfId="707" priority="68">
      <formula>#REF!="44≠45+46"</formula>
    </cfRule>
  </conditionalFormatting>
  <conditionalFormatting sqref="B56">
    <cfRule type="expression" dxfId="706" priority="69">
      <formula>#REF!="56≠57+58"</formula>
    </cfRule>
  </conditionalFormatting>
  <conditionalFormatting sqref="B70">
    <cfRule type="expression" dxfId="705" priority="70">
      <formula>#REF!="70≠62+63+64+65+66+67+69"</formula>
    </cfRule>
  </conditionalFormatting>
  <conditionalFormatting sqref="B82">
    <cfRule type="expression" dxfId="704" priority="71">
      <formula>#REF!="82≠83+84"</formula>
    </cfRule>
  </conditionalFormatting>
  <conditionalFormatting sqref="B94">
    <cfRule type="expression" dxfId="703" priority="72">
      <formula>#REF!="94≠95+96"</formula>
    </cfRule>
  </conditionalFormatting>
  <conditionalFormatting sqref="B106">
    <cfRule type="expression" dxfId="702" priority="73">
      <formula>#REF!="106≠107+108"</formula>
    </cfRule>
  </conditionalFormatting>
  <conditionalFormatting sqref="B32">
    <cfRule type="expression" dxfId="701" priority="74">
      <formula>#REF!="32≠24+25+26+27+28+29+31"</formula>
    </cfRule>
  </conditionalFormatting>
  <conditionalFormatting sqref="B44">
    <cfRule type="expression" dxfId="700" priority="75">
      <formula>#REF!="44≠36+37+38+39+40+41+43"</formula>
    </cfRule>
  </conditionalFormatting>
  <conditionalFormatting sqref="B56">
    <cfRule type="expression" dxfId="699" priority="76">
      <formula>#REF!="56≠48+49+50+51+52+53+55"</formula>
    </cfRule>
  </conditionalFormatting>
  <conditionalFormatting sqref="B70">
    <cfRule type="expression" dxfId="698" priority="77">
      <formula>#REF!="70≠71+72"</formula>
    </cfRule>
  </conditionalFormatting>
  <conditionalFormatting sqref="B82">
    <cfRule type="expression" dxfId="697" priority="78">
      <formula>#REF!="82≠74+75+76+77+78+79+81"</formula>
    </cfRule>
  </conditionalFormatting>
  <conditionalFormatting sqref="B94">
    <cfRule type="expression" dxfId="696" priority="79">
      <formula>#REF!="94≠86+87+88+89+90+91+93"</formula>
    </cfRule>
  </conditionalFormatting>
  <conditionalFormatting sqref="B106">
    <cfRule type="expression" dxfId="695" priority="80">
      <formula>#REF!="106≠98+99+100+101+102+103+105"</formula>
    </cfRule>
  </conditionalFormatting>
  <conditionalFormatting sqref="T20">
    <cfRule type="expression" dxfId="694" priority="33">
      <formula>#REF!="20≠21+22"</formula>
    </cfRule>
    <cfRule type="expression" dxfId="693" priority="34">
      <formula>#REF!="20≠12+13+14+15+16+17+19"</formula>
    </cfRule>
  </conditionalFormatting>
  <conditionalFormatting sqref="T32">
    <cfRule type="expression" dxfId="692" priority="35">
      <formula>#REF!="32≠33+34"</formula>
    </cfRule>
  </conditionalFormatting>
  <conditionalFormatting sqref="T44">
    <cfRule type="expression" dxfId="691" priority="36">
      <formula>#REF!="44≠45+46"</formula>
    </cfRule>
  </conditionalFormatting>
  <conditionalFormatting sqref="T56">
    <cfRule type="expression" dxfId="690" priority="37">
      <formula>#REF!="56≠57+58"</formula>
    </cfRule>
  </conditionalFormatting>
  <conditionalFormatting sqref="T70">
    <cfRule type="expression" dxfId="689" priority="38">
      <formula>#REF!="70≠62+63+64+65+66+67+69"</formula>
    </cfRule>
  </conditionalFormatting>
  <conditionalFormatting sqref="T82">
    <cfRule type="expression" dxfId="688" priority="39">
      <formula>#REF!="82≠83+84"</formula>
    </cfRule>
  </conditionalFormatting>
  <conditionalFormatting sqref="T94">
    <cfRule type="expression" dxfId="687" priority="40">
      <formula>#REF!="94≠95+96"</formula>
    </cfRule>
  </conditionalFormatting>
  <conditionalFormatting sqref="T106">
    <cfRule type="expression" dxfId="686" priority="41">
      <formula>#REF!="106≠107+108"</formula>
    </cfRule>
  </conditionalFormatting>
  <conditionalFormatting sqref="T32">
    <cfRule type="expression" dxfId="685" priority="42">
      <formula>#REF!="32≠24+25+26+27+28+29+31"</formula>
    </cfRule>
  </conditionalFormatting>
  <conditionalFormatting sqref="T44">
    <cfRule type="expression" dxfId="684" priority="43">
      <formula>#REF!="44≠36+37+38+39+40+41+43"</formula>
    </cfRule>
  </conditionalFormatting>
  <conditionalFormatting sqref="T56">
    <cfRule type="expression" dxfId="683" priority="44">
      <formula>#REF!="56≠48+49+50+51+52+53+55"</formula>
    </cfRule>
  </conditionalFormatting>
  <conditionalFormatting sqref="T70">
    <cfRule type="expression" dxfId="682" priority="45">
      <formula>#REF!="70≠71+72"</formula>
    </cfRule>
  </conditionalFormatting>
  <conditionalFormatting sqref="T82">
    <cfRule type="expression" dxfId="681" priority="46">
      <formula>#REF!="82≠74+75+76+77+78+79+81"</formula>
    </cfRule>
  </conditionalFormatting>
  <conditionalFormatting sqref="T94">
    <cfRule type="expression" dxfId="680" priority="47">
      <formula>#REF!="94≠86+87+88+89+90+91+93"</formula>
    </cfRule>
  </conditionalFormatting>
  <conditionalFormatting sqref="T106">
    <cfRule type="expression" dxfId="679" priority="48">
      <formula>#REF!="106≠98+99+100+101+102+103+105"</formula>
    </cfRule>
  </conditionalFormatting>
  <conditionalFormatting sqref="K20">
    <cfRule type="expression" dxfId="678" priority="1">
      <formula>#REF!="20≠21+22"</formula>
    </cfRule>
    <cfRule type="expression" dxfId="677" priority="2">
      <formula>#REF!="20≠12+13+14+15+16+17+19"</formula>
    </cfRule>
  </conditionalFormatting>
  <conditionalFormatting sqref="K32">
    <cfRule type="expression" dxfId="676" priority="3">
      <formula>#REF!="32≠33+34"</formula>
    </cfRule>
  </conditionalFormatting>
  <conditionalFormatting sqref="K44">
    <cfRule type="expression" dxfId="675" priority="4">
      <formula>#REF!="44≠45+46"</formula>
    </cfRule>
  </conditionalFormatting>
  <conditionalFormatting sqref="K56">
    <cfRule type="expression" dxfId="674" priority="5">
      <formula>#REF!="56≠57+58"</formula>
    </cfRule>
  </conditionalFormatting>
  <conditionalFormatting sqref="K70">
    <cfRule type="expression" dxfId="673" priority="6">
      <formula>#REF!="70≠62+63+64+65+66+67+69"</formula>
    </cfRule>
  </conditionalFormatting>
  <conditionalFormatting sqref="K82">
    <cfRule type="expression" dxfId="672" priority="7">
      <formula>#REF!="82≠83+84"</formula>
    </cfRule>
  </conditionalFormatting>
  <conditionalFormatting sqref="K94">
    <cfRule type="expression" dxfId="671" priority="8">
      <formula>#REF!="94≠95+96"</formula>
    </cfRule>
  </conditionalFormatting>
  <conditionalFormatting sqref="K106">
    <cfRule type="expression" dxfId="670" priority="9">
      <formula>#REF!="106≠107+108"</formula>
    </cfRule>
  </conditionalFormatting>
  <conditionalFormatting sqref="K32">
    <cfRule type="expression" dxfId="669" priority="10">
      <formula>#REF!="32≠24+25+26+27+28+29+31"</formula>
    </cfRule>
  </conditionalFormatting>
  <conditionalFormatting sqref="K44">
    <cfRule type="expression" dxfId="668" priority="11">
      <formula>#REF!="44≠36+37+38+39+40+41+43"</formula>
    </cfRule>
  </conditionalFormatting>
  <conditionalFormatting sqref="K56">
    <cfRule type="expression" dxfId="667" priority="12">
      <formula>#REF!="56≠48+49+50+51+52+53+55"</formula>
    </cfRule>
  </conditionalFormatting>
  <conditionalFormatting sqref="K70">
    <cfRule type="expression" dxfId="666" priority="13">
      <formula>#REF!="70≠71+72"</formula>
    </cfRule>
  </conditionalFormatting>
  <conditionalFormatting sqref="K82">
    <cfRule type="expression" dxfId="665" priority="14">
      <formula>#REF!="82≠74+75+76+77+78+79+81"</formula>
    </cfRule>
  </conditionalFormatting>
  <conditionalFormatting sqref="K94">
    <cfRule type="expression" dxfId="664" priority="15">
      <formula>#REF!="94≠86+87+88+89+90+91+93"</formula>
    </cfRule>
  </conditionalFormatting>
  <conditionalFormatting sqref="K106">
    <cfRule type="expression" dxfId="663" priority="16">
      <formula>#REF!="106≠98+99+100+101+102+103+105"</formula>
    </cfRule>
  </conditionalFormatting>
  <conditionalFormatting sqref="AM20 AA20 O20 X20 AJ20 R20 AD20 I20 AG20 F20 C20 U20 L20">
    <cfRule type="expression" dxfId="662" priority="1586">
      <formula>#REF!="20≠21+22"</formula>
    </cfRule>
    <cfRule type="expression" dxfId="661" priority="1587">
      <formula>#REF!="20≠12+13+14+15+16+17+19"</formula>
    </cfRule>
  </conditionalFormatting>
  <conditionalFormatting sqref="AM32 AA32 O32 X32 AJ32 R32 AD32 I32 AG32 F32 C32 U32 L32">
    <cfRule type="expression" dxfId="660" priority="1588">
      <formula>#REF!="32≠33+34"</formula>
    </cfRule>
  </conditionalFormatting>
  <conditionalFormatting sqref="AM44 AA44 O44 X44 AJ44 R44 AD44 I44 AG44 F44 C44 U44 L44">
    <cfRule type="expression" dxfId="659" priority="1589">
      <formula>#REF!="44≠45+46"</formula>
    </cfRule>
  </conditionalFormatting>
  <conditionalFormatting sqref="AM56 AA56 O56 X56 AJ56 R56 AD56 I56 AG56 F56 C56 U56 L56">
    <cfRule type="expression" dxfId="658" priority="1590">
      <formula>#REF!="56≠57+58"</formula>
    </cfRule>
  </conditionalFormatting>
  <conditionalFormatting sqref="AM70 AA70 O70 X70 AJ70 R70 AD70 I70 AG70 F70 C70 U70 L70">
    <cfRule type="expression" dxfId="657" priority="1591">
      <formula>#REF!="70≠62+63+64+65+66+67+69"</formula>
    </cfRule>
  </conditionalFormatting>
  <conditionalFormatting sqref="AM82 AA82 O82 X82 AJ82 R82 AD82 I82 AG82 F82 C82 U82 L82">
    <cfRule type="expression" dxfId="656" priority="1592">
      <formula>#REF!="82≠83+84"</formula>
    </cfRule>
  </conditionalFormatting>
  <conditionalFormatting sqref="AM94 AA94 O94 X94 AJ94 R94 AD94 I94 AG94 F94 C94 U94 L94">
    <cfRule type="expression" dxfId="655" priority="1593">
      <formula>#REF!="94≠95+96"</formula>
    </cfRule>
  </conditionalFormatting>
  <conditionalFormatting sqref="AM106 AA106 O106 X106 AJ106 R106 AD106 I106 AG106 F106 C106 U106 L106">
    <cfRule type="expression" dxfId="654" priority="1594">
      <formula>#REF!="106≠107+108"</formula>
    </cfRule>
  </conditionalFormatting>
  <conditionalFormatting sqref="AM32 AA32 O32 X32 AJ32 R32 AD32 I32 AG32 F32 C32 U32 L32">
    <cfRule type="expression" dxfId="653" priority="1595">
      <formula>#REF!="32≠24+25+26+27+28+29+31"</formula>
    </cfRule>
  </conditionalFormatting>
  <conditionalFormatting sqref="AM44 AA44 O44 X44 AJ44 R44 AD44 I44 AG44 F44 C44 U44 L44">
    <cfRule type="expression" dxfId="652" priority="1596">
      <formula>#REF!="44≠36+37+38+39+40+41+43"</formula>
    </cfRule>
  </conditionalFormatting>
  <conditionalFormatting sqref="AM56 AA56 O56 X56 AJ56 R56 AD56 I56 AG56 F56 C56 U56 L56">
    <cfRule type="expression" dxfId="651" priority="1597">
      <formula>#REF!="56≠48+49+50+51+52+53+55"</formula>
    </cfRule>
  </conditionalFormatting>
  <conditionalFormatting sqref="AM70 AA70 O70 X70 AJ70 R70 AD70 I70 AG70 F70 C70 U70 L70">
    <cfRule type="expression" dxfId="650" priority="1598">
      <formula>#REF!="70≠71+72"</formula>
    </cfRule>
  </conditionalFormatting>
  <conditionalFormatting sqref="AM82 AA82 O82 X82 AJ82 R82 AD82 I82 AG82 F82 C82 U82 L82">
    <cfRule type="expression" dxfId="649" priority="1599">
      <formula>#REF!="82≠74+75+76+77+78+79+81"</formula>
    </cfRule>
  </conditionalFormatting>
  <conditionalFormatting sqref="AM94 AA94 O94 X94 AJ94 R94 AD94 I94 AG94 F94 C94 U94 L94">
    <cfRule type="expression" dxfId="648" priority="1600">
      <formula>#REF!="94≠86+87+88+89+90+91+93"</formula>
    </cfRule>
  </conditionalFormatting>
  <conditionalFormatting sqref="AM106 AA106 O106 X106 AJ106 R106 AD106 I106 AG106 F106 C106 U106 L106">
    <cfRule type="expression" dxfId="647" priority="1601">
      <formula>#REF!="106≠98+99+100+101+102+103+105"</formula>
    </cfRule>
  </conditionalFormatting>
  <hyperlinks>
    <hyperlink ref="B1" location="Innhold!A1" display="Tilbake" xr:uid="{00000000-0004-0000-1F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rowBreaks count="1" manualBreakCount="1">
    <brk id="59" max="39" man="1"/>
  </rowBreaks>
  <colBreaks count="4" manualBreakCount="4">
    <brk id="13" min="1" max="108" man="1"/>
    <brk id="37" min="1" max="108" man="1"/>
    <brk id="28" min="1" max="108" man="1"/>
    <brk id="34" min="1" max="10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U219"/>
  <sheetViews>
    <sheetView showGridLines="0" zoomScale="60" zoomScaleNormal="60" workbookViewId="0">
      <pane xSplit="1" ySplit="9" topLeftCell="B10" activePane="bottomRight" state="frozen"/>
      <selection activeCell="C1" sqref="C1"/>
      <selection pane="topRight" activeCell="C1" sqref="C1"/>
      <selection pane="bottomLeft" activeCell="C1" sqref="C1"/>
      <selection pane="bottomRight" activeCell="A5" sqref="A5"/>
    </sheetView>
  </sheetViews>
  <sheetFormatPr baseColWidth="10" defaultColWidth="12.5703125" defaultRowHeight="15.75" x14ac:dyDescent="0.25"/>
  <cols>
    <col min="1" max="1" width="90.7109375" style="569" customWidth="1"/>
    <col min="2" max="46" width="11.7109375" style="569" customWidth="1"/>
    <col min="47" max="16384" width="12.5703125" style="569"/>
  </cols>
  <sheetData>
    <row r="1" spans="1:47" ht="20.25" customHeight="1" x14ac:dyDescent="0.3">
      <c r="A1" s="516" t="s">
        <v>167</v>
      </c>
      <c r="B1" s="456" t="s">
        <v>52</v>
      </c>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row>
    <row r="2" spans="1:47" ht="20.100000000000001" customHeight="1" x14ac:dyDescent="0.3">
      <c r="A2" s="570" t="s">
        <v>253</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row>
    <row r="3" spans="1:47" ht="20.100000000000001" customHeight="1" x14ac:dyDescent="0.3">
      <c r="A3" s="571" t="s">
        <v>369</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98"/>
      <c r="AP3" s="592"/>
      <c r="AQ3" s="592"/>
      <c r="AR3" s="592"/>
      <c r="AS3" s="568"/>
      <c r="AT3" s="568"/>
      <c r="AU3" s="568"/>
    </row>
    <row r="4" spans="1:47" ht="20.100000000000001" customHeight="1" x14ac:dyDescent="0.3">
      <c r="A4" s="572" t="s">
        <v>370</v>
      </c>
      <c r="B4" s="573"/>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73"/>
      <c r="AD4" s="573"/>
      <c r="AE4" s="573"/>
      <c r="AF4" s="568"/>
      <c r="AG4" s="568"/>
      <c r="AH4" s="568"/>
      <c r="AI4" s="568"/>
      <c r="AJ4" s="568"/>
      <c r="AK4" s="568"/>
      <c r="AL4" s="568"/>
      <c r="AM4" s="568"/>
      <c r="AN4" s="568"/>
      <c r="AO4" s="568"/>
      <c r="AP4" s="568"/>
      <c r="AQ4" s="568"/>
      <c r="AR4" s="568"/>
      <c r="AS4" s="568"/>
      <c r="AT4" s="568"/>
      <c r="AU4" s="568"/>
    </row>
    <row r="5" spans="1:47" ht="18.75" customHeight="1" x14ac:dyDescent="0.3">
      <c r="A5" s="574" t="s">
        <v>347</v>
      </c>
      <c r="B5" s="575"/>
      <c r="C5" s="575"/>
      <c r="D5" s="576"/>
      <c r="E5" s="577"/>
      <c r="F5" s="575"/>
      <c r="G5" s="576"/>
      <c r="H5" s="577"/>
      <c r="I5" s="575"/>
      <c r="J5" s="576"/>
      <c r="K5" s="577"/>
      <c r="L5" s="575"/>
      <c r="M5" s="576"/>
      <c r="N5" s="575"/>
      <c r="O5" s="575"/>
      <c r="P5" s="575"/>
      <c r="Q5" s="575"/>
      <c r="R5" s="575"/>
      <c r="S5" s="576"/>
      <c r="T5" s="577"/>
      <c r="U5" s="575"/>
      <c r="V5" s="576"/>
      <c r="W5" s="577"/>
      <c r="X5" s="575"/>
      <c r="Y5" s="576"/>
      <c r="Z5" s="577"/>
      <c r="AA5" s="575"/>
      <c r="AB5" s="576"/>
      <c r="AC5" s="577"/>
      <c r="AD5" s="575"/>
      <c r="AE5" s="576"/>
      <c r="AF5" s="577"/>
      <c r="AG5" s="575"/>
      <c r="AH5" s="576"/>
      <c r="AI5" s="577"/>
      <c r="AJ5" s="575"/>
      <c r="AK5" s="576"/>
      <c r="AL5" s="577"/>
      <c r="AM5" s="575"/>
      <c r="AN5" s="576"/>
      <c r="AO5" s="577"/>
      <c r="AP5" s="575"/>
      <c r="AQ5" s="576"/>
      <c r="AR5" s="577"/>
      <c r="AS5" s="575"/>
      <c r="AT5" s="576"/>
      <c r="AU5" s="568"/>
    </row>
    <row r="6" spans="1:47" ht="18.75" customHeight="1" x14ac:dyDescent="0.3">
      <c r="A6" s="578" t="s">
        <v>98</v>
      </c>
      <c r="B6" s="1022" t="s">
        <v>504</v>
      </c>
      <c r="C6" s="1023"/>
      <c r="D6" s="1024"/>
      <c r="E6" s="1022" t="s">
        <v>170</v>
      </c>
      <c r="F6" s="1023"/>
      <c r="G6" s="1024"/>
      <c r="H6" s="1022" t="s">
        <v>461</v>
      </c>
      <c r="I6" s="1023"/>
      <c r="J6" s="1024"/>
      <c r="K6" s="1022" t="s">
        <v>171</v>
      </c>
      <c r="L6" s="1023"/>
      <c r="M6" s="1024"/>
      <c r="N6" s="1022" t="s">
        <v>172</v>
      </c>
      <c r="O6" s="1023"/>
      <c r="P6" s="1024"/>
      <c r="Q6" s="1022" t="s">
        <v>173</v>
      </c>
      <c r="R6" s="1023"/>
      <c r="S6" s="1024"/>
      <c r="T6" s="929" t="s">
        <v>173</v>
      </c>
      <c r="U6" s="930"/>
      <c r="V6" s="931"/>
      <c r="W6" s="864"/>
      <c r="X6" s="865"/>
      <c r="Y6" s="866"/>
      <c r="Z6" s="1022" t="s">
        <v>174</v>
      </c>
      <c r="AA6" s="1023"/>
      <c r="AB6" s="1024"/>
      <c r="AC6" s="912"/>
      <c r="AD6" s="913"/>
      <c r="AE6" s="914"/>
      <c r="AF6" s="1034" t="s">
        <v>67</v>
      </c>
      <c r="AG6" s="1035"/>
      <c r="AH6" s="1036"/>
      <c r="AI6" s="1022" t="s">
        <v>71</v>
      </c>
      <c r="AJ6" s="1023"/>
      <c r="AK6" s="1024"/>
      <c r="AL6" s="1022" t="s">
        <v>478</v>
      </c>
      <c r="AM6" s="1023"/>
      <c r="AN6" s="1024"/>
      <c r="AO6" s="1037" t="s">
        <v>2</v>
      </c>
      <c r="AP6" s="1038"/>
      <c r="AQ6" s="1039"/>
      <c r="AR6" s="1037" t="s">
        <v>2</v>
      </c>
      <c r="AS6" s="1038"/>
      <c r="AT6" s="1039"/>
      <c r="AU6" s="568"/>
    </row>
    <row r="7" spans="1:47" ht="18.75" customHeight="1" x14ac:dyDescent="0.3">
      <c r="A7" s="579"/>
      <c r="B7" s="1031" t="s">
        <v>177</v>
      </c>
      <c r="C7" s="1032"/>
      <c r="D7" s="1033"/>
      <c r="E7" s="1031" t="s">
        <v>176</v>
      </c>
      <c r="F7" s="1032"/>
      <c r="G7" s="1033"/>
      <c r="H7" s="1031" t="s">
        <v>176</v>
      </c>
      <c r="I7" s="1032"/>
      <c r="J7" s="1033"/>
      <c r="K7" s="1031" t="s">
        <v>176</v>
      </c>
      <c r="L7" s="1032"/>
      <c r="M7" s="1033"/>
      <c r="N7" s="1031" t="s">
        <v>177</v>
      </c>
      <c r="O7" s="1032"/>
      <c r="P7" s="1033"/>
      <c r="Q7" s="1031" t="s">
        <v>88</v>
      </c>
      <c r="R7" s="1032"/>
      <c r="S7" s="1033"/>
      <c r="T7" s="1031" t="s">
        <v>63</v>
      </c>
      <c r="U7" s="1032"/>
      <c r="V7" s="1033"/>
      <c r="W7" s="1031" t="s">
        <v>65</v>
      </c>
      <c r="X7" s="1032"/>
      <c r="Y7" s="1033"/>
      <c r="Z7" s="1031" t="s">
        <v>175</v>
      </c>
      <c r="AA7" s="1032"/>
      <c r="AB7" s="1033"/>
      <c r="AC7" s="1031" t="s">
        <v>70</v>
      </c>
      <c r="AD7" s="1032"/>
      <c r="AE7" s="1033"/>
      <c r="AF7" s="1043" t="s">
        <v>474</v>
      </c>
      <c r="AG7" s="1044"/>
      <c r="AH7" s="1045"/>
      <c r="AI7" s="1031" t="s">
        <v>176</v>
      </c>
      <c r="AJ7" s="1032"/>
      <c r="AK7" s="1033"/>
      <c r="AL7" s="1031" t="s">
        <v>176</v>
      </c>
      <c r="AM7" s="1032"/>
      <c r="AN7" s="1033"/>
      <c r="AO7" s="1040" t="s">
        <v>281</v>
      </c>
      <c r="AP7" s="1041"/>
      <c r="AQ7" s="1042"/>
      <c r="AR7" s="1040" t="s">
        <v>282</v>
      </c>
      <c r="AS7" s="1041"/>
      <c r="AT7" s="1042"/>
      <c r="AU7" s="568"/>
    </row>
    <row r="8" spans="1:47" ht="18.75" customHeight="1" x14ac:dyDescent="0.3">
      <c r="A8" s="579"/>
      <c r="B8" s="528"/>
      <c r="C8" s="528"/>
      <c r="D8" s="529" t="s">
        <v>79</v>
      </c>
      <c r="E8" s="528"/>
      <c r="F8" s="528"/>
      <c r="G8" s="529" t="s">
        <v>79</v>
      </c>
      <c r="H8" s="528"/>
      <c r="I8" s="528"/>
      <c r="J8" s="529" t="s">
        <v>79</v>
      </c>
      <c r="K8" s="528"/>
      <c r="L8" s="528"/>
      <c r="M8" s="529" t="s">
        <v>79</v>
      </c>
      <c r="N8" s="528"/>
      <c r="O8" s="528"/>
      <c r="P8" s="529" t="s">
        <v>79</v>
      </c>
      <c r="Q8" s="528"/>
      <c r="R8" s="528"/>
      <c r="S8" s="529" t="s">
        <v>79</v>
      </c>
      <c r="T8" s="528"/>
      <c r="U8" s="528"/>
      <c r="V8" s="529" t="s">
        <v>79</v>
      </c>
      <c r="W8" s="528"/>
      <c r="X8" s="528"/>
      <c r="Y8" s="529" t="s">
        <v>79</v>
      </c>
      <c r="Z8" s="528"/>
      <c r="AA8" s="528"/>
      <c r="AB8" s="529" t="s">
        <v>79</v>
      </c>
      <c r="AC8" s="528"/>
      <c r="AD8" s="528"/>
      <c r="AE8" s="529" t="s">
        <v>79</v>
      </c>
      <c r="AF8" s="528"/>
      <c r="AG8" s="528"/>
      <c r="AH8" s="529" t="s">
        <v>79</v>
      </c>
      <c r="AI8" s="528"/>
      <c r="AJ8" s="528"/>
      <c r="AK8" s="529" t="s">
        <v>79</v>
      </c>
      <c r="AL8" s="528"/>
      <c r="AM8" s="528"/>
      <c r="AN8" s="529" t="s">
        <v>79</v>
      </c>
      <c r="AO8" s="528"/>
      <c r="AP8" s="528"/>
      <c r="AQ8" s="529" t="s">
        <v>79</v>
      </c>
      <c r="AR8" s="528"/>
      <c r="AS8" s="528"/>
      <c r="AT8" s="529" t="s">
        <v>79</v>
      </c>
      <c r="AU8" s="568"/>
    </row>
    <row r="9" spans="1:47" ht="18.75" customHeight="1" x14ac:dyDescent="0.3">
      <c r="A9" s="580" t="s">
        <v>283</v>
      </c>
      <c r="B9" s="531">
        <v>2021</v>
      </c>
      <c r="C9" s="531">
        <v>2022</v>
      </c>
      <c r="D9" s="532" t="s">
        <v>81</v>
      </c>
      <c r="E9" s="531">
        <f>$B$9</f>
        <v>2021</v>
      </c>
      <c r="F9" s="531">
        <f>$C$9</f>
        <v>2022</v>
      </c>
      <c r="G9" s="532" t="s">
        <v>81</v>
      </c>
      <c r="H9" s="531">
        <f>$B$9</f>
        <v>2021</v>
      </c>
      <c r="I9" s="531">
        <f>$C$9</f>
        <v>2022</v>
      </c>
      <c r="J9" s="532" t="s">
        <v>81</v>
      </c>
      <c r="K9" s="531">
        <f>$B$9</f>
        <v>2021</v>
      </c>
      <c r="L9" s="531">
        <f>$C$9</f>
        <v>2022</v>
      </c>
      <c r="M9" s="532" t="s">
        <v>81</v>
      </c>
      <c r="N9" s="531">
        <f>$B$9</f>
        <v>2021</v>
      </c>
      <c r="O9" s="531">
        <f>$C$9</f>
        <v>2022</v>
      </c>
      <c r="P9" s="532" t="s">
        <v>81</v>
      </c>
      <c r="Q9" s="531">
        <f>$B$9</f>
        <v>2021</v>
      </c>
      <c r="R9" s="531">
        <f>$C$9</f>
        <v>2022</v>
      </c>
      <c r="S9" s="532" t="s">
        <v>81</v>
      </c>
      <c r="T9" s="531">
        <f>$B$9</f>
        <v>2021</v>
      </c>
      <c r="U9" s="531">
        <f>$C$9</f>
        <v>2022</v>
      </c>
      <c r="V9" s="532" t="s">
        <v>81</v>
      </c>
      <c r="W9" s="531">
        <f>$B$9</f>
        <v>2021</v>
      </c>
      <c r="X9" s="531">
        <f>$C$9</f>
        <v>2022</v>
      </c>
      <c r="Y9" s="532" t="s">
        <v>81</v>
      </c>
      <c r="Z9" s="531">
        <f>$B$9</f>
        <v>2021</v>
      </c>
      <c r="AA9" s="531">
        <f>$C$9</f>
        <v>2022</v>
      </c>
      <c r="AB9" s="532" t="s">
        <v>81</v>
      </c>
      <c r="AC9" s="531">
        <f>$B$9</f>
        <v>2021</v>
      </c>
      <c r="AD9" s="531">
        <f>$C$9</f>
        <v>2022</v>
      </c>
      <c r="AE9" s="532" t="s">
        <v>81</v>
      </c>
      <c r="AF9" s="531">
        <f>$B$9</f>
        <v>2021</v>
      </c>
      <c r="AG9" s="531">
        <f>$C$9</f>
        <v>2022</v>
      </c>
      <c r="AH9" s="532" t="s">
        <v>81</v>
      </c>
      <c r="AI9" s="531">
        <f>$B$9</f>
        <v>2021</v>
      </c>
      <c r="AJ9" s="531">
        <f>$C$9</f>
        <v>2022</v>
      </c>
      <c r="AK9" s="532" t="s">
        <v>81</v>
      </c>
      <c r="AL9" s="531">
        <f>$B$9</f>
        <v>2021</v>
      </c>
      <c r="AM9" s="531">
        <f>$C$9</f>
        <v>2022</v>
      </c>
      <c r="AN9" s="532" t="s">
        <v>81</v>
      </c>
      <c r="AO9" s="531">
        <f>$B$9</f>
        <v>2021</v>
      </c>
      <c r="AP9" s="531">
        <f>$C$9</f>
        <v>2022</v>
      </c>
      <c r="AQ9" s="532" t="s">
        <v>81</v>
      </c>
      <c r="AR9" s="531">
        <f>$B$9</f>
        <v>2021</v>
      </c>
      <c r="AS9" s="531">
        <f>$C$9</f>
        <v>2022</v>
      </c>
      <c r="AT9" s="532" t="s">
        <v>81</v>
      </c>
      <c r="AU9" s="568"/>
    </row>
    <row r="10" spans="1:47" ht="18.75" customHeight="1" x14ac:dyDescent="0.3">
      <c r="A10" s="581"/>
      <c r="B10" s="762"/>
      <c r="C10" s="763"/>
      <c r="D10" s="582"/>
      <c r="E10" s="762"/>
      <c r="F10" s="763"/>
      <c r="G10" s="583"/>
      <c r="H10" s="762"/>
      <c r="I10" s="763"/>
      <c r="J10" s="584"/>
      <c r="K10" s="762"/>
      <c r="L10" s="763"/>
      <c r="M10" s="584"/>
      <c r="N10" s="762"/>
      <c r="O10" s="763"/>
      <c r="P10" s="582"/>
      <c r="Q10" s="762"/>
      <c r="R10" s="763"/>
      <c r="S10" s="585"/>
      <c r="T10" s="762"/>
      <c r="U10" s="763"/>
      <c r="V10" s="583"/>
      <c r="W10" s="762"/>
      <c r="X10" s="763"/>
      <c r="Y10" s="583"/>
      <c r="Z10" s="762"/>
      <c r="AA10" s="763"/>
      <c r="AB10" s="583"/>
      <c r="AC10" s="762"/>
      <c r="AD10" s="763"/>
      <c r="AE10" s="583"/>
      <c r="AF10" s="762"/>
      <c r="AG10" s="763"/>
      <c r="AH10" s="583"/>
      <c r="AI10" s="762"/>
      <c r="AJ10" s="763"/>
      <c r="AK10" s="583"/>
      <c r="AL10" s="763"/>
      <c r="AM10" s="763"/>
      <c r="AN10" s="585"/>
      <c r="AO10" s="582"/>
      <c r="AP10" s="582"/>
      <c r="AQ10" s="583"/>
      <c r="AR10" s="582"/>
      <c r="AS10" s="582"/>
      <c r="AT10" s="583"/>
      <c r="AU10" s="568"/>
    </row>
    <row r="11" spans="1:47" ht="18.75" customHeight="1" x14ac:dyDescent="0.3">
      <c r="A11" s="537" t="s">
        <v>371</v>
      </c>
      <c r="B11" s="756"/>
      <c r="C11" s="757"/>
      <c r="D11" s="587"/>
      <c r="E11" s="756"/>
      <c r="F11" s="757"/>
      <c r="G11" s="588"/>
      <c r="H11" s="756"/>
      <c r="I11" s="757"/>
      <c r="J11" s="588"/>
      <c r="K11" s="756"/>
      <c r="L11" s="757"/>
      <c r="M11" s="588"/>
      <c r="N11" s="756"/>
      <c r="O11" s="757"/>
      <c r="P11" s="587"/>
      <c r="Q11" s="756"/>
      <c r="R11" s="757"/>
      <c r="S11" s="588"/>
      <c r="T11" s="756"/>
      <c r="U11" s="757"/>
      <c r="V11" s="588"/>
      <c r="W11" s="756"/>
      <c r="X11" s="757"/>
      <c r="Y11" s="588"/>
      <c r="Z11" s="756"/>
      <c r="AA11" s="757"/>
      <c r="AB11" s="588"/>
      <c r="AC11" s="756"/>
      <c r="AD11" s="757"/>
      <c r="AE11" s="588"/>
      <c r="AF11" s="756"/>
      <c r="AG11" s="757"/>
      <c r="AH11" s="588"/>
      <c r="AI11" s="756"/>
      <c r="AJ11" s="757"/>
      <c r="AK11" s="588"/>
      <c r="AL11" s="757"/>
      <c r="AM11" s="757"/>
      <c r="AN11" s="588"/>
      <c r="AO11" s="587"/>
      <c r="AP11" s="587"/>
      <c r="AQ11" s="588"/>
      <c r="AR11" s="587"/>
      <c r="AS11" s="587"/>
      <c r="AT11" s="588"/>
      <c r="AU11" s="568"/>
    </row>
    <row r="12" spans="1:47" s="591" customFormat="1" ht="18.75" customHeight="1" x14ac:dyDescent="0.3">
      <c r="A12" s="542" t="s">
        <v>351</v>
      </c>
      <c r="B12" s="758">
        <f>2.393+2.228</f>
        <v>4.6210000000000004</v>
      </c>
      <c r="C12" s="759">
        <v>-27.914999999999999</v>
      </c>
      <c r="D12" s="589">
        <f>IF(B12=0, "    ---- ", IF(ABS(ROUND(100/B12*C12-100,1))&lt;999,ROUND(100/B12*C12-100,1),IF(ROUND(100/B12*C12-100,1)&gt;999,999,-999)))</f>
        <v>-704.1</v>
      </c>
      <c r="E12" s="758">
        <v>256.61416722124557</v>
      </c>
      <c r="F12" s="759">
        <v>-229</v>
      </c>
      <c r="G12" s="590">
        <f t="shared" ref="G12:G17" si="0">IF(E12=0, "    ---- ", IF(ABS(ROUND(100/E12*F12-100,1))&lt;999,ROUND(100/E12*F12-100,1),IF(ROUND(100/E12*F12-100,1)&gt;999,999,-999)))</f>
        <v>-189.2</v>
      </c>
      <c r="H12" s="758"/>
      <c r="I12" s="759"/>
      <c r="J12" s="590"/>
      <c r="K12" s="758"/>
      <c r="L12" s="759"/>
      <c r="M12" s="590"/>
      <c r="N12" s="758"/>
      <c r="O12" s="759"/>
      <c r="P12" s="589"/>
      <c r="Q12" s="758"/>
      <c r="R12" s="759"/>
      <c r="S12" s="590"/>
      <c r="T12" s="758"/>
      <c r="U12" s="759"/>
      <c r="V12" s="590"/>
      <c r="W12" s="758">
        <v>294.18</v>
      </c>
      <c r="X12" s="759">
        <v>58.924266177975035</v>
      </c>
      <c r="Y12" s="590">
        <f>IF(W12=0, "    ---- ", IF(ABS(ROUND(100/W12*X12-100,1))&lt;999,ROUND(100/W12*X12-100,1),IF(ROUND(100/W12*X12-100,1)&gt;999,999,-999)))</f>
        <v>-80</v>
      </c>
      <c r="Z12" s="758"/>
      <c r="AA12" s="759"/>
      <c r="AB12" s="590"/>
      <c r="AC12" s="758"/>
      <c r="AD12" s="759"/>
      <c r="AE12" s="590"/>
      <c r="AF12" s="758">
        <v>197</v>
      </c>
      <c r="AG12" s="759">
        <v>-51</v>
      </c>
      <c r="AH12" s="590">
        <f>IF(AF12=0, "    ---- ", IF(ABS(ROUND(100/AF12*AG12-100,1))&lt;999,ROUND(100/AF12*AG12-100,1),IF(ROUND(100/AF12*AG12-100,1)&gt;999,999,-999)))</f>
        <v>-125.9</v>
      </c>
      <c r="AI12" s="758">
        <v>471</v>
      </c>
      <c r="AJ12" s="759">
        <v>-326</v>
      </c>
      <c r="AK12" s="590">
        <f t="shared" ref="AK12:AK22" si="1">IF(AI12=0, "    ---- ", IF(ABS(ROUND(100/AI12*AJ12-100,1))&lt;999,ROUND(100/AI12*AJ12-100,1),IF(ROUND(100/AI12*AJ12-100,1)&gt;999,999,-999)))</f>
        <v>-169.2</v>
      </c>
      <c r="AL12" s="759"/>
      <c r="AM12" s="759"/>
      <c r="AN12" s="590" t="str">
        <f t="shared" ref="AN12:AN17" si="2">IF(AL12=0, "    ---- ", IF(ABS(ROUND(100/AL12*AM12-100,1))&lt;999,ROUND(100/AL12*AM12-100,1),IF(ROUND(100/AL12*AM12-100,1)&gt;999,999,-999)))</f>
        <v xml:space="preserve">    ---- </v>
      </c>
      <c r="AO12" s="589">
        <f>B12+E12+H12+K12+N12+T12+W12+Z12+AF12+AI12</f>
        <v>1223.4151672212456</v>
      </c>
      <c r="AP12" s="589">
        <f t="shared" ref="AP12:AP22" si="3">C12+F12+I12+L12+O12+U12+AM12+X12+AA12+AG12+AJ12</f>
        <v>-574.99073382202505</v>
      </c>
      <c r="AQ12" s="590">
        <f t="shared" ref="AQ12:AQ43" si="4">IF(AO12=0, "    ---- ", IF(ABS(ROUND(100/AO12*AP12-100,1))&lt;999,ROUND(100/AO12*AP12-100,1),IF(ROUND(100/AO12*AP12-100,1)&gt;999,999,-999)))</f>
        <v>-147</v>
      </c>
      <c r="AR12" s="589">
        <f t="shared" ref="AR12:AR43" si="5">+B12+E12+H12+K12+N12+Q12+T12+AL12+W12+Z12+AC12+AF12+AI12</f>
        <v>1223.4151672212456</v>
      </c>
      <c r="AS12" s="589">
        <f t="shared" ref="AS12:AS43" si="6">+C12+F12+I12+L12+O12+R12+U12+AM12+X12+AA12+AD12+AG12+AJ12</f>
        <v>-574.99073382202505</v>
      </c>
      <c r="AT12" s="590">
        <f t="shared" ref="AT12:AT43" si="7">IF(AR12=0, "    ---- ", IF(ABS(ROUND(100/AR12*AS12-100,1))&lt;999,ROUND(100/AR12*AS12-100,1),IF(ROUND(100/AR12*AS12-100,1)&gt;999,999,-999)))</f>
        <v>-147</v>
      </c>
      <c r="AU12" s="568"/>
    </row>
    <row r="13" spans="1:47" s="591" customFormat="1" ht="18.75" customHeight="1" x14ac:dyDescent="0.3">
      <c r="A13" s="542" t="s">
        <v>352</v>
      </c>
      <c r="B13" s="758"/>
      <c r="C13" s="759">
        <v>8.2349999999999994</v>
      </c>
      <c r="D13" s="589" t="str">
        <f>IF(B13=0, "    ---- ", IF(ABS(ROUND(100/B13*C13-100,1))&lt;999,ROUND(100/B13*C13-100,1),IF(ROUND(100/B13*C13-100,1)&gt;999,999,-999)))</f>
        <v xml:space="preserve">    ---- </v>
      </c>
      <c r="E13" s="758">
        <v>-32.863366036034002</v>
      </c>
      <c r="F13" s="759">
        <v>230</v>
      </c>
      <c r="G13" s="590">
        <f t="shared" si="0"/>
        <v>-799.9</v>
      </c>
      <c r="H13" s="758"/>
      <c r="I13" s="759"/>
      <c r="J13" s="590"/>
      <c r="K13" s="758"/>
      <c r="L13" s="759"/>
      <c r="M13" s="590"/>
      <c r="N13" s="758"/>
      <c r="O13" s="759"/>
      <c r="P13" s="589"/>
      <c r="Q13" s="758"/>
      <c r="R13" s="759"/>
      <c r="S13" s="590"/>
      <c r="T13" s="758"/>
      <c r="U13" s="759"/>
      <c r="V13" s="590"/>
      <c r="W13" s="758">
        <v>-171.34</v>
      </c>
      <c r="X13" s="759">
        <v>-27.607424999999999</v>
      </c>
      <c r="Y13" s="590">
        <f>IF(W13=0, "    ---- ", IF(ABS(ROUND(100/W13*X13-100,1))&lt;999,ROUND(100/W13*X13-100,1),IF(ROUND(100/W13*X13-100,1)&gt;999,999,-999)))</f>
        <v>-83.9</v>
      </c>
      <c r="Z13" s="758"/>
      <c r="AA13" s="759"/>
      <c r="AB13" s="590"/>
      <c r="AC13" s="758"/>
      <c r="AD13" s="759"/>
      <c r="AE13" s="590"/>
      <c r="AF13" s="758">
        <v>-44</v>
      </c>
      <c r="AG13" s="759">
        <v>51</v>
      </c>
      <c r="AH13" s="590">
        <f>IF(AF13=0, "    ---- ", IF(ABS(ROUND(100/AF13*AG13-100,1))&lt;999,ROUND(100/AF13*AG13-100,1),IF(ROUND(100/AF13*AG13-100,1)&gt;999,999,-999)))</f>
        <v>-215.9</v>
      </c>
      <c r="AI13" s="758">
        <v>-185</v>
      </c>
      <c r="AJ13" s="759">
        <v>340</v>
      </c>
      <c r="AK13" s="590">
        <f t="shared" si="1"/>
        <v>-283.8</v>
      </c>
      <c r="AL13" s="759"/>
      <c r="AM13" s="759"/>
      <c r="AN13" s="590" t="str">
        <f t="shared" si="2"/>
        <v xml:space="preserve">    ---- </v>
      </c>
      <c r="AO13" s="589">
        <f t="shared" ref="AO13:AO22" si="8">B13+E13+H13+K13+N13+T13+W13+Z13+AF13+AI13</f>
        <v>-433.20336603603403</v>
      </c>
      <c r="AP13" s="589">
        <f t="shared" si="3"/>
        <v>601.62757499999998</v>
      </c>
      <c r="AQ13" s="590">
        <f t="shared" si="4"/>
        <v>-238.9</v>
      </c>
      <c r="AR13" s="589">
        <f t="shared" si="5"/>
        <v>-433.20336603603403</v>
      </c>
      <c r="AS13" s="589">
        <f t="shared" si="6"/>
        <v>601.62757499999998</v>
      </c>
      <c r="AT13" s="590">
        <f t="shared" si="7"/>
        <v>-238.9</v>
      </c>
      <c r="AU13" s="568"/>
    </row>
    <row r="14" spans="1:47" s="591" customFormat="1" ht="18.75" customHeight="1" x14ac:dyDescent="0.3">
      <c r="A14" s="542" t="s">
        <v>353</v>
      </c>
      <c r="B14" s="758">
        <f>-3.393-0.304</f>
        <v>-3.6969999999999996</v>
      </c>
      <c r="C14" s="759">
        <v>-3.0790000000000002</v>
      </c>
      <c r="D14" s="589">
        <f>IF(B14=0, "    ---- ", IF(ABS(ROUND(100/B14*C14-100,1))&lt;999,ROUND(100/B14*C14-100,1),IF(ROUND(100/B14*C14-100,1)&gt;999,999,-999)))</f>
        <v>-16.7</v>
      </c>
      <c r="E14" s="758">
        <v>-4.6791234727410043</v>
      </c>
      <c r="F14" s="759">
        <v>31</v>
      </c>
      <c r="G14" s="590">
        <f t="shared" si="0"/>
        <v>-762.5</v>
      </c>
      <c r="H14" s="758"/>
      <c r="I14" s="759"/>
      <c r="J14" s="590"/>
      <c r="K14" s="758"/>
      <c r="L14" s="759"/>
      <c r="M14" s="590"/>
      <c r="N14" s="758"/>
      <c r="O14" s="759"/>
      <c r="P14" s="589"/>
      <c r="Q14" s="758"/>
      <c r="R14" s="759"/>
      <c r="S14" s="590"/>
      <c r="T14" s="758"/>
      <c r="U14" s="759"/>
      <c r="V14" s="590"/>
      <c r="W14" s="758">
        <v>12.04</v>
      </c>
      <c r="X14" s="759">
        <v>12.424233990249292</v>
      </c>
      <c r="Y14" s="590">
        <f t="shared" ref="Y14:Y21" si="9">IF(W14=0, "    ---- ", IF(ABS(ROUND(100/W14*X14-100,1))&lt;999,ROUND(100/W14*X14-100,1),IF(ROUND(100/W14*X14-100,1)&gt;999,999,-999)))</f>
        <v>3.2</v>
      </c>
      <c r="Z14" s="758"/>
      <c r="AA14" s="759"/>
      <c r="AB14" s="590"/>
      <c r="AC14" s="758"/>
      <c r="AD14" s="759"/>
      <c r="AE14" s="590"/>
      <c r="AF14" s="758">
        <v>-25</v>
      </c>
      <c r="AG14" s="759">
        <v>-17</v>
      </c>
      <c r="AH14" s="590">
        <f>IF(AF14=0, "    ---- ", IF(ABS(ROUND(100/AF14*AG14-100,1))&lt;999,ROUND(100/AF14*AG14-100,1),IF(ROUND(100/AF14*AG14-100,1)&gt;999,999,-999)))</f>
        <v>-32</v>
      </c>
      <c r="AI14" s="758">
        <v>-53</v>
      </c>
      <c r="AJ14" s="759">
        <v>-42</v>
      </c>
      <c r="AK14" s="590">
        <f t="shared" si="1"/>
        <v>-20.8</v>
      </c>
      <c r="AL14" s="759"/>
      <c r="AM14" s="759"/>
      <c r="AN14" s="590" t="str">
        <f t="shared" si="2"/>
        <v xml:space="preserve">    ---- </v>
      </c>
      <c r="AO14" s="589">
        <f t="shared" si="8"/>
        <v>-74.336123472741008</v>
      </c>
      <c r="AP14" s="589">
        <f t="shared" si="3"/>
        <v>-18.654766009750709</v>
      </c>
      <c r="AQ14" s="590">
        <f t="shared" si="4"/>
        <v>-74.900000000000006</v>
      </c>
      <c r="AR14" s="589">
        <f t="shared" si="5"/>
        <v>-74.336123472741008</v>
      </c>
      <c r="AS14" s="589">
        <f t="shared" si="6"/>
        <v>-18.654766009750709</v>
      </c>
      <c r="AT14" s="590">
        <f t="shared" si="7"/>
        <v>-74.900000000000006</v>
      </c>
      <c r="AU14" s="568"/>
    </row>
    <row r="15" spans="1:47" s="591" customFormat="1" ht="18.75" customHeight="1" x14ac:dyDescent="0.3">
      <c r="A15" s="542" t="s">
        <v>354</v>
      </c>
      <c r="B15" s="758"/>
      <c r="C15" s="759"/>
      <c r="D15" s="589"/>
      <c r="E15" s="758">
        <v>18.675574700000002</v>
      </c>
      <c r="F15" s="759">
        <v>19</v>
      </c>
      <c r="G15" s="590">
        <f t="shared" si="0"/>
        <v>1.7</v>
      </c>
      <c r="H15" s="758"/>
      <c r="I15" s="759"/>
      <c r="J15" s="590"/>
      <c r="K15" s="758"/>
      <c r="L15" s="759"/>
      <c r="M15" s="590"/>
      <c r="N15" s="758"/>
      <c r="O15" s="759"/>
      <c r="P15" s="589"/>
      <c r="Q15" s="758"/>
      <c r="R15" s="759"/>
      <c r="S15" s="590"/>
      <c r="T15" s="758"/>
      <c r="U15" s="759"/>
      <c r="V15" s="590"/>
      <c r="W15" s="758">
        <v>0.56999999999999995</v>
      </c>
      <c r="X15" s="759">
        <v>0.51189530000000005</v>
      </c>
      <c r="Y15" s="590">
        <f t="shared" si="9"/>
        <v>-10.199999999999999</v>
      </c>
      <c r="Z15" s="758"/>
      <c r="AA15" s="759"/>
      <c r="AB15" s="590"/>
      <c r="AC15" s="758"/>
      <c r="AD15" s="759"/>
      <c r="AE15" s="590"/>
      <c r="AF15" s="758"/>
      <c r="AG15" s="759"/>
      <c r="AH15" s="590"/>
      <c r="AI15" s="758">
        <v>28</v>
      </c>
      <c r="AJ15" s="759">
        <v>26.5</v>
      </c>
      <c r="AK15" s="590">
        <f t="shared" si="1"/>
        <v>-5.4</v>
      </c>
      <c r="AL15" s="759"/>
      <c r="AM15" s="759"/>
      <c r="AN15" s="590" t="str">
        <f t="shared" si="2"/>
        <v xml:space="preserve">    ---- </v>
      </c>
      <c r="AO15" s="589">
        <f t="shared" si="8"/>
        <v>47.245574700000006</v>
      </c>
      <c r="AP15" s="589">
        <f t="shared" si="3"/>
        <v>46.011895299999999</v>
      </c>
      <c r="AQ15" s="590">
        <f t="shared" si="4"/>
        <v>-2.6</v>
      </c>
      <c r="AR15" s="589">
        <f t="shared" si="5"/>
        <v>47.245574700000006</v>
      </c>
      <c r="AS15" s="589">
        <f t="shared" si="6"/>
        <v>46.011895299999999</v>
      </c>
      <c r="AT15" s="590">
        <f t="shared" si="7"/>
        <v>-2.6</v>
      </c>
      <c r="AU15" s="568"/>
    </row>
    <row r="16" spans="1:47" s="591" customFormat="1" ht="18.75" customHeight="1" x14ac:dyDescent="0.3">
      <c r="A16" s="542" t="s">
        <v>355</v>
      </c>
      <c r="B16" s="758">
        <v>1.7450000000000001</v>
      </c>
      <c r="C16" s="759">
        <v>2.359</v>
      </c>
      <c r="D16" s="589">
        <f>IF(B16=0, "    ---- ", IF(ABS(ROUND(100/B16*C16-100,1))&lt;999,ROUND(100/B16*C16-100,1),IF(ROUND(100/B16*C16-100,1)&gt;999,999,-999)))</f>
        <v>35.200000000000003</v>
      </c>
      <c r="E16" s="758">
        <v>87.983970589999998</v>
      </c>
      <c r="F16" s="759">
        <v>86</v>
      </c>
      <c r="G16" s="590">
        <f t="shared" si="0"/>
        <v>-2.2999999999999998</v>
      </c>
      <c r="H16" s="758"/>
      <c r="I16" s="759"/>
      <c r="J16" s="590"/>
      <c r="K16" s="758"/>
      <c r="L16" s="759"/>
      <c r="M16" s="590"/>
      <c r="N16" s="758"/>
      <c r="O16" s="759"/>
      <c r="P16" s="589"/>
      <c r="Q16" s="758"/>
      <c r="R16" s="759"/>
      <c r="S16" s="590"/>
      <c r="T16" s="758"/>
      <c r="U16" s="759"/>
      <c r="V16" s="590"/>
      <c r="W16" s="758">
        <v>66.7</v>
      </c>
      <c r="X16" s="759">
        <v>63.855513999999999</v>
      </c>
      <c r="Y16" s="590">
        <f t="shared" si="9"/>
        <v>-4.3</v>
      </c>
      <c r="Z16" s="758"/>
      <c r="AA16" s="759"/>
      <c r="AB16" s="590"/>
      <c r="AC16" s="758"/>
      <c r="AD16" s="759"/>
      <c r="AE16" s="590"/>
      <c r="AF16" s="758">
        <v>19</v>
      </c>
      <c r="AG16" s="759">
        <v>19</v>
      </c>
      <c r="AH16" s="590">
        <f>IF(AF16=0, "    ---- ", IF(ABS(ROUND(100/AF16*AG16-100,1))&lt;999,ROUND(100/AF16*AG16-100,1),IF(ROUND(100/AF16*AG16-100,1)&gt;999,999,-999)))</f>
        <v>0</v>
      </c>
      <c r="AI16" s="758">
        <v>214</v>
      </c>
      <c r="AJ16" s="759">
        <v>207.5</v>
      </c>
      <c r="AK16" s="590">
        <f t="shared" si="1"/>
        <v>-3</v>
      </c>
      <c r="AL16" s="759"/>
      <c r="AM16" s="759"/>
      <c r="AN16" s="590" t="str">
        <f t="shared" si="2"/>
        <v xml:space="preserve">    ---- </v>
      </c>
      <c r="AO16" s="589">
        <f t="shared" si="8"/>
        <v>389.42897059000001</v>
      </c>
      <c r="AP16" s="589">
        <f t="shared" si="3"/>
        <v>378.71451400000001</v>
      </c>
      <c r="AQ16" s="590">
        <f t="shared" si="4"/>
        <v>-2.8</v>
      </c>
      <c r="AR16" s="589">
        <f t="shared" si="5"/>
        <v>389.42897059000001</v>
      </c>
      <c r="AS16" s="589">
        <f t="shared" si="6"/>
        <v>378.71451400000001</v>
      </c>
      <c r="AT16" s="590">
        <f t="shared" si="7"/>
        <v>-2.8</v>
      </c>
      <c r="AU16" s="568"/>
    </row>
    <row r="17" spans="1:47" s="591" customFormat="1" ht="18.75" customHeight="1" x14ac:dyDescent="0.3">
      <c r="A17" s="542" t="s">
        <v>356</v>
      </c>
      <c r="B17" s="758">
        <f>1.049+3.443</f>
        <v>4.492</v>
      </c>
      <c r="C17" s="759">
        <v>-2.968</v>
      </c>
      <c r="D17" s="589">
        <f>IF(B17=0, "    ---- ", IF(ABS(ROUND(100/B17*C17-100,1))&lt;999,ROUND(100/B17*C17-100,1),IF(ROUND(100/B17*C17-100,1)&gt;999,999,-999)))</f>
        <v>-166.1</v>
      </c>
      <c r="E17" s="758">
        <v>-9.7063690418468695</v>
      </c>
      <c r="F17" s="759">
        <v>14</v>
      </c>
      <c r="G17" s="590">
        <f t="shared" si="0"/>
        <v>-244.2</v>
      </c>
      <c r="H17" s="758"/>
      <c r="I17" s="759"/>
      <c r="J17" s="590"/>
      <c r="K17" s="758"/>
      <c r="L17" s="759"/>
      <c r="M17" s="590"/>
      <c r="N17" s="758"/>
      <c r="O17" s="759"/>
      <c r="P17" s="589"/>
      <c r="Q17" s="758"/>
      <c r="R17" s="759"/>
      <c r="S17" s="590"/>
      <c r="T17" s="758"/>
      <c r="U17" s="759"/>
      <c r="V17" s="590"/>
      <c r="W17" s="758">
        <v>12.24</v>
      </c>
      <c r="X17" s="759">
        <v>-0.79124777097404975</v>
      </c>
      <c r="Y17" s="590">
        <f t="shared" si="9"/>
        <v>-106.5</v>
      </c>
      <c r="Z17" s="758"/>
      <c r="AA17" s="759"/>
      <c r="AB17" s="590"/>
      <c r="AC17" s="758"/>
      <c r="AD17" s="759"/>
      <c r="AE17" s="590"/>
      <c r="AF17" s="758">
        <v>16</v>
      </c>
      <c r="AG17" s="759">
        <v>2</v>
      </c>
      <c r="AH17" s="590">
        <f>IF(AF17=0, "    ---- ", IF(ABS(ROUND(100/AF17*AG17-100,1))&lt;999,ROUND(100/AF17*AG17-100,1),IF(ROUND(100/AF17*AG17-100,1)&gt;999,999,-999)))</f>
        <v>-87.5</v>
      </c>
      <c r="AI17" s="758">
        <v>-48.4</v>
      </c>
      <c r="AJ17" s="759">
        <v>-7</v>
      </c>
      <c r="AK17" s="590">
        <f t="shared" si="1"/>
        <v>-85.5</v>
      </c>
      <c r="AL17" s="759"/>
      <c r="AM17" s="759"/>
      <c r="AN17" s="590" t="str">
        <f t="shared" si="2"/>
        <v xml:space="preserve">    ---- </v>
      </c>
      <c r="AO17" s="589">
        <f t="shared" si="8"/>
        <v>-25.374369041846869</v>
      </c>
      <c r="AP17" s="589">
        <f t="shared" si="3"/>
        <v>5.2407522290259507</v>
      </c>
      <c r="AQ17" s="590">
        <f t="shared" si="4"/>
        <v>-120.7</v>
      </c>
      <c r="AR17" s="589">
        <f t="shared" si="5"/>
        <v>-25.374369041846869</v>
      </c>
      <c r="AS17" s="589">
        <f t="shared" si="6"/>
        <v>5.2407522290259507</v>
      </c>
      <c r="AT17" s="590">
        <f t="shared" si="7"/>
        <v>-120.7</v>
      </c>
      <c r="AU17" s="568"/>
    </row>
    <row r="18" spans="1:47" s="591" customFormat="1" ht="18.75" customHeight="1" x14ac:dyDescent="0.3">
      <c r="A18" s="542" t="s">
        <v>357</v>
      </c>
      <c r="B18" s="758"/>
      <c r="C18" s="759"/>
      <c r="D18" s="589"/>
      <c r="E18" s="758"/>
      <c r="F18" s="759"/>
      <c r="G18" s="590"/>
      <c r="H18" s="758"/>
      <c r="I18" s="759"/>
      <c r="J18" s="590"/>
      <c r="K18" s="758"/>
      <c r="L18" s="759"/>
      <c r="M18" s="590"/>
      <c r="N18" s="758"/>
      <c r="O18" s="759"/>
      <c r="P18" s="589"/>
      <c r="Q18" s="758"/>
      <c r="R18" s="759"/>
      <c r="S18" s="590"/>
      <c r="T18" s="758"/>
      <c r="U18" s="759"/>
      <c r="V18" s="590"/>
      <c r="W18" s="758">
        <v>22.91</v>
      </c>
      <c r="X18" s="759">
        <v>22.794711222223341</v>
      </c>
      <c r="Y18" s="590">
        <f t="shared" si="9"/>
        <v>-0.5</v>
      </c>
      <c r="Z18" s="758"/>
      <c r="AA18" s="759"/>
      <c r="AB18" s="590"/>
      <c r="AC18" s="758"/>
      <c r="AD18" s="759"/>
      <c r="AE18" s="590"/>
      <c r="AF18" s="758"/>
      <c r="AG18" s="759"/>
      <c r="AH18" s="590"/>
      <c r="AI18" s="758">
        <v>-48</v>
      </c>
      <c r="AJ18" s="759">
        <v>-7</v>
      </c>
      <c r="AK18" s="590">
        <f t="shared" si="1"/>
        <v>-85.4</v>
      </c>
      <c r="AL18" s="759"/>
      <c r="AM18" s="759"/>
      <c r="AN18" s="590"/>
      <c r="AO18" s="589">
        <f t="shared" si="8"/>
        <v>-25.09</v>
      </c>
      <c r="AP18" s="589">
        <f t="shared" si="3"/>
        <v>15.794711222223341</v>
      </c>
      <c r="AQ18" s="590">
        <f t="shared" si="4"/>
        <v>-163</v>
      </c>
      <c r="AR18" s="589">
        <f t="shared" si="5"/>
        <v>-25.09</v>
      </c>
      <c r="AS18" s="589">
        <f t="shared" si="6"/>
        <v>15.794711222223341</v>
      </c>
      <c r="AT18" s="590">
        <f t="shared" si="7"/>
        <v>-163</v>
      </c>
      <c r="AU18" s="568"/>
    </row>
    <row r="19" spans="1:47" s="591" customFormat="1" ht="18.75" customHeight="1" x14ac:dyDescent="0.3">
      <c r="A19" s="542" t="s">
        <v>358</v>
      </c>
      <c r="B19" s="758"/>
      <c r="C19" s="759"/>
      <c r="D19" s="589"/>
      <c r="E19" s="758"/>
      <c r="F19" s="759"/>
      <c r="G19" s="590"/>
      <c r="H19" s="758"/>
      <c r="I19" s="759"/>
      <c r="J19" s="590"/>
      <c r="K19" s="758"/>
      <c r="L19" s="759"/>
      <c r="M19" s="590"/>
      <c r="N19" s="758"/>
      <c r="O19" s="759"/>
      <c r="P19" s="589"/>
      <c r="Q19" s="758"/>
      <c r="R19" s="759"/>
      <c r="S19" s="590"/>
      <c r="T19" s="758"/>
      <c r="U19" s="759"/>
      <c r="V19" s="590"/>
      <c r="W19" s="758">
        <v>0</v>
      </c>
      <c r="X19" s="759">
        <v>0</v>
      </c>
      <c r="Y19" s="590" t="str">
        <f t="shared" si="9"/>
        <v xml:space="preserve">    ---- </v>
      </c>
      <c r="Z19" s="758"/>
      <c r="AA19" s="759"/>
      <c r="AB19" s="590"/>
      <c r="AC19" s="758"/>
      <c r="AD19" s="759"/>
      <c r="AE19" s="590"/>
      <c r="AF19" s="758"/>
      <c r="AG19" s="759"/>
      <c r="AH19" s="590"/>
      <c r="AI19" s="758"/>
      <c r="AJ19" s="759"/>
      <c r="AK19" s="590"/>
      <c r="AL19" s="759"/>
      <c r="AM19" s="759"/>
      <c r="AN19" s="590" t="str">
        <f>IF(AL19=0, "    ---- ", IF(ABS(ROUND(100/AL19*AM19-100,1))&lt;999,ROUND(100/AL19*AM19-100,1),IF(ROUND(100/AL19*AM19-100,1)&gt;999,999,-999)))</f>
        <v xml:space="preserve">    ---- </v>
      </c>
      <c r="AO19" s="589">
        <f t="shared" si="8"/>
        <v>0</v>
      </c>
      <c r="AP19" s="589">
        <f t="shared" si="3"/>
        <v>0</v>
      </c>
      <c r="AQ19" s="590" t="str">
        <f t="shared" si="4"/>
        <v xml:space="preserve">    ---- </v>
      </c>
      <c r="AR19" s="589">
        <f t="shared" si="5"/>
        <v>0</v>
      </c>
      <c r="AS19" s="589">
        <f t="shared" si="6"/>
        <v>0</v>
      </c>
      <c r="AT19" s="590" t="str">
        <f t="shared" si="7"/>
        <v xml:space="preserve">    ---- </v>
      </c>
      <c r="AU19" s="568"/>
    </row>
    <row r="20" spans="1:47" s="593" customFormat="1" ht="18.75" customHeight="1" x14ac:dyDescent="0.3">
      <c r="A20" s="537" t="s">
        <v>359</v>
      </c>
      <c r="B20" s="756">
        <f>SUM(B12:B17)+B19</f>
        <v>7.1610000000000014</v>
      </c>
      <c r="C20" s="757">
        <f>SUM(C12:C17)+C19</f>
        <v>-23.367999999999999</v>
      </c>
      <c r="D20" s="587">
        <f>IF(B20=0, "    ---- ", IF(ABS(ROUND(100/B20*C20-100,1))&lt;999,ROUND(100/B20*C20-100,1),IF(ROUND(100/B20*C20-100,1)&gt;999,999,-999)))</f>
        <v>-426.3</v>
      </c>
      <c r="E20" s="756">
        <f>SUM(E12:E17)+E19</f>
        <v>316.02485396062372</v>
      </c>
      <c r="F20" s="757">
        <f>SUM(F12:F17)+F19</f>
        <v>151</v>
      </c>
      <c r="G20" s="588">
        <f>IF(E20=0, "    ---- ", IF(ABS(ROUND(100/E20*F20-100,1))&lt;999,ROUND(100/E20*F20-100,1),IF(ROUND(100/E20*F20-100,1)&gt;999,999,-999)))</f>
        <v>-52.2</v>
      </c>
      <c r="H20" s="756"/>
      <c r="I20" s="757"/>
      <c r="J20" s="588"/>
      <c r="K20" s="756"/>
      <c r="L20" s="757"/>
      <c r="M20" s="588"/>
      <c r="N20" s="756"/>
      <c r="O20" s="757"/>
      <c r="P20" s="587"/>
      <c r="Q20" s="756"/>
      <c r="R20" s="757"/>
      <c r="S20" s="588"/>
      <c r="T20" s="756"/>
      <c r="U20" s="757"/>
      <c r="V20" s="588"/>
      <c r="W20" s="756">
        <f>SUM(W12:W17)+W19</f>
        <v>214.39</v>
      </c>
      <c r="X20" s="757">
        <f>SUM(X12:X17)+X19</f>
        <v>107.31723669725028</v>
      </c>
      <c r="Y20" s="588">
        <f t="shared" si="9"/>
        <v>-49.9</v>
      </c>
      <c r="Z20" s="756"/>
      <c r="AA20" s="757"/>
      <c r="AB20" s="588"/>
      <c r="AC20" s="756"/>
      <c r="AD20" s="757"/>
      <c r="AE20" s="588"/>
      <c r="AF20" s="756">
        <f>SUM(AF12:AF17)+AF19</f>
        <v>163</v>
      </c>
      <c r="AG20" s="757">
        <f>SUM(AG12:AG17)+AG19</f>
        <v>4</v>
      </c>
      <c r="AH20" s="588">
        <f>IF(AF20=0, "    ---- ", IF(ABS(ROUND(100/AF20*AG20-100,1))&lt;999,ROUND(100/AF20*AG20-100,1),IF(ROUND(100/AF20*AG20-100,1)&gt;999,999,-999)))</f>
        <v>-97.5</v>
      </c>
      <c r="AI20" s="756">
        <f>SUM(AI12:AI17)+AI19</f>
        <v>426.6</v>
      </c>
      <c r="AJ20" s="757">
        <f>SUM(AJ12:AJ17)+AJ19</f>
        <v>199</v>
      </c>
      <c r="AK20" s="588">
        <f t="shared" si="1"/>
        <v>-53.4</v>
      </c>
      <c r="AL20" s="757"/>
      <c r="AM20" s="757">
        <f>SUM(AM12:AM17)+AM19</f>
        <v>0</v>
      </c>
      <c r="AN20" s="588" t="str">
        <f>IF(AL20=0, "    ---- ", IF(ABS(ROUND(100/AL20*AM20-100,1))&lt;999,ROUND(100/AL20*AM20-100,1),IF(ROUND(100/AL20*AM20-100,1)&gt;999,999,-999)))</f>
        <v xml:space="preserve">    ---- </v>
      </c>
      <c r="AO20" s="587">
        <f t="shared" si="8"/>
        <v>1127.1758539606237</v>
      </c>
      <c r="AP20" s="587">
        <f t="shared" si="3"/>
        <v>437.94923669725029</v>
      </c>
      <c r="AQ20" s="588">
        <f t="shared" si="4"/>
        <v>-61.1</v>
      </c>
      <c r="AR20" s="587">
        <f t="shared" si="5"/>
        <v>1127.1758539606237</v>
      </c>
      <c r="AS20" s="587">
        <f t="shared" si="6"/>
        <v>437.94923669725029</v>
      </c>
      <c r="AT20" s="588">
        <f t="shared" si="7"/>
        <v>-61.1</v>
      </c>
      <c r="AU20" s="592"/>
    </row>
    <row r="21" spans="1:47" s="591" customFormat="1" ht="18.75" customHeight="1" x14ac:dyDescent="0.3">
      <c r="A21" s="542" t="s">
        <v>360</v>
      </c>
      <c r="B21" s="758">
        <f>1.722+2.228+0.524+2.393</f>
        <v>6.867</v>
      </c>
      <c r="C21" s="759">
        <v>0</v>
      </c>
      <c r="D21" s="589">
        <f>IF(B21=0, "    ---- ", IF(ABS(ROUND(100/B21*C21-100,1))&lt;999,ROUND(100/B21*C21-100,1),IF(ROUND(100/B21*C21-100,1)&gt;999,999,-999)))</f>
        <v>-100</v>
      </c>
      <c r="E21" s="758">
        <v>227.52416693970599</v>
      </c>
      <c r="F21" s="759">
        <v>11</v>
      </c>
      <c r="G21" s="590">
        <f>IF(E21=0, "    ---- ", IF(ABS(ROUND(100/E21*F21-100,1))&lt;999,ROUND(100/E21*F21-100,1),IF(ROUND(100/E21*F21-100,1)&gt;999,999,-999)))</f>
        <v>-95.2</v>
      </c>
      <c r="H21" s="758"/>
      <c r="I21" s="759"/>
      <c r="J21" s="590"/>
      <c r="K21" s="758"/>
      <c r="L21" s="759"/>
      <c r="M21" s="590"/>
      <c r="N21" s="758"/>
      <c r="O21" s="759"/>
      <c r="P21" s="589"/>
      <c r="Q21" s="758"/>
      <c r="R21" s="759"/>
      <c r="S21" s="590"/>
      <c r="T21" s="758"/>
      <c r="U21" s="759"/>
      <c r="V21" s="590"/>
      <c r="W21" s="758">
        <v>127.82</v>
      </c>
      <c r="X21" s="759">
        <v>30.646128229025951</v>
      </c>
      <c r="Y21" s="590">
        <f t="shared" si="9"/>
        <v>-76</v>
      </c>
      <c r="Z21" s="758"/>
      <c r="AA21" s="759"/>
      <c r="AB21" s="590"/>
      <c r="AC21" s="758"/>
      <c r="AD21" s="759"/>
      <c r="AE21" s="590"/>
      <c r="AF21" s="758">
        <v>159</v>
      </c>
      <c r="AG21" s="759">
        <v>1</v>
      </c>
      <c r="AH21" s="590">
        <f>IF(AF21=0, "    ---- ", IF(ABS(ROUND(100/AF21*AG21-100,1))&lt;999,ROUND(100/AF21*AG21-100,1),IF(ROUND(100/AF21*AG21-100,1)&gt;999,999,-999)))</f>
        <v>-99.4</v>
      </c>
      <c r="AI21" s="758">
        <v>286</v>
      </c>
      <c r="AJ21" s="759">
        <v>16</v>
      </c>
      <c r="AK21" s="590">
        <f t="shared" si="1"/>
        <v>-94.4</v>
      </c>
      <c r="AL21" s="759"/>
      <c r="AM21" s="759"/>
      <c r="AN21" s="590" t="str">
        <f>IF(AL21=0, "    ---- ", IF(ABS(ROUND(100/AL21*AM21-100,1))&lt;999,ROUND(100/AL21*AM21-100,1),IF(ROUND(100/AL21*AM21-100,1)&gt;999,999,-999)))</f>
        <v xml:space="preserve">    ---- </v>
      </c>
      <c r="AO21" s="589">
        <f t="shared" si="8"/>
        <v>807.211166939706</v>
      </c>
      <c r="AP21" s="589">
        <f t="shared" si="3"/>
        <v>58.646128229025948</v>
      </c>
      <c r="AQ21" s="590">
        <f t="shared" si="4"/>
        <v>-92.7</v>
      </c>
      <c r="AR21" s="589">
        <f t="shared" si="5"/>
        <v>807.211166939706</v>
      </c>
      <c r="AS21" s="589">
        <f t="shared" si="6"/>
        <v>58.646128229025948</v>
      </c>
      <c r="AT21" s="590">
        <f t="shared" si="7"/>
        <v>-92.7</v>
      </c>
      <c r="AU21" s="568"/>
    </row>
    <row r="22" spans="1:47" s="591" customFormat="1" ht="18.75" customHeight="1" x14ac:dyDescent="0.3">
      <c r="A22" s="542" t="s">
        <v>361</v>
      </c>
      <c r="B22" s="758">
        <f>-1.124+1.418</f>
        <v>0.29399999999999982</v>
      </c>
      <c r="C22" s="759">
        <f>-7.224-16.144</f>
        <v>-23.367999999999999</v>
      </c>
      <c r="D22" s="589">
        <f>IF(B22=0, "    ---- ", IF(ABS(ROUND(100/B22*C22-100,1))&lt;999,ROUND(100/B22*C22-100,1),IF(ROUND(100/B22*C22-100,1)&gt;999,999,-999)))</f>
        <v>-999</v>
      </c>
      <c r="E22" s="758">
        <v>88.50068702091788</v>
      </c>
      <c r="F22" s="759">
        <v>140</v>
      </c>
      <c r="G22" s="590">
        <f>IF(E22=0, "    ---- ", IF(ABS(ROUND(100/E22*F22-100,1))&lt;999,ROUND(100/E22*F22-100,1),IF(ROUND(100/E22*F22-100,1)&gt;999,999,-999)))</f>
        <v>58.2</v>
      </c>
      <c r="H22" s="758"/>
      <c r="I22" s="759"/>
      <c r="J22" s="590"/>
      <c r="K22" s="758"/>
      <c r="L22" s="759"/>
      <c r="M22" s="590"/>
      <c r="N22" s="758"/>
      <c r="O22" s="759"/>
      <c r="P22" s="589"/>
      <c r="Q22" s="758"/>
      <c r="R22" s="759"/>
      <c r="S22" s="590"/>
      <c r="T22" s="758"/>
      <c r="U22" s="759"/>
      <c r="V22" s="590"/>
      <c r="W22" s="758">
        <v>86.58</v>
      </c>
      <c r="X22" s="759">
        <v>76.671108468224332</v>
      </c>
      <c r="Y22" s="590">
        <f>IF(W22=0, "    ---- ", IF(ABS(ROUND(100/W22*X22-100,1))&lt;999,ROUND(100/W22*X22-100,1),IF(ROUND(100/W22*X22-100,1)&gt;999,999,-999)))</f>
        <v>-11.4</v>
      </c>
      <c r="Z22" s="758"/>
      <c r="AA22" s="759"/>
      <c r="AB22" s="590"/>
      <c r="AC22" s="758"/>
      <c r="AD22" s="759"/>
      <c r="AE22" s="590"/>
      <c r="AF22" s="758">
        <v>4</v>
      </c>
      <c r="AG22" s="759">
        <v>3</v>
      </c>
      <c r="AH22" s="590">
        <f>IF(AF22=0, "    ---- ", IF(ABS(ROUND(100/AF22*AG22-100,1))&lt;999,ROUND(100/AF22*AG22-100,1),IF(ROUND(100/AF22*AG22-100,1)&gt;999,999,-999)))</f>
        <v>-25</v>
      </c>
      <c r="AI22" s="758">
        <v>140.6</v>
      </c>
      <c r="AJ22" s="759">
        <v>183</v>
      </c>
      <c r="AK22" s="590">
        <f t="shared" si="1"/>
        <v>30.2</v>
      </c>
      <c r="AL22" s="759"/>
      <c r="AM22" s="759"/>
      <c r="AN22" s="590" t="str">
        <f>IF(AL22=0, "    ---- ", IF(ABS(ROUND(100/AL22*AM22-100,1))&lt;999,ROUND(100/AL22*AM22-100,1),IF(ROUND(100/AL22*AM22-100,1)&gt;999,999,-999)))</f>
        <v xml:space="preserve">    ---- </v>
      </c>
      <c r="AO22" s="589">
        <f t="shared" si="8"/>
        <v>319.97468702091783</v>
      </c>
      <c r="AP22" s="589">
        <f t="shared" si="3"/>
        <v>379.30310846822431</v>
      </c>
      <c r="AQ22" s="590">
        <f t="shared" si="4"/>
        <v>18.5</v>
      </c>
      <c r="AR22" s="589">
        <f t="shared" si="5"/>
        <v>319.97468702091783</v>
      </c>
      <c r="AS22" s="589">
        <f t="shared" si="6"/>
        <v>379.30310846822431</v>
      </c>
      <c r="AT22" s="590">
        <f t="shared" si="7"/>
        <v>18.5</v>
      </c>
      <c r="AU22" s="568"/>
    </row>
    <row r="23" spans="1:47" ht="18.75" customHeight="1" x14ac:dyDescent="0.3">
      <c r="A23" s="537" t="s">
        <v>372</v>
      </c>
      <c r="B23" s="756"/>
      <c r="C23" s="757"/>
      <c r="D23" s="587"/>
      <c r="E23" s="756"/>
      <c r="F23" s="757"/>
      <c r="G23" s="588"/>
      <c r="H23" s="756"/>
      <c r="I23" s="757"/>
      <c r="J23" s="588"/>
      <c r="K23" s="756"/>
      <c r="L23" s="757"/>
      <c r="M23" s="588"/>
      <c r="N23" s="756"/>
      <c r="O23" s="757"/>
      <c r="P23" s="587"/>
      <c r="Q23" s="756"/>
      <c r="R23" s="757"/>
      <c r="S23" s="588"/>
      <c r="T23" s="756"/>
      <c r="U23" s="757"/>
      <c r="V23" s="588"/>
      <c r="W23" s="756"/>
      <c r="X23" s="757"/>
      <c r="Y23" s="588"/>
      <c r="Z23" s="756"/>
      <c r="AA23" s="757"/>
      <c r="AB23" s="588"/>
      <c r="AC23" s="756"/>
      <c r="AD23" s="757"/>
      <c r="AE23" s="588"/>
      <c r="AF23" s="756"/>
      <c r="AG23" s="757"/>
      <c r="AH23" s="588"/>
      <c r="AI23" s="756"/>
      <c r="AJ23" s="757"/>
      <c r="AK23" s="588"/>
      <c r="AL23" s="757"/>
      <c r="AM23" s="757"/>
      <c r="AN23" s="588"/>
      <c r="AO23" s="589"/>
      <c r="AP23" s="589"/>
      <c r="AQ23" s="588"/>
      <c r="AR23" s="589">
        <f t="shared" si="5"/>
        <v>0</v>
      </c>
      <c r="AS23" s="589">
        <f t="shared" si="6"/>
        <v>0</v>
      </c>
      <c r="AT23" s="588"/>
      <c r="AU23" s="568"/>
    </row>
    <row r="24" spans="1:47" s="591" customFormat="1" ht="18.75" customHeight="1" x14ac:dyDescent="0.3">
      <c r="A24" s="542" t="s">
        <v>351</v>
      </c>
      <c r="B24" s="758"/>
      <c r="C24" s="759"/>
      <c r="D24" s="589"/>
      <c r="E24" s="758"/>
      <c r="F24" s="759"/>
      <c r="G24" s="590"/>
      <c r="H24" s="758"/>
      <c r="I24" s="759"/>
      <c r="J24" s="590"/>
      <c r="K24" s="758"/>
      <c r="L24" s="759"/>
      <c r="M24" s="590"/>
      <c r="N24" s="758"/>
      <c r="O24" s="759"/>
      <c r="P24" s="589"/>
      <c r="Q24" s="758"/>
      <c r="R24" s="759"/>
      <c r="S24" s="590"/>
      <c r="T24" s="758"/>
      <c r="U24" s="759"/>
      <c r="V24" s="590"/>
      <c r="W24" s="758"/>
      <c r="X24" s="759"/>
      <c r="Y24" s="590"/>
      <c r="Z24" s="758"/>
      <c r="AA24" s="759"/>
      <c r="AB24" s="590"/>
      <c r="AC24" s="758"/>
      <c r="AD24" s="759"/>
      <c r="AE24" s="590"/>
      <c r="AF24" s="758"/>
      <c r="AG24" s="759">
        <v>1</v>
      </c>
      <c r="AH24" s="590" t="str">
        <f>IF(AF24=0, "    ---- ", IF(ABS(ROUND(100/AF24*AG24-100,1))&lt;999,ROUND(100/AF24*AG24-100,1),IF(ROUND(100/AF24*AG24-100,1)&gt;999,999,-999)))</f>
        <v xml:space="preserve">    ---- </v>
      </c>
      <c r="AI24" s="758"/>
      <c r="AJ24" s="759"/>
      <c r="AK24" s="590"/>
      <c r="AL24" s="759"/>
      <c r="AM24" s="759"/>
      <c r="AN24" s="590"/>
      <c r="AO24" s="589">
        <f t="shared" ref="AO24:AO34" si="10">B24+E24+H24+K24+N24+T24+W24+Z24+AF24+AI24</f>
        <v>0</v>
      </c>
      <c r="AP24" s="589">
        <f t="shared" ref="AP24:AP34" si="11">C24+F24+I24+L24+O24+U24+AM24+X24+AA24+AG24+AJ24</f>
        <v>1</v>
      </c>
      <c r="AQ24" s="590" t="str">
        <f t="shared" si="4"/>
        <v xml:space="preserve">    ---- </v>
      </c>
      <c r="AR24" s="589">
        <f t="shared" si="5"/>
        <v>0</v>
      </c>
      <c r="AS24" s="589">
        <f t="shared" si="6"/>
        <v>1</v>
      </c>
      <c r="AT24" s="590" t="str">
        <f t="shared" si="7"/>
        <v xml:space="preserve">    ---- </v>
      </c>
      <c r="AU24" s="568"/>
    </row>
    <row r="25" spans="1:47" s="591" customFormat="1" ht="18.75" customHeight="1" x14ac:dyDescent="0.3">
      <c r="A25" s="542" t="s">
        <v>352</v>
      </c>
      <c r="B25" s="758"/>
      <c r="C25" s="759"/>
      <c r="D25" s="589"/>
      <c r="E25" s="758"/>
      <c r="F25" s="759"/>
      <c r="G25" s="590"/>
      <c r="H25" s="758"/>
      <c r="I25" s="759"/>
      <c r="J25" s="590"/>
      <c r="K25" s="758"/>
      <c r="L25" s="759"/>
      <c r="M25" s="590"/>
      <c r="N25" s="758"/>
      <c r="O25" s="759"/>
      <c r="P25" s="589"/>
      <c r="Q25" s="758"/>
      <c r="R25" s="759"/>
      <c r="S25" s="590"/>
      <c r="T25" s="758"/>
      <c r="U25" s="759"/>
      <c r="V25" s="590"/>
      <c r="W25" s="758"/>
      <c r="X25" s="759"/>
      <c r="Y25" s="590"/>
      <c r="Z25" s="758"/>
      <c r="AA25" s="759"/>
      <c r="AB25" s="590"/>
      <c r="AC25" s="758"/>
      <c r="AD25" s="759"/>
      <c r="AE25" s="590"/>
      <c r="AF25" s="758"/>
      <c r="AG25" s="759"/>
      <c r="AH25" s="590"/>
      <c r="AI25" s="758"/>
      <c r="AJ25" s="759"/>
      <c r="AK25" s="590"/>
      <c r="AL25" s="759"/>
      <c r="AM25" s="759"/>
      <c r="AN25" s="590"/>
      <c r="AO25" s="589">
        <f t="shared" si="10"/>
        <v>0</v>
      </c>
      <c r="AP25" s="589">
        <f t="shared" si="11"/>
        <v>0</v>
      </c>
      <c r="AQ25" s="590" t="str">
        <f t="shared" si="4"/>
        <v xml:space="preserve">    ---- </v>
      </c>
      <c r="AR25" s="589">
        <f t="shared" si="5"/>
        <v>0</v>
      </c>
      <c r="AS25" s="589">
        <f t="shared" si="6"/>
        <v>0</v>
      </c>
      <c r="AT25" s="590" t="str">
        <f t="shared" si="7"/>
        <v xml:space="preserve">    ---- </v>
      </c>
      <c r="AU25" s="568"/>
    </row>
    <row r="26" spans="1:47" s="591" customFormat="1" ht="18.75" customHeight="1" x14ac:dyDescent="0.3">
      <c r="A26" s="542" t="s">
        <v>353</v>
      </c>
      <c r="B26" s="758"/>
      <c r="C26" s="759"/>
      <c r="D26" s="589"/>
      <c r="E26" s="758"/>
      <c r="F26" s="759"/>
      <c r="G26" s="590"/>
      <c r="H26" s="758"/>
      <c r="I26" s="759"/>
      <c r="J26" s="590"/>
      <c r="K26" s="758"/>
      <c r="L26" s="759"/>
      <c r="M26" s="590"/>
      <c r="N26" s="758"/>
      <c r="O26" s="759"/>
      <c r="P26" s="589"/>
      <c r="Q26" s="758"/>
      <c r="R26" s="759"/>
      <c r="S26" s="590"/>
      <c r="T26" s="758"/>
      <c r="U26" s="759"/>
      <c r="V26" s="590"/>
      <c r="W26" s="758"/>
      <c r="X26" s="759"/>
      <c r="Y26" s="590"/>
      <c r="Z26" s="758"/>
      <c r="AA26" s="759"/>
      <c r="AB26" s="590"/>
      <c r="AC26" s="758"/>
      <c r="AD26" s="759"/>
      <c r="AE26" s="590"/>
      <c r="AF26" s="758"/>
      <c r="AG26" s="759">
        <v>-9</v>
      </c>
      <c r="AH26" s="590" t="str">
        <f>IF(AF26=0, "    ---- ", IF(ABS(ROUND(100/AF26*AG26-100,1))&lt;999,ROUND(100/AF26*AG26-100,1),IF(ROUND(100/AF26*AG26-100,1)&gt;999,999,-999)))</f>
        <v xml:space="preserve">    ---- </v>
      </c>
      <c r="AI26" s="758"/>
      <c r="AJ26" s="759"/>
      <c r="AK26" s="590"/>
      <c r="AL26" s="759"/>
      <c r="AM26" s="759"/>
      <c r="AN26" s="590"/>
      <c r="AO26" s="589">
        <f t="shared" si="10"/>
        <v>0</v>
      </c>
      <c r="AP26" s="589">
        <f t="shared" si="11"/>
        <v>-9</v>
      </c>
      <c r="AQ26" s="590" t="str">
        <f t="shared" si="4"/>
        <v xml:space="preserve">    ---- </v>
      </c>
      <c r="AR26" s="589">
        <f t="shared" si="5"/>
        <v>0</v>
      </c>
      <c r="AS26" s="589">
        <f t="shared" si="6"/>
        <v>-9</v>
      </c>
      <c r="AT26" s="590" t="str">
        <f t="shared" si="7"/>
        <v xml:space="preserve">    ---- </v>
      </c>
      <c r="AU26" s="568"/>
    </row>
    <row r="27" spans="1:47" s="591" customFormat="1" ht="18.75" customHeight="1" x14ac:dyDescent="0.3">
      <c r="A27" s="542" t="s">
        <v>354</v>
      </c>
      <c r="B27" s="758"/>
      <c r="C27" s="759"/>
      <c r="D27" s="589"/>
      <c r="E27" s="758"/>
      <c r="F27" s="759"/>
      <c r="G27" s="590"/>
      <c r="H27" s="758"/>
      <c r="I27" s="759"/>
      <c r="J27" s="590"/>
      <c r="K27" s="758"/>
      <c r="L27" s="759"/>
      <c r="M27" s="590"/>
      <c r="N27" s="758"/>
      <c r="O27" s="759"/>
      <c r="P27" s="589"/>
      <c r="Q27" s="758"/>
      <c r="R27" s="759"/>
      <c r="S27" s="590"/>
      <c r="T27" s="758"/>
      <c r="U27" s="759"/>
      <c r="V27" s="590"/>
      <c r="W27" s="758"/>
      <c r="X27" s="759"/>
      <c r="Y27" s="590"/>
      <c r="Z27" s="758"/>
      <c r="AA27" s="759"/>
      <c r="AB27" s="590"/>
      <c r="AC27" s="758"/>
      <c r="AD27" s="759"/>
      <c r="AE27" s="590"/>
      <c r="AF27" s="758"/>
      <c r="AG27" s="759"/>
      <c r="AH27" s="590"/>
      <c r="AI27" s="758"/>
      <c r="AJ27" s="759"/>
      <c r="AK27" s="590"/>
      <c r="AL27" s="759"/>
      <c r="AM27" s="759"/>
      <c r="AN27" s="590"/>
      <c r="AO27" s="589">
        <f t="shared" si="10"/>
        <v>0</v>
      </c>
      <c r="AP27" s="589">
        <f t="shared" si="11"/>
        <v>0</v>
      </c>
      <c r="AQ27" s="590" t="str">
        <f t="shared" si="4"/>
        <v xml:space="preserve">    ---- </v>
      </c>
      <c r="AR27" s="589">
        <f t="shared" si="5"/>
        <v>0</v>
      </c>
      <c r="AS27" s="589">
        <f t="shared" si="6"/>
        <v>0</v>
      </c>
      <c r="AT27" s="590" t="str">
        <f t="shared" si="7"/>
        <v xml:space="preserve">    ---- </v>
      </c>
      <c r="AU27" s="568"/>
    </row>
    <row r="28" spans="1:47" s="591" customFormat="1" ht="18.75" customHeight="1" x14ac:dyDescent="0.3">
      <c r="A28" s="542" t="s">
        <v>355</v>
      </c>
      <c r="B28" s="758"/>
      <c r="C28" s="759"/>
      <c r="D28" s="589"/>
      <c r="E28" s="758"/>
      <c r="F28" s="759"/>
      <c r="G28" s="590"/>
      <c r="H28" s="758"/>
      <c r="I28" s="759"/>
      <c r="J28" s="590"/>
      <c r="K28" s="758"/>
      <c r="L28" s="759"/>
      <c r="M28" s="590"/>
      <c r="N28" s="758"/>
      <c r="O28" s="759"/>
      <c r="P28" s="589"/>
      <c r="Q28" s="758"/>
      <c r="R28" s="759"/>
      <c r="S28" s="590"/>
      <c r="T28" s="758"/>
      <c r="U28" s="759"/>
      <c r="V28" s="590"/>
      <c r="W28" s="758"/>
      <c r="X28" s="759"/>
      <c r="Y28" s="590"/>
      <c r="Z28" s="758"/>
      <c r="AA28" s="759"/>
      <c r="AB28" s="590"/>
      <c r="AC28" s="758"/>
      <c r="AD28" s="759"/>
      <c r="AE28" s="590"/>
      <c r="AF28" s="758"/>
      <c r="AG28" s="759">
        <v>3</v>
      </c>
      <c r="AH28" s="590" t="str">
        <f>IF(AF28=0, "    ---- ", IF(ABS(ROUND(100/AF28*AG28-100,1))&lt;999,ROUND(100/AF28*AG28-100,1),IF(ROUND(100/AF28*AG28-100,1)&gt;999,999,-999)))</f>
        <v xml:space="preserve">    ---- </v>
      </c>
      <c r="AI28" s="758"/>
      <c r="AJ28" s="759"/>
      <c r="AK28" s="590"/>
      <c r="AL28" s="759"/>
      <c r="AM28" s="759"/>
      <c r="AN28" s="590"/>
      <c r="AO28" s="589">
        <f t="shared" si="10"/>
        <v>0</v>
      </c>
      <c r="AP28" s="589">
        <f t="shared" si="11"/>
        <v>3</v>
      </c>
      <c r="AQ28" s="590" t="str">
        <f t="shared" si="4"/>
        <v xml:space="preserve">    ---- </v>
      </c>
      <c r="AR28" s="589">
        <f t="shared" si="5"/>
        <v>0</v>
      </c>
      <c r="AS28" s="589">
        <f t="shared" si="6"/>
        <v>3</v>
      </c>
      <c r="AT28" s="590" t="str">
        <f t="shared" si="7"/>
        <v xml:space="preserve">    ---- </v>
      </c>
      <c r="AU28" s="568"/>
    </row>
    <row r="29" spans="1:47" s="591" customFormat="1" ht="18.75" customHeight="1" x14ac:dyDescent="0.3">
      <c r="A29" s="542" t="s">
        <v>356</v>
      </c>
      <c r="B29" s="758"/>
      <c r="C29" s="759"/>
      <c r="D29" s="589"/>
      <c r="E29" s="758"/>
      <c r="F29" s="759"/>
      <c r="G29" s="590"/>
      <c r="H29" s="758"/>
      <c r="I29" s="759"/>
      <c r="J29" s="590"/>
      <c r="K29" s="758"/>
      <c r="L29" s="759"/>
      <c r="M29" s="590"/>
      <c r="N29" s="758"/>
      <c r="O29" s="759"/>
      <c r="P29" s="589"/>
      <c r="Q29" s="758"/>
      <c r="R29" s="759"/>
      <c r="S29" s="590"/>
      <c r="T29" s="758"/>
      <c r="U29" s="759"/>
      <c r="V29" s="590"/>
      <c r="W29" s="758"/>
      <c r="X29" s="759"/>
      <c r="Y29" s="590"/>
      <c r="Z29" s="758"/>
      <c r="AA29" s="759"/>
      <c r="AB29" s="590"/>
      <c r="AC29" s="758"/>
      <c r="AD29" s="759"/>
      <c r="AE29" s="590"/>
      <c r="AF29" s="758"/>
      <c r="AG29" s="759"/>
      <c r="AH29" s="590"/>
      <c r="AI29" s="758"/>
      <c r="AJ29" s="759"/>
      <c r="AK29" s="590"/>
      <c r="AL29" s="759"/>
      <c r="AM29" s="759"/>
      <c r="AN29" s="590"/>
      <c r="AO29" s="589">
        <f t="shared" si="10"/>
        <v>0</v>
      </c>
      <c r="AP29" s="589">
        <f t="shared" si="11"/>
        <v>0</v>
      </c>
      <c r="AQ29" s="590" t="str">
        <f t="shared" si="4"/>
        <v xml:space="preserve">    ---- </v>
      </c>
      <c r="AR29" s="589">
        <f t="shared" si="5"/>
        <v>0</v>
      </c>
      <c r="AS29" s="589">
        <f t="shared" si="6"/>
        <v>0</v>
      </c>
      <c r="AT29" s="590" t="str">
        <f t="shared" si="7"/>
        <v xml:space="preserve">    ---- </v>
      </c>
      <c r="AU29" s="568"/>
    </row>
    <row r="30" spans="1:47" s="591" customFormat="1" ht="18.75" customHeight="1" x14ac:dyDescent="0.3">
      <c r="A30" s="542" t="s">
        <v>357</v>
      </c>
      <c r="B30" s="758"/>
      <c r="C30" s="759"/>
      <c r="D30" s="589"/>
      <c r="E30" s="758"/>
      <c r="F30" s="759"/>
      <c r="G30" s="590"/>
      <c r="H30" s="758"/>
      <c r="I30" s="759"/>
      <c r="J30" s="590"/>
      <c r="K30" s="758"/>
      <c r="L30" s="759"/>
      <c r="M30" s="590"/>
      <c r="N30" s="758"/>
      <c r="O30" s="759"/>
      <c r="P30" s="589"/>
      <c r="Q30" s="758"/>
      <c r="R30" s="759"/>
      <c r="S30" s="590"/>
      <c r="T30" s="758"/>
      <c r="U30" s="759"/>
      <c r="V30" s="590"/>
      <c r="W30" s="758"/>
      <c r="X30" s="759"/>
      <c r="Y30" s="590"/>
      <c r="Z30" s="758"/>
      <c r="AA30" s="759"/>
      <c r="AB30" s="590"/>
      <c r="AC30" s="758"/>
      <c r="AD30" s="759"/>
      <c r="AE30" s="590"/>
      <c r="AF30" s="758"/>
      <c r="AG30" s="759"/>
      <c r="AH30" s="590"/>
      <c r="AI30" s="758"/>
      <c r="AJ30" s="759"/>
      <c r="AK30" s="590"/>
      <c r="AL30" s="759"/>
      <c r="AM30" s="759"/>
      <c r="AN30" s="590"/>
      <c r="AO30" s="589">
        <f t="shared" si="10"/>
        <v>0</v>
      </c>
      <c r="AP30" s="589">
        <f t="shared" si="11"/>
        <v>0</v>
      </c>
      <c r="AQ30" s="590" t="str">
        <f t="shared" si="4"/>
        <v xml:space="preserve">    ---- </v>
      </c>
      <c r="AR30" s="589">
        <f t="shared" si="5"/>
        <v>0</v>
      </c>
      <c r="AS30" s="589">
        <f t="shared" si="6"/>
        <v>0</v>
      </c>
      <c r="AT30" s="590" t="str">
        <f t="shared" si="7"/>
        <v xml:space="preserve">    ---- </v>
      </c>
      <c r="AU30" s="568"/>
    </row>
    <row r="31" spans="1:47" s="591" customFormat="1" ht="18.75" customHeight="1" x14ac:dyDescent="0.3">
      <c r="A31" s="542" t="s">
        <v>358</v>
      </c>
      <c r="B31" s="758"/>
      <c r="C31" s="759"/>
      <c r="D31" s="589"/>
      <c r="E31" s="758"/>
      <c r="F31" s="759"/>
      <c r="G31" s="590"/>
      <c r="H31" s="758"/>
      <c r="I31" s="759"/>
      <c r="J31" s="590"/>
      <c r="K31" s="758"/>
      <c r="L31" s="759"/>
      <c r="M31" s="590"/>
      <c r="N31" s="758"/>
      <c r="O31" s="759"/>
      <c r="P31" s="589"/>
      <c r="Q31" s="758"/>
      <c r="R31" s="759"/>
      <c r="S31" s="590"/>
      <c r="T31" s="758"/>
      <c r="U31" s="759"/>
      <c r="V31" s="590"/>
      <c r="W31" s="758"/>
      <c r="X31" s="759"/>
      <c r="Y31" s="590"/>
      <c r="Z31" s="758"/>
      <c r="AA31" s="759"/>
      <c r="AB31" s="590"/>
      <c r="AC31" s="758"/>
      <c r="AD31" s="759"/>
      <c r="AE31" s="590"/>
      <c r="AF31" s="758"/>
      <c r="AG31" s="759"/>
      <c r="AH31" s="590"/>
      <c r="AI31" s="758"/>
      <c r="AJ31" s="759"/>
      <c r="AK31" s="590"/>
      <c r="AL31" s="759"/>
      <c r="AM31" s="759"/>
      <c r="AN31" s="590"/>
      <c r="AO31" s="589">
        <f t="shared" si="10"/>
        <v>0</v>
      </c>
      <c r="AP31" s="589">
        <f t="shared" si="11"/>
        <v>0</v>
      </c>
      <c r="AQ31" s="590" t="str">
        <f t="shared" si="4"/>
        <v xml:space="preserve">    ---- </v>
      </c>
      <c r="AR31" s="589">
        <f t="shared" si="5"/>
        <v>0</v>
      </c>
      <c r="AS31" s="589">
        <f t="shared" si="6"/>
        <v>0</v>
      </c>
      <c r="AT31" s="590" t="str">
        <f t="shared" si="7"/>
        <v xml:space="preserve">    ---- </v>
      </c>
      <c r="AU31" s="568"/>
    </row>
    <row r="32" spans="1:47" s="593" customFormat="1" ht="18.75" customHeight="1" x14ac:dyDescent="0.3">
      <c r="A32" s="537" t="s">
        <v>359</v>
      </c>
      <c r="B32" s="756"/>
      <c r="C32" s="757"/>
      <c r="D32" s="587"/>
      <c r="E32" s="756"/>
      <c r="F32" s="757"/>
      <c r="G32" s="588"/>
      <c r="H32" s="756"/>
      <c r="I32" s="757"/>
      <c r="J32" s="588"/>
      <c r="K32" s="756"/>
      <c r="L32" s="757"/>
      <c r="M32" s="588"/>
      <c r="N32" s="756"/>
      <c r="O32" s="757"/>
      <c r="P32" s="587"/>
      <c r="Q32" s="756"/>
      <c r="R32" s="757"/>
      <c r="S32" s="588"/>
      <c r="T32" s="756"/>
      <c r="U32" s="757"/>
      <c r="V32" s="588"/>
      <c r="W32" s="756"/>
      <c r="X32" s="757"/>
      <c r="Y32" s="588"/>
      <c r="Z32" s="756"/>
      <c r="AA32" s="757"/>
      <c r="AB32" s="588"/>
      <c r="AC32" s="756"/>
      <c r="AD32" s="757"/>
      <c r="AE32" s="588"/>
      <c r="AF32" s="756"/>
      <c r="AG32" s="757">
        <f>SUM(AG24:AG29)+AG31</f>
        <v>-5</v>
      </c>
      <c r="AH32" s="588" t="str">
        <f t="shared" ref="AH32:AH34" si="12">IF(AF32=0, "    ---- ", IF(ABS(ROUND(100/AF32*AG32-100,1))&lt;999,ROUND(100/AF32*AG32-100,1),IF(ROUND(100/AF32*AG32-100,1)&gt;999,999,-999)))</f>
        <v xml:space="preserve">    ---- </v>
      </c>
      <c r="AI32" s="756"/>
      <c r="AJ32" s="757"/>
      <c r="AK32" s="588"/>
      <c r="AL32" s="757"/>
      <c r="AM32" s="757">
        <f>SUM(AM24:AM29)+AM31</f>
        <v>0</v>
      </c>
      <c r="AN32" s="588"/>
      <c r="AO32" s="587">
        <f t="shared" si="10"/>
        <v>0</v>
      </c>
      <c r="AP32" s="587">
        <f t="shared" si="11"/>
        <v>-5</v>
      </c>
      <c r="AQ32" s="588" t="str">
        <f t="shared" si="4"/>
        <v xml:space="preserve">    ---- </v>
      </c>
      <c r="AR32" s="587">
        <f t="shared" si="5"/>
        <v>0</v>
      </c>
      <c r="AS32" s="587">
        <f t="shared" si="6"/>
        <v>-5</v>
      </c>
      <c r="AT32" s="588" t="str">
        <f t="shared" si="7"/>
        <v xml:space="preserve">    ---- </v>
      </c>
      <c r="AU32" s="592"/>
    </row>
    <row r="33" spans="1:47" s="591" customFormat="1" ht="18.75" customHeight="1" x14ac:dyDescent="0.3">
      <c r="A33" s="542" t="s">
        <v>360</v>
      </c>
      <c r="B33" s="758"/>
      <c r="C33" s="759"/>
      <c r="D33" s="589"/>
      <c r="E33" s="758"/>
      <c r="F33" s="759"/>
      <c r="G33" s="590"/>
      <c r="H33" s="758"/>
      <c r="I33" s="759"/>
      <c r="J33" s="590"/>
      <c r="K33" s="758"/>
      <c r="L33" s="759"/>
      <c r="M33" s="590"/>
      <c r="N33" s="758"/>
      <c r="O33" s="759"/>
      <c r="P33" s="589"/>
      <c r="Q33" s="758"/>
      <c r="R33" s="759"/>
      <c r="S33" s="590"/>
      <c r="T33" s="758"/>
      <c r="U33" s="759"/>
      <c r="V33" s="590"/>
      <c r="W33" s="758"/>
      <c r="X33" s="759"/>
      <c r="Y33" s="590"/>
      <c r="Z33" s="758"/>
      <c r="AA33" s="759"/>
      <c r="AB33" s="590"/>
      <c r="AC33" s="758"/>
      <c r="AD33" s="759"/>
      <c r="AE33" s="590"/>
      <c r="AF33" s="758"/>
      <c r="AG33" s="759">
        <v>1</v>
      </c>
      <c r="AH33" s="590" t="str">
        <f t="shared" si="12"/>
        <v xml:space="preserve">    ---- </v>
      </c>
      <c r="AI33" s="758"/>
      <c r="AJ33" s="759"/>
      <c r="AK33" s="590"/>
      <c r="AL33" s="759"/>
      <c r="AM33" s="759"/>
      <c r="AN33" s="590"/>
      <c r="AO33" s="589">
        <f t="shared" si="10"/>
        <v>0</v>
      </c>
      <c r="AP33" s="589">
        <f t="shared" si="11"/>
        <v>1</v>
      </c>
      <c r="AQ33" s="590" t="str">
        <f t="shared" si="4"/>
        <v xml:space="preserve">    ---- </v>
      </c>
      <c r="AR33" s="589">
        <f t="shared" si="5"/>
        <v>0</v>
      </c>
      <c r="AS33" s="589">
        <f t="shared" si="6"/>
        <v>1</v>
      </c>
      <c r="AT33" s="590" t="str">
        <f t="shared" si="7"/>
        <v xml:space="preserve">    ---- </v>
      </c>
      <c r="AU33" s="568"/>
    </row>
    <row r="34" spans="1:47" s="591" customFormat="1" ht="18.75" customHeight="1" x14ac:dyDescent="0.3">
      <c r="A34" s="542" t="s">
        <v>361</v>
      </c>
      <c r="B34" s="758"/>
      <c r="C34" s="759"/>
      <c r="D34" s="589"/>
      <c r="E34" s="758"/>
      <c r="F34" s="759"/>
      <c r="G34" s="590"/>
      <c r="H34" s="758"/>
      <c r="I34" s="759"/>
      <c r="J34" s="590"/>
      <c r="K34" s="758"/>
      <c r="L34" s="759"/>
      <c r="M34" s="590"/>
      <c r="N34" s="758"/>
      <c r="O34" s="759"/>
      <c r="P34" s="589"/>
      <c r="Q34" s="758"/>
      <c r="R34" s="759"/>
      <c r="S34" s="590"/>
      <c r="T34" s="758"/>
      <c r="U34" s="759"/>
      <c r="V34" s="590"/>
      <c r="W34" s="758"/>
      <c r="X34" s="759"/>
      <c r="Y34" s="590"/>
      <c r="Z34" s="758"/>
      <c r="AA34" s="759"/>
      <c r="AB34" s="590"/>
      <c r="AC34" s="758"/>
      <c r="AD34" s="759"/>
      <c r="AE34" s="590"/>
      <c r="AF34" s="758"/>
      <c r="AG34" s="759">
        <v>-6</v>
      </c>
      <c r="AH34" s="590" t="str">
        <f t="shared" si="12"/>
        <v xml:space="preserve">    ---- </v>
      </c>
      <c r="AI34" s="758"/>
      <c r="AJ34" s="759"/>
      <c r="AK34" s="590"/>
      <c r="AL34" s="759"/>
      <c r="AM34" s="759"/>
      <c r="AN34" s="590"/>
      <c r="AO34" s="589">
        <f t="shared" si="10"/>
        <v>0</v>
      </c>
      <c r="AP34" s="589">
        <f t="shared" si="11"/>
        <v>-6</v>
      </c>
      <c r="AQ34" s="590" t="str">
        <f t="shared" si="4"/>
        <v xml:space="preserve">    ---- </v>
      </c>
      <c r="AR34" s="589">
        <f t="shared" si="5"/>
        <v>0</v>
      </c>
      <c r="AS34" s="589">
        <f t="shared" si="6"/>
        <v>-6</v>
      </c>
      <c r="AT34" s="590" t="str">
        <f t="shared" si="7"/>
        <v xml:space="preserve">    ---- </v>
      </c>
      <c r="AU34" s="568"/>
    </row>
    <row r="35" spans="1:47" ht="18.75" customHeight="1" x14ac:dyDescent="0.3">
      <c r="A35" s="537" t="s">
        <v>373</v>
      </c>
      <c r="B35" s="756"/>
      <c r="C35" s="757"/>
      <c r="D35" s="587"/>
      <c r="E35" s="756"/>
      <c r="F35" s="757"/>
      <c r="G35" s="588"/>
      <c r="H35" s="756"/>
      <c r="I35" s="757"/>
      <c r="J35" s="588"/>
      <c r="K35" s="756"/>
      <c r="L35" s="757"/>
      <c r="M35" s="588"/>
      <c r="N35" s="756"/>
      <c r="O35" s="757"/>
      <c r="P35" s="587"/>
      <c r="Q35" s="756"/>
      <c r="R35" s="757"/>
      <c r="S35" s="588"/>
      <c r="T35" s="756"/>
      <c r="U35" s="757"/>
      <c r="V35" s="588"/>
      <c r="W35" s="756"/>
      <c r="X35" s="757"/>
      <c r="Y35" s="588"/>
      <c r="Z35" s="756"/>
      <c r="AA35" s="757"/>
      <c r="AB35" s="588"/>
      <c r="AC35" s="756"/>
      <c r="AD35" s="757"/>
      <c r="AE35" s="588"/>
      <c r="AF35" s="756"/>
      <c r="AG35" s="757"/>
      <c r="AH35" s="588"/>
      <c r="AI35" s="756"/>
      <c r="AJ35" s="757"/>
      <c r="AK35" s="588"/>
      <c r="AL35" s="757"/>
      <c r="AM35" s="757"/>
      <c r="AN35" s="588"/>
      <c r="AO35" s="589"/>
      <c r="AP35" s="589"/>
      <c r="AQ35" s="588"/>
      <c r="AR35" s="589">
        <f t="shared" si="5"/>
        <v>0</v>
      </c>
      <c r="AS35" s="589">
        <f t="shared" si="6"/>
        <v>0</v>
      </c>
      <c r="AT35" s="588"/>
      <c r="AU35" s="568"/>
    </row>
    <row r="36" spans="1:47" s="591" customFormat="1" ht="18.75" customHeight="1" x14ac:dyDescent="0.3">
      <c r="A36" s="542" t="s">
        <v>351</v>
      </c>
      <c r="B36" s="758"/>
      <c r="C36" s="759"/>
      <c r="D36" s="589"/>
      <c r="E36" s="758"/>
      <c r="F36" s="759"/>
      <c r="G36" s="590"/>
      <c r="H36" s="758"/>
      <c r="I36" s="759"/>
      <c r="J36" s="590"/>
      <c r="K36" s="758"/>
      <c r="L36" s="759"/>
      <c r="M36" s="590"/>
      <c r="N36" s="758"/>
      <c r="O36" s="759"/>
      <c r="P36" s="589"/>
      <c r="Q36" s="758"/>
      <c r="R36" s="759"/>
      <c r="S36" s="590"/>
      <c r="T36" s="758"/>
      <c r="U36" s="759"/>
      <c r="V36" s="590"/>
      <c r="W36" s="758"/>
      <c r="X36" s="759"/>
      <c r="Y36" s="590"/>
      <c r="Z36" s="758"/>
      <c r="AA36" s="759"/>
      <c r="AB36" s="590"/>
      <c r="AC36" s="758"/>
      <c r="AD36" s="759"/>
      <c r="AE36" s="590"/>
      <c r="AF36" s="758">
        <v>58</v>
      </c>
      <c r="AG36" s="759"/>
      <c r="AH36" s="590">
        <f>IF(AF36=0, "    ---- ", IF(ABS(ROUND(100/AF36*AG36-100,1))&lt;999,ROUND(100/AF36*AG36-100,1),IF(ROUND(100/AF36*AG36-100,1)&gt;999,999,-999)))</f>
        <v>-100</v>
      </c>
      <c r="AI36" s="758">
        <v>5</v>
      </c>
      <c r="AJ36" s="759">
        <v>-5</v>
      </c>
      <c r="AK36" s="590">
        <f t="shared" ref="AK36:AK38" si="13">IF(AI36=0, "    ---- ", IF(ABS(ROUND(100/AI36*AJ36-100,1))&lt;999,ROUND(100/AI36*AJ36-100,1),IF(ROUND(100/AI36*AJ36-100,1)&gt;999,999,-999)))</f>
        <v>-200</v>
      </c>
      <c r="AL36" s="759"/>
      <c r="AM36" s="759"/>
      <c r="AN36" s="590"/>
      <c r="AO36" s="589">
        <f t="shared" ref="AO36:AO46" si="14">B36+E36+H36+K36+N36+T36+W36+Z36+AF36+AI36</f>
        <v>63</v>
      </c>
      <c r="AP36" s="589">
        <f t="shared" ref="AP36:AP46" si="15">C36+F36+I36+L36+O36+U36+AM36+X36+AA36+AG36+AJ36</f>
        <v>-5</v>
      </c>
      <c r="AQ36" s="590">
        <f t="shared" si="4"/>
        <v>-107.9</v>
      </c>
      <c r="AR36" s="589">
        <f t="shared" si="5"/>
        <v>63</v>
      </c>
      <c r="AS36" s="589">
        <f t="shared" si="6"/>
        <v>-5</v>
      </c>
      <c r="AT36" s="590">
        <f t="shared" si="7"/>
        <v>-107.9</v>
      </c>
      <c r="AU36" s="568"/>
    </row>
    <row r="37" spans="1:47" s="591" customFormat="1" ht="18.75" customHeight="1" x14ac:dyDescent="0.3">
      <c r="A37" s="542" t="s">
        <v>352</v>
      </c>
      <c r="B37" s="758"/>
      <c r="C37" s="759"/>
      <c r="D37" s="589"/>
      <c r="E37" s="758"/>
      <c r="F37" s="759"/>
      <c r="G37" s="590"/>
      <c r="H37" s="758"/>
      <c r="I37" s="759"/>
      <c r="J37" s="590"/>
      <c r="K37" s="758"/>
      <c r="L37" s="759"/>
      <c r="M37" s="590"/>
      <c r="N37" s="758"/>
      <c r="O37" s="759"/>
      <c r="P37" s="589"/>
      <c r="Q37" s="758"/>
      <c r="R37" s="759"/>
      <c r="S37" s="590"/>
      <c r="T37" s="758"/>
      <c r="U37" s="759"/>
      <c r="V37" s="590"/>
      <c r="W37" s="758"/>
      <c r="X37" s="759"/>
      <c r="Y37" s="590"/>
      <c r="Z37" s="758"/>
      <c r="AA37" s="759"/>
      <c r="AB37" s="590"/>
      <c r="AC37" s="758"/>
      <c r="AD37" s="759"/>
      <c r="AE37" s="590"/>
      <c r="AF37" s="758">
        <v>-1</v>
      </c>
      <c r="AG37" s="759"/>
      <c r="AH37" s="590">
        <f>IF(AF37=0, "    ---- ", IF(ABS(ROUND(100/AF37*AG37-100,1))&lt;999,ROUND(100/AF37*AG37-100,1),IF(ROUND(100/AF37*AG37-100,1)&gt;999,999,-999)))</f>
        <v>-100</v>
      </c>
      <c r="AI37" s="758">
        <v>-5</v>
      </c>
      <c r="AJ37" s="759">
        <v>5</v>
      </c>
      <c r="AK37" s="590">
        <f t="shared" si="13"/>
        <v>-200</v>
      </c>
      <c r="AL37" s="759"/>
      <c r="AM37" s="759"/>
      <c r="AN37" s="590"/>
      <c r="AO37" s="589">
        <f t="shared" si="14"/>
        <v>-6</v>
      </c>
      <c r="AP37" s="589">
        <f t="shared" si="15"/>
        <v>5</v>
      </c>
      <c r="AQ37" s="590">
        <f t="shared" si="4"/>
        <v>-183.3</v>
      </c>
      <c r="AR37" s="589">
        <f t="shared" si="5"/>
        <v>-6</v>
      </c>
      <c r="AS37" s="589">
        <f t="shared" si="6"/>
        <v>5</v>
      </c>
      <c r="AT37" s="590">
        <f t="shared" si="7"/>
        <v>-183.3</v>
      </c>
      <c r="AU37" s="568"/>
    </row>
    <row r="38" spans="1:47" s="591" customFormat="1" ht="18.75" customHeight="1" x14ac:dyDescent="0.3">
      <c r="A38" s="542" t="s">
        <v>353</v>
      </c>
      <c r="B38" s="758"/>
      <c r="C38" s="759"/>
      <c r="D38" s="589"/>
      <c r="E38" s="758"/>
      <c r="F38" s="759"/>
      <c r="G38" s="590"/>
      <c r="H38" s="758"/>
      <c r="I38" s="759"/>
      <c r="J38" s="590"/>
      <c r="K38" s="758"/>
      <c r="L38" s="759"/>
      <c r="M38" s="590"/>
      <c r="N38" s="758"/>
      <c r="O38" s="759"/>
      <c r="P38" s="589"/>
      <c r="Q38" s="758"/>
      <c r="R38" s="759"/>
      <c r="S38" s="590"/>
      <c r="T38" s="758"/>
      <c r="U38" s="759"/>
      <c r="V38" s="590"/>
      <c r="W38" s="758"/>
      <c r="X38" s="759"/>
      <c r="Y38" s="590"/>
      <c r="Z38" s="758"/>
      <c r="AA38" s="759"/>
      <c r="AB38" s="590"/>
      <c r="AC38" s="758"/>
      <c r="AD38" s="759"/>
      <c r="AE38" s="590"/>
      <c r="AF38" s="758">
        <v>-12</v>
      </c>
      <c r="AG38" s="759">
        <v>-46</v>
      </c>
      <c r="AH38" s="590">
        <f>IF(AF38=0, "    ---- ", IF(ABS(ROUND(100/AF38*AG38-100,1))&lt;999,ROUND(100/AF38*AG38-100,1),IF(ROUND(100/AF38*AG38-100,1)&gt;999,999,-999)))</f>
        <v>283.3</v>
      </c>
      <c r="AI38" s="758">
        <v>3</v>
      </c>
      <c r="AJ38" s="759">
        <v>3</v>
      </c>
      <c r="AK38" s="590">
        <f t="shared" si="13"/>
        <v>0</v>
      </c>
      <c r="AL38" s="759"/>
      <c r="AM38" s="759"/>
      <c r="AN38" s="590"/>
      <c r="AO38" s="589">
        <f t="shared" si="14"/>
        <v>-9</v>
      </c>
      <c r="AP38" s="589">
        <f t="shared" si="15"/>
        <v>-43</v>
      </c>
      <c r="AQ38" s="590">
        <f t="shared" si="4"/>
        <v>377.8</v>
      </c>
      <c r="AR38" s="589">
        <f t="shared" si="5"/>
        <v>-9</v>
      </c>
      <c r="AS38" s="589">
        <f t="shared" si="6"/>
        <v>-43</v>
      </c>
      <c r="AT38" s="590">
        <f t="shared" si="7"/>
        <v>377.8</v>
      </c>
      <c r="AU38" s="568"/>
    </row>
    <row r="39" spans="1:47" s="591" customFormat="1" ht="18.75" customHeight="1" x14ac:dyDescent="0.3">
      <c r="A39" s="542" t="s">
        <v>354</v>
      </c>
      <c r="B39" s="758"/>
      <c r="C39" s="759"/>
      <c r="D39" s="589"/>
      <c r="E39" s="758"/>
      <c r="F39" s="759"/>
      <c r="G39" s="590"/>
      <c r="H39" s="758"/>
      <c r="I39" s="759"/>
      <c r="J39" s="590"/>
      <c r="K39" s="758"/>
      <c r="L39" s="759"/>
      <c r="M39" s="590"/>
      <c r="N39" s="758"/>
      <c r="O39" s="759"/>
      <c r="P39" s="589"/>
      <c r="Q39" s="758"/>
      <c r="R39" s="759"/>
      <c r="S39" s="590"/>
      <c r="T39" s="758"/>
      <c r="U39" s="759"/>
      <c r="V39" s="590"/>
      <c r="W39" s="758"/>
      <c r="X39" s="759"/>
      <c r="Y39" s="590"/>
      <c r="Z39" s="758"/>
      <c r="AA39" s="759"/>
      <c r="AB39" s="590"/>
      <c r="AC39" s="758"/>
      <c r="AD39" s="759"/>
      <c r="AE39" s="590"/>
      <c r="AF39" s="758"/>
      <c r="AG39" s="759"/>
      <c r="AH39" s="590"/>
      <c r="AI39" s="758"/>
      <c r="AJ39" s="759"/>
      <c r="AK39" s="590"/>
      <c r="AL39" s="759"/>
      <c r="AM39" s="759"/>
      <c r="AN39" s="590"/>
      <c r="AO39" s="589">
        <f t="shared" si="14"/>
        <v>0</v>
      </c>
      <c r="AP39" s="589">
        <f t="shared" si="15"/>
        <v>0</v>
      </c>
      <c r="AQ39" s="590" t="str">
        <f t="shared" si="4"/>
        <v xml:space="preserve">    ---- </v>
      </c>
      <c r="AR39" s="589">
        <f t="shared" si="5"/>
        <v>0</v>
      </c>
      <c r="AS39" s="589">
        <f t="shared" si="6"/>
        <v>0</v>
      </c>
      <c r="AT39" s="590" t="str">
        <f t="shared" si="7"/>
        <v xml:space="preserve">    ---- </v>
      </c>
      <c r="AU39" s="568"/>
    </row>
    <row r="40" spans="1:47" s="591" customFormat="1" ht="18.75" customHeight="1" x14ac:dyDescent="0.3">
      <c r="A40" s="542" t="s">
        <v>355</v>
      </c>
      <c r="B40" s="758"/>
      <c r="C40" s="759"/>
      <c r="D40" s="589"/>
      <c r="E40" s="758"/>
      <c r="F40" s="759"/>
      <c r="G40" s="590"/>
      <c r="H40" s="758"/>
      <c r="I40" s="759"/>
      <c r="J40" s="590"/>
      <c r="K40" s="758"/>
      <c r="L40" s="759"/>
      <c r="M40" s="590"/>
      <c r="N40" s="758"/>
      <c r="O40" s="759"/>
      <c r="P40" s="589"/>
      <c r="Q40" s="758"/>
      <c r="R40" s="759"/>
      <c r="S40" s="590"/>
      <c r="T40" s="758"/>
      <c r="U40" s="759"/>
      <c r="V40" s="590"/>
      <c r="W40" s="758"/>
      <c r="X40" s="759"/>
      <c r="Y40" s="590"/>
      <c r="Z40" s="758"/>
      <c r="AA40" s="759"/>
      <c r="AB40" s="590"/>
      <c r="AC40" s="758"/>
      <c r="AD40" s="759"/>
      <c r="AE40" s="590"/>
      <c r="AF40" s="758">
        <v>4</v>
      </c>
      <c r="AG40" s="759"/>
      <c r="AH40" s="590">
        <f>IF(AF40=0, "    ---- ", IF(ABS(ROUND(100/AF40*AG40-100,1))&lt;999,ROUND(100/AF40*AG40-100,1),IF(ROUND(100/AF40*AG40-100,1)&gt;999,999,-999)))</f>
        <v>-100</v>
      </c>
      <c r="AI40" s="758"/>
      <c r="AJ40" s="759"/>
      <c r="AK40" s="590"/>
      <c r="AL40" s="759"/>
      <c r="AM40" s="759"/>
      <c r="AN40" s="590"/>
      <c r="AO40" s="589">
        <f t="shared" si="14"/>
        <v>4</v>
      </c>
      <c r="AP40" s="589">
        <f t="shared" si="15"/>
        <v>0</v>
      </c>
      <c r="AQ40" s="590">
        <f t="shared" si="4"/>
        <v>-100</v>
      </c>
      <c r="AR40" s="589">
        <f t="shared" si="5"/>
        <v>4</v>
      </c>
      <c r="AS40" s="589">
        <f t="shared" si="6"/>
        <v>0</v>
      </c>
      <c r="AT40" s="590">
        <f t="shared" si="7"/>
        <v>-100</v>
      </c>
      <c r="AU40" s="568"/>
    </row>
    <row r="41" spans="1:47" s="591" customFormat="1" ht="18.75" customHeight="1" x14ac:dyDescent="0.3">
      <c r="A41" s="542" t="s">
        <v>356</v>
      </c>
      <c r="B41" s="758"/>
      <c r="C41" s="759"/>
      <c r="D41" s="589"/>
      <c r="E41" s="758"/>
      <c r="F41" s="759"/>
      <c r="G41" s="590"/>
      <c r="H41" s="758"/>
      <c r="I41" s="759"/>
      <c r="J41" s="590"/>
      <c r="K41" s="758"/>
      <c r="L41" s="759"/>
      <c r="M41" s="590"/>
      <c r="N41" s="758"/>
      <c r="O41" s="759"/>
      <c r="P41" s="589"/>
      <c r="Q41" s="758"/>
      <c r="R41" s="759"/>
      <c r="S41" s="590"/>
      <c r="T41" s="758"/>
      <c r="U41" s="759"/>
      <c r="V41" s="590"/>
      <c r="W41" s="758"/>
      <c r="X41" s="759"/>
      <c r="Y41" s="590"/>
      <c r="Z41" s="758"/>
      <c r="AA41" s="759"/>
      <c r="AB41" s="590"/>
      <c r="AC41" s="758"/>
      <c r="AD41" s="759"/>
      <c r="AE41" s="590"/>
      <c r="AF41" s="758">
        <v>2</v>
      </c>
      <c r="AG41" s="759">
        <v>-1</v>
      </c>
      <c r="AH41" s="590">
        <f>IF(AF41=0, "    ---- ", IF(ABS(ROUND(100/AF41*AG41-100,1))&lt;999,ROUND(100/AF41*AG41-100,1),IF(ROUND(100/AF41*AG41-100,1)&gt;999,999,-999)))</f>
        <v>-150</v>
      </c>
      <c r="AI41" s="758"/>
      <c r="AJ41" s="759"/>
      <c r="AK41" s="590"/>
      <c r="AL41" s="759"/>
      <c r="AM41" s="759"/>
      <c r="AN41" s="590"/>
      <c r="AO41" s="589">
        <f t="shared" si="14"/>
        <v>2</v>
      </c>
      <c r="AP41" s="589">
        <f t="shared" si="15"/>
        <v>-1</v>
      </c>
      <c r="AQ41" s="590">
        <f t="shared" si="4"/>
        <v>-150</v>
      </c>
      <c r="AR41" s="589">
        <f t="shared" si="5"/>
        <v>2</v>
      </c>
      <c r="AS41" s="589">
        <f t="shared" si="6"/>
        <v>-1</v>
      </c>
      <c r="AT41" s="590">
        <f t="shared" si="7"/>
        <v>-150</v>
      </c>
      <c r="AU41" s="568"/>
    </row>
    <row r="42" spans="1:47" s="591" customFormat="1" ht="18.75" customHeight="1" x14ac:dyDescent="0.3">
      <c r="A42" s="542" t="s">
        <v>357</v>
      </c>
      <c r="B42" s="758"/>
      <c r="C42" s="759"/>
      <c r="D42" s="589"/>
      <c r="E42" s="758"/>
      <c r="F42" s="759"/>
      <c r="G42" s="590"/>
      <c r="H42" s="758"/>
      <c r="I42" s="759"/>
      <c r="J42" s="590"/>
      <c r="K42" s="758"/>
      <c r="L42" s="759"/>
      <c r="M42" s="590"/>
      <c r="N42" s="758"/>
      <c r="O42" s="759"/>
      <c r="P42" s="589"/>
      <c r="Q42" s="758"/>
      <c r="R42" s="759"/>
      <c r="S42" s="590"/>
      <c r="T42" s="758"/>
      <c r="U42" s="759"/>
      <c r="V42" s="590"/>
      <c r="W42" s="758"/>
      <c r="X42" s="759"/>
      <c r="Y42" s="590"/>
      <c r="Z42" s="758"/>
      <c r="AA42" s="759"/>
      <c r="AB42" s="590"/>
      <c r="AC42" s="758"/>
      <c r="AD42" s="759"/>
      <c r="AE42" s="590"/>
      <c r="AF42" s="758"/>
      <c r="AG42" s="759"/>
      <c r="AH42" s="590"/>
      <c r="AI42" s="758"/>
      <c r="AJ42" s="759"/>
      <c r="AK42" s="590"/>
      <c r="AL42" s="759"/>
      <c r="AM42" s="759"/>
      <c r="AN42" s="590"/>
      <c r="AO42" s="589">
        <f t="shared" si="14"/>
        <v>0</v>
      </c>
      <c r="AP42" s="589">
        <f t="shared" si="15"/>
        <v>0</v>
      </c>
      <c r="AQ42" s="590" t="str">
        <f t="shared" si="4"/>
        <v xml:space="preserve">    ---- </v>
      </c>
      <c r="AR42" s="589">
        <f t="shared" si="5"/>
        <v>0</v>
      </c>
      <c r="AS42" s="589">
        <f t="shared" si="6"/>
        <v>0</v>
      </c>
      <c r="AT42" s="590" t="str">
        <f t="shared" si="7"/>
        <v xml:space="preserve">    ---- </v>
      </c>
      <c r="AU42" s="568"/>
    </row>
    <row r="43" spans="1:47" s="591" customFormat="1" ht="18.75" customHeight="1" x14ac:dyDescent="0.3">
      <c r="A43" s="542" t="s">
        <v>358</v>
      </c>
      <c r="B43" s="764"/>
      <c r="C43" s="765"/>
      <c r="D43" s="589"/>
      <c r="E43" s="764"/>
      <c r="F43" s="765"/>
      <c r="G43" s="590"/>
      <c r="H43" s="764"/>
      <c r="I43" s="765"/>
      <c r="J43" s="590"/>
      <c r="K43" s="764"/>
      <c r="L43" s="765"/>
      <c r="M43" s="590"/>
      <c r="N43" s="764"/>
      <c r="O43" s="765"/>
      <c r="P43" s="589"/>
      <c r="Q43" s="764"/>
      <c r="R43" s="765"/>
      <c r="S43" s="590"/>
      <c r="T43" s="764"/>
      <c r="U43" s="765"/>
      <c r="V43" s="590"/>
      <c r="W43" s="764"/>
      <c r="X43" s="765"/>
      <c r="Y43" s="590"/>
      <c r="Z43" s="764"/>
      <c r="AA43" s="765"/>
      <c r="AB43" s="590"/>
      <c r="AC43" s="764"/>
      <c r="AD43" s="765"/>
      <c r="AE43" s="590"/>
      <c r="AF43" s="764"/>
      <c r="AG43" s="765"/>
      <c r="AH43" s="590"/>
      <c r="AI43" s="764"/>
      <c r="AJ43" s="765"/>
      <c r="AK43" s="590"/>
      <c r="AL43" s="765"/>
      <c r="AM43" s="765"/>
      <c r="AN43" s="590"/>
      <c r="AO43" s="589">
        <f t="shared" si="14"/>
        <v>0</v>
      </c>
      <c r="AP43" s="589">
        <f t="shared" si="15"/>
        <v>0</v>
      </c>
      <c r="AQ43" s="590" t="str">
        <f t="shared" si="4"/>
        <v xml:space="preserve">    ---- </v>
      </c>
      <c r="AR43" s="589">
        <f t="shared" si="5"/>
        <v>0</v>
      </c>
      <c r="AS43" s="589">
        <f t="shared" si="6"/>
        <v>0</v>
      </c>
      <c r="AT43" s="590" t="str">
        <f t="shared" si="7"/>
        <v xml:space="preserve">    ---- </v>
      </c>
      <c r="AU43" s="568"/>
    </row>
    <row r="44" spans="1:47" s="593" customFormat="1" ht="18.75" customHeight="1" x14ac:dyDescent="0.3">
      <c r="A44" s="537" t="s">
        <v>359</v>
      </c>
      <c r="B44" s="766"/>
      <c r="C44" s="767"/>
      <c r="D44" s="587"/>
      <c r="E44" s="766"/>
      <c r="F44" s="767"/>
      <c r="G44" s="588"/>
      <c r="H44" s="766"/>
      <c r="I44" s="767"/>
      <c r="J44" s="588"/>
      <c r="K44" s="766"/>
      <c r="L44" s="767"/>
      <c r="M44" s="588"/>
      <c r="N44" s="766"/>
      <c r="O44" s="767"/>
      <c r="P44" s="587"/>
      <c r="Q44" s="766"/>
      <c r="R44" s="767"/>
      <c r="S44" s="588"/>
      <c r="T44" s="766"/>
      <c r="U44" s="767"/>
      <c r="V44" s="588"/>
      <c r="W44" s="766"/>
      <c r="X44" s="767"/>
      <c r="Y44" s="590"/>
      <c r="Z44" s="766"/>
      <c r="AA44" s="767"/>
      <c r="AB44" s="588"/>
      <c r="AC44" s="766"/>
      <c r="AD44" s="767"/>
      <c r="AE44" s="588"/>
      <c r="AF44" s="766">
        <f>SUM(AF36:AF41)+AF43</f>
        <v>51</v>
      </c>
      <c r="AG44" s="767">
        <f>SUM(AG36:AG41)+AG43</f>
        <v>-47</v>
      </c>
      <c r="AH44" s="588">
        <f>IF(AF44=0, "    ---- ", IF(ABS(ROUND(100/AF44*AG44-100,1))&lt;999,ROUND(100/AF44*AG44-100,1),IF(ROUND(100/AF44*AG44-100,1)&gt;999,999,-999)))</f>
        <v>-192.2</v>
      </c>
      <c r="AI44" s="766">
        <f>SUM(AI36:AI41)+AI43</f>
        <v>3</v>
      </c>
      <c r="AJ44" s="767">
        <f>SUM(AJ36:AJ41)+AJ43</f>
        <v>3</v>
      </c>
      <c r="AK44" s="588">
        <f t="shared" ref="AK44" si="16">IF(AI44=0, "    ---- ", IF(ABS(ROUND(100/AI44*AJ44-100,1))&lt;999,ROUND(100/AI44*AJ44-100,1),IF(ROUND(100/AI44*AJ44-100,1)&gt;999,999,-999)))</f>
        <v>0</v>
      </c>
      <c r="AL44" s="767"/>
      <c r="AM44" s="767">
        <f>SUM(AM36:AM41)+AM43</f>
        <v>0</v>
      </c>
      <c r="AN44" s="588"/>
      <c r="AO44" s="587">
        <f t="shared" si="14"/>
        <v>54</v>
      </c>
      <c r="AP44" s="587">
        <f t="shared" si="15"/>
        <v>-44</v>
      </c>
      <c r="AQ44" s="588">
        <f>IF(AO44=0, "    ---- ", IF(ABS(ROUND(100/AO44*AP44-100,1))&lt;999,ROUND(100/AO44*AP44-100,1),IF(ROUND(100/AO44*AP44-100,1)&gt;999,999,-999)))</f>
        <v>-181.5</v>
      </c>
      <c r="AR44" s="587">
        <f t="shared" ref="AR44:AR75" si="17">+B44+E44+H44+K44+N44+Q44+T44+AL44+W44+Z44+AC44+AF44+AI44</f>
        <v>54</v>
      </c>
      <c r="AS44" s="587">
        <f t="shared" ref="AS44:AS75" si="18">+C44+F44+I44+L44+O44+R44+U44+AM44+X44+AA44+AD44+AG44+AJ44</f>
        <v>-44</v>
      </c>
      <c r="AT44" s="588">
        <f>IF(AR44=0, "    ---- ", IF(ABS(ROUND(100/AR44*AS44-100,1))&lt;999,ROUND(100/AR44*AS44-100,1),IF(ROUND(100/AR44*AS44-100,1)&gt;999,999,-999)))</f>
        <v>-181.5</v>
      </c>
      <c r="AU44" s="592"/>
    </row>
    <row r="45" spans="1:47" s="591" customFormat="1" ht="18.75" customHeight="1" x14ac:dyDescent="0.3">
      <c r="A45" s="542" t="s">
        <v>360</v>
      </c>
      <c r="B45" s="764"/>
      <c r="C45" s="765"/>
      <c r="D45" s="589"/>
      <c r="E45" s="764"/>
      <c r="F45" s="765"/>
      <c r="G45" s="590"/>
      <c r="H45" s="764"/>
      <c r="I45" s="765"/>
      <c r="J45" s="590"/>
      <c r="K45" s="764"/>
      <c r="L45" s="765"/>
      <c r="M45" s="590"/>
      <c r="N45" s="764"/>
      <c r="O45" s="765"/>
      <c r="P45" s="589"/>
      <c r="Q45" s="764"/>
      <c r="R45" s="765"/>
      <c r="S45" s="590"/>
      <c r="T45" s="764"/>
      <c r="U45" s="765"/>
      <c r="V45" s="590"/>
      <c r="W45" s="764"/>
      <c r="X45" s="765"/>
      <c r="Y45" s="590"/>
      <c r="Z45" s="764"/>
      <c r="AA45" s="765"/>
      <c r="AB45" s="590"/>
      <c r="AC45" s="764"/>
      <c r="AD45" s="765"/>
      <c r="AE45" s="590"/>
      <c r="AF45" s="764">
        <v>57</v>
      </c>
      <c r="AG45" s="765"/>
      <c r="AH45" s="590">
        <f>IF(AF45=0, "    ---- ", IF(ABS(ROUND(100/AF45*AG45-100,1))&lt;999,ROUND(100/AF45*AG45-100,1),IF(ROUND(100/AF45*AG45-100,1)&gt;999,999,-999)))</f>
        <v>-100</v>
      </c>
      <c r="AI45" s="764"/>
      <c r="AJ45" s="765"/>
      <c r="AK45" s="590"/>
      <c r="AL45" s="765"/>
      <c r="AM45" s="765"/>
      <c r="AN45" s="590"/>
      <c r="AO45" s="589">
        <f t="shared" si="14"/>
        <v>57</v>
      </c>
      <c r="AP45" s="589">
        <f t="shared" si="15"/>
        <v>0</v>
      </c>
      <c r="AQ45" s="590">
        <f t="shared" ref="AQ45:AQ144" si="19">IF(AO45=0, "    ---- ", IF(ABS(ROUND(100/AO45*AP45-100,1))&lt;999,ROUND(100/AO45*AP45-100,1),IF(ROUND(100/AO45*AP45-100,1)&gt;999,999,-999)))</f>
        <v>-100</v>
      </c>
      <c r="AR45" s="589">
        <f t="shared" si="17"/>
        <v>57</v>
      </c>
      <c r="AS45" s="589">
        <f t="shared" si="18"/>
        <v>0</v>
      </c>
      <c r="AT45" s="590">
        <f t="shared" ref="AT45:AT144" si="20">IF(AR45=0, "    ---- ", IF(ABS(ROUND(100/AR45*AS45-100,1))&lt;999,ROUND(100/AR45*AS45-100,1),IF(ROUND(100/AR45*AS45-100,1)&gt;999,999,-999)))</f>
        <v>-100</v>
      </c>
      <c r="AU45" s="568"/>
    </row>
    <row r="46" spans="1:47" s="591" customFormat="1" ht="18.75" customHeight="1" x14ac:dyDescent="0.3">
      <c r="A46" s="542" t="s">
        <v>361</v>
      </c>
      <c r="B46" s="764"/>
      <c r="C46" s="765"/>
      <c r="D46" s="589"/>
      <c r="E46" s="764"/>
      <c r="F46" s="765"/>
      <c r="G46" s="590"/>
      <c r="H46" s="764"/>
      <c r="I46" s="765"/>
      <c r="J46" s="590"/>
      <c r="K46" s="764"/>
      <c r="L46" s="765"/>
      <c r="M46" s="590"/>
      <c r="N46" s="764"/>
      <c r="O46" s="765"/>
      <c r="P46" s="589"/>
      <c r="Q46" s="764"/>
      <c r="R46" s="765"/>
      <c r="S46" s="590"/>
      <c r="T46" s="764"/>
      <c r="U46" s="765"/>
      <c r="V46" s="590"/>
      <c r="W46" s="764"/>
      <c r="X46" s="765"/>
      <c r="Y46" s="590"/>
      <c r="Z46" s="764"/>
      <c r="AA46" s="765"/>
      <c r="AB46" s="590"/>
      <c r="AC46" s="764"/>
      <c r="AD46" s="765"/>
      <c r="AE46" s="590"/>
      <c r="AF46" s="764">
        <v>-6</v>
      </c>
      <c r="AG46" s="765">
        <v>-47</v>
      </c>
      <c r="AH46" s="590">
        <f>IF(AF46=0, "    ---- ", IF(ABS(ROUND(100/AF46*AG46-100,1))&lt;999,ROUND(100/AF46*AG46-100,1),IF(ROUND(100/AF46*AG46-100,1)&gt;999,999,-999)))</f>
        <v>683.3</v>
      </c>
      <c r="AI46" s="764">
        <v>3</v>
      </c>
      <c r="AJ46" s="765">
        <v>3</v>
      </c>
      <c r="AK46" s="590">
        <f t="shared" ref="AK46" si="21">IF(AI46=0, "    ---- ", IF(ABS(ROUND(100/AI46*AJ46-100,1))&lt;999,ROUND(100/AI46*AJ46-100,1),IF(ROUND(100/AI46*AJ46-100,1)&gt;999,999,-999)))</f>
        <v>0</v>
      </c>
      <c r="AL46" s="765"/>
      <c r="AM46" s="765"/>
      <c r="AN46" s="590"/>
      <c r="AO46" s="589">
        <f t="shared" si="14"/>
        <v>-3</v>
      </c>
      <c r="AP46" s="589">
        <f t="shared" si="15"/>
        <v>-44</v>
      </c>
      <c r="AQ46" s="590">
        <f t="shared" si="19"/>
        <v>999</v>
      </c>
      <c r="AR46" s="589">
        <f t="shared" si="17"/>
        <v>-3</v>
      </c>
      <c r="AS46" s="589">
        <f t="shared" si="18"/>
        <v>-44</v>
      </c>
      <c r="AT46" s="590">
        <f t="shared" si="20"/>
        <v>999</v>
      </c>
      <c r="AU46" s="568"/>
    </row>
    <row r="47" spans="1:47" s="591" customFormat="1" ht="18.75" customHeight="1" x14ac:dyDescent="0.3">
      <c r="A47" s="537" t="s">
        <v>374</v>
      </c>
      <c r="B47" s="764"/>
      <c r="C47" s="765"/>
      <c r="D47" s="589"/>
      <c r="E47" s="764"/>
      <c r="F47" s="765"/>
      <c r="G47" s="590"/>
      <c r="H47" s="764"/>
      <c r="I47" s="765"/>
      <c r="J47" s="590"/>
      <c r="K47" s="764"/>
      <c r="L47" s="765"/>
      <c r="M47" s="590"/>
      <c r="N47" s="764"/>
      <c r="O47" s="765"/>
      <c r="P47" s="589"/>
      <c r="Q47" s="764"/>
      <c r="R47" s="765"/>
      <c r="S47" s="590"/>
      <c r="T47" s="764"/>
      <c r="U47" s="765"/>
      <c r="V47" s="590"/>
      <c r="W47" s="764"/>
      <c r="X47" s="765"/>
      <c r="Y47" s="590"/>
      <c r="Z47" s="764"/>
      <c r="AA47" s="765"/>
      <c r="AB47" s="590"/>
      <c r="AC47" s="764"/>
      <c r="AD47" s="765"/>
      <c r="AE47" s="590"/>
      <c r="AF47" s="764"/>
      <c r="AG47" s="765"/>
      <c r="AH47" s="590"/>
      <c r="AI47" s="764"/>
      <c r="AJ47" s="765"/>
      <c r="AK47" s="590"/>
      <c r="AL47" s="765"/>
      <c r="AM47" s="765"/>
      <c r="AN47" s="590"/>
      <c r="AO47" s="589"/>
      <c r="AP47" s="589"/>
      <c r="AQ47" s="590"/>
      <c r="AR47" s="589">
        <f t="shared" si="17"/>
        <v>0</v>
      </c>
      <c r="AS47" s="589">
        <f t="shared" si="18"/>
        <v>0</v>
      </c>
      <c r="AT47" s="590"/>
      <c r="AU47" s="568"/>
    </row>
    <row r="48" spans="1:47" s="591" customFormat="1" ht="18.75" customHeight="1" x14ac:dyDescent="0.3">
      <c r="A48" s="542" t="s">
        <v>351</v>
      </c>
      <c r="B48" s="764"/>
      <c r="C48" s="765"/>
      <c r="D48" s="589"/>
      <c r="E48" s="764">
        <v>13039.091186</v>
      </c>
      <c r="F48" s="765">
        <v>-11225</v>
      </c>
      <c r="G48" s="590">
        <f>IF(E48=0, "    ---- ", IF(ABS(ROUND(100/E48*F48-100,1))&lt;999,ROUND(100/E48*F48-100,1),IF(ROUND(100/E48*F48-100,1)&gt;999,999,-999)))</f>
        <v>-186.1</v>
      </c>
      <c r="H48" s="764"/>
      <c r="I48" s="765"/>
      <c r="J48" s="590"/>
      <c r="K48" s="764"/>
      <c r="L48" s="765"/>
      <c r="M48" s="590"/>
      <c r="N48" s="764">
        <v>8.4</v>
      </c>
      <c r="O48" s="765">
        <v>8.9</v>
      </c>
      <c r="P48" s="589">
        <f>IF(N48=0, "    ---- ", IF(ABS(ROUND(100/N48*O48-100,1))&lt;999,ROUND(100/N48*O48-100,1),IF(ROUND(100/N48*O48-100,1)&gt;999,999,-999)))</f>
        <v>6</v>
      </c>
      <c r="Q48" s="764"/>
      <c r="R48" s="765"/>
      <c r="S48" s="590"/>
      <c r="T48" s="764"/>
      <c r="U48" s="765"/>
      <c r="V48" s="590"/>
      <c r="W48" s="764"/>
      <c r="X48" s="765"/>
      <c r="Y48" s="590"/>
      <c r="Z48" s="764"/>
      <c r="AA48" s="765"/>
      <c r="AB48" s="590"/>
      <c r="AC48" s="764">
        <v>8.7359997582555193E-2</v>
      </c>
      <c r="AD48" s="765"/>
      <c r="AE48" s="590">
        <f>IF(AC48=0, "    ---- ", IF(ABS(ROUND(100/AC48*AD48-100,1))&lt;999,ROUND(100/AC48*AD48-100,1),IF(ROUND(100/AC48*AD48-100,1)&gt;999,999,-999)))</f>
        <v>-100</v>
      </c>
      <c r="AF48" s="764">
        <v>38</v>
      </c>
      <c r="AG48" s="765"/>
      <c r="AH48" s="590">
        <f>IF(AF48=0, "    ---- ", IF(ABS(ROUND(100/AF48*AG48-100,1))&lt;999,ROUND(100/AF48*AG48-100,1),IF(ROUND(100/AF48*AG48-100,1)&gt;999,999,-999)))</f>
        <v>-100</v>
      </c>
      <c r="AI48" s="764">
        <v>0</v>
      </c>
      <c r="AJ48" s="765">
        <v>0</v>
      </c>
      <c r="AK48" s="590" t="str">
        <f>IF(AI48=0, "    ---- ", IF(ABS(ROUND(100/AI48*AJ48-100,1))&lt;999,ROUND(100/AI48*AJ48-100,1),IF(ROUND(100/AI48*AJ48-100,1)&gt;999,999,-999)))</f>
        <v xml:space="preserve">    ---- </v>
      </c>
      <c r="AL48" s="765"/>
      <c r="AM48" s="765"/>
      <c r="AN48" s="590"/>
      <c r="AO48" s="589">
        <f t="shared" ref="AO48:AO94" si="22">B48+E48+H48+K48+N48+T48+W48+Z48+AF48+AI48</f>
        <v>13085.491185999999</v>
      </c>
      <c r="AP48" s="589">
        <f t="shared" ref="AP48:AP94" si="23">C48+F48+I48+L48+O48+U48+AM48+X48+AA48+AG48+AJ48</f>
        <v>-11216.1</v>
      </c>
      <c r="AQ48" s="590">
        <f t="shared" si="19"/>
        <v>-185.7</v>
      </c>
      <c r="AR48" s="589">
        <f t="shared" si="17"/>
        <v>13085.578545997581</v>
      </c>
      <c r="AS48" s="589">
        <f t="shared" si="18"/>
        <v>-11216.1</v>
      </c>
      <c r="AT48" s="590">
        <f t="shared" si="20"/>
        <v>-185.7</v>
      </c>
      <c r="AU48" s="568"/>
    </row>
    <row r="49" spans="1:47" s="591" customFormat="1" ht="18.75" customHeight="1" x14ac:dyDescent="0.3">
      <c r="A49" s="542" t="s">
        <v>352</v>
      </c>
      <c r="B49" s="764"/>
      <c r="C49" s="765"/>
      <c r="D49" s="589"/>
      <c r="E49" s="764"/>
      <c r="F49" s="765"/>
      <c r="G49" s="590"/>
      <c r="H49" s="764"/>
      <c r="I49" s="765"/>
      <c r="J49" s="590"/>
      <c r="K49" s="764"/>
      <c r="L49" s="765"/>
      <c r="M49" s="590"/>
      <c r="N49" s="764"/>
      <c r="O49" s="765"/>
      <c r="P49" s="589"/>
      <c r="Q49" s="764"/>
      <c r="R49" s="765"/>
      <c r="S49" s="590"/>
      <c r="T49" s="764"/>
      <c r="U49" s="765"/>
      <c r="V49" s="590"/>
      <c r="W49" s="764"/>
      <c r="X49" s="765"/>
      <c r="Y49" s="590"/>
      <c r="Z49" s="764"/>
      <c r="AA49" s="765"/>
      <c r="AB49" s="590"/>
      <c r="AC49" s="764"/>
      <c r="AD49" s="765"/>
      <c r="AE49" s="590"/>
      <c r="AF49" s="764">
        <v>-38</v>
      </c>
      <c r="AG49" s="765"/>
      <c r="AH49" s="590">
        <f>IF(AF49=0, "    ---- ", IF(ABS(ROUND(100/AF49*AG49-100,1))&lt;999,ROUND(100/AF49*AG49-100,1),IF(ROUND(100/AF49*AG49-100,1)&gt;999,999,-999)))</f>
        <v>-100</v>
      </c>
      <c r="AI49" s="764"/>
      <c r="AJ49" s="765"/>
      <c r="AK49" s="590"/>
      <c r="AL49" s="765"/>
      <c r="AM49" s="765"/>
      <c r="AN49" s="590"/>
      <c r="AO49" s="589">
        <f t="shared" si="22"/>
        <v>-38</v>
      </c>
      <c r="AP49" s="589">
        <f t="shared" si="23"/>
        <v>0</v>
      </c>
      <c r="AQ49" s="590">
        <f t="shared" si="19"/>
        <v>-100</v>
      </c>
      <c r="AR49" s="589">
        <f t="shared" si="17"/>
        <v>-38</v>
      </c>
      <c r="AS49" s="589">
        <f t="shared" si="18"/>
        <v>0</v>
      </c>
      <c r="AT49" s="590">
        <f t="shared" si="20"/>
        <v>-100</v>
      </c>
      <c r="AU49" s="568"/>
    </row>
    <row r="50" spans="1:47" s="591" customFormat="1" ht="18.75" customHeight="1" x14ac:dyDescent="0.3">
      <c r="A50" s="542" t="s">
        <v>353</v>
      </c>
      <c r="B50" s="764">
        <f>15.19+1.124+34.994</f>
        <v>51.308</v>
      </c>
      <c r="C50" s="765">
        <f>-14.213+20.843+1.166</f>
        <v>7.7960000000000012</v>
      </c>
      <c r="D50" s="589">
        <f>IF(B50=0, "    ---- ", IF(ABS(ROUND(100/B50*C50-100,1))&lt;999,ROUND(100/B50*C50-100,1),IF(ROUND(100/B50*C50-100,1)&gt;999,999,-999)))</f>
        <v>-84.8</v>
      </c>
      <c r="E50" s="764">
        <v>429.154539</v>
      </c>
      <c r="F50" s="765">
        <v>277</v>
      </c>
      <c r="G50" s="590">
        <f>IF(E50=0, "    ---- ", IF(ABS(ROUND(100/E50*F50-100,1))&lt;999,ROUND(100/E50*F50-100,1),IF(ROUND(100/E50*F50-100,1)&gt;999,999,-999)))</f>
        <v>-35.5</v>
      </c>
      <c r="H50" s="764"/>
      <c r="I50" s="765"/>
      <c r="J50" s="590"/>
      <c r="K50" s="764"/>
      <c r="L50" s="765"/>
      <c r="M50" s="590"/>
      <c r="N50" s="764">
        <v>145</v>
      </c>
      <c r="O50" s="765">
        <v>130.1</v>
      </c>
      <c r="P50" s="589">
        <f>IF(N50=0, "    ---- ", IF(ABS(ROUND(100/N50*O50-100,1))&lt;999,ROUND(100/N50*O50-100,1),IF(ROUND(100/N50*O50-100,1)&gt;999,999,-999)))</f>
        <v>-10.3</v>
      </c>
      <c r="Q50" s="764"/>
      <c r="R50" s="765"/>
      <c r="S50" s="590"/>
      <c r="T50" s="764"/>
      <c r="U50" s="765"/>
      <c r="V50" s="590"/>
      <c r="W50" s="764">
        <v>235.77</v>
      </c>
      <c r="X50" s="765">
        <v>96.217984547866436</v>
      </c>
      <c r="Y50" s="590">
        <f>IF(W50=0, "    ---- ", IF(ABS(ROUND(100/W50*X50-100,1))&lt;999,ROUND(100/W50*X50-100,1),IF(ROUND(100/W50*X50-100,1)&gt;999,999,-999)))</f>
        <v>-59.2</v>
      </c>
      <c r="Z50" s="764"/>
      <c r="AA50" s="765"/>
      <c r="AB50" s="590"/>
      <c r="AC50" s="764">
        <v>-0.35483523989675803</v>
      </c>
      <c r="AD50" s="765"/>
      <c r="AE50" s="590">
        <f>IF(AC50=0, "    ---- ", IF(ABS(ROUND(100/AC50*AD50-100,1))&lt;999,ROUND(100/AC50*AD50-100,1),IF(ROUND(100/AC50*AD50-100,1)&gt;999,999,-999)))</f>
        <v>-100</v>
      </c>
      <c r="AF50" s="764">
        <v>39</v>
      </c>
      <c r="AG50" s="765"/>
      <c r="AH50" s="590">
        <f>IF(AF50=0, "    ---- ", IF(ABS(ROUND(100/AF50*AG50-100,1))&lt;999,ROUND(100/AF50*AG50-100,1),IF(ROUND(100/AF50*AG50-100,1)&gt;999,999,-999)))</f>
        <v>-100</v>
      </c>
      <c r="AI50" s="764">
        <v>318</v>
      </c>
      <c r="AJ50" s="765">
        <f>112+77</f>
        <v>189</v>
      </c>
      <c r="AK50" s="590">
        <f>IF(AI50=0, "    ---- ", IF(ABS(ROUND(100/AI50*AJ50-100,1))&lt;999,ROUND(100/AI50*AJ50-100,1),IF(ROUND(100/AI50*AJ50-100,1)&gt;999,999,-999)))</f>
        <v>-40.6</v>
      </c>
      <c r="AL50" s="765"/>
      <c r="AM50" s="765"/>
      <c r="AN50" s="590" t="str">
        <f>IF(AL50=0, "    ---- ", IF(ABS(ROUND(100/AL50*AM50-100,1))&lt;999,ROUND(100/AL50*AM50-100,1),IF(ROUND(100/AL50*AM50-100,1)&gt;999,999,-999)))</f>
        <v xml:space="preserve">    ---- </v>
      </c>
      <c r="AO50" s="589">
        <f t="shared" si="22"/>
        <v>1218.2325390000001</v>
      </c>
      <c r="AP50" s="589">
        <f t="shared" si="23"/>
        <v>700.11398454786638</v>
      </c>
      <c r="AQ50" s="590">
        <f t="shared" si="19"/>
        <v>-42.5</v>
      </c>
      <c r="AR50" s="589">
        <f t="shared" si="17"/>
        <v>1217.8777037601033</v>
      </c>
      <c r="AS50" s="589">
        <f t="shared" si="18"/>
        <v>700.11398454786638</v>
      </c>
      <c r="AT50" s="590">
        <f t="shared" si="20"/>
        <v>-42.5</v>
      </c>
      <c r="AU50" s="568"/>
    </row>
    <row r="51" spans="1:47" s="591" customFormat="1" ht="18.75" customHeight="1" x14ac:dyDescent="0.3">
      <c r="A51" s="542" t="s">
        <v>354</v>
      </c>
      <c r="B51" s="764"/>
      <c r="C51" s="765"/>
      <c r="D51" s="589"/>
      <c r="E51" s="764"/>
      <c r="F51" s="765"/>
      <c r="G51" s="590"/>
      <c r="H51" s="764"/>
      <c r="I51" s="765"/>
      <c r="J51" s="590"/>
      <c r="K51" s="764"/>
      <c r="L51" s="765"/>
      <c r="M51" s="590"/>
      <c r="N51" s="764">
        <v>2.4</v>
      </c>
      <c r="O51" s="765">
        <v>2.9</v>
      </c>
      <c r="P51" s="589">
        <f t="shared" ref="P51:P52" si="24">IF(N51=0, "    ---- ", IF(ABS(ROUND(100/N51*O51-100,1))&lt;999,ROUND(100/N51*O51-100,1),IF(ROUND(100/N51*O51-100,1)&gt;999,999,-999)))</f>
        <v>20.8</v>
      </c>
      <c r="Q51" s="764"/>
      <c r="R51" s="765"/>
      <c r="S51" s="590"/>
      <c r="T51" s="764"/>
      <c r="U51" s="765"/>
      <c r="V51" s="590"/>
      <c r="W51" s="764"/>
      <c r="X51" s="765"/>
      <c r="Y51" s="590"/>
      <c r="Z51" s="764"/>
      <c r="AA51" s="765"/>
      <c r="AB51" s="590"/>
      <c r="AC51" s="764"/>
      <c r="AD51" s="765"/>
      <c r="AE51" s="590"/>
      <c r="AF51" s="764"/>
      <c r="AG51" s="765"/>
      <c r="AH51" s="590"/>
      <c r="AI51" s="764"/>
      <c r="AJ51" s="905"/>
      <c r="AK51" s="590"/>
      <c r="AL51" s="765"/>
      <c r="AM51" s="765"/>
      <c r="AN51" s="590"/>
      <c r="AO51" s="589">
        <f t="shared" si="22"/>
        <v>2.4</v>
      </c>
      <c r="AP51" s="589">
        <f t="shared" si="23"/>
        <v>2.9</v>
      </c>
      <c r="AQ51" s="590">
        <f t="shared" si="19"/>
        <v>20.8</v>
      </c>
      <c r="AR51" s="589">
        <f t="shared" si="17"/>
        <v>2.4</v>
      </c>
      <c r="AS51" s="589">
        <f t="shared" si="18"/>
        <v>2.9</v>
      </c>
      <c r="AT51" s="590">
        <f t="shared" si="20"/>
        <v>20.8</v>
      </c>
      <c r="AU51" s="568"/>
    </row>
    <row r="52" spans="1:47" s="591" customFormat="1" ht="18.75" customHeight="1" x14ac:dyDescent="0.3">
      <c r="A52" s="542" t="s">
        <v>355</v>
      </c>
      <c r="B52" s="764"/>
      <c r="C52" s="765"/>
      <c r="D52" s="589"/>
      <c r="E52" s="764"/>
      <c r="F52" s="765"/>
      <c r="G52" s="590"/>
      <c r="H52" s="764"/>
      <c r="I52" s="765"/>
      <c r="J52" s="590"/>
      <c r="K52" s="764"/>
      <c r="L52" s="765"/>
      <c r="M52" s="590"/>
      <c r="N52" s="764">
        <v>9.1999999999999993</v>
      </c>
      <c r="O52" s="765">
        <v>15.5</v>
      </c>
      <c r="P52" s="589">
        <f t="shared" si="24"/>
        <v>68.5</v>
      </c>
      <c r="Q52" s="764"/>
      <c r="R52" s="765"/>
      <c r="S52" s="590"/>
      <c r="T52" s="764"/>
      <c r="U52" s="765"/>
      <c r="V52" s="590"/>
      <c r="W52" s="764"/>
      <c r="X52" s="765"/>
      <c r="Y52" s="590"/>
      <c r="Z52" s="764"/>
      <c r="AA52" s="765"/>
      <c r="AB52" s="590"/>
      <c r="AC52" s="764"/>
      <c r="AD52" s="765"/>
      <c r="AE52" s="590"/>
      <c r="AF52" s="764">
        <v>6</v>
      </c>
      <c r="AG52" s="765"/>
      <c r="AH52" s="590">
        <f>IF(AF52=0, "    ---- ", IF(ABS(ROUND(100/AF52*AG52-100,1))&lt;999,ROUND(100/AF52*AG52-100,1),IF(ROUND(100/AF52*AG52-100,1)&gt;999,999,-999)))</f>
        <v>-100</v>
      </c>
      <c r="AI52" s="764"/>
      <c r="AJ52" s="905"/>
      <c r="AK52" s="590"/>
      <c r="AL52" s="765"/>
      <c r="AM52" s="765"/>
      <c r="AN52" s="590"/>
      <c r="AO52" s="589">
        <f t="shared" si="22"/>
        <v>15.2</v>
      </c>
      <c r="AP52" s="589">
        <f t="shared" si="23"/>
        <v>15.5</v>
      </c>
      <c r="AQ52" s="590">
        <f t="shared" si="19"/>
        <v>2</v>
      </c>
      <c r="AR52" s="589">
        <f t="shared" si="17"/>
        <v>15.2</v>
      </c>
      <c r="AS52" s="589">
        <f t="shared" si="18"/>
        <v>15.5</v>
      </c>
      <c r="AT52" s="590">
        <f t="shared" si="20"/>
        <v>2</v>
      </c>
      <c r="AU52" s="568"/>
    </row>
    <row r="53" spans="1:47" s="591" customFormat="1" ht="18.75" customHeight="1" x14ac:dyDescent="0.3">
      <c r="A53" s="542" t="s">
        <v>356</v>
      </c>
      <c r="B53" s="764"/>
      <c r="C53" s="765"/>
      <c r="D53" s="589"/>
      <c r="E53" s="764"/>
      <c r="F53" s="765">
        <v>-2</v>
      </c>
      <c r="G53" s="590" t="str">
        <f>IF(E53=0, "    ---- ", IF(ABS(ROUND(100/E53*F53-100,1))&lt;999,ROUND(100/E53*F53-100,1),IF(ROUND(100/E53*F53-100,1)&gt;999,999,-999)))</f>
        <v xml:space="preserve">    ---- </v>
      </c>
      <c r="H53" s="764"/>
      <c r="I53" s="765"/>
      <c r="J53" s="590"/>
      <c r="K53" s="764"/>
      <c r="L53" s="765"/>
      <c r="M53" s="590"/>
      <c r="N53" s="764">
        <v>-4.4000000000000004</v>
      </c>
      <c r="O53" s="765">
        <v>-6.2</v>
      </c>
      <c r="P53" s="589">
        <f>IF(N53=0, "    ---- ", IF(ABS(ROUND(100/N53*O53-100,1))&lt;999,ROUND(100/N53*O53-100,1),IF(ROUND(100/N53*O53-100,1)&gt;999,999,-999)))</f>
        <v>40.9</v>
      </c>
      <c r="Q53" s="764"/>
      <c r="R53" s="765"/>
      <c r="S53" s="590"/>
      <c r="T53" s="764"/>
      <c r="U53" s="765"/>
      <c r="V53" s="590"/>
      <c r="W53" s="764">
        <v>-2.4700000000000002</v>
      </c>
      <c r="X53" s="765">
        <v>-2.3576999999999999</v>
      </c>
      <c r="Y53" s="590">
        <f>IF(W53=0, "    ---- ", IF(ABS(ROUND(100/W53*X53-100,1))&lt;999,ROUND(100/W53*X53-100,1),IF(ROUND(100/W53*X53-100,1)&gt;999,999,-999)))</f>
        <v>-4.5</v>
      </c>
      <c r="Z53" s="764"/>
      <c r="AA53" s="765"/>
      <c r="AB53" s="590"/>
      <c r="AC53" s="764"/>
      <c r="AD53" s="765"/>
      <c r="AE53" s="590"/>
      <c r="AF53" s="764">
        <v>9</v>
      </c>
      <c r="AG53" s="765"/>
      <c r="AH53" s="590">
        <f>IF(AF53=0, "    ---- ", IF(ABS(ROUND(100/AF53*AG53-100,1))&lt;999,ROUND(100/AF53*AG53-100,1),IF(ROUND(100/AF53*AG53-100,1)&gt;999,999,-999)))</f>
        <v>-100</v>
      </c>
      <c r="AI53" s="764"/>
      <c r="AJ53" s="905"/>
      <c r="AK53" s="590"/>
      <c r="AL53" s="765"/>
      <c r="AM53" s="765"/>
      <c r="AN53" s="590"/>
      <c r="AO53" s="589">
        <f t="shared" si="22"/>
        <v>2.129999999999999</v>
      </c>
      <c r="AP53" s="589">
        <f t="shared" si="23"/>
        <v>-10.557699999999999</v>
      </c>
      <c r="AQ53" s="590">
        <f t="shared" si="19"/>
        <v>-595.70000000000005</v>
      </c>
      <c r="AR53" s="589">
        <f t="shared" si="17"/>
        <v>2.129999999999999</v>
      </c>
      <c r="AS53" s="589">
        <f t="shared" si="18"/>
        <v>-10.557699999999999</v>
      </c>
      <c r="AT53" s="590">
        <f t="shared" si="20"/>
        <v>-595.70000000000005</v>
      </c>
      <c r="AU53" s="568"/>
    </row>
    <row r="54" spans="1:47" s="591" customFormat="1" ht="18.75" customHeight="1" x14ac:dyDescent="0.3">
      <c r="A54" s="542" t="s">
        <v>357</v>
      </c>
      <c r="B54" s="764"/>
      <c r="C54" s="765"/>
      <c r="D54" s="589"/>
      <c r="E54" s="764"/>
      <c r="F54" s="765"/>
      <c r="G54" s="590"/>
      <c r="H54" s="764"/>
      <c r="I54" s="765"/>
      <c r="J54" s="590"/>
      <c r="K54" s="764"/>
      <c r="L54" s="765"/>
      <c r="M54" s="590"/>
      <c r="N54" s="764"/>
      <c r="O54" s="765"/>
      <c r="P54" s="589"/>
      <c r="Q54" s="764"/>
      <c r="R54" s="765"/>
      <c r="S54" s="590"/>
      <c r="T54" s="764"/>
      <c r="U54" s="765"/>
      <c r="V54" s="590"/>
      <c r="W54" s="764"/>
      <c r="X54" s="765"/>
      <c r="Y54" s="590"/>
      <c r="Z54" s="764"/>
      <c r="AA54" s="765"/>
      <c r="AB54" s="590"/>
      <c r="AC54" s="764"/>
      <c r="AD54" s="765"/>
      <c r="AE54" s="590"/>
      <c r="AF54" s="764"/>
      <c r="AG54" s="765"/>
      <c r="AH54" s="590"/>
      <c r="AI54" s="764"/>
      <c r="AJ54" s="905"/>
      <c r="AK54" s="590"/>
      <c r="AL54" s="765"/>
      <c r="AM54" s="765"/>
      <c r="AN54" s="590"/>
      <c r="AO54" s="589">
        <f t="shared" si="22"/>
        <v>0</v>
      </c>
      <c r="AP54" s="589">
        <f t="shared" si="23"/>
        <v>0</v>
      </c>
      <c r="AQ54" s="590" t="str">
        <f t="shared" si="19"/>
        <v xml:space="preserve">    ---- </v>
      </c>
      <c r="AR54" s="589">
        <f t="shared" si="17"/>
        <v>0</v>
      </c>
      <c r="AS54" s="589">
        <f t="shared" si="18"/>
        <v>0</v>
      </c>
      <c r="AT54" s="590" t="str">
        <f t="shared" si="20"/>
        <v xml:space="preserve">    ---- </v>
      </c>
      <c r="AU54" s="568"/>
    </row>
    <row r="55" spans="1:47" s="591" customFormat="1" ht="18.75" customHeight="1" x14ac:dyDescent="0.3">
      <c r="A55" s="542" t="s">
        <v>358</v>
      </c>
      <c r="B55" s="764"/>
      <c r="C55" s="765"/>
      <c r="D55" s="589"/>
      <c r="E55" s="764"/>
      <c r="F55" s="765"/>
      <c r="G55" s="590"/>
      <c r="H55" s="764"/>
      <c r="I55" s="765"/>
      <c r="J55" s="590"/>
      <c r="K55" s="764"/>
      <c r="L55" s="765"/>
      <c r="M55" s="590"/>
      <c r="N55" s="764"/>
      <c r="O55" s="765"/>
      <c r="P55" s="589"/>
      <c r="Q55" s="764"/>
      <c r="R55" s="765"/>
      <c r="S55" s="590"/>
      <c r="T55" s="764"/>
      <c r="U55" s="765"/>
      <c r="V55" s="590"/>
      <c r="W55" s="764">
        <v>-13.51</v>
      </c>
      <c r="X55" s="765">
        <v>-13.510841640000001</v>
      </c>
      <c r="Y55" s="590">
        <f>IF(W55=0, "    ---- ", IF(ABS(ROUND(100/W55*X55-100,1))&lt;999,ROUND(100/W55*X55-100,1),IF(ROUND(100/W55*X55-100,1)&gt;999,999,-999)))</f>
        <v>0</v>
      </c>
      <c r="Z55" s="764"/>
      <c r="AA55" s="765"/>
      <c r="AB55" s="590"/>
      <c r="AC55" s="764"/>
      <c r="AD55" s="765"/>
      <c r="AE55" s="590"/>
      <c r="AF55" s="764"/>
      <c r="AG55" s="765"/>
      <c r="AH55" s="590"/>
      <c r="AI55" s="764"/>
      <c r="AJ55" s="905"/>
      <c r="AK55" s="590"/>
      <c r="AL55" s="765"/>
      <c r="AM55" s="765"/>
      <c r="AN55" s="590"/>
      <c r="AO55" s="589">
        <f t="shared" si="22"/>
        <v>-13.51</v>
      </c>
      <c r="AP55" s="589">
        <f t="shared" si="23"/>
        <v>-13.510841640000001</v>
      </c>
      <c r="AQ55" s="590">
        <f t="shared" si="19"/>
        <v>0</v>
      </c>
      <c r="AR55" s="589">
        <f t="shared" si="17"/>
        <v>-13.51</v>
      </c>
      <c r="AS55" s="589">
        <f t="shared" si="18"/>
        <v>-13.510841640000001</v>
      </c>
      <c r="AT55" s="590">
        <f t="shared" si="20"/>
        <v>0</v>
      </c>
      <c r="AU55" s="568"/>
    </row>
    <row r="56" spans="1:47" s="593" customFormat="1" ht="18.75" customHeight="1" x14ac:dyDescent="0.3">
      <c r="A56" s="537" t="s">
        <v>359</v>
      </c>
      <c r="B56" s="766">
        <f>SUM(B48:B53)+B55</f>
        <v>51.308</v>
      </c>
      <c r="C56" s="767">
        <f>SUM(C48:C53)+C55</f>
        <v>7.7960000000000012</v>
      </c>
      <c r="D56" s="587">
        <f>IF(B56=0, "    ---- ", IF(ABS(ROUND(100/B56*C56-100,1))&lt;999,ROUND(100/B56*C56-100,1),IF(ROUND(100/B56*C56-100,1)&gt;999,999,-999)))</f>
        <v>-84.8</v>
      </c>
      <c r="E56" s="766">
        <f>SUM(E48:E53)+E55</f>
        <v>13468.245724999999</v>
      </c>
      <c r="F56" s="767">
        <f>SUM(F48:F53)+F55</f>
        <v>-10950</v>
      </c>
      <c r="G56" s="588">
        <f>IF(E56=0, "    ---- ", IF(ABS(ROUND(100/E56*F56-100,1))&lt;999,ROUND(100/E56*F56-100,1),IF(ROUND(100/E56*F56-100,1)&gt;999,999,-999)))</f>
        <v>-181.3</v>
      </c>
      <c r="H56" s="766"/>
      <c r="I56" s="767"/>
      <c r="J56" s="588"/>
      <c r="K56" s="766"/>
      <c r="L56" s="767"/>
      <c r="M56" s="588"/>
      <c r="N56" s="766">
        <f>SUM(N48:N53)+N55</f>
        <v>160.6</v>
      </c>
      <c r="O56" s="767">
        <f>SUM(O48:O53)+O55</f>
        <v>151.20000000000002</v>
      </c>
      <c r="P56" s="587">
        <f>IF(N56=0, "    ---- ", IF(ABS(ROUND(100/N56*O56-100,1))&lt;999,ROUND(100/N56*O56-100,1),IF(ROUND(100/N56*O56-100,1)&gt;999,999,-999)))</f>
        <v>-5.9</v>
      </c>
      <c r="Q56" s="766"/>
      <c r="R56" s="767"/>
      <c r="S56" s="590"/>
      <c r="T56" s="766"/>
      <c r="U56" s="767"/>
      <c r="V56" s="588"/>
      <c r="W56" s="766">
        <f>SUM(W48:W53)+W55</f>
        <v>219.79000000000002</v>
      </c>
      <c r="X56" s="767">
        <f>SUM(X48:X53)+X55</f>
        <v>80.349442907866447</v>
      </c>
      <c r="Y56" s="588">
        <f>IF(W56=0, "    ---- ", IF(ABS(ROUND(100/W56*X56-100,1))&lt;999,ROUND(100/W56*X56-100,1),IF(ROUND(100/W56*X56-100,1)&gt;999,999,-999)))</f>
        <v>-63.4</v>
      </c>
      <c r="Z56" s="766"/>
      <c r="AA56" s="767"/>
      <c r="AB56" s="588"/>
      <c r="AC56" s="766">
        <f>SUM(AC48:AC53)+AC55</f>
        <v>-0.26747524231420283</v>
      </c>
      <c r="AD56" s="767">
        <f>SUM(AD48:AD53)+AD55</f>
        <v>0</v>
      </c>
      <c r="AE56" s="588">
        <f>IF(AC56=0, "    ---- ", IF(ABS(ROUND(100/AC56*AD56-100,1))&lt;999,ROUND(100/AC56*AD56-100,1),IF(ROUND(100/AC56*AD56-100,1)&gt;999,999,-999)))</f>
        <v>-100</v>
      </c>
      <c r="AF56" s="766">
        <f>SUM(AF48:AF53)+AF55</f>
        <v>54</v>
      </c>
      <c r="AG56" s="767"/>
      <c r="AH56" s="588">
        <f>IF(AF56=0, "    ---- ", IF(ABS(ROUND(100/AF56*AG56-100,1))&lt;999,ROUND(100/AF56*AG56-100,1),IF(ROUND(100/AF56*AG56-100,1)&gt;999,999,-999)))</f>
        <v>-100</v>
      </c>
      <c r="AI56" s="766">
        <f>SUM(AI48:AI53)+AI55</f>
        <v>318</v>
      </c>
      <c r="AJ56" s="767">
        <f>SUM(AJ48:AJ53)+AJ55</f>
        <v>189</v>
      </c>
      <c r="AK56" s="588">
        <f>IF(AI56=0, "    ---- ", IF(ABS(ROUND(100/AI56*AJ56-100,1))&lt;999,ROUND(100/AI56*AJ56-100,1),IF(ROUND(100/AI56*AJ56-100,1)&gt;999,999,-999)))</f>
        <v>-40.6</v>
      </c>
      <c r="AL56" s="767"/>
      <c r="AM56" s="767">
        <f>SUM(AM48:AM53)+AM55</f>
        <v>0</v>
      </c>
      <c r="AN56" s="588" t="str">
        <f>IF(AL56=0, "    ---- ", IF(ABS(ROUND(100/AL56*AM56-100,1))&lt;999,ROUND(100/AL56*AM56-100,1),IF(ROUND(100/AL56*AM56-100,1)&gt;999,999,-999)))</f>
        <v xml:space="preserve">    ---- </v>
      </c>
      <c r="AO56" s="587">
        <f t="shared" si="22"/>
        <v>14271.943725000001</v>
      </c>
      <c r="AP56" s="587">
        <f t="shared" si="23"/>
        <v>-10521.654557092132</v>
      </c>
      <c r="AQ56" s="588">
        <f t="shared" si="19"/>
        <v>-173.7</v>
      </c>
      <c r="AR56" s="587">
        <f t="shared" si="17"/>
        <v>14271.676249757687</v>
      </c>
      <c r="AS56" s="587">
        <f t="shared" si="18"/>
        <v>-10521.654557092132</v>
      </c>
      <c r="AT56" s="588">
        <f t="shared" si="20"/>
        <v>-173.7</v>
      </c>
      <c r="AU56" s="592"/>
    </row>
    <row r="57" spans="1:47" s="591" customFormat="1" ht="18.75" customHeight="1" x14ac:dyDescent="0.3">
      <c r="A57" s="542" t="s">
        <v>360</v>
      </c>
      <c r="B57" s="764"/>
      <c r="C57" s="765"/>
      <c r="D57" s="589"/>
      <c r="E57" s="764">
        <v>13039.091184000001</v>
      </c>
      <c r="F57" s="765">
        <v>-11225</v>
      </c>
      <c r="G57" s="589">
        <f>IF(E57=0, "    ---- ", IF(ABS(ROUND(100/E57*F57-100,1))&lt;999,ROUND(100/E57*F57-100,1),IF(ROUND(100/E57*F57-100,1)&gt;999,999,-999)))</f>
        <v>-186.1</v>
      </c>
      <c r="H57" s="764"/>
      <c r="I57" s="765"/>
      <c r="J57" s="590"/>
      <c r="K57" s="764"/>
      <c r="L57" s="765"/>
      <c r="M57" s="590"/>
      <c r="N57" s="764">
        <v>2.8</v>
      </c>
      <c r="O57" s="765">
        <v>4.7</v>
      </c>
      <c r="P57" s="589">
        <f>IF(N57=0, "    ---- ", IF(ABS(ROUND(100/N57*O57-100,1))&lt;999,ROUND(100/N57*O57-100,1),IF(ROUND(100/N57*O57-100,1)&gt;999,999,-999)))</f>
        <v>67.900000000000006</v>
      </c>
      <c r="Q57" s="764"/>
      <c r="R57" s="765"/>
      <c r="S57" s="590"/>
      <c r="T57" s="764"/>
      <c r="U57" s="765"/>
      <c r="V57" s="590"/>
      <c r="W57" s="764">
        <v>0</v>
      </c>
      <c r="X57" s="765">
        <v>0</v>
      </c>
      <c r="Y57" s="590" t="str">
        <f>IF(W57=0, "    ---- ", IF(ABS(ROUND(100/W57*X57-100,1))&lt;999,ROUND(100/W57*X57-100,1),IF(ROUND(100/W57*X57-100,1)&gt;999,999,-999)))</f>
        <v xml:space="preserve">    ---- </v>
      </c>
      <c r="Z57" s="764"/>
      <c r="AA57" s="765"/>
      <c r="AB57" s="590"/>
      <c r="AC57" s="764"/>
      <c r="AD57" s="765"/>
      <c r="AE57" s="590"/>
      <c r="AF57" s="764">
        <v>4</v>
      </c>
      <c r="AG57" s="765"/>
      <c r="AH57" s="590">
        <f>IF(AF57=0, "    ---- ", IF(ABS(ROUND(100/AF57*AG57-100,1))&lt;999,ROUND(100/AF57*AG57-100,1),IF(ROUND(100/AF57*AG57-100,1)&gt;999,999,-999)))</f>
        <v>-100</v>
      </c>
      <c r="AI57" s="764"/>
      <c r="AJ57" s="765"/>
      <c r="AK57" s="590"/>
      <c r="AL57" s="765"/>
      <c r="AM57" s="765"/>
      <c r="AN57" s="590"/>
      <c r="AO57" s="589">
        <f t="shared" si="22"/>
        <v>13045.891184</v>
      </c>
      <c r="AP57" s="589">
        <f t="shared" si="23"/>
        <v>-11220.3</v>
      </c>
      <c r="AQ57" s="590">
        <f t="shared" si="19"/>
        <v>-186</v>
      </c>
      <c r="AR57" s="589">
        <f t="shared" si="17"/>
        <v>13045.891184</v>
      </c>
      <c r="AS57" s="589">
        <f t="shared" si="18"/>
        <v>-11220.3</v>
      </c>
      <c r="AT57" s="590">
        <f t="shared" si="20"/>
        <v>-186</v>
      </c>
      <c r="AU57" s="568"/>
    </row>
    <row r="58" spans="1:47" s="591" customFormat="1" ht="18.75" customHeight="1" x14ac:dyDescent="0.3">
      <c r="A58" s="542" t="s">
        <v>361</v>
      </c>
      <c r="B58" s="764">
        <f>15.19+1.124+34.994</f>
        <v>51.308</v>
      </c>
      <c r="C58" s="765">
        <v>7.7960000000000012</v>
      </c>
      <c r="D58" s="589">
        <f>IF(B58=0, "    ---- ", IF(ABS(ROUND(100/B58*C58-100,1))&lt;999,ROUND(100/B58*C58-100,1),IF(ROUND(100/B58*C58-100,1)&gt;999,999,-999)))</f>
        <v>-84.8</v>
      </c>
      <c r="E58" s="764">
        <v>429.0822130000015</v>
      </c>
      <c r="F58" s="765">
        <v>275</v>
      </c>
      <c r="G58" s="590">
        <f>IF(E58=0, "    ---- ", IF(ABS(ROUND(100/E58*F58-100,1))&lt;999,ROUND(100/E58*F58-100,1),IF(ROUND(100/E58*F58-100,1)&gt;999,999,-999)))</f>
        <v>-35.9</v>
      </c>
      <c r="H58" s="764"/>
      <c r="I58" s="765"/>
      <c r="J58" s="590"/>
      <c r="K58" s="764"/>
      <c r="L58" s="765"/>
      <c r="M58" s="590"/>
      <c r="N58" s="764">
        <v>157.80000000000001</v>
      </c>
      <c r="O58" s="765">
        <v>146.30000000000001</v>
      </c>
      <c r="P58" s="589">
        <f>IF(N58=0, "    ---- ", IF(ABS(ROUND(100/N58*O58-100,1))&lt;999,ROUND(100/N58*O58-100,1),IF(ROUND(100/N58*O58-100,1)&gt;999,999,-999)))</f>
        <v>-7.3</v>
      </c>
      <c r="Q58" s="764"/>
      <c r="R58" s="765"/>
      <c r="S58" s="590"/>
      <c r="T58" s="764"/>
      <c r="U58" s="765"/>
      <c r="V58" s="590"/>
      <c r="W58" s="764">
        <v>219.79</v>
      </c>
      <c r="X58" s="765">
        <v>80.349442907866447</v>
      </c>
      <c r="Y58" s="590">
        <f>IF(W58=0, "    ---- ", IF(ABS(ROUND(100/W58*X58-100,1))&lt;999,ROUND(100/W58*X58-100,1),IF(ROUND(100/W58*X58-100,1)&gt;999,999,-999)))</f>
        <v>-63.4</v>
      </c>
      <c r="Z58" s="764"/>
      <c r="AA58" s="765"/>
      <c r="AB58" s="590"/>
      <c r="AC58" s="764">
        <v>-0.26747524231420283</v>
      </c>
      <c r="AD58" s="765"/>
      <c r="AE58" s="590">
        <f>IF(AC58=0, "    ---- ", IF(ABS(ROUND(100/AC58*AD58-100,1))&lt;999,ROUND(100/AC58*AD58-100,1),IF(ROUND(100/AC58*AD58-100,1)&gt;999,999,-999)))</f>
        <v>-100</v>
      </c>
      <c r="AF58" s="764">
        <v>50</v>
      </c>
      <c r="AG58" s="765"/>
      <c r="AH58" s="590">
        <f>IF(AF58=0, "    ---- ", IF(ABS(ROUND(100/AF58*AG58-100,1))&lt;999,ROUND(100/AF58*AG58-100,1),IF(ROUND(100/AF58*AG58-100,1)&gt;999,999,-999)))</f>
        <v>-100</v>
      </c>
      <c r="AI58" s="764">
        <v>318</v>
      </c>
      <c r="AJ58" s="765">
        <v>189</v>
      </c>
      <c r="AK58" s="590">
        <f>IF(AI58=0, "    ---- ", IF(ABS(ROUND(100/AI58*AJ58-100,1))&lt;999,ROUND(100/AI58*AJ58-100,1),IF(ROUND(100/AI58*AJ58-100,1)&gt;999,999,-999)))</f>
        <v>-40.6</v>
      </c>
      <c r="AL58" s="765"/>
      <c r="AM58" s="765"/>
      <c r="AN58" s="590" t="str">
        <f>IF(AL58=0, "    ---- ", IF(ABS(ROUND(100/AL58*AM58-100,1))&lt;999,ROUND(100/AL58*AM58-100,1),IF(ROUND(100/AL58*AM58-100,1)&gt;999,999,-999)))</f>
        <v xml:space="preserve">    ---- </v>
      </c>
      <c r="AO58" s="589">
        <f t="shared" si="22"/>
        <v>1225.9802130000014</v>
      </c>
      <c r="AP58" s="589">
        <f t="shared" si="23"/>
        <v>698.44544290786644</v>
      </c>
      <c r="AQ58" s="590">
        <f t="shared" si="19"/>
        <v>-43</v>
      </c>
      <c r="AR58" s="589">
        <f t="shared" si="17"/>
        <v>1225.7127377576871</v>
      </c>
      <c r="AS58" s="589">
        <f t="shared" si="18"/>
        <v>698.44544290786644</v>
      </c>
      <c r="AT58" s="590">
        <f t="shared" si="20"/>
        <v>-43</v>
      </c>
      <c r="AU58" s="568"/>
    </row>
    <row r="59" spans="1:47" s="591" customFormat="1" ht="18.75" customHeight="1" x14ac:dyDescent="0.3">
      <c r="A59" s="594" t="s">
        <v>375</v>
      </c>
      <c r="B59" s="764"/>
      <c r="C59" s="765"/>
      <c r="D59" s="589"/>
      <c r="E59" s="764"/>
      <c r="F59" s="765"/>
      <c r="G59" s="590"/>
      <c r="H59" s="764"/>
      <c r="I59" s="765"/>
      <c r="J59" s="590"/>
      <c r="K59" s="764"/>
      <c r="L59" s="765"/>
      <c r="M59" s="590"/>
      <c r="N59" s="764"/>
      <c r="O59" s="765"/>
      <c r="P59" s="589"/>
      <c r="Q59" s="764"/>
      <c r="R59" s="765"/>
      <c r="S59" s="590"/>
      <c r="T59" s="764"/>
      <c r="U59" s="765"/>
      <c r="V59" s="590"/>
      <c r="W59" s="764"/>
      <c r="X59" s="765"/>
      <c r="Y59" s="590"/>
      <c r="Z59" s="764"/>
      <c r="AA59" s="765"/>
      <c r="AB59" s="590"/>
      <c r="AC59" s="764"/>
      <c r="AD59" s="765"/>
      <c r="AE59" s="590"/>
      <c r="AF59" s="764"/>
      <c r="AG59" s="765"/>
      <c r="AH59" s="590"/>
      <c r="AI59" s="764"/>
      <c r="AJ59" s="905"/>
      <c r="AK59" s="590"/>
      <c r="AL59" s="765"/>
      <c r="AM59" s="765"/>
      <c r="AN59" s="590"/>
      <c r="AO59" s="589">
        <f t="shared" si="22"/>
        <v>0</v>
      </c>
      <c r="AP59" s="589">
        <f t="shared" si="23"/>
        <v>0</v>
      </c>
      <c r="AQ59" s="590" t="str">
        <f t="shared" si="19"/>
        <v xml:space="preserve">    ---- </v>
      </c>
      <c r="AR59" s="589">
        <f t="shared" si="17"/>
        <v>0</v>
      </c>
      <c r="AS59" s="589">
        <f t="shared" si="18"/>
        <v>0</v>
      </c>
      <c r="AT59" s="590" t="str">
        <f t="shared" si="20"/>
        <v xml:space="preserve">    ---- </v>
      </c>
      <c r="AU59" s="568"/>
    </row>
    <row r="60" spans="1:47" s="591" customFormat="1" ht="18.75" customHeight="1" x14ac:dyDescent="0.3">
      <c r="A60" s="595" t="s">
        <v>351</v>
      </c>
      <c r="B60" s="764"/>
      <c r="C60" s="765"/>
      <c r="D60" s="589"/>
      <c r="E60" s="764"/>
      <c r="F60" s="765"/>
      <c r="G60" s="590"/>
      <c r="H60" s="764"/>
      <c r="I60" s="765"/>
      <c r="J60" s="590"/>
      <c r="K60" s="764"/>
      <c r="L60" s="765"/>
      <c r="M60" s="590"/>
      <c r="N60" s="764"/>
      <c r="O60" s="765"/>
      <c r="P60" s="589"/>
      <c r="Q60" s="764"/>
      <c r="R60" s="765"/>
      <c r="S60" s="590"/>
      <c r="T60" s="764"/>
      <c r="U60" s="765"/>
      <c r="V60" s="590"/>
      <c r="W60" s="764"/>
      <c r="X60" s="765"/>
      <c r="Y60" s="590"/>
      <c r="Z60" s="764"/>
      <c r="AA60" s="765"/>
      <c r="AB60" s="590"/>
      <c r="AC60" s="764"/>
      <c r="AD60" s="765"/>
      <c r="AE60" s="590"/>
      <c r="AF60" s="764">
        <v>185</v>
      </c>
      <c r="AG60" s="765">
        <v>-29</v>
      </c>
      <c r="AH60" s="590">
        <f t="shared" ref="AH60:AH70" si="25">IF(AF60=0, "    ---- ", IF(ABS(ROUND(100/AF60*AG60-100,1))&lt;999,ROUND(100/AF60*AG60-100,1),IF(ROUND(100/AF60*AG60-100,1)&gt;999,999,-999)))</f>
        <v>-115.7</v>
      </c>
      <c r="AI60" s="764">
        <v>104</v>
      </c>
      <c r="AJ60" s="905">
        <v>-32.5</v>
      </c>
      <c r="AK60" s="590">
        <f t="shared" ref="AK60:AK62" si="26">IF(AI60=0, "    ---- ", IF(ABS(ROUND(100/AI60*AJ60-100,1))&lt;999,ROUND(100/AI60*AJ60-100,1),IF(ROUND(100/AI60*AJ60-100,1)&gt;999,999,-999)))</f>
        <v>-131.30000000000001</v>
      </c>
      <c r="AL60" s="765"/>
      <c r="AM60" s="765"/>
      <c r="AN60" s="590"/>
      <c r="AO60" s="589">
        <f t="shared" si="22"/>
        <v>289</v>
      </c>
      <c r="AP60" s="589">
        <f t="shared" si="23"/>
        <v>-61.5</v>
      </c>
      <c r="AQ60" s="590">
        <f t="shared" si="19"/>
        <v>-121.3</v>
      </c>
      <c r="AR60" s="589">
        <f t="shared" si="17"/>
        <v>289</v>
      </c>
      <c r="AS60" s="589">
        <f t="shared" si="18"/>
        <v>-61.5</v>
      </c>
      <c r="AT60" s="590">
        <f t="shared" si="20"/>
        <v>-121.3</v>
      </c>
      <c r="AU60" s="568"/>
    </row>
    <row r="61" spans="1:47" s="591" customFormat="1" ht="18.75" customHeight="1" x14ac:dyDescent="0.3">
      <c r="A61" s="595" t="s">
        <v>352</v>
      </c>
      <c r="B61" s="764"/>
      <c r="C61" s="765"/>
      <c r="D61" s="589"/>
      <c r="E61" s="764"/>
      <c r="F61" s="765"/>
      <c r="G61" s="590"/>
      <c r="H61" s="764"/>
      <c r="I61" s="765"/>
      <c r="J61" s="590"/>
      <c r="K61" s="764"/>
      <c r="L61" s="765"/>
      <c r="M61" s="590"/>
      <c r="N61" s="764"/>
      <c r="O61" s="765"/>
      <c r="P61" s="589"/>
      <c r="Q61" s="764"/>
      <c r="R61" s="765"/>
      <c r="S61" s="590"/>
      <c r="T61" s="764"/>
      <c r="U61" s="765"/>
      <c r="V61" s="590"/>
      <c r="W61" s="764"/>
      <c r="X61" s="765"/>
      <c r="Y61" s="590"/>
      <c r="Z61" s="764"/>
      <c r="AA61" s="765"/>
      <c r="AB61" s="590"/>
      <c r="AC61" s="764"/>
      <c r="AD61" s="765"/>
      <c r="AE61" s="590"/>
      <c r="AF61" s="764">
        <v>-32</v>
      </c>
      <c r="AG61" s="765">
        <v>26</v>
      </c>
      <c r="AH61" s="590">
        <f t="shared" si="25"/>
        <v>-181.3</v>
      </c>
      <c r="AI61" s="764">
        <v>-40</v>
      </c>
      <c r="AJ61" s="765">
        <v>45</v>
      </c>
      <c r="AK61" s="590">
        <f t="shared" si="26"/>
        <v>-212.5</v>
      </c>
      <c r="AL61" s="765"/>
      <c r="AM61" s="765"/>
      <c r="AN61" s="590"/>
      <c r="AO61" s="589">
        <f t="shared" si="22"/>
        <v>-72</v>
      </c>
      <c r="AP61" s="589">
        <f t="shared" si="23"/>
        <v>71</v>
      </c>
      <c r="AQ61" s="590">
        <f t="shared" si="19"/>
        <v>-198.6</v>
      </c>
      <c r="AR61" s="589">
        <f t="shared" si="17"/>
        <v>-72</v>
      </c>
      <c r="AS61" s="589">
        <f t="shared" si="18"/>
        <v>71</v>
      </c>
      <c r="AT61" s="590">
        <f t="shared" si="20"/>
        <v>-198.6</v>
      </c>
      <c r="AU61" s="568"/>
    </row>
    <row r="62" spans="1:47" s="591" customFormat="1" ht="18.75" customHeight="1" x14ac:dyDescent="0.3">
      <c r="A62" s="595" t="s">
        <v>353</v>
      </c>
      <c r="B62" s="764"/>
      <c r="C62" s="765"/>
      <c r="D62" s="589"/>
      <c r="E62" s="764"/>
      <c r="F62" s="765"/>
      <c r="G62" s="590"/>
      <c r="H62" s="764"/>
      <c r="I62" s="765"/>
      <c r="J62" s="590"/>
      <c r="K62" s="764"/>
      <c r="L62" s="765"/>
      <c r="M62" s="590"/>
      <c r="N62" s="764"/>
      <c r="O62" s="765"/>
      <c r="P62" s="589"/>
      <c r="Q62" s="764"/>
      <c r="R62" s="765"/>
      <c r="S62" s="590"/>
      <c r="T62" s="764"/>
      <c r="U62" s="765"/>
      <c r="V62" s="590"/>
      <c r="W62" s="764"/>
      <c r="X62" s="765"/>
      <c r="Y62" s="590"/>
      <c r="Z62" s="764"/>
      <c r="AA62" s="765"/>
      <c r="AB62" s="590"/>
      <c r="AC62" s="764"/>
      <c r="AD62" s="765"/>
      <c r="AE62" s="590"/>
      <c r="AF62" s="764">
        <v>-46</v>
      </c>
      <c r="AG62" s="765">
        <v>-52</v>
      </c>
      <c r="AH62" s="590">
        <f t="shared" si="25"/>
        <v>13</v>
      </c>
      <c r="AI62" s="764">
        <v>5</v>
      </c>
      <c r="AJ62" s="765">
        <v>0</v>
      </c>
      <c r="AK62" s="590">
        <f t="shared" si="26"/>
        <v>-100</v>
      </c>
      <c r="AL62" s="765"/>
      <c r="AM62" s="765"/>
      <c r="AN62" s="590"/>
      <c r="AO62" s="589">
        <f t="shared" si="22"/>
        <v>-41</v>
      </c>
      <c r="AP62" s="589">
        <f t="shared" si="23"/>
        <v>-52</v>
      </c>
      <c r="AQ62" s="590">
        <f t="shared" si="19"/>
        <v>26.8</v>
      </c>
      <c r="AR62" s="589">
        <f t="shared" si="17"/>
        <v>-41</v>
      </c>
      <c r="AS62" s="589">
        <f t="shared" si="18"/>
        <v>-52</v>
      </c>
      <c r="AT62" s="590">
        <f t="shared" si="20"/>
        <v>26.8</v>
      </c>
      <c r="AU62" s="568"/>
    </row>
    <row r="63" spans="1:47" s="591" customFormat="1" ht="18.75" customHeight="1" x14ac:dyDescent="0.3">
      <c r="A63" s="595" t="s">
        <v>354</v>
      </c>
      <c r="B63" s="764"/>
      <c r="C63" s="765"/>
      <c r="D63" s="589"/>
      <c r="E63" s="764"/>
      <c r="F63" s="765"/>
      <c r="G63" s="590"/>
      <c r="H63" s="764"/>
      <c r="I63" s="765"/>
      <c r="J63" s="590"/>
      <c r="K63" s="764"/>
      <c r="L63" s="765"/>
      <c r="M63" s="590"/>
      <c r="N63" s="764"/>
      <c r="O63" s="765"/>
      <c r="P63" s="589"/>
      <c r="Q63" s="764"/>
      <c r="R63" s="765"/>
      <c r="S63" s="590"/>
      <c r="T63" s="764"/>
      <c r="U63" s="765"/>
      <c r="V63" s="590"/>
      <c r="W63" s="764"/>
      <c r="X63" s="765"/>
      <c r="Y63" s="590"/>
      <c r="Z63" s="764"/>
      <c r="AA63" s="765"/>
      <c r="AB63" s="590"/>
      <c r="AC63" s="764"/>
      <c r="AD63" s="765"/>
      <c r="AE63" s="590"/>
      <c r="AF63" s="764"/>
      <c r="AG63" s="765"/>
      <c r="AH63" s="590"/>
      <c r="AI63" s="764"/>
      <c r="AJ63" s="765"/>
      <c r="AK63" s="590"/>
      <c r="AL63" s="765"/>
      <c r="AM63" s="765"/>
      <c r="AN63" s="590"/>
      <c r="AO63" s="589">
        <f t="shared" si="22"/>
        <v>0</v>
      </c>
      <c r="AP63" s="589">
        <f t="shared" si="23"/>
        <v>0</v>
      </c>
      <c r="AQ63" s="590" t="str">
        <f t="shared" si="19"/>
        <v xml:space="preserve">    ---- </v>
      </c>
      <c r="AR63" s="589">
        <f t="shared" si="17"/>
        <v>0</v>
      </c>
      <c r="AS63" s="589">
        <f t="shared" si="18"/>
        <v>0</v>
      </c>
      <c r="AT63" s="590" t="str">
        <f t="shared" si="20"/>
        <v xml:space="preserve">    ---- </v>
      </c>
      <c r="AU63" s="568"/>
    </row>
    <row r="64" spans="1:47" s="591" customFormat="1" ht="18.75" customHeight="1" x14ac:dyDescent="0.3">
      <c r="A64" s="595" t="s">
        <v>355</v>
      </c>
      <c r="B64" s="764"/>
      <c r="C64" s="765"/>
      <c r="D64" s="589"/>
      <c r="E64" s="764"/>
      <c r="F64" s="765"/>
      <c r="G64" s="590"/>
      <c r="H64" s="764"/>
      <c r="I64" s="765"/>
      <c r="J64" s="590"/>
      <c r="K64" s="764"/>
      <c r="L64" s="765"/>
      <c r="M64" s="590"/>
      <c r="N64" s="764"/>
      <c r="O64" s="765"/>
      <c r="P64" s="589"/>
      <c r="Q64" s="764"/>
      <c r="R64" s="765"/>
      <c r="S64" s="590"/>
      <c r="T64" s="764"/>
      <c r="U64" s="765"/>
      <c r="V64" s="590"/>
      <c r="W64" s="764"/>
      <c r="X64" s="765"/>
      <c r="Y64" s="590"/>
      <c r="Z64" s="764"/>
      <c r="AA64" s="765"/>
      <c r="AB64" s="590"/>
      <c r="AC64" s="764"/>
      <c r="AD64" s="765"/>
      <c r="AE64" s="590"/>
      <c r="AF64" s="764">
        <v>14</v>
      </c>
      <c r="AG64" s="765">
        <v>26</v>
      </c>
      <c r="AH64" s="590">
        <f t="shared" si="25"/>
        <v>85.7</v>
      </c>
      <c r="AI64" s="764">
        <v>24</v>
      </c>
      <c r="AJ64" s="765">
        <v>28</v>
      </c>
      <c r="AK64" s="590">
        <f t="shared" ref="AK64:AK66" si="27">IF(AI64=0, "    ---- ", IF(ABS(ROUND(100/AI64*AJ64-100,1))&lt;999,ROUND(100/AI64*AJ64-100,1),IF(ROUND(100/AI64*AJ64-100,1)&gt;999,999,-999)))</f>
        <v>16.7</v>
      </c>
      <c r="AL64" s="765"/>
      <c r="AM64" s="765"/>
      <c r="AN64" s="590"/>
      <c r="AO64" s="589">
        <f t="shared" si="22"/>
        <v>38</v>
      </c>
      <c r="AP64" s="589">
        <f t="shared" si="23"/>
        <v>54</v>
      </c>
      <c r="AQ64" s="590">
        <f t="shared" si="19"/>
        <v>42.1</v>
      </c>
      <c r="AR64" s="589">
        <f t="shared" si="17"/>
        <v>38</v>
      </c>
      <c r="AS64" s="589">
        <f t="shared" si="18"/>
        <v>54</v>
      </c>
      <c r="AT64" s="590">
        <f t="shared" si="20"/>
        <v>42.1</v>
      </c>
      <c r="AU64" s="568"/>
    </row>
    <row r="65" spans="1:47" s="591" customFormat="1" ht="18.75" customHeight="1" x14ac:dyDescent="0.3">
      <c r="A65" s="595" t="s">
        <v>356</v>
      </c>
      <c r="B65" s="764"/>
      <c r="C65" s="765"/>
      <c r="D65" s="589"/>
      <c r="E65" s="764"/>
      <c r="F65" s="765"/>
      <c r="G65" s="590"/>
      <c r="H65" s="764"/>
      <c r="I65" s="765"/>
      <c r="J65" s="590"/>
      <c r="K65" s="764"/>
      <c r="L65" s="765"/>
      <c r="M65" s="590"/>
      <c r="N65" s="764"/>
      <c r="O65" s="765"/>
      <c r="P65" s="589"/>
      <c r="Q65" s="764"/>
      <c r="R65" s="765"/>
      <c r="S65" s="590"/>
      <c r="T65" s="764"/>
      <c r="U65" s="765"/>
      <c r="V65" s="590"/>
      <c r="W65" s="764"/>
      <c r="X65" s="765"/>
      <c r="Y65" s="590"/>
      <c r="Z65" s="764"/>
      <c r="AA65" s="765"/>
      <c r="AB65" s="590"/>
      <c r="AC65" s="764"/>
      <c r="AD65" s="765"/>
      <c r="AE65" s="590"/>
      <c r="AF65" s="764">
        <v>-40</v>
      </c>
      <c r="AG65" s="765">
        <v>138</v>
      </c>
      <c r="AH65" s="590">
        <f t="shared" si="25"/>
        <v>-445</v>
      </c>
      <c r="AI65" s="764">
        <v>12.6</v>
      </c>
      <c r="AJ65" s="765">
        <v>86</v>
      </c>
      <c r="AK65" s="590">
        <f t="shared" si="27"/>
        <v>582.5</v>
      </c>
      <c r="AL65" s="765"/>
      <c r="AM65" s="765"/>
      <c r="AN65" s="590"/>
      <c r="AO65" s="589">
        <f t="shared" si="22"/>
        <v>-27.4</v>
      </c>
      <c r="AP65" s="589">
        <f t="shared" si="23"/>
        <v>224</v>
      </c>
      <c r="AQ65" s="590">
        <f t="shared" si="19"/>
        <v>-917.5</v>
      </c>
      <c r="AR65" s="589">
        <f t="shared" si="17"/>
        <v>-27.4</v>
      </c>
      <c r="AS65" s="589">
        <f t="shared" si="18"/>
        <v>224</v>
      </c>
      <c r="AT65" s="590">
        <f t="shared" si="20"/>
        <v>-917.5</v>
      </c>
      <c r="AU65" s="568"/>
    </row>
    <row r="66" spans="1:47" s="591" customFormat="1" ht="18.75" customHeight="1" x14ac:dyDescent="0.3">
      <c r="A66" s="595" t="s">
        <v>357</v>
      </c>
      <c r="B66" s="764"/>
      <c r="C66" s="765"/>
      <c r="D66" s="589"/>
      <c r="E66" s="764"/>
      <c r="F66" s="765"/>
      <c r="G66" s="590"/>
      <c r="H66" s="764"/>
      <c r="I66" s="765"/>
      <c r="J66" s="590"/>
      <c r="K66" s="764"/>
      <c r="L66" s="765"/>
      <c r="M66" s="590"/>
      <c r="N66" s="764"/>
      <c r="O66" s="765"/>
      <c r="P66" s="589"/>
      <c r="Q66" s="764"/>
      <c r="R66" s="765"/>
      <c r="S66" s="590"/>
      <c r="T66" s="764"/>
      <c r="U66" s="765"/>
      <c r="V66" s="590"/>
      <c r="W66" s="764"/>
      <c r="X66" s="765"/>
      <c r="Y66" s="590"/>
      <c r="Z66" s="764"/>
      <c r="AA66" s="765"/>
      <c r="AB66" s="590"/>
      <c r="AC66" s="764"/>
      <c r="AD66" s="765"/>
      <c r="AE66" s="590"/>
      <c r="AF66" s="764"/>
      <c r="AG66" s="765"/>
      <c r="AH66" s="590"/>
      <c r="AI66" s="764">
        <v>6</v>
      </c>
      <c r="AJ66" s="765">
        <v>43</v>
      </c>
      <c r="AK66" s="590">
        <f t="shared" si="27"/>
        <v>616.70000000000005</v>
      </c>
      <c r="AL66" s="765"/>
      <c r="AM66" s="765"/>
      <c r="AN66" s="590"/>
      <c r="AO66" s="589">
        <f t="shared" si="22"/>
        <v>6</v>
      </c>
      <c r="AP66" s="589">
        <f t="shared" si="23"/>
        <v>43</v>
      </c>
      <c r="AQ66" s="590">
        <f t="shared" si="19"/>
        <v>616.70000000000005</v>
      </c>
      <c r="AR66" s="589">
        <f t="shared" si="17"/>
        <v>6</v>
      </c>
      <c r="AS66" s="589">
        <f t="shared" si="18"/>
        <v>43</v>
      </c>
      <c r="AT66" s="590">
        <f t="shared" si="20"/>
        <v>616.70000000000005</v>
      </c>
      <c r="AU66" s="568"/>
    </row>
    <row r="67" spans="1:47" s="591" customFormat="1" ht="18.75" customHeight="1" x14ac:dyDescent="0.3">
      <c r="A67" s="595" t="s">
        <v>358</v>
      </c>
      <c r="B67" s="764"/>
      <c r="C67" s="765"/>
      <c r="D67" s="589"/>
      <c r="E67" s="764"/>
      <c r="F67" s="765"/>
      <c r="G67" s="590"/>
      <c r="H67" s="764"/>
      <c r="I67" s="765"/>
      <c r="J67" s="590"/>
      <c r="K67" s="764"/>
      <c r="L67" s="765"/>
      <c r="M67" s="590"/>
      <c r="N67" s="764"/>
      <c r="O67" s="765"/>
      <c r="P67" s="589"/>
      <c r="Q67" s="764"/>
      <c r="R67" s="765"/>
      <c r="S67" s="590"/>
      <c r="T67" s="764"/>
      <c r="U67" s="765"/>
      <c r="V67" s="590"/>
      <c r="W67" s="764"/>
      <c r="X67" s="765"/>
      <c r="Y67" s="590"/>
      <c r="Z67" s="764"/>
      <c r="AA67" s="765"/>
      <c r="AB67" s="590"/>
      <c r="AC67" s="764"/>
      <c r="AD67" s="765"/>
      <c r="AE67" s="590"/>
      <c r="AF67" s="764"/>
      <c r="AG67" s="765"/>
      <c r="AH67" s="590"/>
      <c r="AI67" s="764"/>
      <c r="AJ67" s="765"/>
      <c r="AK67" s="590"/>
      <c r="AL67" s="765"/>
      <c r="AM67" s="765"/>
      <c r="AN67" s="590"/>
      <c r="AO67" s="589">
        <f t="shared" si="22"/>
        <v>0</v>
      </c>
      <c r="AP67" s="589">
        <f t="shared" si="23"/>
        <v>0</v>
      </c>
      <c r="AQ67" s="590" t="str">
        <f t="shared" si="19"/>
        <v xml:space="preserve">    ---- </v>
      </c>
      <c r="AR67" s="589">
        <f t="shared" si="17"/>
        <v>0</v>
      </c>
      <c r="AS67" s="589">
        <f t="shared" si="18"/>
        <v>0</v>
      </c>
      <c r="AT67" s="590" t="str">
        <f t="shared" si="20"/>
        <v xml:space="preserve">    ---- </v>
      </c>
      <c r="AU67" s="568"/>
    </row>
    <row r="68" spans="1:47" s="593" customFormat="1" ht="18.75" customHeight="1" x14ac:dyDescent="0.3">
      <c r="A68" s="594" t="s">
        <v>359</v>
      </c>
      <c r="B68" s="766"/>
      <c r="C68" s="767"/>
      <c r="D68" s="587"/>
      <c r="E68" s="766"/>
      <c r="F68" s="767"/>
      <c r="G68" s="588"/>
      <c r="H68" s="766"/>
      <c r="I68" s="767"/>
      <c r="J68" s="588"/>
      <c r="K68" s="766"/>
      <c r="L68" s="767"/>
      <c r="M68" s="588"/>
      <c r="N68" s="766"/>
      <c r="O68" s="767"/>
      <c r="P68" s="587"/>
      <c r="Q68" s="766"/>
      <c r="R68" s="767"/>
      <c r="S68" s="588"/>
      <c r="T68" s="766"/>
      <c r="U68" s="767"/>
      <c r="V68" s="588"/>
      <c r="W68" s="766"/>
      <c r="X68" s="767"/>
      <c r="Y68" s="588"/>
      <c r="Z68" s="766"/>
      <c r="AA68" s="767"/>
      <c r="AB68" s="588"/>
      <c r="AC68" s="766"/>
      <c r="AD68" s="767"/>
      <c r="AE68" s="588"/>
      <c r="AF68" s="766">
        <f>SUM(AF60:AF65)+AF67</f>
        <v>81</v>
      </c>
      <c r="AG68" s="767">
        <f>SUM(AG60:AG65)+AG67</f>
        <v>109</v>
      </c>
      <c r="AH68" s="588">
        <f t="shared" si="25"/>
        <v>34.6</v>
      </c>
      <c r="AI68" s="766">
        <f>SUM(AI60:AI65)+AI67</f>
        <v>105.6</v>
      </c>
      <c r="AJ68" s="767">
        <f>SUM(AJ60:AJ65)+AJ67</f>
        <v>126.5</v>
      </c>
      <c r="AK68" s="588">
        <f t="shared" ref="AK68:AK74" si="28">IF(AI68=0, "    ---- ", IF(ABS(ROUND(100/AI68*AJ68-100,1))&lt;999,ROUND(100/AI68*AJ68-100,1),IF(ROUND(100/AI68*AJ68-100,1)&gt;999,999,-999)))</f>
        <v>19.8</v>
      </c>
      <c r="AL68" s="767"/>
      <c r="AM68" s="767">
        <f>SUM(AM60:AM65)+AM67</f>
        <v>0</v>
      </c>
      <c r="AN68" s="588"/>
      <c r="AO68" s="589">
        <f t="shared" si="22"/>
        <v>186.6</v>
      </c>
      <c r="AP68" s="589">
        <f t="shared" si="23"/>
        <v>235.5</v>
      </c>
      <c r="AQ68" s="588">
        <f>IF(AO68=0, "    ---- ", IF(ABS(ROUND(100/AO68*AP68-100,1))&lt;999,ROUND(100/AO68*AP68-100,1),IF(ROUND(100/AO68*AP68-100,1)&gt;999,999,-999)))</f>
        <v>26.2</v>
      </c>
      <c r="AR68" s="589">
        <f t="shared" si="17"/>
        <v>186.6</v>
      </c>
      <c r="AS68" s="589">
        <f t="shared" si="18"/>
        <v>235.5</v>
      </c>
      <c r="AT68" s="588">
        <f t="shared" si="20"/>
        <v>26.2</v>
      </c>
      <c r="AU68" s="592"/>
    </row>
    <row r="69" spans="1:47" s="591" customFormat="1" ht="18.75" customHeight="1" x14ac:dyDescent="0.3">
      <c r="A69" s="595" t="s">
        <v>360</v>
      </c>
      <c r="B69" s="764"/>
      <c r="C69" s="765"/>
      <c r="D69" s="589"/>
      <c r="E69" s="764"/>
      <c r="F69" s="765"/>
      <c r="G69" s="590"/>
      <c r="H69" s="764"/>
      <c r="I69" s="765"/>
      <c r="J69" s="590"/>
      <c r="K69" s="764"/>
      <c r="L69" s="765"/>
      <c r="M69" s="590"/>
      <c r="N69" s="764"/>
      <c r="O69" s="765"/>
      <c r="P69" s="589"/>
      <c r="Q69" s="764"/>
      <c r="R69" s="765"/>
      <c r="S69" s="590"/>
      <c r="T69" s="764"/>
      <c r="U69" s="765"/>
      <c r="V69" s="590"/>
      <c r="W69" s="764"/>
      <c r="X69" s="765"/>
      <c r="Y69" s="590"/>
      <c r="Z69" s="764"/>
      <c r="AA69" s="765"/>
      <c r="AB69" s="590"/>
      <c r="AC69" s="764"/>
      <c r="AD69" s="765"/>
      <c r="AE69" s="590"/>
      <c r="AF69" s="764">
        <v>160</v>
      </c>
      <c r="AG69" s="765">
        <v>22</v>
      </c>
      <c r="AH69" s="590">
        <f t="shared" si="25"/>
        <v>-86.3</v>
      </c>
      <c r="AI69" s="764">
        <v>70</v>
      </c>
      <c r="AJ69" s="765">
        <f>15.5+43</f>
        <v>58.5</v>
      </c>
      <c r="AK69" s="590">
        <f t="shared" si="28"/>
        <v>-16.399999999999999</v>
      </c>
      <c r="AL69" s="765"/>
      <c r="AM69" s="765"/>
      <c r="AN69" s="590"/>
      <c r="AO69" s="589">
        <f t="shared" si="22"/>
        <v>230</v>
      </c>
      <c r="AP69" s="589">
        <f t="shared" si="23"/>
        <v>80.5</v>
      </c>
      <c r="AQ69" s="590">
        <f t="shared" ref="AQ69:AQ79" si="29">IF(AO69=0, "    ---- ", IF(ABS(ROUND(100/AO69*AP69-100,1))&lt;999,ROUND(100/AO69*AP69-100,1),IF(ROUND(100/AO69*AP69-100,1)&gt;999,999,-999)))</f>
        <v>-65</v>
      </c>
      <c r="AR69" s="589">
        <f t="shared" si="17"/>
        <v>230</v>
      </c>
      <c r="AS69" s="589">
        <f t="shared" si="18"/>
        <v>80.5</v>
      </c>
      <c r="AT69" s="590">
        <f t="shared" si="20"/>
        <v>-65</v>
      </c>
      <c r="AU69" s="568"/>
    </row>
    <row r="70" spans="1:47" s="591" customFormat="1" ht="18.75" customHeight="1" x14ac:dyDescent="0.3">
      <c r="A70" s="595" t="s">
        <v>361</v>
      </c>
      <c r="B70" s="764"/>
      <c r="C70" s="765"/>
      <c r="D70" s="589"/>
      <c r="E70" s="764"/>
      <c r="F70" s="765"/>
      <c r="G70" s="590"/>
      <c r="H70" s="764"/>
      <c r="I70" s="765"/>
      <c r="J70" s="590"/>
      <c r="K70" s="764"/>
      <c r="L70" s="765"/>
      <c r="M70" s="590"/>
      <c r="N70" s="764"/>
      <c r="O70" s="765"/>
      <c r="P70" s="589"/>
      <c r="Q70" s="764"/>
      <c r="R70" s="765"/>
      <c r="S70" s="590"/>
      <c r="T70" s="764"/>
      <c r="U70" s="765"/>
      <c r="V70" s="590"/>
      <c r="W70" s="764"/>
      <c r="X70" s="765"/>
      <c r="Y70" s="590"/>
      <c r="Z70" s="764"/>
      <c r="AA70" s="765"/>
      <c r="AB70" s="590"/>
      <c r="AC70" s="764"/>
      <c r="AD70" s="765"/>
      <c r="AE70" s="590"/>
      <c r="AF70" s="764">
        <v>-79</v>
      </c>
      <c r="AG70" s="765">
        <v>87</v>
      </c>
      <c r="AH70" s="590">
        <f t="shared" si="25"/>
        <v>-210.1</v>
      </c>
      <c r="AI70" s="764">
        <v>35.6</v>
      </c>
      <c r="AJ70" s="765">
        <v>68</v>
      </c>
      <c r="AK70" s="590">
        <f t="shared" si="28"/>
        <v>91</v>
      </c>
      <c r="AL70" s="765"/>
      <c r="AM70" s="765"/>
      <c r="AN70" s="590"/>
      <c r="AO70" s="589">
        <f t="shared" si="22"/>
        <v>-43.4</v>
      </c>
      <c r="AP70" s="589">
        <f t="shared" si="23"/>
        <v>155</v>
      </c>
      <c r="AQ70" s="590">
        <f t="shared" si="29"/>
        <v>-457.1</v>
      </c>
      <c r="AR70" s="589">
        <f t="shared" si="17"/>
        <v>-43.4</v>
      </c>
      <c r="AS70" s="589">
        <f t="shared" si="18"/>
        <v>155</v>
      </c>
      <c r="AT70" s="590">
        <f t="shared" si="20"/>
        <v>-457.1</v>
      </c>
      <c r="AU70" s="568"/>
    </row>
    <row r="71" spans="1:47" s="591" customFormat="1" ht="18.75" customHeight="1" x14ac:dyDescent="0.3">
      <c r="A71" s="594" t="s">
        <v>376</v>
      </c>
      <c r="B71" s="764"/>
      <c r="C71" s="765"/>
      <c r="D71" s="589"/>
      <c r="E71" s="764"/>
      <c r="F71" s="765"/>
      <c r="G71" s="590"/>
      <c r="H71" s="764"/>
      <c r="I71" s="765"/>
      <c r="J71" s="590"/>
      <c r="K71" s="764"/>
      <c r="L71" s="765"/>
      <c r="M71" s="590"/>
      <c r="N71" s="764"/>
      <c r="O71" s="765"/>
      <c r="P71" s="589"/>
      <c r="Q71" s="764"/>
      <c r="R71" s="765"/>
      <c r="S71" s="590"/>
      <c r="T71" s="764"/>
      <c r="U71" s="765"/>
      <c r="V71" s="590"/>
      <c r="W71" s="764"/>
      <c r="X71" s="765"/>
      <c r="Y71" s="590"/>
      <c r="Z71" s="764"/>
      <c r="AA71" s="765"/>
      <c r="AB71" s="590"/>
      <c r="AC71" s="764"/>
      <c r="AD71" s="765"/>
      <c r="AE71" s="590"/>
      <c r="AF71" s="764"/>
      <c r="AG71" s="765"/>
      <c r="AH71" s="590"/>
      <c r="AI71" s="764"/>
      <c r="AJ71" s="765"/>
      <c r="AK71" s="590"/>
      <c r="AL71" s="765"/>
      <c r="AM71" s="765"/>
      <c r="AN71" s="590"/>
      <c r="AO71" s="589">
        <f t="shared" si="22"/>
        <v>0</v>
      </c>
      <c r="AP71" s="589">
        <f t="shared" si="23"/>
        <v>0</v>
      </c>
      <c r="AQ71" s="590" t="str">
        <f t="shared" si="29"/>
        <v xml:space="preserve">    ---- </v>
      </c>
      <c r="AR71" s="589">
        <f t="shared" si="17"/>
        <v>0</v>
      </c>
      <c r="AS71" s="589">
        <f t="shared" si="18"/>
        <v>0</v>
      </c>
      <c r="AT71" s="590"/>
      <c r="AU71" s="568"/>
    </row>
    <row r="72" spans="1:47" s="591" customFormat="1" ht="18.75" customHeight="1" x14ac:dyDescent="0.3">
      <c r="A72" s="595" t="s">
        <v>351</v>
      </c>
      <c r="B72" s="764"/>
      <c r="C72" s="765"/>
      <c r="D72" s="589"/>
      <c r="E72" s="764"/>
      <c r="F72" s="765"/>
      <c r="G72" s="590"/>
      <c r="H72" s="764"/>
      <c r="I72" s="765"/>
      <c r="J72" s="590"/>
      <c r="K72" s="764"/>
      <c r="L72" s="765"/>
      <c r="M72" s="590"/>
      <c r="N72" s="764"/>
      <c r="O72" s="765"/>
      <c r="P72" s="589"/>
      <c r="Q72" s="764"/>
      <c r="R72" s="765"/>
      <c r="S72" s="590"/>
      <c r="T72" s="764"/>
      <c r="U72" s="765"/>
      <c r="V72" s="590"/>
      <c r="W72" s="764"/>
      <c r="X72" s="765"/>
      <c r="Y72" s="590"/>
      <c r="Z72" s="764"/>
      <c r="AA72" s="765"/>
      <c r="AB72" s="590"/>
      <c r="AC72" s="764"/>
      <c r="AD72" s="765"/>
      <c r="AE72" s="590"/>
      <c r="AF72" s="764">
        <v>2</v>
      </c>
      <c r="AG72" s="765"/>
      <c r="AH72" s="590">
        <f t="shared" ref="AH72:AH82" si="30">IF(AF72=0, "    ---- ", IF(ABS(ROUND(100/AF72*AG72-100,1))&lt;999,ROUND(100/AF72*AG72-100,1),IF(ROUND(100/AF72*AG72-100,1)&gt;999,999,-999)))</f>
        <v>-100</v>
      </c>
      <c r="AI72" s="764">
        <v>0</v>
      </c>
      <c r="AJ72" s="765">
        <v>0</v>
      </c>
      <c r="AK72" s="590" t="str">
        <f t="shared" si="28"/>
        <v xml:space="preserve">    ---- </v>
      </c>
      <c r="AL72" s="765"/>
      <c r="AM72" s="765"/>
      <c r="AN72" s="590"/>
      <c r="AO72" s="589">
        <f t="shared" si="22"/>
        <v>2</v>
      </c>
      <c r="AP72" s="589">
        <f t="shared" si="23"/>
        <v>0</v>
      </c>
      <c r="AQ72" s="590">
        <f t="shared" si="29"/>
        <v>-100</v>
      </c>
      <c r="AR72" s="589">
        <f t="shared" si="17"/>
        <v>2</v>
      </c>
      <c r="AS72" s="589">
        <f t="shared" si="18"/>
        <v>0</v>
      </c>
      <c r="AT72" s="590">
        <f t="shared" si="20"/>
        <v>-100</v>
      </c>
      <c r="AU72" s="568"/>
    </row>
    <row r="73" spans="1:47" s="591" customFormat="1" ht="18.75" customHeight="1" x14ac:dyDescent="0.3">
      <c r="A73" s="595" t="s">
        <v>352</v>
      </c>
      <c r="B73" s="764"/>
      <c r="C73" s="765"/>
      <c r="D73" s="589"/>
      <c r="E73" s="764"/>
      <c r="F73" s="765"/>
      <c r="G73" s="590"/>
      <c r="H73" s="764"/>
      <c r="I73" s="765"/>
      <c r="J73" s="590"/>
      <c r="K73" s="764"/>
      <c r="L73" s="765"/>
      <c r="M73" s="590"/>
      <c r="N73" s="764"/>
      <c r="O73" s="765"/>
      <c r="P73" s="589"/>
      <c r="Q73" s="764"/>
      <c r="R73" s="765"/>
      <c r="S73" s="590"/>
      <c r="T73" s="764"/>
      <c r="U73" s="765"/>
      <c r="V73" s="590"/>
      <c r="W73" s="764"/>
      <c r="X73" s="765"/>
      <c r="Y73" s="590"/>
      <c r="Z73" s="764"/>
      <c r="AA73" s="765"/>
      <c r="AB73" s="590"/>
      <c r="AC73" s="764"/>
      <c r="AD73" s="765"/>
      <c r="AE73" s="590"/>
      <c r="AF73" s="764">
        <v>-2</v>
      </c>
      <c r="AG73" s="765"/>
      <c r="AH73" s="590">
        <f>IF(AF73=0, "    ---- ", IF(ABS(ROUND(100/AF73*AG73-100,1))&lt;999,ROUND(100/AF73*AG73-100,1),IF(ROUND(100/AF73*AG73-100,1)&gt;999,999,-999)))</f>
        <v>-100</v>
      </c>
      <c r="AI73" s="764"/>
      <c r="AJ73" s="765"/>
      <c r="AK73" s="590"/>
      <c r="AL73" s="765"/>
      <c r="AM73" s="765"/>
      <c r="AN73" s="590"/>
      <c r="AO73" s="589">
        <f t="shared" si="22"/>
        <v>-2</v>
      </c>
      <c r="AP73" s="589">
        <f t="shared" si="23"/>
        <v>0</v>
      </c>
      <c r="AQ73" s="590">
        <f t="shared" si="29"/>
        <v>-100</v>
      </c>
      <c r="AR73" s="589">
        <f t="shared" si="17"/>
        <v>-2</v>
      </c>
      <c r="AS73" s="589">
        <f t="shared" si="18"/>
        <v>0</v>
      </c>
      <c r="AT73" s="590">
        <f t="shared" si="20"/>
        <v>-100</v>
      </c>
      <c r="AU73" s="568"/>
    </row>
    <row r="74" spans="1:47" s="591" customFormat="1" ht="18.75" customHeight="1" x14ac:dyDescent="0.3">
      <c r="A74" s="595" t="s">
        <v>353</v>
      </c>
      <c r="B74" s="764"/>
      <c r="C74" s="765"/>
      <c r="D74" s="589"/>
      <c r="E74" s="764"/>
      <c r="F74" s="765"/>
      <c r="G74" s="590"/>
      <c r="H74" s="764"/>
      <c r="I74" s="765"/>
      <c r="J74" s="590"/>
      <c r="K74" s="764"/>
      <c r="L74" s="765"/>
      <c r="M74" s="590"/>
      <c r="N74" s="764"/>
      <c r="O74" s="765"/>
      <c r="P74" s="589"/>
      <c r="Q74" s="764"/>
      <c r="R74" s="765"/>
      <c r="S74" s="590"/>
      <c r="T74" s="764"/>
      <c r="U74" s="765"/>
      <c r="V74" s="590"/>
      <c r="W74" s="764"/>
      <c r="X74" s="765"/>
      <c r="Y74" s="590"/>
      <c r="Z74" s="764"/>
      <c r="AA74" s="765"/>
      <c r="AB74" s="590"/>
      <c r="AC74" s="764"/>
      <c r="AD74" s="765"/>
      <c r="AE74" s="590"/>
      <c r="AF74" s="764">
        <v>-1</v>
      </c>
      <c r="AG74" s="765">
        <v>-10</v>
      </c>
      <c r="AH74" s="590">
        <f t="shared" si="30"/>
        <v>900</v>
      </c>
      <c r="AI74" s="764">
        <v>0</v>
      </c>
      <c r="AJ74" s="765">
        <v>2.5</v>
      </c>
      <c r="AK74" s="590" t="str">
        <f t="shared" si="28"/>
        <v xml:space="preserve">    ---- </v>
      </c>
      <c r="AL74" s="765"/>
      <c r="AM74" s="765"/>
      <c r="AN74" s="590"/>
      <c r="AO74" s="589">
        <f t="shared" si="22"/>
        <v>-1</v>
      </c>
      <c r="AP74" s="589">
        <f t="shared" si="23"/>
        <v>-7.5</v>
      </c>
      <c r="AQ74" s="590">
        <f t="shared" si="29"/>
        <v>650</v>
      </c>
      <c r="AR74" s="589">
        <f t="shared" si="17"/>
        <v>-1</v>
      </c>
      <c r="AS74" s="589">
        <f t="shared" si="18"/>
        <v>-7.5</v>
      </c>
      <c r="AT74" s="590">
        <f t="shared" si="20"/>
        <v>650</v>
      </c>
      <c r="AU74" s="568"/>
    </row>
    <row r="75" spans="1:47" s="591" customFormat="1" ht="18.75" customHeight="1" x14ac:dyDescent="0.3">
      <c r="A75" s="595" t="s">
        <v>354</v>
      </c>
      <c r="B75" s="764"/>
      <c r="C75" s="765"/>
      <c r="D75" s="589"/>
      <c r="E75" s="764"/>
      <c r="F75" s="765"/>
      <c r="G75" s="590"/>
      <c r="H75" s="764"/>
      <c r="I75" s="765"/>
      <c r="J75" s="590"/>
      <c r="K75" s="764"/>
      <c r="L75" s="765"/>
      <c r="M75" s="590"/>
      <c r="N75" s="764"/>
      <c r="O75" s="765"/>
      <c r="P75" s="589"/>
      <c r="Q75" s="764"/>
      <c r="R75" s="765"/>
      <c r="S75" s="590"/>
      <c r="T75" s="764"/>
      <c r="U75" s="765"/>
      <c r="V75" s="590"/>
      <c r="W75" s="764"/>
      <c r="X75" s="765"/>
      <c r="Y75" s="590"/>
      <c r="Z75" s="764"/>
      <c r="AA75" s="765"/>
      <c r="AB75" s="590"/>
      <c r="AC75" s="764"/>
      <c r="AD75" s="765"/>
      <c r="AE75" s="590"/>
      <c r="AF75" s="764"/>
      <c r="AG75" s="765"/>
      <c r="AH75" s="590"/>
      <c r="AI75" s="764"/>
      <c r="AJ75" s="765"/>
      <c r="AK75" s="590"/>
      <c r="AL75" s="765"/>
      <c r="AM75" s="765"/>
      <c r="AN75" s="590"/>
      <c r="AO75" s="589">
        <f t="shared" si="22"/>
        <v>0</v>
      </c>
      <c r="AP75" s="589">
        <f t="shared" si="23"/>
        <v>0</v>
      </c>
      <c r="AQ75" s="590" t="str">
        <f t="shared" si="29"/>
        <v xml:space="preserve">    ---- </v>
      </c>
      <c r="AR75" s="589">
        <f t="shared" si="17"/>
        <v>0</v>
      </c>
      <c r="AS75" s="589">
        <f t="shared" si="18"/>
        <v>0</v>
      </c>
      <c r="AT75" s="590" t="str">
        <f t="shared" si="20"/>
        <v xml:space="preserve">    ---- </v>
      </c>
      <c r="AU75" s="568"/>
    </row>
    <row r="76" spans="1:47" s="591" customFormat="1" ht="18.75" customHeight="1" x14ac:dyDescent="0.3">
      <c r="A76" s="595" t="s">
        <v>355</v>
      </c>
      <c r="B76" s="764"/>
      <c r="C76" s="765"/>
      <c r="D76" s="589"/>
      <c r="E76" s="764"/>
      <c r="F76" s="765"/>
      <c r="G76" s="590"/>
      <c r="H76" s="764"/>
      <c r="I76" s="765"/>
      <c r="J76" s="590"/>
      <c r="K76" s="764"/>
      <c r="L76" s="765"/>
      <c r="M76" s="590"/>
      <c r="N76" s="764"/>
      <c r="O76" s="765"/>
      <c r="P76" s="589"/>
      <c r="Q76" s="764"/>
      <c r="R76" s="765"/>
      <c r="S76" s="590"/>
      <c r="T76" s="764"/>
      <c r="U76" s="765"/>
      <c r="V76" s="590"/>
      <c r="W76" s="764"/>
      <c r="X76" s="765"/>
      <c r="Y76" s="590"/>
      <c r="Z76" s="764"/>
      <c r="AA76" s="765"/>
      <c r="AB76" s="590"/>
      <c r="AC76" s="764"/>
      <c r="AD76" s="765"/>
      <c r="AE76" s="590"/>
      <c r="AF76" s="764"/>
      <c r="AG76" s="765"/>
      <c r="AH76" s="590"/>
      <c r="AI76" s="764"/>
      <c r="AJ76" s="765"/>
      <c r="AK76" s="590"/>
      <c r="AL76" s="765"/>
      <c r="AM76" s="765"/>
      <c r="AN76" s="590"/>
      <c r="AO76" s="589">
        <f t="shared" si="22"/>
        <v>0</v>
      </c>
      <c r="AP76" s="589">
        <f t="shared" si="23"/>
        <v>0</v>
      </c>
      <c r="AQ76" s="590" t="str">
        <f t="shared" si="29"/>
        <v xml:space="preserve">    ---- </v>
      </c>
      <c r="AR76" s="589">
        <f t="shared" ref="AR76:AR107" si="31">+B76+E76+H76+K76+N76+Q76+T76+AL76+W76+Z76+AC76+AF76+AI76</f>
        <v>0</v>
      </c>
      <c r="AS76" s="589">
        <f t="shared" ref="AS76:AS107" si="32">+C76+F76+I76+L76+O76+R76+U76+AM76+X76+AA76+AD76+AG76+AJ76</f>
        <v>0</v>
      </c>
      <c r="AT76" s="590" t="str">
        <f t="shared" si="20"/>
        <v xml:space="preserve">    ---- </v>
      </c>
      <c r="AU76" s="568"/>
    </row>
    <row r="77" spans="1:47" s="591" customFormat="1" ht="18.75" customHeight="1" x14ac:dyDescent="0.3">
      <c r="A77" s="595" t="s">
        <v>356</v>
      </c>
      <c r="B77" s="764"/>
      <c r="C77" s="765"/>
      <c r="D77" s="589"/>
      <c r="E77" s="764"/>
      <c r="F77" s="765"/>
      <c r="G77" s="590"/>
      <c r="H77" s="764"/>
      <c r="I77" s="765"/>
      <c r="J77" s="590"/>
      <c r="K77" s="764"/>
      <c r="L77" s="765"/>
      <c r="M77" s="590"/>
      <c r="N77" s="764"/>
      <c r="O77" s="765"/>
      <c r="P77" s="589"/>
      <c r="Q77" s="764"/>
      <c r="R77" s="765"/>
      <c r="S77" s="590"/>
      <c r="T77" s="764"/>
      <c r="U77" s="765"/>
      <c r="V77" s="590"/>
      <c r="W77" s="764"/>
      <c r="X77" s="765"/>
      <c r="Y77" s="590"/>
      <c r="Z77" s="764"/>
      <c r="AA77" s="765"/>
      <c r="AB77" s="590"/>
      <c r="AC77" s="764"/>
      <c r="AD77" s="765"/>
      <c r="AE77" s="590"/>
      <c r="AF77" s="764">
        <v>8</v>
      </c>
      <c r="AG77" s="765"/>
      <c r="AH77" s="590">
        <f t="shared" si="30"/>
        <v>-100</v>
      </c>
      <c r="AI77" s="764"/>
      <c r="AJ77" s="765"/>
      <c r="AK77" s="590"/>
      <c r="AL77" s="765"/>
      <c r="AM77" s="765"/>
      <c r="AN77" s="590"/>
      <c r="AO77" s="589">
        <f t="shared" si="22"/>
        <v>8</v>
      </c>
      <c r="AP77" s="589">
        <f t="shared" si="23"/>
        <v>0</v>
      </c>
      <c r="AQ77" s="590">
        <f t="shared" si="29"/>
        <v>-100</v>
      </c>
      <c r="AR77" s="589">
        <f t="shared" si="31"/>
        <v>8</v>
      </c>
      <c r="AS77" s="589">
        <f t="shared" si="32"/>
        <v>0</v>
      </c>
      <c r="AT77" s="590">
        <f t="shared" si="20"/>
        <v>-100</v>
      </c>
      <c r="AU77" s="568"/>
    </row>
    <row r="78" spans="1:47" s="591" customFormat="1" ht="18.75" customHeight="1" x14ac:dyDescent="0.3">
      <c r="A78" s="595" t="s">
        <v>357</v>
      </c>
      <c r="B78" s="764"/>
      <c r="C78" s="765"/>
      <c r="D78" s="589"/>
      <c r="E78" s="764"/>
      <c r="F78" s="765"/>
      <c r="G78" s="590"/>
      <c r="H78" s="764"/>
      <c r="I78" s="765"/>
      <c r="J78" s="590"/>
      <c r="K78" s="764"/>
      <c r="L78" s="765"/>
      <c r="M78" s="590"/>
      <c r="N78" s="764"/>
      <c r="O78" s="765"/>
      <c r="P78" s="589"/>
      <c r="Q78" s="764"/>
      <c r="R78" s="765"/>
      <c r="S78" s="590"/>
      <c r="T78" s="764"/>
      <c r="U78" s="765"/>
      <c r="V78" s="590"/>
      <c r="W78" s="764"/>
      <c r="X78" s="765"/>
      <c r="Y78" s="590"/>
      <c r="Z78" s="764"/>
      <c r="AA78" s="765"/>
      <c r="AB78" s="590"/>
      <c r="AC78" s="764"/>
      <c r="AD78" s="765"/>
      <c r="AE78" s="590"/>
      <c r="AF78" s="764"/>
      <c r="AG78" s="765"/>
      <c r="AH78" s="590"/>
      <c r="AI78" s="764"/>
      <c r="AJ78" s="765"/>
      <c r="AK78" s="590"/>
      <c r="AL78" s="765"/>
      <c r="AM78" s="765"/>
      <c r="AN78" s="590"/>
      <c r="AO78" s="589">
        <f t="shared" si="22"/>
        <v>0</v>
      </c>
      <c r="AP78" s="589">
        <f t="shared" si="23"/>
        <v>0</v>
      </c>
      <c r="AQ78" s="590" t="str">
        <f t="shared" si="29"/>
        <v xml:space="preserve">    ---- </v>
      </c>
      <c r="AR78" s="589">
        <f t="shared" si="31"/>
        <v>0</v>
      </c>
      <c r="AS78" s="589">
        <f t="shared" si="32"/>
        <v>0</v>
      </c>
      <c r="AT78" s="590" t="str">
        <f t="shared" si="20"/>
        <v xml:space="preserve">    ---- </v>
      </c>
      <c r="AU78" s="568"/>
    </row>
    <row r="79" spans="1:47" s="591" customFormat="1" ht="18.75" customHeight="1" x14ac:dyDescent="0.3">
      <c r="A79" s="595" t="s">
        <v>358</v>
      </c>
      <c r="B79" s="764"/>
      <c r="C79" s="765"/>
      <c r="D79" s="589"/>
      <c r="E79" s="764"/>
      <c r="F79" s="765"/>
      <c r="G79" s="590"/>
      <c r="H79" s="764"/>
      <c r="I79" s="765"/>
      <c r="J79" s="590"/>
      <c r="K79" s="764"/>
      <c r="L79" s="765"/>
      <c r="M79" s="590"/>
      <c r="N79" s="764"/>
      <c r="O79" s="765"/>
      <c r="P79" s="589"/>
      <c r="Q79" s="764"/>
      <c r="R79" s="765"/>
      <c r="S79" s="590"/>
      <c r="T79" s="764"/>
      <c r="U79" s="765"/>
      <c r="V79" s="590"/>
      <c r="W79" s="764"/>
      <c r="X79" s="765"/>
      <c r="Y79" s="590"/>
      <c r="Z79" s="764"/>
      <c r="AA79" s="765"/>
      <c r="AB79" s="590"/>
      <c r="AC79" s="764"/>
      <c r="AD79" s="765"/>
      <c r="AE79" s="590"/>
      <c r="AF79" s="764"/>
      <c r="AG79" s="765"/>
      <c r="AH79" s="590"/>
      <c r="AI79" s="764"/>
      <c r="AJ79" s="765"/>
      <c r="AK79" s="590"/>
      <c r="AL79" s="765"/>
      <c r="AM79" s="765"/>
      <c r="AN79" s="590"/>
      <c r="AO79" s="589">
        <f t="shared" si="22"/>
        <v>0</v>
      </c>
      <c r="AP79" s="589">
        <f t="shared" si="23"/>
        <v>0</v>
      </c>
      <c r="AQ79" s="590" t="str">
        <f t="shared" si="29"/>
        <v xml:space="preserve">    ---- </v>
      </c>
      <c r="AR79" s="589">
        <f t="shared" si="31"/>
        <v>0</v>
      </c>
      <c r="AS79" s="589">
        <f t="shared" si="32"/>
        <v>0</v>
      </c>
      <c r="AT79" s="590" t="str">
        <f t="shared" si="20"/>
        <v xml:space="preserve">    ---- </v>
      </c>
      <c r="AU79" s="568"/>
    </row>
    <row r="80" spans="1:47" s="591" customFormat="1" ht="18.75" customHeight="1" x14ac:dyDescent="0.3">
      <c r="A80" s="594" t="s">
        <v>359</v>
      </c>
      <c r="B80" s="766"/>
      <c r="C80" s="767"/>
      <c r="D80" s="587"/>
      <c r="E80" s="766"/>
      <c r="F80" s="767"/>
      <c r="G80" s="588"/>
      <c r="H80" s="766"/>
      <c r="I80" s="767"/>
      <c r="J80" s="588"/>
      <c r="K80" s="766"/>
      <c r="L80" s="767"/>
      <c r="M80" s="588"/>
      <c r="N80" s="766"/>
      <c r="O80" s="767"/>
      <c r="P80" s="587"/>
      <c r="Q80" s="766"/>
      <c r="R80" s="767"/>
      <c r="S80" s="588"/>
      <c r="T80" s="766"/>
      <c r="U80" s="767"/>
      <c r="V80" s="588"/>
      <c r="W80" s="766"/>
      <c r="X80" s="767"/>
      <c r="Y80" s="588"/>
      <c r="Z80" s="766"/>
      <c r="AA80" s="767"/>
      <c r="AB80" s="588"/>
      <c r="AC80" s="766"/>
      <c r="AD80" s="767"/>
      <c r="AE80" s="588"/>
      <c r="AF80" s="766">
        <f>SUM(AF72:AF77)+AF79</f>
        <v>7</v>
      </c>
      <c r="AG80" s="767">
        <f>SUM(AG72:AG77)+AG79</f>
        <v>-10</v>
      </c>
      <c r="AH80" s="588">
        <f t="shared" si="30"/>
        <v>-242.9</v>
      </c>
      <c r="AI80" s="766">
        <f>SUM(AI72:AI77)+AI79</f>
        <v>0</v>
      </c>
      <c r="AJ80" s="767">
        <f>SUM(AJ72:AJ77)+AJ79</f>
        <v>2.5</v>
      </c>
      <c r="AK80" s="588" t="str">
        <f t="shared" ref="AK80" si="33">IF(AI80=0, "    ---- ", IF(ABS(ROUND(100/AI80*AJ80-100,1))&lt;999,ROUND(100/AI80*AJ80-100,1),IF(ROUND(100/AI80*AJ80-100,1)&gt;999,999,-999)))</f>
        <v xml:space="preserve">    ---- </v>
      </c>
      <c r="AL80" s="767"/>
      <c r="AM80" s="767">
        <f>SUM(AM72:AM77)+AM79</f>
        <v>0</v>
      </c>
      <c r="AN80" s="588"/>
      <c r="AO80" s="587">
        <f t="shared" si="22"/>
        <v>7</v>
      </c>
      <c r="AP80" s="587">
        <f t="shared" si="23"/>
        <v>-7.5</v>
      </c>
      <c r="AQ80" s="588">
        <f>IF(AO80=0, "    ---- ", IF(ABS(ROUND(100/AO80*AP80-100,1))&lt;999,ROUND(100/AO80*AP80-100,1),IF(ROUND(100/AO80*AP80-100,1)&gt;999,999,-999)))</f>
        <v>-207.1</v>
      </c>
      <c r="AR80" s="587">
        <f t="shared" si="31"/>
        <v>7</v>
      </c>
      <c r="AS80" s="587">
        <f t="shared" si="32"/>
        <v>-7.5</v>
      </c>
      <c r="AT80" s="588">
        <f t="shared" si="20"/>
        <v>-207.1</v>
      </c>
      <c r="AU80" s="568"/>
    </row>
    <row r="81" spans="1:47" s="591" customFormat="1" ht="18.75" customHeight="1" x14ac:dyDescent="0.3">
      <c r="A81" s="595" t="s">
        <v>360</v>
      </c>
      <c r="B81" s="764"/>
      <c r="C81" s="765"/>
      <c r="D81" s="589"/>
      <c r="E81" s="764"/>
      <c r="F81" s="765"/>
      <c r="G81" s="590"/>
      <c r="H81" s="764"/>
      <c r="I81" s="765"/>
      <c r="J81" s="590"/>
      <c r="K81" s="764"/>
      <c r="L81" s="765"/>
      <c r="M81" s="590"/>
      <c r="N81" s="764"/>
      <c r="O81" s="765"/>
      <c r="P81" s="589"/>
      <c r="Q81" s="764"/>
      <c r="R81" s="765"/>
      <c r="S81" s="590"/>
      <c r="T81" s="764"/>
      <c r="U81" s="765"/>
      <c r="V81" s="590"/>
      <c r="W81" s="764"/>
      <c r="X81" s="765"/>
      <c r="Y81" s="590"/>
      <c r="Z81" s="764"/>
      <c r="AA81" s="765"/>
      <c r="AB81" s="590"/>
      <c r="AC81" s="764"/>
      <c r="AD81" s="765"/>
      <c r="AE81" s="590"/>
      <c r="AF81" s="764"/>
      <c r="AG81" s="765"/>
      <c r="AH81" s="590"/>
      <c r="AI81" s="764"/>
      <c r="AJ81" s="765"/>
      <c r="AK81" s="590"/>
      <c r="AL81" s="765"/>
      <c r="AM81" s="765"/>
      <c r="AN81" s="590"/>
      <c r="AO81" s="589">
        <f t="shared" si="22"/>
        <v>0</v>
      </c>
      <c r="AP81" s="589">
        <f t="shared" si="23"/>
        <v>0</v>
      </c>
      <c r="AQ81" s="590" t="str">
        <f t="shared" ref="AQ81:AQ83" si="34">IF(AO81=0, "    ---- ", IF(ABS(ROUND(100/AO81*AP81-100,1))&lt;999,ROUND(100/AO81*AP81-100,1),IF(ROUND(100/AO81*AP81-100,1)&gt;999,999,-999)))</f>
        <v xml:space="preserve">    ---- </v>
      </c>
      <c r="AR81" s="589">
        <f t="shared" si="31"/>
        <v>0</v>
      </c>
      <c r="AS81" s="589">
        <f t="shared" si="32"/>
        <v>0</v>
      </c>
      <c r="AT81" s="590" t="str">
        <f t="shared" si="20"/>
        <v xml:space="preserve">    ---- </v>
      </c>
      <c r="AU81" s="568"/>
    </row>
    <row r="82" spans="1:47" s="591" customFormat="1" ht="18.75" customHeight="1" x14ac:dyDescent="0.3">
      <c r="A82" s="595" t="s">
        <v>361</v>
      </c>
      <c r="B82" s="764"/>
      <c r="C82" s="765"/>
      <c r="D82" s="589"/>
      <c r="E82" s="764"/>
      <c r="F82" s="765"/>
      <c r="G82" s="590"/>
      <c r="H82" s="764"/>
      <c r="I82" s="765"/>
      <c r="J82" s="590"/>
      <c r="K82" s="764"/>
      <c r="L82" s="765"/>
      <c r="M82" s="590"/>
      <c r="N82" s="764"/>
      <c r="O82" s="765"/>
      <c r="P82" s="589"/>
      <c r="Q82" s="764"/>
      <c r="R82" s="765"/>
      <c r="S82" s="590"/>
      <c r="T82" s="764"/>
      <c r="U82" s="765"/>
      <c r="V82" s="590"/>
      <c r="W82" s="764"/>
      <c r="X82" s="765"/>
      <c r="Y82" s="590"/>
      <c r="Z82" s="764"/>
      <c r="AA82" s="765"/>
      <c r="AB82" s="590"/>
      <c r="AC82" s="764"/>
      <c r="AD82" s="765"/>
      <c r="AE82" s="590"/>
      <c r="AF82" s="764">
        <v>7</v>
      </c>
      <c r="AG82" s="765">
        <v>-10</v>
      </c>
      <c r="AH82" s="590">
        <f t="shared" si="30"/>
        <v>-242.9</v>
      </c>
      <c r="AI82" s="764">
        <v>0</v>
      </c>
      <c r="AJ82" s="765">
        <v>2.5</v>
      </c>
      <c r="AK82" s="590" t="str">
        <f>IF(AI82=0, "    ---- ", IF(ABS(ROUND(100/AI82*AJ82-100,1))&lt;999,ROUND(100/AI82*AJ82-100,1),IF(ROUND(100/AI82*AJ82-100,1)&gt;999,999,-999)))</f>
        <v xml:space="preserve">    ---- </v>
      </c>
      <c r="AL82" s="765"/>
      <c r="AM82" s="765"/>
      <c r="AN82" s="590"/>
      <c r="AO82" s="589">
        <f t="shared" si="22"/>
        <v>7</v>
      </c>
      <c r="AP82" s="589">
        <f t="shared" si="23"/>
        <v>-7.5</v>
      </c>
      <c r="AQ82" s="590">
        <f t="shared" si="34"/>
        <v>-207.1</v>
      </c>
      <c r="AR82" s="589">
        <f t="shared" si="31"/>
        <v>7</v>
      </c>
      <c r="AS82" s="589">
        <f t="shared" si="32"/>
        <v>-7.5</v>
      </c>
      <c r="AT82" s="590">
        <f t="shared" si="20"/>
        <v>-207.1</v>
      </c>
      <c r="AU82" s="568"/>
    </row>
    <row r="83" spans="1:47" s="591" customFormat="1" ht="18.75" customHeight="1" x14ac:dyDescent="0.3">
      <c r="A83" s="537" t="s">
        <v>377</v>
      </c>
      <c r="B83" s="764"/>
      <c r="C83" s="765"/>
      <c r="D83" s="589"/>
      <c r="E83" s="764"/>
      <c r="F83" s="765"/>
      <c r="G83" s="590"/>
      <c r="H83" s="764"/>
      <c r="I83" s="765"/>
      <c r="J83" s="590"/>
      <c r="K83" s="764"/>
      <c r="L83" s="765"/>
      <c r="M83" s="590"/>
      <c r="N83" s="764"/>
      <c r="O83" s="765"/>
      <c r="P83" s="589"/>
      <c r="Q83" s="764"/>
      <c r="R83" s="765"/>
      <c r="S83" s="590"/>
      <c r="T83" s="764"/>
      <c r="U83" s="765"/>
      <c r="V83" s="590"/>
      <c r="W83" s="764"/>
      <c r="X83" s="765"/>
      <c r="Y83" s="590"/>
      <c r="Z83" s="764"/>
      <c r="AA83" s="765"/>
      <c r="AB83" s="590"/>
      <c r="AC83" s="764"/>
      <c r="AD83" s="765"/>
      <c r="AE83" s="590"/>
      <c r="AF83" s="764"/>
      <c r="AG83" s="765"/>
      <c r="AH83" s="590"/>
      <c r="AI83" s="764"/>
      <c r="AJ83" s="765"/>
      <c r="AK83" s="590"/>
      <c r="AL83" s="765"/>
      <c r="AM83" s="765"/>
      <c r="AN83" s="590"/>
      <c r="AO83" s="589">
        <f t="shared" si="22"/>
        <v>0</v>
      </c>
      <c r="AP83" s="589">
        <f t="shared" si="23"/>
        <v>0</v>
      </c>
      <c r="AQ83" s="590" t="str">
        <f t="shared" si="34"/>
        <v xml:space="preserve">    ---- </v>
      </c>
      <c r="AR83" s="589">
        <f t="shared" si="31"/>
        <v>0</v>
      </c>
      <c r="AS83" s="589">
        <f t="shared" si="32"/>
        <v>0</v>
      </c>
      <c r="AT83" s="590"/>
      <c r="AU83" s="568"/>
    </row>
    <row r="84" spans="1:47" s="591" customFormat="1" ht="18.75" customHeight="1" x14ac:dyDescent="0.3">
      <c r="A84" s="542" t="s">
        <v>351</v>
      </c>
      <c r="B84" s="764"/>
      <c r="C84" s="765"/>
      <c r="D84" s="589"/>
      <c r="E84" s="764">
        <v>1521.2915679136777</v>
      </c>
      <c r="F84" s="765">
        <v>-1156</v>
      </c>
      <c r="G84" s="590">
        <f>IF(E84=0, "    ---- ", IF(ABS(ROUND(100/E84*F84-100,1))&lt;999,ROUND(100/E84*F84-100,1),IF(ROUND(100/E84*F84-100,1)&gt;999,999,-999)))</f>
        <v>-176</v>
      </c>
      <c r="H84" s="764"/>
      <c r="I84" s="765"/>
      <c r="J84" s="590"/>
      <c r="K84" s="764"/>
      <c r="L84" s="765"/>
      <c r="M84" s="590"/>
      <c r="N84" s="764">
        <v>55.6</v>
      </c>
      <c r="O84" s="765">
        <v>-60.8</v>
      </c>
      <c r="P84" s="589">
        <f>IF(N84=0, "    ---- ", IF(ABS(ROUND(100/N84*O84-100,1))&lt;999,ROUND(100/N84*O84-100,1),IF(ROUND(100/N84*O84-100,1)&gt;999,999,-999)))</f>
        <v>-209.4</v>
      </c>
      <c r="Q84" s="764"/>
      <c r="R84" s="765"/>
      <c r="S84" s="590"/>
      <c r="T84" s="764"/>
      <c r="U84" s="765"/>
      <c r="V84" s="590"/>
      <c r="W84" s="764">
        <v>1306.49</v>
      </c>
      <c r="X84" s="765">
        <v>159.9636396815396</v>
      </c>
      <c r="Y84" s="590">
        <f>IF(W84=0, "    ---- ", IF(ABS(ROUND(100/W84*X84-100,1))&lt;999,ROUND(100/W84*X84-100,1),IF(ROUND(100/W84*X84-100,1)&gt;999,999,-999)))</f>
        <v>-87.8</v>
      </c>
      <c r="Z84" s="764"/>
      <c r="AA84" s="765"/>
      <c r="AB84" s="590"/>
      <c r="AC84" s="764"/>
      <c r="AD84" s="765"/>
      <c r="AE84" s="590"/>
      <c r="AF84" s="764">
        <v>796</v>
      </c>
      <c r="AG84" s="765">
        <v>-265</v>
      </c>
      <c r="AH84" s="590">
        <f>IF(AF84=0, "    ---- ", IF(ABS(ROUND(100/AF84*AG84-100,1))&lt;999,ROUND(100/AF84*AG84-100,1),IF(ROUND(100/AF84*AG84-100,1)&gt;999,999,-999)))</f>
        <v>-133.30000000000001</v>
      </c>
      <c r="AI84" s="764">
        <v>2003</v>
      </c>
      <c r="AJ84" s="765">
        <v>-2105</v>
      </c>
      <c r="AK84" s="590">
        <f>IF(AI84=0, "    ---- ", IF(ABS(ROUND(100/AI84*AJ84-100,1))&lt;999,ROUND(100/AI84*AJ84-100,1),IF(ROUND(100/AI84*AJ84-100,1)&gt;999,999,-999)))</f>
        <v>-205.1</v>
      </c>
      <c r="AL84" s="765"/>
      <c r="AM84" s="765"/>
      <c r="AN84" s="590"/>
      <c r="AO84" s="589">
        <f t="shared" si="22"/>
        <v>5682.3815679136778</v>
      </c>
      <c r="AP84" s="589">
        <f t="shared" si="23"/>
        <v>-3426.8363603184603</v>
      </c>
      <c r="AQ84" s="590">
        <f t="shared" si="19"/>
        <v>-160.30000000000001</v>
      </c>
      <c r="AR84" s="589">
        <f t="shared" si="31"/>
        <v>5682.3815679136778</v>
      </c>
      <c r="AS84" s="589">
        <f t="shared" si="32"/>
        <v>-3426.8363603184603</v>
      </c>
      <c r="AT84" s="590">
        <f t="shared" si="20"/>
        <v>-160.30000000000001</v>
      </c>
      <c r="AU84" s="568"/>
    </row>
    <row r="85" spans="1:47" s="591" customFormat="1" ht="18.75" customHeight="1" x14ac:dyDescent="0.3">
      <c r="A85" s="542" t="s">
        <v>352</v>
      </c>
      <c r="B85" s="764"/>
      <c r="C85" s="765"/>
      <c r="D85" s="589"/>
      <c r="E85" s="764">
        <v>-970.259161558605</v>
      </c>
      <c r="F85" s="765">
        <v>1155</v>
      </c>
      <c r="G85" s="590">
        <f>IF(E85=0, "    ---- ", IF(ABS(ROUND(100/E85*F85-100,1))&lt;999,ROUND(100/E85*F85-100,1),IF(ROUND(100/E85*F85-100,1)&gt;999,999,-999)))</f>
        <v>-219</v>
      </c>
      <c r="H85" s="764"/>
      <c r="I85" s="765"/>
      <c r="J85" s="590"/>
      <c r="K85" s="764"/>
      <c r="L85" s="765"/>
      <c r="M85" s="590"/>
      <c r="N85" s="764"/>
      <c r="O85" s="765"/>
      <c r="P85" s="589"/>
      <c r="Q85" s="764"/>
      <c r="R85" s="765"/>
      <c r="S85" s="590"/>
      <c r="T85" s="764"/>
      <c r="U85" s="765"/>
      <c r="V85" s="590"/>
      <c r="W85" s="764">
        <v>-1052.3900000000001</v>
      </c>
      <c r="X85" s="765">
        <v>-120.112818</v>
      </c>
      <c r="Y85" s="590">
        <f>IF(W85=0, "    ---- ", IF(ABS(ROUND(100/W85*X85-100,1))&lt;999,ROUND(100/W85*X85-100,1),IF(ROUND(100/W85*X85-100,1)&gt;999,999,-999)))</f>
        <v>-88.6</v>
      </c>
      <c r="Z85" s="764"/>
      <c r="AA85" s="765"/>
      <c r="AB85" s="590"/>
      <c r="AC85" s="764"/>
      <c r="AD85" s="765"/>
      <c r="AE85" s="590"/>
      <c r="AF85" s="764">
        <v>-182</v>
      </c>
      <c r="AG85" s="765">
        <v>262</v>
      </c>
      <c r="AH85" s="590">
        <f>IF(AF85=0, "    ---- ", IF(ABS(ROUND(100/AF85*AG85-100,1))&lt;999,ROUND(100/AF85*AG85-100,1),IF(ROUND(100/AF85*AG85-100,1)&gt;999,999,-999)))</f>
        <v>-244</v>
      </c>
      <c r="AI85" s="764">
        <v>-1383</v>
      </c>
      <c r="AJ85" s="765">
        <v>2149</v>
      </c>
      <c r="AK85" s="590">
        <f>IF(AI85=0, "    ---- ", IF(ABS(ROUND(100/AI85*AJ85-100,1))&lt;999,ROUND(100/AI85*AJ85-100,1),IF(ROUND(100/AI85*AJ85-100,1)&gt;999,999,-999)))</f>
        <v>-255.4</v>
      </c>
      <c r="AL85" s="765"/>
      <c r="AM85" s="765"/>
      <c r="AN85" s="590"/>
      <c r="AO85" s="589">
        <f t="shared" si="22"/>
        <v>-3587.6491615586051</v>
      </c>
      <c r="AP85" s="589">
        <f t="shared" si="23"/>
        <v>3445.8871819999999</v>
      </c>
      <c r="AQ85" s="590">
        <f t="shared" si="19"/>
        <v>-196</v>
      </c>
      <c r="AR85" s="589">
        <f t="shared" si="31"/>
        <v>-3587.6491615586051</v>
      </c>
      <c r="AS85" s="589">
        <f t="shared" si="32"/>
        <v>3445.8871819999999</v>
      </c>
      <c r="AT85" s="590">
        <f t="shared" si="20"/>
        <v>-196</v>
      </c>
      <c r="AU85" s="568"/>
    </row>
    <row r="86" spans="1:47" s="591" customFormat="1" ht="18.75" customHeight="1" x14ac:dyDescent="0.3">
      <c r="A86" s="542" t="s">
        <v>353</v>
      </c>
      <c r="B86" s="764"/>
      <c r="C86" s="765"/>
      <c r="D86" s="589"/>
      <c r="E86" s="764">
        <v>114.73989486582298</v>
      </c>
      <c r="F86" s="765">
        <v>149</v>
      </c>
      <c r="G86" s="590">
        <f>IF(E86=0, "    ---- ", IF(ABS(ROUND(100/E86*F86-100,1))&lt;999,ROUND(100/E86*F86-100,1),IF(ROUND(100/E86*F86-100,1)&gt;999,999,-999)))</f>
        <v>29.9</v>
      </c>
      <c r="H86" s="764"/>
      <c r="I86" s="765"/>
      <c r="J86" s="590"/>
      <c r="K86" s="764"/>
      <c r="L86" s="765"/>
      <c r="M86" s="590"/>
      <c r="N86" s="764">
        <v>-6.4</v>
      </c>
      <c r="O86" s="765">
        <v>-7.3</v>
      </c>
      <c r="P86" s="589">
        <f>IF(N86=0, "    ---- ", IF(ABS(ROUND(100/N86*O86-100,1))&lt;999,ROUND(100/N86*O86-100,1),IF(ROUND(100/N86*O86-100,1)&gt;999,999,-999)))</f>
        <v>14.1</v>
      </c>
      <c r="Q86" s="764"/>
      <c r="R86" s="765"/>
      <c r="S86" s="590"/>
      <c r="T86" s="764"/>
      <c r="U86" s="765"/>
      <c r="V86" s="590"/>
      <c r="W86" s="764">
        <v>57.31</v>
      </c>
      <c r="X86" s="765">
        <v>61.96481705899491</v>
      </c>
      <c r="Y86" s="590">
        <f>IF(W86=0, "    ---- ", IF(ABS(ROUND(100/W86*X86-100,1))&lt;999,ROUND(100/W86*X86-100,1),IF(ROUND(100/W86*X86-100,1)&gt;999,999,-999)))</f>
        <v>8.1</v>
      </c>
      <c r="Z86" s="764"/>
      <c r="AA86" s="765"/>
      <c r="AB86" s="590"/>
      <c r="AC86" s="764"/>
      <c r="AD86" s="765"/>
      <c r="AE86" s="590"/>
      <c r="AF86" s="764">
        <v>248</v>
      </c>
      <c r="AG86" s="765">
        <v>19</v>
      </c>
      <c r="AH86" s="590">
        <f>IF(AF86=0, "    ---- ", IF(ABS(ROUND(100/AF86*AG86-100,1))&lt;999,ROUND(100/AF86*AG86-100,1),IF(ROUND(100/AF86*AG86-100,1)&gt;999,999,-999)))</f>
        <v>-92.3</v>
      </c>
      <c r="AI86" s="764">
        <v>363</v>
      </c>
      <c r="AJ86" s="765">
        <v>398</v>
      </c>
      <c r="AK86" s="590">
        <f>IF(AI86=0, "    ---- ", IF(ABS(ROUND(100/AI86*AJ86-100,1))&lt;999,ROUND(100/AI86*AJ86-100,1),IF(ROUND(100/AI86*AJ86-100,1)&gt;999,999,-999)))</f>
        <v>9.6</v>
      </c>
      <c r="AL86" s="765"/>
      <c r="AM86" s="765"/>
      <c r="AN86" s="590"/>
      <c r="AO86" s="589">
        <f t="shared" si="22"/>
        <v>776.64989486582294</v>
      </c>
      <c r="AP86" s="589">
        <f t="shared" si="23"/>
        <v>620.66481705899491</v>
      </c>
      <c r="AQ86" s="590">
        <f t="shared" si="19"/>
        <v>-20.100000000000001</v>
      </c>
      <c r="AR86" s="589">
        <f t="shared" si="31"/>
        <v>776.64989486582294</v>
      </c>
      <c r="AS86" s="589">
        <f t="shared" si="32"/>
        <v>620.66481705899491</v>
      </c>
      <c r="AT86" s="590">
        <f t="shared" si="20"/>
        <v>-20.100000000000001</v>
      </c>
      <c r="AU86" s="568"/>
    </row>
    <row r="87" spans="1:47" s="591" customFormat="1" ht="18.75" customHeight="1" x14ac:dyDescent="0.3">
      <c r="A87" s="542" t="s">
        <v>354</v>
      </c>
      <c r="B87" s="764"/>
      <c r="C87" s="765"/>
      <c r="D87" s="589"/>
      <c r="E87" s="764"/>
      <c r="F87" s="765"/>
      <c r="G87" s="590"/>
      <c r="H87" s="764"/>
      <c r="I87" s="765"/>
      <c r="J87" s="590"/>
      <c r="K87" s="764"/>
      <c r="L87" s="765"/>
      <c r="M87" s="590"/>
      <c r="N87" s="764"/>
      <c r="O87" s="765"/>
      <c r="P87" s="589"/>
      <c r="Q87" s="764"/>
      <c r="R87" s="765"/>
      <c r="S87" s="590"/>
      <c r="T87" s="764"/>
      <c r="U87" s="765"/>
      <c r="V87" s="590"/>
      <c r="W87" s="764">
        <v>0</v>
      </c>
      <c r="X87" s="765">
        <v>0</v>
      </c>
      <c r="Y87" s="590" t="str">
        <f>IF(W87=0, "    ---- ", IF(ABS(ROUND(100/W87*X87-100,1))&lt;999,ROUND(100/W87*X87-100,1),IF(ROUND(100/W87*X87-100,1)&gt;999,999,-999)))</f>
        <v xml:space="preserve">    ---- </v>
      </c>
      <c r="Z87" s="764"/>
      <c r="AA87" s="765"/>
      <c r="AB87" s="590"/>
      <c r="AC87" s="764"/>
      <c r="AD87" s="765"/>
      <c r="AE87" s="590"/>
      <c r="AF87" s="764"/>
      <c r="AG87" s="765"/>
      <c r="AH87" s="590"/>
      <c r="AI87" s="764"/>
      <c r="AJ87" s="765"/>
      <c r="AK87" s="590"/>
      <c r="AL87" s="765"/>
      <c r="AM87" s="765"/>
      <c r="AN87" s="590"/>
      <c r="AO87" s="589">
        <f t="shared" si="22"/>
        <v>0</v>
      </c>
      <c r="AP87" s="589">
        <f t="shared" si="23"/>
        <v>0</v>
      </c>
      <c r="AQ87" s="590" t="str">
        <f t="shared" si="19"/>
        <v xml:space="preserve">    ---- </v>
      </c>
      <c r="AR87" s="589">
        <f t="shared" si="31"/>
        <v>0</v>
      </c>
      <c r="AS87" s="589">
        <f t="shared" si="32"/>
        <v>0</v>
      </c>
      <c r="AT87" s="590" t="str">
        <f t="shared" si="20"/>
        <v xml:space="preserve">    ---- </v>
      </c>
      <c r="AU87" s="568"/>
    </row>
    <row r="88" spans="1:47" s="591" customFormat="1" ht="18.75" customHeight="1" x14ac:dyDescent="0.3">
      <c r="A88" s="542" t="s">
        <v>355</v>
      </c>
      <c r="B88" s="764"/>
      <c r="C88" s="765"/>
      <c r="D88" s="589"/>
      <c r="E88" s="764"/>
      <c r="F88" s="765"/>
      <c r="G88" s="590"/>
      <c r="H88" s="764"/>
      <c r="I88" s="765"/>
      <c r="J88" s="590"/>
      <c r="K88" s="764"/>
      <c r="L88" s="765"/>
      <c r="M88" s="590"/>
      <c r="N88" s="764"/>
      <c r="O88" s="765"/>
      <c r="P88" s="589"/>
      <c r="Q88" s="764"/>
      <c r="R88" s="765"/>
      <c r="S88" s="590"/>
      <c r="T88" s="764"/>
      <c r="U88" s="765"/>
      <c r="V88" s="590"/>
      <c r="W88" s="764"/>
      <c r="X88" s="765"/>
      <c r="Y88" s="590"/>
      <c r="Z88" s="764"/>
      <c r="AA88" s="765"/>
      <c r="AB88" s="590"/>
      <c r="AC88" s="764"/>
      <c r="AD88" s="765"/>
      <c r="AE88" s="590"/>
      <c r="AF88" s="764"/>
      <c r="AG88" s="765"/>
      <c r="AH88" s="590"/>
      <c r="AI88" s="764"/>
      <c r="AJ88" s="765"/>
      <c r="AK88" s="590"/>
      <c r="AL88" s="765"/>
      <c r="AM88" s="765"/>
      <c r="AN88" s="590"/>
      <c r="AO88" s="589">
        <f t="shared" si="22"/>
        <v>0</v>
      </c>
      <c r="AP88" s="589">
        <f t="shared" si="23"/>
        <v>0</v>
      </c>
      <c r="AQ88" s="590" t="str">
        <f t="shared" si="19"/>
        <v xml:space="preserve">    ---- </v>
      </c>
      <c r="AR88" s="589">
        <f t="shared" si="31"/>
        <v>0</v>
      </c>
      <c r="AS88" s="589">
        <f t="shared" si="32"/>
        <v>0</v>
      </c>
      <c r="AT88" s="590" t="str">
        <f t="shared" si="20"/>
        <v xml:space="preserve">    ---- </v>
      </c>
      <c r="AU88" s="568"/>
    </row>
    <row r="89" spans="1:47" s="591" customFormat="1" ht="18.75" customHeight="1" x14ac:dyDescent="0.3">
      <c r="A89" s="542" t="s">
        <v>356</v>
      </c>
      <c r="B89" s="764"/>
      <c r="C89" s="765"/>
      <c r="D89" s="589"/>
      <c r="E89" s="764">
        <v>279.75603807065727</v>
      </c>
      <c r="F89" s="765">
        <v>377</v>
      </c>
      <c r="G89" s="590">
        <f t="shared" ref="G89:G94" si="35">IF(E89=0, "    ---- ", IF(ABS(ROUND(100/E89*F89-100,1))&lt;999,ROUND(100/E89*F89-100,1),IF(ROUND(100/E89*F89-100,1)&gt;999,999,-999)))</f>
        <v>34.799999999999997</v>
      </c>
      <c r="H89" s="764"/>
      <c r="I89" s="765"/>
      <c r="J89" s="590"/>
      <c r="K89" s="764"/>
      <c r="L89" s="765"/>
      <c r="M89" s="590"/>
      <c r="N89" s="764">
        <v>5.5</v>
      </c>
      <c r="O89" s="765">
        <v>11.3</v>
      </c>
      <c r="P89" s="589">
        <f>IF(N89=0, "    ---- ", IF(ABS(ROUND(100/N89*O89-100,1))&lt;999,ROUND(100/N89*O89-100,1),IF(ROUND(100/N89*O89-100,1)&gt;999,999,-999)))</f>
        <v>105.5</v>
      </c>
      <c r="Q89" s="764"/>
      <c r="R89" s="765"/>
      <c r="S89" s="590"/>
      <c r="T89" s="764"/>
      <c r="U89" s="765"/>
      <c r="V89" s="590"/>
      <c r="W89" s="764">
        <v>84.42</v>
      </c>
      <c r="X89" s="765">
        <v>99.350388581307342</v>
      </c>
      <c r="Y89" s="590">
        <f t="shared" ref="Y89:Y94" si="36">IF(W89=0, "    ---- ", IF(ABS(ROUND(100/W89*X89-100,1))&lt;999,ROUND(100/W89*X89-100,1),IF(ROUND(100/W89*X89-100,1)&gt;999,999,-999)))</f>
        <v>17.7</v>
      </c>
      <c r="Z89" s="764"/>
      <c r="AA89" s="765"/>
      <c r="AB89" s="590"/>
      <c r="AC89" s="764"/>
      <c r="AD89" s="765"/>
      <c r="AE89" s="590"/>
      <c r="AF89" s="764">
        <v>65</v>
      </c>
      <c r="AG89" s="765">
        <v>71</v>
      </c>
      <c r="AH89" s="590">
        <f>IF(AF89=0, "    ---- ", IF(ABS(ROUND(100/AF89*AG89-100,1))&lt;999,ROUND(100/AF89*AG89-100,1),IF(ROUND(100/AF89*AG89-100,1)&gt;999,999,-999)))</f>
        <v>9.1999999999999993</v>
      </c>
      <c r="AI89" s="764">
        <v>231.6</v>
      </c>
      <c r="AJ89" s="765">
        <v>391</v>
      </c>
      <c r="AK89" s="590">
        <f t="shared" ref="AK89:AK94" si="37">IF(AI89=0, "    ---- ", IF(ABS(ROUND(100/AI89*AJ89-100,1))&lt;999,ROUND(100/AI89*AJ89-100,1),IF(ROUND(100/AI89*AJ89-100,1)&gt;999,999,-999)))</f>
        <v>68.8</v>
      </c>
      <c r="AL89" s="765"/>
      <c r="AM89" s="765"/>
      <c r="AN89" s="590"/>
      <c r="AO89" s="589">
        <f t="shared" si="22"/>
        <v>666.27603807065725</v>
      </c>
      <c r="AP89" s="589">
        <f t="shared" si="23"/>
        <v>949.65038858130742</v>
      </c>
      <c r="AQ89" s="590">
        <f t="shared" si="19"/>
        <v>42.5</v>
      </c>
      <c r="AR89" s="589">
        <f t="shared" si="31"/>
        <v>666.27603807065725</v>
      </c>
      <c r="AS89" s="589">
        <f t="shared" si="32"/>
        <v>949.65038858130742</v>
      </c>
      <c r="AT89" s="590">
        <f t="shared" si="20"/>
        <v>42.5</v>
      </c>
      <c r="AU89" s="568"/>
    </row>
    <row r="90" spans="1:47" s="591" customFormat="1" ht="18.75" customHeight="1" x14ac:dyDescent="0.3">
      <c r="A90" s="542" t="s">
        <v>357</v>
      </c>
      <c r="B90" s="764"/>
      <c r="C90" s="765"/>
      <c r="D90" s="589"/>
      <c r="E90" s="764"/>
      <c r="F90" s="765"/>
      <c r="G90" s="590"/>
      <c r="H90" s="764"/>
      <c r="I90" s="765"/>
      <c r="J90" s="590"/>
      <c r="K90" s="764"/>
      <c r="L90" s="765"/>
      <c r="M90" s="590"/>
      <c r="N90" s="764">
        <v>2.7</v>
      </c>
      <c r="O90" s="765">
        <v>5.6</v>
      </c>
      <c r="P90" s="589">
        <f>IF(N90=0, "    ---- ", IF(ABS(ROUND(100/N90*O90-100,1))&lt;999,ROUND(100/N90*O90-100,1),IF(ROUND(100/N90*O90-100,1)&gt;999,999,-999)))</f>
        <v>107.4</v>
      </c>
      <c r="Q90" s="764"/>
      <c r="R90" s="765"/>
      <c r="S90" s="590"/>
      <c r="T90" s="764"/>
      <c r="U90" s="765"/>
      <c r="V90" s="590"/>
      <c r="W90" s="764">
        <v>78.349999999999994</v>
      </c>
      <c r="X90" s="765">
        <v>130.97316527009139</v>
      </c>
      <c r="Y90" s="590">
        <f t="shared" si="36"/>
        <v>67.2</v>
      </c>
      <c r="Z90" s="764"/>
      <c r="AA90" s="765"/>
      <c r="AB90" s="590"/>
      <c r="AC90" s="764"/>
      <c r="AD90" s="765"/>
      <c r="AE90" s="590"/>
      <c r="AF90" s="764"/>
      <c r="AG90" s="765"/>
      <c r="AH90" s="590"/>
      <c r="AI90" s="764">
        <v>156.19999999999999</v>
      </c>
      <c r="AJ90" s="765">
        <v>222</v>
      </c>
      <c r="AK90" s="590">
        <f t="shared" si="37"/>
        <v>42.1</v>
      </c>
      <c r="AL90" s="765"/>
      <c r="AM90" s="765"/>
      <c r="AN90" s="590"/>
      <c r="AO90" s="589">
        <f t="shared" si="22"/>
        <v>237.25</v>
      </c>
      <c r="AP90" s="589">
        <f t="shared" si="23"/>
        <v>358.57316527009141</v>
      </c>
      <c r="AQ90" s="590">
        <f t="shared" si="19"/>
        <v>51.1</v>
      </c>
      <c r="AR90" s="589">
        <f t="shared" si="31"/>
        <v>237.25</v>
      </c>
      <c r="AS90" s="589">
        <f t="shared" si="32"/>
        <v>358.57316527009141</v>
      </c>
      <c r="AT90" s="590">
        <f t="shared" si="20"/>
        <v>51.1</v>
      </c>
      <c r="AU90" s="568"/>
    </row>
    <row r="91" spans="1:47" s="591" customFormat="1" ht="18.75" customHeight="1" x14ac:dyDescent="0.3">
      <c r="A91" s="542" t="s">
        <v>358</v>
      </c>
      <c r="B91" s="764"/>
      <c r="C91" s="765"/>
      <c r="D91" s="589"/>
      <c r="E91" s="764"/>
      <c r="F91" s="765"/>
      <c r="G91" s="590"/>
      <c r="H91" s="764"/>
      <c r="I91" s="765"/>
      <c r="J91" s="590"/>
      <c r="K91" s="764"/>
      <c r="L91" s="765"/>
      <c r="M91" s="590"/>
      <c r="N91" s="764"/>
      <c r="O91" s="765"/>
      <c r="P91" s="589"/>
      <c r="Q91" s="764"/>
      <c r="R91" s="765"/>
      <c r="S91" s="590"/>
      <c r="T91" s="764"/>
      <c r="U91" s="765"/>
      <c r="V91" s="590"/>
      <c r="W91" s="764">
        <v>0</v>
      </c>
      <c r="X91" s="765">
        <v>0</v>
      </c>
      <c r="Y91" s="590" t="str">
        <f t="shared" si="36"/>
        <v xml:space="preserve">    ---- </v>
      </c>
      <c r="Z91" s="764"/>
      <c r="AA91" s="765"/>
      <c r="AB91" s="590"/>
      <c r="AC91" s="764"/>
      <c r="AD91" s="765"/>
      <c r="AE91" s="590"/>
      <c r="AF91" s="764"/>
      <c r="AG91" s="765"/>
      <c r="AH91" s="590"/>
      <c r="AI91" s="764">
        <v>51</v>
      </c>
      <c r="AJ91" s="765">
        <v>29</v>
      </c>
      <c r="AK91" s="590">
        <f t="shared" si="37"/>
        <v>-43.1</v>
      </c>
      <c r="AL91" s="765"/>
      <c r="AM91" s="765"/>
      <c r="AN91" s="590"/>
      <c r="AO91" s="589">
        <f t="shared" si="22"/>
        <v>51</v>
      </c>
      <c r="AP91" s="589">
        <f t="shared" si="23"/>
        <v>29</v>
      </c>
      <c r="AQ91" s="590">
        <f t="shared" si="19"/>
        <v>-43.1</v>
      </c>
      <c r="AR91" s="589">
        <f t="shared" si="31"/>
        <v>51</v>
      </c>
      <c r="AS91" s="589">
        <f t="shared" si="32"/>
        <v>29</v>
      </c>
      <c r="AT91" s="590">
        <f t="shared" si="20"/>
        <v>-43.1</v>
      </c>
      <c r="AU91" s="568"/>
    </row>
    <row r="92" spans="1:47" s="593" customFormat="1" ht="18.75" customHeight="1" x14ac:dyDescent="0.3">
      <c r="A92" s="537" t="s">
        <v>359</v>
      </c>
      <c r="B92" s="766"/>
      <c r="C92" s="767"/>
      <c r="D92" s="587"/>
      <c r="E92" s="766">
        <f>SUM(E84:E89)+E91</f>
        <v>945.52833929155292</v>
      </c>
      <c r="F92" s="767">
        <f>SUM(F84:F89)+F91</f>
        <v>525</v>
      </c>
      <c r="G92" s="588">
        <f t="shared" si="35"/>
        <v>-44.5</v>
      </c>
      <c r="H92" s="766"/>
      <c r="I92" s="767"/>
      <c r="J92" s="588"/>
      <c r="K92" s="766"/>
      <c r="L92" s="767"/>
      <c r="M92" s="588"/>
      <c r="N92" s="766">
        <f>SUM(N84:N89)+N91</f>
        <v>54.7</v>
      </c>
      <c r="O92" s="767">
        <f>SUM(O84:O89)+O91</f>
        <v>-56.8</v>
      </c>
      <c r="P92" s="587">
        <f>IF(N92=0, "    ---- ", IF(ABS(ROUND(100/N92*O92-100,1))&lt;999,ROUND(100/N92*O92-100,1),IF(ROUND(100/N92*O92-100,1)&gt;999,999,-999)))</f>
        <v>-203.8</v>
      </c>
      <c r="Q92" s="766"/>
      <c r="R92" s="767"/>
      <c r="S92" s="588"/>
      <c r="T92" s="766"/>
      <c r="U92" s="767"/>
      <c r="V92" s="588"/>
      <c r="W92" s="766">
        <f>SUM(W84:W89)+W91</f>
        <v>395.82999999999993</v>
      </c>
      <c r="X92" s="767">
        <f>SUM(X84:X89)+X91</f>
        <v>201.16602732184185</v>
      </c>
      <c r="Y92" s="588">
        <f t="shared" si="36"/>
        <v>-49.2</v>
      </c>
      <c r="Z92" s="766"/>
      <c r="AA92" s="767"/>
      <c r="AB92" s="588"/>
      <c r="AC92" s="766"/>
      <c r="AD92" s="767"/>
      <c r="AE92" s="588"/>
      <c r="AF92" s="766">
        <f>SUM(AF84:AF89)+AF91</f>
        <v>927</v>
      </c>
      <c r="AG92" s="767">
        <f>SUM(AG84:AG89)+AG91</f>
        <v>87</v>
      </c>
      <c r="AH92" s="588">
        <f>IF(AF92=0, "    ---- ", IF(ABS(ROUND(100/AF92*AG92-100,1))&lt;999,ROUND(100/AF92*AG92-100,1),IF(ROUND(100/AF92*AG92-100,1)&gt;999,999,-999)))</f>
        <v>-90.6</v>
      </c>
      <c r="AI92" s="766">
        <f>SUM(AI84:AI89)+AI91</f>
        <v>1265.5999999999999</v>
      </c>
      <c r="AJ92" s="767">
        <f>SUM(AJ84:AJ89)+AJ91</f>
        <v>862</v>
      </c>
      <c r="AK92" s="588">
        <f t="shared" si="37"/>
        <v>-31.9</v>
      </c>
      <c r="AL92" s="767"/>
      <c r="AM92" s="767">
        <f>SUM(AM84:AM89)+AM91</f>
        <v>0</v>
      </c>
      <c r="AN92" s="588"/>
      <c r="AO92" s="587">
        <f t="shared" si="22"/>
        <v>3588.6583392915527</v>
      </c>
      <c r="AP92" s="587">
        <f t="shared" si="23"/>
        <v>1618.3660273218418</v>
      </c>
      <c r="AQ92" s="588">
        <f t="shared" si="19"/>
        <v>-54.9</v>
      </c>
      <c r="AR92" s="587">
        <f t="shared" si="31"/>
        <v>3588.6583392915527</v>
      </c>
      <c r="AS92" s="587">
        <f t="shared" si="32"/>
        <v>1618.3660273218418</v>
      </c>
      <c r="AT92" s="588">
        <f t="shared" si="20"/>
        <v>-54.9</v>
      </c>
      <c r="AU92" s="592"/>
    </row>
    <row r="93" spans="1:47" s="591" customFormat="1" ht="18.75" customHeight="1" x14ac:dyDescent="0.3">
      <c r="A93" s="542" t="s">
        <v>360</v>
      </c>
      <c r="B93" s="764"/>
      <c r="C93" s="765"/>
      <c r="D93" s="589"/>
      <c r="E93" s="764">
        <v>580.70394411938696</v>
      </c>
      <c r="F93" s="765">
        <v>193</v>
      </c>
      <c r="G93" s="590">
        <f t="shared" si="35"/>
        <v>-66.8</v>
      </c>
      <c r="H93" s="764"/>
      <c r="I93" s="765"/>
      <c r="J93" s="590"/>
      <c r="K93" s="764"/>
      <c r="L93" s="765"/>
      <c r="M93" s="590"/>
      <c r="N93" s="764">
        <v>56.7</v>
      </c>
      <c r="O93" s="765">
        <v>-55</v>
      </c>
      <c r="P93" s="589">
        <f>IF(N93=0, "    ---- ", IF(ABS(ROUND(100/N93*O93-100,1))&lt;999,ROUND(100/N93*O93-100,1),IF(ROUND(100/N93*O93-100,1)&gt;999,999,-999)))</f>
        <v>-197</v>
      </c>
      <c r="Q93" s="764"/>
      <c r="R93" s="765"/>
      <c r="S93" s="590"/>
      <c r="T93" s="764"/>
      <c r="U93" s="765"/>
      <c r="V93" s="590"/>
      <c r="W93" s="764">
        <v>243</v>
      </c>
      <c r="X93" s="765">
        <v>79.216833490830425</v>
      </c>
      <c r="Y93" s="590">
        <f t="shared" si="36"/>
        <v>-67.400000000000006</v>
      </c>
      <c r="Z93" s="764"/>
      <c r="AA93" s="765"/>
      <c r="AB93" s="590"/>
      <c r="AC93" s="764"/>
      <c r="AD93" s="765"/>
      <c r="AE93" s="590"/>
      <c r="AF93" s="764">
        <v>524</v>
      </c>
      <c r="AG93" s="765">
        <v>35</v>
      </c>
      <c r="AH93" s="590">
        <f>IF(AF93=0, "    ---- ", IF(ABS(ROUND(100/AF93*AG93-100,1))&lt;999,ROUND(100/AF93*AG93-100,1),IF(ROUND(100/AF93*AG93-100,1)&gt;999,999,-999)))</f>
        <v>-93.3</v>
      </c>
      <c r="AI93" s="764">
        <v>594</v>
      </c>
      <c r="AJ93" s="765">
        <v>219</v>
      </c>
      <c r="AK93" s="590">
        <f t="shared" si="37"/>
        <v>-63.1</v>
      </c>
      <c r="AL93" s="765"/>
      <c r="AM93" s="765"/>
      <c r="AN93" s="590"/>
      <c r="AO93" s="589">
        <f t="shared" si="22"/>
        <v>1998.403944119387</v>
      </c>
      <c r="AP93" s="589">
        <f t="shared" si="23"/>
        <v>471.21683349083042</v>
      </c>
      <c r="AQ93" s="590">
        <f t="shared" si="19"/>
        <v>-76.400000000000006</v>
      </c>
      <c r="AR93" s="589">
        <f t="shared" si="31"/>
        <v>1998.403944119387</v>
      </c>
      <c r="AS93" s="589">
        <f t="shared" si="32"/>
        <v>471.21683349083042</v>
      </c>
      <c r="AT93" s="590">
        <f t="shared" si="20"/>
        <v>-76.400000000000006</v>
      </c>
      <c r="AU93" s="568"/>
    </row>
    <row r="94" spans="1:47" s="591" customFormat="1" ht="18.75" customHeight="1" x14ac:dyDescent="0.3">
      <c r="A94" s="542" t="s">
        <v>361</v>
      </c>
      <c r="B94" s="764"/>
      <c r="C94" s="765"/>
      <c r="D94" s="589"/>
      <c r="E94" s="764">
        <v>364.82439517216574</v>
      </c>
      <c r="F94" s="765">
        <v>332</v>
      </c>
      <c r="G94" s="590">
        <f t="shared" si="35"/>
        <v>-9</v>
      </c>
      <c r="H94" s="764"/>
      <c r="I94" s="765"/>
      <c r="J94" s="590"/>
      <c r="K94" s="764"/>
      <c r="L94" s="765"/>
      <c r="M94" s="590"/>
      <c r="N94" s="764">
        <v>-2.1</v>
      </c>
      <c r="O94" s="765">
        <v>-1.8</v>
      </c>
      <c r="P94" s="589">
        <f>IF(N94=0, "    ---- ", IF(ABS(ROUND(100/N94*O94-100,1))&lt;999,ROUND(100/N94*O94-100,1),IF(ROUND(100/N94*O94-100,1)&gt;999,999,-999)))</f>
        <v>-14.3</v>
      </c>
      <c r="Q94" s="764"/>
      <c r="R94" s="765"/>
      <c r="S94" s="590"/>
      <c r="T94" s="764"/>
      <c r="U94" s="765"/>
      <c r="V94" s="590"/>
      <c r="W94" s="764">
        <v>153</v>
      </c>
      <c r="X94" s="765">
        <v>121.94919383101143</v>
      </c>
      <c r="Y94" s="590">
        <f t="shared" si="36"/>
        <v>-20.3</v>
      </c>
      <c r="Z94" s="764"/>
      <c r="AA94" s="765"/>
      <c r="AB94" s="590"/>
      <c r="AC94" s="764"/>
      <c r="AD94" s="765"/>
      <c r="AE94" s="590"/>
      <c r="AF94" s="764">
        <v>403</v>
      </c>
      <c r="AG94" s="765">
        <v>52</v>
      </c>
      <c r="AH94" s="590">
        <f>IF(AF94=0, "    ---- ", IF(ABS(ROUND(100/AF94*AG94-100,1))&lt;999,ROUND(100/AF94*AG94-100,1),IF(ROUND(100/AF94*AG94-100,1)&gt;999,999,-999)))</f>
        <v>-87.1</v>
      </c>
      <c r="AI94" s="764">
        <v>671.6</v>
      </c>
      <c r="AJ94" s="765">
        <v>643</v>
      </c>
      <c r="AK94" s="590">
        <f t="shared" si="37"/>
        <v>-4.3</v>
      </c>
      <c r="AL94" s="765"/>
      <c r="AM94" s="765"/>
      <c r="AN94" s="590"/>
      <c r="AO94" s="589">
        <f t="shared" si="22"/>
        <v>1590.3243951721656</v>
      </c>
      <c r="AP94" s="589">
        <f t="shared" si="23"/>
        <v>1147.1491938310114</v>
      </c>
      <c r="AQ94" s="590">
        <f t="shared" si="19"/>
        <v>-27.9</v>
      </c>
      <c r="AR94" s="589">
        <f t="shared" si="31"/>
        <v>1590.3243951721656</v>
      </c>
      <c r="AS94" s="589">
        <f t="shared" si="32"/>
        <v>1147.1491938310114</v>
      </c>
      <c r="AT94" s="590">
        <f t="shared" si="20"/>
        <v>-27.9</v>
      </c>
      <c r="AU94" s="568"/>
    </row>
    <row r="95" spans="1:47" s="591" customFormat="1" ht="18.75" customHeight="1" x14ac:dyDescent="0.3">
      <c r="A95" s="537" t="s">
        <v>378</v>
      </c>
      <c r="B95" s="764"/>
      <c r="C95" s="765"/>
      <c r="D95" s="589"/>
      <c r="E95" s="764"/>
      <c r="F95" s="765"/>
      <c r="G95" s="590"/>
      <c r="H95" s="764"/>
      <c r="I95" s="765"/>
      <c r="J95" s="590"/>
      <c r="K95" s="764"/>
      <c r="L95" s="765"/>
      <c r="M95" s="590"/>
      <c r="N95" s="764"/>
      <c r="O95" s="765"/>
      <c r="P95" s="589"/>
      <c r="Q95" s="764"/>
      <c r="R95" s="765"/>
      <c r="S95" s="590"/>
      <c r="T95" s="764"/>
      <c r="U95" s="765"/>
      <c r="V95" s="590"/>
      <c r="W95" s="764"/>
      <c r="X95" s="765"/>
      <c r="Y95" s="590"/>
      <c r="Z95" s="764"/>
      <c r="AA95" s="765"/>
      <c r="AB95" s="590"/>
      <c r="AC95" s="764"/>
      <c r="AD95" s="765"/>
      <c r="AE95" s="590"/>
      <c r="AF95" s="764"/>
      <c r="AG95" s="765"/>
      <c r="AH95" s="590"/>
      <c r="AI95" s="764"/>
      <c r="AJ95" s="765"/>
      <c r="AK95" s="590"/>
      <c r="AL95" s="765"/>
      <c r="AM95" s="765"/>
      <c r="AN95" s="590"/>
      <c r="AO95" s="589"/>
      <c r="AP95" s="589"/>
      <c r="AQ95" s="590"/>
      <c r="AR95" s="589">
        <f t="shared" si="31"/>
        <v>0</v>
      </c>
      <c r="AS95" s="589">
        <f t="shared" si="32"/>
        <v>0</v>
      </c>
      <c r="AT95" s="590"/>
      <c r="AU95" s="568"/>
    </row>
    <row r="96" spans="1:47" s="591" customFormat="1" ht="18.75" customHeight="1" x14ac:dyDescent="0.3">
      <c r="A96" s="542" t="s">
        <v>351</v>
      </c>
      <c r="B96" s="764">
        <v>4.8609999999999998</v>
      </c>
      <c r="C96" s="765">
        <v>-4.976</v>
      </c>
      <c r="D96" s="590">
        <f>IF(B96=0, "    ---- ", IF(ABS(ROUND(100/B96*C96-100,1))&lt;999,ROUND(100/B96*C96-100,1),IF(ROUND(100/B96*C96-100,1)&gt;999,999,-999)))</f>
        <v>-202.4</v>
      </c>
      <c r="E96" s="764">
        <v>18.137472633677142</v>
      </c>
      <c r="F96" s="765">
        <v>-15</v>
      </c>
      <c r="G96" s="590">
        <f>IF(E96=0, "    ---- ", IF(ABS(ROUND(100/E96*F96-100,1))&lt;999,ROUND(100/E96*F96-100,1),IF(ROUND(100/E96*F96-100,1)&gt;999,999,-999)))</f>
        <v>-182.7</v>
      </c>
      <c r="H96" s="764"/>
      <c r="I96" s="765"/>
      <c r="J96" s="590"/>
      <c r="K96" s="764"/>
      <c r="L96" s="765"/>
      <c r="M96" s="590"/>
      <c r="N96" s="764"/>
      <c r="O96" s="765"/>
      <c r="P96" s="589"/>
      <c r="Q96" s="764"/>
      <c r="R96" s="765"/>
      <c r="S96" s="590"/>
      <c r="T96" s="764"/>
      <c r="U96" s="765"/>
      <c r="V96" s="590"/>
      <c r="W96" s="764">
        <v>50.75</v>
      </c>
      <c r="X96" s="765">
        <v>28.550520053889166</v>
      </c>
      <c r="Y96" s="590">
        <f>IF(W96=0, "    ---- ", IF(ABS(ROUND(100/W96*X96-100,1))&lt;999,ROUND(100/W96*X96-100,1),IF(ROUND(100/W96*X96-100,1)&gt;999,999,-999)))</f>
        <v>-43.7</v>
      </c>
      <c r="Z96" s="764"/>
      <c r="AA96" s="765"/>
      <c r="AB96" s="590"/>
      <c r="AC96" s="764"/>
      <c r="AD96" s="765"/>
      <c r="AE96" s="590"/>
      <c r="AF96" s="764"/>
      <c r="AG96" s="765"/>
      <c r="AH96" s="590"/>
      <c r="AI96" s="764">
        <v>29</v>
      </c>
      <c r="AJ96" s="765">
        <v>3</v>
      </c>
      <c r="AK96" s="590">
        <f>IF(AI96=0, "    ---- ", IF(ABS(ROUND(100/AI96*AJ96-100,1))&lt;999,ROUND(100/AI96*AJ96-100,1),IF(ROUND(100/AI96*AJ96-100,1)&gt;999,999,-999)))</f>
        <v>-89.7</v>
      </c>
      <c r="AL96" s="765"/>
      <c r="AM96" s="765"/>
      <c r="AN96" s="590"/>
      <c r="AO96" s="589">
        <f t="shared" ref="AO96:AO106" si="38">B96+E96+H96+K96+N96+T96+W96+Z96+AF96+AI96</f>
        <v>102.74847263367714</v>
      </c>
      <c r="AP96" s="589">
        <f t="shared" ref="AP96:AP106" si="39">C96+F96+I96+L96+O96+U96+AM96+X96+AA96+AG96+AJ96</f>
        <v>11.574520053889167</v>
      </c>
      <c r="AQ96" s="590">
        <f t="shared" si="19"/>
        <v>-88.7</v>
      </c>
      <c r="AR96" s="589">
        <f t="shared" si="31"/>
        <v>102.74847263367714</v>
      </c>
      <c r="AS96" s="589">
        <f t="shared" si="32"/>
        <v>11.574520053889167</v>
      </c>
      <c r="AT96" s="590">
        <f t="shared" si="20"/>
        <v>-88.7</v>
      </c>
      <c r="AU96" s="568"/>
    </row>
    <row r="97" spans="1:47" s="591" customFormat="1" ht="18.75" customHeight="1" x14ac:dyDescent="0.3">
      <c r="A97" s="542" t="s">
        <v>352</v>
      </c>
      <c r="B97" s="764"/>
      <c r="C97" s="765"/>
      <c r="D97" s="589"/>
      <c r="E97" s="764">
        <v>-14.331064800911699</v>
      </c>
      <c r="F97" s="765">
        <v>10</v>
      </c>
      <c r="G97" s="590">
        <f>IF(E97=0, "    ---- ", IF(ABS(ROUND(100/E97*F97-100,1))&lt;999,ROUND(100/E97*F97-100,1),IF(ROUND(100/E97*F97-100,1)&gt;999,999,-999)))</f>
        <v>-169.8</v>
      </c>
      <c r="H97" s="764"/>
      <c r="I97" s="765"/>
      <c r="J97" s="590"/>
      <c r="K97" s="764"/>
      <c r="L97" s="765"/>
      <c r="M97" s="590"/>
      <c r="N97" s="764"/>
      <c r="O97" s="765"/>
      <c r="P97" s="589"/>
      <c r="Q97" s="764"/>
      <c r="R97" s="765"/>
      <c r="S97" s="590"/>
      <c r="T97" s="764"/>
      <c r="U97" s="765"/>
      <c r="V97" s="590"/>
      <c r="W97" s="764"/>
      <c r="X97" s="765"/>
      <c r="Y97" s="590"/>
      <c r="Z97" s="764"/>
      <c r="AA97" s="765"/>
      <c r="AB97" s="590"/>
      <c r="AC97" s="764"/>
      <c r="AD97" s="765"/>
      <c r="AE97" s="590"/>
      <c r="AF97" s="764"/>
      <c r="AG97" s="765"/>
      <c r="AH97" s="590"/>
      <c r="AI97" s="764"/>
      <c r="AJ97" s="765"/>
      <c r="AK97" s="590"/>
      <c r="AL97" s="765"/>
      <c r="AM97" s="765"/>
      <c r="AN97" s="590"/>
      <c r="AO97" s="589">
        <f t="shared" si="38"/>
        <v>-14.331064800911699</v>
      </c>
      <c r="AP97" s="589">
        <f t="shared" si="39"/>
        <v>10</v>
      </c>
      <c r="AQ97" s="590">
        <f t="shared" si="19"/>
        <v>-169.8</v>
      </c>
      <c r="AR97" s="589">
        <f t="shared" si="31"/>
        <v>-14.331064800911699</v>
      </c>
      <c r="AS97" s="589">
        <f t="shared" si="32"/>
        <v>10</v>
      </c>
      <c r="AT97" s="590">
        <f t="shared" si="20"/>
        <v>-169.8</v>
      </c>
      <c r="AU97" s="568"/>
    </row>
    <row r="98" spans="1:47" s="591" customFormat="1" ht="18.75" customHeight="1" x14ac:dyDescent="0.3">
      <c r="A98" s="542" t="s">
        <v>353</v>
      </c>
      <c r="B98" s="764">
        <v>-7.9610000000000003</v>
      </c>
      <c r="C98" s="765">
        <v>-7.8159999999999998</v>
      </c>
      <c r="D98" s="590">
        <f>IF(B98=0, "    ---- ", IF(ABS(ROUND(100/B98*C98-100,1))&lt;999,ROUND(100/B98*C98-100,1),IF(ROUND(100/B98*C98-100,1)&gt;999,999,-999)))</f>
        <v>-1.8</v>
      </c>
      <c r="E98" s="764">
        <v>-20.298296542052015</v>
      </c>
      <c r="F98" s="765">
        <v>-13</v>
      </c>
      <c r="G98" s="590">
        <f>IF(E98=0, "    ---- ", IF(ABS(ROUND(100/E98*F98-100,1))&lt;999,ROUND(100/E98*F98-100,1),IF(ROUND(100/E98*F98-100,1)&gt;999,999,-999)))</f>
        <v>-36</v>
      </c>
      <c r="H98" s="764"/>
      <c r="I98" s="765"/>
      <c r="J98" s="590"/>
      <c r="K98" s="764"/>
      <c r="L98" s="765"/>
      <c r="M98" s="590"/>
      <c r="N98" s="764"/>
      <c r="O98" s="765"/>
      <c r="P98" s="589"/>
      <c r="Q98" s="764"/>
      <c r="R98" s="765"/>
      <c r="S98" s="590"/>
      <c r="T98" s="764"/>
      <c r="U98" s="765"/>
      <c r="V98" s="590"/>
      <c r="W98" s="764">
        <v>-58.39</v>
      </c>
      <c r="X98" s="765">
        <v>-6.0193494095465843</v>
      </c>
      <c r="Y98" s="590">
        <f>IF(W98=0, "    ---- ", IF(ABS(ROUND(100/W98*X98-100,1))&lt;999,ROUND(100/W98*X98-100,1),IF(ROUND(100/W98*X98-100,1)&gt;999,999,-999)))</f>
        <v>-89.7</v>
      </c>
      <c r="Z98" s="764"/>
      <c r="AA98" s="765"/>
      <c r="AB98" s="590"/>
      <c r="AC98" s="764"/>
      <c r="AD98" s="765"/>
      <c r="AE98" s="590"/>
      <c r="AF98" s="764"/>
      <c r="AG98" s="765"/>
      <c r="AH98" s="590"/>
      <c r="AI98" s="764">
        <v>-11</v>
      </c>
      <c r="AJ98" s="765">
        <v>3</v>
      </c>
      <c r="AK98" s="590">
        <f>IF(AI98=0, "    ---- ", IF(ABS(ROUND(100/AI98*AJ98-100,1))&lt;999,ROUND(100/AI98*AJ98-100,1),IF(ROUND(100/AI98*AJ98-100,1)&gt;999,999,-999)))</f>
        <v>-127.3</v>
      </c>
      <c r="AL98" s="765"/>
      <c r="AM98" s="765"/>
      <c r="AN98" s="590"/>
      <c r="AO98" s="589">
        <f t="shared" si="38"/>
        <v>-97.649296542052014</v>
      </c>
      <c r="AP98" s="589">
        <f t="shared" si="39"/>
        <v>-23.835349409546584</v>
      </c>
      <c r="AQ98" s="590">
        <f t="shared" si="19"/>
        <v>-75.599999999999994</v>
      </c>
      <c r="AR98" s="589">
        <f t="shared" si="31"/>
        <v>-97.649296542052014</v>
      </c>
      <c r="AS98" s="589">
        <f t="shared" si="32"/>
        <v>-23.835349409546584</v>
      </c>
      <c r="AT98" s="590">
        <f t="shared" si="20"/>
        <v>-75.599999999999994</v>
      </c>
      <c r="AU98" s="568"/>
    </row>
    <row r="99" spans="1:47" s="591" customFormat="1" ht="18.75" customHeight="1" x14ac:dyDescent="0.3">
      <c r="A99" s="542" t="s">
        <v>354</v>
      </c>
      <c r="B99" s="764"/>
      <c r="C99" s="765"/>
      <c r="D99" s="589"/>
      <c r="E99" s="764">
        <v>0.92395108999999997</v>
      </c>
      <c r="F99" s="765">
        <v>1</v>
      </c>
      <c r="G99" s="590">
        <f>IF(E99=0, "    ---- ", IF(ABS(ROUND(100/E99*F99-100,1))&lt;999,ROUND(100/E99*F99-100,1),IF(ROUND(100/E99*F99-100,1)&gt;999,999,-999)))</f>
        <v>8.1999999999999993</v>
      </c>
      <c r="H99" s="764"/>
      <c r="I99" s="765"/>
      <c r="J99" s="590"/>
      <c r="K99" s="764"/>
      <c r="L99" s="765"/>
      <c r="M99" s="590"/>
      <c r="N99" s="764"/>
      <c r="O99" s="765"/>
      <c r="P99" s="589"/>
      <c r="Q99" s="764"/>
      <c r="R99" s="765"/>
      <c r="S99" s="590"/>
      <c r="T99" s="764"/>
      <c r="U99" s="765"/>
      <c r="V99" s="590"/>
      <c r="W99" s="764"/>
      <c r="X99" s="765"/>
      <c r="Y99" s="590"/>
      <c r="Z99" s="764"/>
      <c r="AA99" s="765"/>
      <c r="AB99" s="590"/>
      <c r="AC99" s="764"/>
      <c r="AD99" s="765"/>
      <c r="AE99" s="590"/>
      <c r="AF99" s="764"/>
      <c r="AG99" s="765"/>
      <c r="AH99" s="590"/>
      <c r="AI99" s="764">
        <v>5</v>
      </c>
      <c r="AJ99" s="765">
        <v>6</v>
      </c>
      <c r="AK99" s="590">
        <f>IF(AI99=0, "    ---- ", IF(ABS(ROUND(100/AI99*AJ99-100,1))&lt;999,ROUND(100/AI99*AJ99-100,1),IF(ROUND(100/AI99*AJ99-100,1)&gt;999,999,-999)))</f>
        <v>20</v>
      </c>
      <c r="AL99" s="765"/>
      <c r="AM99" s="765"/>
      <c r="AN99" s="590"/>
      <c r="AO99" s="589">
        <f t="shared" si="38"/>
        <v>5.9239510900000001</v>
      </c>
      <c r="AP99" s="589">
        <f t="shared" si="39"/>
        <v>7</v>
      </c>
      <c r="AQ99" s="590">
        <f t="shared" si="19"/>
        <v>18.2</v>
      </c>
      <c r="AR99" s="589">
        <f t="shared" si="31"/>
        <v>5.9239510900000001</v>
      </c>
      <c r="AS99" s="589">
        <f t="shared" si="32"/>
        <v>7</v>
      </c>
      <c r="AT99" s="590">
        <f t="shared" si="20"/>
        <v>18.2</v>
      </c>
      <c r="AU99" s="568"/>
    </row>
    <row r="100" spans="1:47" s="591" customFormat="1" ht="18.75" customHeight="1" x14ac:dyDescent="0.3">
      <c r="A100" s="542" t="s">
        <v>355</v>
      </c>
      <c r="B100" s="764"/>
      <c r="C100" s="765"/>
      <c r="D100" s="589"/>
      <c r="E100" s="764">
        <v>15.332161859999999</v>
      </c>
      <c r="F100" s="765">
        <v>18</v>
      </c>
      <c r="G100" s="590">
        <f t="shared" ref="G100:G106" si="40">IF(E100=0, "    ---- ", IF(ABS(ROUND(100/E100*F100-100,1))&lt;999,ROUND(100/E100*F100-100,1),IF(ROUND(100/E100*F100-100,1)&gt;999,999,-999)))</f>
        <v>17.399999999999999</v>
      </c>
      <c r="H100" s="764"/>
      <c r="I100" s="765"/>
      <c r="J100" s="590"/>
      <c r="K100" s="764"/>
      <c r="L100" s="765"/>
      <c r="M100" s="590"/>
      <c r="N100" s="764"/>
      <c r="O100" s="765"/>
      <c r="P100" s="589"/>
      <c r="Q100" s="764"/>
      <c r="R100" s="765"/>
      <c r="S100" s="590"/>
      <c r="T100" s="764"/>
      <c r="U100" s="765"/>
      <c r="V100" s="590"/>
      <c r="W100" s="764"/>
      <c r="X100" s="765"/>
      <c r="Y100" s="590"/>
      <c r="Z100" s="764"/>
      <c r="AA100" s="765"/>
      <c r="AB100" s="590"/>
      <c r="AC100" s="764"/>
      <c r="AD100" s="765"/>
      <c r="AE100" s="590"/>
      <c r="AF100" s="764"/>
      <c r="AG100" s="765"/>
      <c r="AH100" s="590"/>
      <c r="AI100" s="764"/>
      <c r="AJ100" s="765"/>
      <c r="AK100" s="590"/>
      <c r="AL100" s="765"/>
      <c r="AM100" s="765"/>
      <c r="AN100" s="590"/>
      <c r="AO100" s="589">
        <f t="shared" si="38"/>
        <v>15.332161859999999</v>
      </c>
      <c r="AP100" s="589">
        <f t="shared" si="39"/>
        <v>18</v>
      </c>
      <c r="AQ100" s="590">
        <f t="shared" si="19"/>
        <v>17.399999999999999</v>
      </c>
      <c r="AR100" s="589">
        <f t="shared" si="31"/>
        <v>15.332161859999999</v>
      </c>
      <c r="AS100" s="589">
        <f t="shared" si="32"/>
        <v>18</v>
      </c>
      <c r="AT100" s="590">
        <f t="shared" si="20"/>
        <v>17.399999999999999</v>
      </c>
      <c r="AU100" s="568"/>
    </row>
    <row r="101" spans="1:47" s="591" customFormat="1" ht="18.75" customHeight="1" x14ac:dyDescent="0.3">
      <c r="A101" s="542" t="s">
        <v>356</v>
      </c>
      <c r="B101" s="758">
        <v>5.91</v>
      </c>
      <c r="C101" s="759">
        <v>0.50900000000000001</v>
      </c>
      <c r="D101" s="590">
        <f>IF(B101=0, "    ---- ", IF(ABS(ROUND(100/B101*C101-100,1))&lt;999,ROUND(100/B101*C101-100,1),IF(ROUND(100/B101*C101-100,1)&gt;999,999,-999)))</f>
        <v>-91.4</v>
      </c>
      <c r="E101" s="758">
        <v>-136.431452086159</v>
      </c>
      <c r="F101" s="759">
        <v>20</v>
      </c>
      <c r="G101" s="590">
        <f t="shared" si="40"/>
        <v>-114.7</v>
      </c>
      <c r="H101" s="758"/>
      <c r="I101" s="759"/>
      <c r="J101" s="590"/>
      <c r="K101" s="758"/>
      <c r="L101" s="759"/>
      <c r="M101" s="590"/>
      <c r="N101" s="758"/>
      <c r="O101" s="759"/>
      <c r="P101" s="589"/>
      <c r="Q101" s="758"/>
      <c r="R101" s="759"/>
      <c r="S101" s="590"/>
      <c r="T101" s="758"/>
      <c r="U101" s="759"/>
      <c r="V101" s="590"/>
      <c r="W101" s="758">
        <v>-141.4</v>
      </c>
      <c r="X101" s="759">
        <v>-60.763206379698822</v>
      </c>
      <c r="Y101" s="590">
        <f t="shared" ref="Y101:Y106" si="41">IF(W101=0, "    ---- ", IF(ABS(ROUND(100/W101*X101-100,1))&lt;999,ROUND(100/W101*X101-100,1),IF(ROUND(100/W101*X101-100,1)&gt;999,999,-999)))</f>
        <v>-57</v>
      </c>
      <c r="Z101" s="758"/>
      <c r="AA101" s="759"/>
      <c r="AB101" s="590"/>
      <c r="AC101" s="758"/>
      <c r="AD101" s="759"/>
      <c r="AE101" s="590"/>
      <c r="AF101" s="758"/>
      <c r="AG101" s="759"/>
      <c r="AH101" s="590"/>
      <c r="AI101" s="758">
        <v>0</v>
      </c>
      <c r="AJ101" s="759">
        <v>61</v>
      </c>
      <c r="AK101" s="590" t="str">
        <f t="shared" ref="AK101:AK106" si="42">IF(AI101=0, "    ---- ", IF(ABS(ROUND(100/AI101*AJ101-100,1))&lt;999,ROUND(100/AI101*AJ101-100,1),IF(ROUND(100/AI101*AJ101-100,1)&gt;999,999,-999)))</f>
        <v xml:space="preserve">    ---- </v>
      </c>
      <c r="AL101" s="759"/>
      <c r="AM101" s="759"/>
      <c r="AN101" s="590"/>
      <c r="AO101" s="589">
        <f t="shared" si="38"/>
        <v>-271.92145208615898</v>
      </c>
      <c r="AP101" s="589">
        <f t="shared" si="39"/>
        <v>20.745793620301178</v>
      </c>
      <c r="AQ101" s="590">
        <f t="shared" si="19"/>
        <v>-107.6</v>
      </c>
      <c r="AR101" s="589">
        <f t="shared" si="31"/>
        <v>-271.92145208615898</v>
      </c>
      <c r="AS101" s="589">
        <f t="shared" si="32"/>
        <v>20.745793620301178</v>
      </c>
      <c r="AT101" s="590">
        <f t="shared" si="20"/>
        <v>-107.6</v>
      </c>
      <c r="AU101" s="568"/>
    </row>
    <row r="102" spans="1:47" s="591" customFormat="1" ht="18.75" customHeight="1" x14ac:dyDescent="0.3">
      <c r="A102" s="542" t="s">
        <v>357</v>
      </c>
      <c r="B102" s="764"/>
      <c r="C102" s="765"/>
      <c r="D102" s="589"/>
      <c r="E102" s="764"/>
      <c r="F102" s="765"/>
      <c r="G102" s="590"/>
      <c r="H102" s="764"/>
      <c r="I102" s="765"/>
      <c r="J102" s="590"/>
      <c r="K102" s="764"/>
      <c r="L102" s="765"/>
      <c r="M102" s="590"/>
      <c r="N102" s="764"/>
      <c r="O102" s="765"/>
      <c r="P102" s="589"/>
      <c r="Q102" s="764"/>
      <c r="R102" s="765"/>
      <c r="S102" s="590"/>
      <c r="T102" s="764"/>
      <c r="U102" s="765"/>
      <c r="V102" s="590"/>
      <c r="W102" s="764"/>
      <c r="X102" s="765"/>
      <c r="Y102" s="590"/>
      <c r="Z102" s="764"/>
      <c r="AA102" s="765"/>
      <c r="AB102" s="590"/>
      <c r="AC102" s="764"/>
      <c r="AD102" s="765"/>
      <c r="AE102" s="590"/>
      <c r="AF102" s="764"/>
      <c r="AG102" s="765"/>
      <c r="AH102" s="590"/>
      <c r="AI102" s="764"/>
      <c r="AJ102" s="765"/>
      <c r="AK102" s="590"/>
      <c r="AL102" s="765"/>
      <c r="AM102" s="765"/>
      <c r="AN102" s="590"/>
      <c r="AO102" s="589">
        <f t="shared" si="38"/>
        <v>0</v>
      </c>
      <c r="AP102" s="589">
        <f t="shared" si="39"/>
        <v>0</v>
      </c>
      <c r="AQ102" s="590" t="str">
        <f t="shared" si="19"/>
        <v xml:space="preserve">    ---- </v>
      </c>
      <c r="AR102" s="589">
        <f t="shared" si="31"/>
        <v>0</v>
      </c>
      <c r="AS102" s="589">
        <f t="shared" si="32"/>
        <v>0</v>
      </c>
      <c r="AT102" s="590" t="str">
        <f t="shared" si="20"/>
        <v xml:space="preserve">    ---- </v>
      </c>
      <c r="AU102" s="568"/>
    </row>
    <row r="103" spans="1:47" s="591" customFormat="1" ht="18.75" customHeight="1" x14ac:dyDescent="0.3">
      <c r="A103" s="542" t="s">
        <v>358</v>
      </c>
      <c r="B103" s="764"/>
      <c r="C103" s="765"/>
      <c r="D103" s="589"/>
      <c r="E103" s="764"/>
      <c r="F103" s="765"/>
      <c r="G103" s="590"/>
      <c r="H103" s="764"/>
      <c r="I103" s="765"/>
      <c r="J103" s="590"/>
      <c r="K103" s="764"/>
      <c r="L103" s="765"/>
      <c r="M103" s="590"/>
      <c r="N103" s="764"/>
      <c r="O103" s="765"/>
      <c r="P103" s="589"/>
      <c r="Q103" s="764"/>
      <c r="R103" s="765"/>
      <c r="S103" s="590"/>
      <c r="T103" s="764"/>
      <c r="U103" s="765"/>
      <c r="V103" s="590"/>
      <c r="W103" s="764">
        <v>0</v>
      </c>
      <c r="X103" s="765">
        <v>0</v>
      </c>
      <c r="Y103" s="590" t="str">
        <f>IF(W103=0, "    ---- ", IF(ABS(ROUND(100/W103*X103-100,1))&lt;999,ROUND(100/W103*X103-100,1),IF(ROUND(100/W103*X103-100,1)&gt;999,999,-999)))</f>
        <v xml:space="preserve">    ---- </v>
      </c>
      <c r="Z103" s="764"/>
      <c r="AA103" s="765"/>
      <c r="AB103" s="590"/>
      <c r="AC103" s="764"/>
      <c r="AD103" s="765"/>
      <c r="AE103" s="590"/>
      <c r="AF103" s="764"/>
      <c r="AG103" s="765"/>
      <c r="AH103" s="590"/>
      <c r="AI103" s="764"/>
      <c r="AJ103" s="765"/>
      <c r="AK103" s="590"/>
      <c r="AL103" s="765"/>
      <c r="AM103" s="765"/>
      <c r="AN103" s="590"/>
      <c r="AO103" s="589">
        <f t="shared" si="38"/>
        <v>0</v>
      </c>
      <c r="AP103" s="589">
        <f t="shared" si="39"/>
        <v>0</v>
      </c>
      <c r="AQ103" s="590" t="str">
        <f t="shared" si="19"/>
        <v xml:space="preserve">    ---- </v>
      </c>
      <c r="AR103" s="589">
        <f t="shared" si="31"/>
        <v>0</v>
      </c>
      <c r="AS103" s="589">
        <f t="shared" si="32"/>
        <v>0</v>
      </c>
      <c r="AT103" s="590" t="str">
        <f t="shared" si="20"/>
        <v xml:space="preserve">    ---- </v>
      </c>
      <c r="AU103" s="568"/>
    </row>
    <row r="104" spans="1:47" s="593" customFormat="1" ht="18.75" customHeight="1" x14ac:dyDescent="0.3">
      <c r="A104" s="537" t="s">
        <v>359</v>
      </c>
      <c r="B104" s="766">
        <f>SUM(B96:B101)+B103</f>
        <v>2.8099999999999996</v>
      </c>
      <c r="C104" s="767">
        <f>SUM(C96:C101)+C103</f>
        <v>-12.282999999999999</v>
      </c>
      <c r="D104" s="588">
        <f>IF(B104=0, "    ---- ", IF(ABS(ROUND(100/B104*C104-100,1))&lt;999,ROUND(100/B104*C104-100,1),IF(ROUND(100/B104*C104-100,1)&gt;999,999,-999)))</f>
        <v>-537.1</v>
      </c>
      <c r="E104" s="766">
        <f>SUM(E96:E101)+E103</f>
        <v>-136.66722784544558</v>
      </c>
      <c r="F104" s="767">
        <f>SUM(F96:F101)+F103</f>
        <v>21</v>
      </c>
      <c r="G104" s="588">
        <f t="shared" si="40"/>
        <v>-115.4</v>
      </c>
      <c r="H104" s="766"/>
      <c r="I104" s="767"/>
      <c r="J104" s="588"/>
      <c r="K104" s="766"/>
      <c r="L104" s="767"/>
      <c r="M104" s="588"/>
      <c r="N104" s="766"/>
      <c r="O104" s="767"/>
      <c r="P104" s="587"/>
      <c r="Q104" s="766"/>
      <c r="R104" s="767"/>
      <c r="S104" s="588"/>
      <c r="T104" s="766"/>
      <c r="U104" s="767"/>
      <c r="V104" s="588"/>
      <c r="W104" s="766">
        <f>SUM(W96:W101)+W103</f>
        <v>-149.04000000000002</v>
      </c>
      <c r="X104" s="767">
        <f>SUM(X96:X101)+X103</f>
        <v>-38.232035735356241</v>
      </c>
      <c r="Y104" s="588">
        <f t="shared" si="41"/>
        <v>-74.3</v>
      </c>
      <c r="Z104" s="766"/>
      <c r="AA104" s="767"/>
      <c r="AB104" s="588"/>
      <c r="AC104" s="766"/>
      <c r="AD104" s="767"/>
      <c r="AE104" s="588"/>
      <c r="AF104" s="766"/>
      <c r="AG104" s="767"/>
      <c r="AH104" s="588"/>
      <c r="AI104" s="766">
        <f>SUM(AI96:AI101)+AI103</f>
        <v>23</v>
      </c>
      <c r="AJ104" s="767">
        <f>SUM(AJ96:AJ101)+AJ103</f>
        <v>73</v>
      </c>
      <c r="AK104" s="588">
        <f t="shared" si="42"/>
        <v>217.4</v>
      </c>
      <c r="AL104" s="767"/>
      <c r="AM104" s="767">
        <f>SUM(AM96:AM101)+AM103</f>
        <v>0</v>
      </c>
      <c r="AN104" s="588"/>
      <c r="AO104" s="587">
        <f t="shared" si="38"/>
        <v>-259.89722784544563</v>
      </c>
      <c r="AP104" s="587">
        <f t="shared" si="39"/>
        <v>43.484964264643757</v>
      </c>
      <c r="AQ104" s="588">
        <f t="shared" si="19"/>
        <v>-116.7</v>
      </c>
      <c r="AR104" s="587">
        <f t="shared" si="31"/>
        <v>-259.89722784544563</v>
      </c>
      <c r="AS104" s="587">
        <f t="shared" si="32"/>
        <v>43.484964264643757</v>
      </c>
      <c r="AT104" s="588">
        <f t="shared" si="20"/>
        <v>-116.7</v>
      </c>
      <c r="AU104" s="592"/>
    </row>
    <row r="105" spans="1:47" s="591" customFormat="1" ht="18.75" customHeight="1" x14ac:dyDescent="0.3">
      <c r="A105" s="542" t="s">
        <v>360</v>
      </c>
      <c r="B105" s="764"/>
      <c r="C105" s="765"/>
      <c r="D105" s="589"/>
      <c r="E105" s="764">
        <v>3.8064078327654398</v>
      </c>
      <c r="F105" s="765">
        <v>1</v>
      </c>
      <c r="G105" s="590">
        <f t="shared" si="40"/>
        <v>-73.7</v>
      </c>
      <c r="H105" s="764"/>
      <c r="I105" s="765"/>
      <c r="J105" s="590"/>
      <c r="K105" s="764"/>
      <c r="L105" s="765"/>
      <c r="M105" s="590"/>
      <c r="N105" s="764"/>
      <c r="O105" s="765"/>
      <c r="P105" s="589"/>
      <c r="Q105" s="764"/>
      <c r="R105" s="765"/>
      <c r="S105" s="590"/>
      <c r="T105" s="764"/>
      <c r="U105" s="765"/>
      <c r="V105" s="590"/>
      <c r="W105" s="764">
        <v>-9.32</v>
      </c>
      <c r="X105" s="765">
        <v>-19.243092675850857</v>
      </c>
      <c r="Y105" s="590">
        <f>IF(W105=0, "    ---- ", IF(ABS(ROUND(100/W105*X105-100,1))&lt;999,ROUND(100/W105*X105-100,1),IF(ROUND(100/W105*X105-100,1)&gt;999,999,-999)))</f>
        <v>106.5</v>
      </c>
      <c r="Z105" s="764"/>
      <c r="AA105" s="765"/>
      <c r="AB105" s="590"/>
      <c r="AC105" s="764"/>
      <c r="AD105" s="765"/>
      <c r="AE105" s="590"/>
      <c r="AF105" s="764"/>
      <c r="AG105" s="765"/>
      <c r="AH105" s="590"/>
      <c r="AI105" s="764">
        <v>29</v>
      </c>
      <c r="AJ105" s="765">
        <v>3</v>
      </c>
      <c r="AK105" s="590">
        <f>IF(AI105=0, "    ---- ", IF(ABS(ROUND(100/AI105*AJ105-100,1))&lt;999,ROUND(100/AI105*AJ105-100,1),IF(ROUND(100/AI105*AJ105-100,1)&gt;999,999,-999)))</f>
        <v>-89.7</v>
      </c>
      <c r="AL105" s="765"/>
      <c r="AM105" s="765"/>
      <c r="AN105" s="590"/>
      <c r="AO105" s="589">
        <f t="shared" si="38"/>
        <v>23.48640783276544</v>
      </c>
      <c r="AP105" s="589">
        <f t="shared" si="39"/>
        <v>-15.243092675850857</v>
      </c>
      <c r="AQ105" s="590">
        <f t="shared" si="19"/>
        <v>-164.9</v>
      </c>
      <c r="AR105" s="589">
        <f t="shared" si="31"/>
        <v>23.48640783276544</v>
      </c>
      <c r="AS105" s="589">
        <f t="shared" si="32"/>
        <v>-15.243092675850857</v>
      </c>
      <c r="AT105" s="590">
        <f t="shared" si="20"/>
        <v>-164.9</v>
      </c>
      <c r="AU105" s="568"/>
    </row>
    <row r="106" spans="1:47" s="591" customFormat="1" ht="18.75" customHeight="1" x14ac:dyDescent="0.3">
      <c r="A106" s="542" t="s">
        <v>361</v>
      </c>
      <c r="B106" s="764">
        <v>2.8090000000000002</v>
      </c>
      <c r="C106" s="765">
        <v>-12.282999999999999</v>
      </c>
      <c r="D106" s="590">
        <f>IF(B106=0, "    ---- ", IF(ABS(ROUND(100/B106*C106-100,1))&lt;999,ROUND(100/B106*C106-100,1),IF(ROUND(100/B106*C106-100,1)&gt;999,999,-999)))</f>
        <v>-537.29999999999995</v>
      </c>
      <c r="E106" s="764">
        <v>-140.47363567821088</v>
      </c>
      <c r="F106" s="765">
        <v>20</v>
      </c>
      <c r="G106" s="590">
        <f t="shared" si="40"/>
        <v>-114.2</v>
      </c>
      <c r="H106" s="764"/>
      <c r="I106" s="765"/>
      <c r="J106" s="590"/>
      <c r="K106" s="764"/>
      <c r="L106" s="765"/>
      <c r="M106" s="590"/>
      <c r="N106" s="764"/>
      <c r="O106" s="765"/>
      <c r="P106" s="589"/>
      <c r="Q106" s="764"/>
      <c r="R106" s="765"/>
      <c r="S106" s="590"/>
      <c r="T106" s="764"/>
      <c r="U106" s="765"/>
      <c r="V106" s="590"/>
      <c r="W106" s="764">
        <v>-139.72</v>
      </c>
      <c r="X106" s="765">
        <v>-18.988943059505385</v>
      </c>
      <c r="Y106" s="590">
        <f t="shared" si="41"/>
        <v>-86.4</v>
      </c>
      <c r="Z106" s="764"/>
      <c r="AA106" s="765"/>
      <c r="AB106" s="590"/>
      <c r="AC106" s="764"/>
      <c r="AD106" s="765"/>
      <c r="AE106" s="590"/>
      <c r="AF106" s="764"/>
      <c r="AG106" s="765"/>
      <c r="AH106" s="590"/>
      <c r="AI106" s="764">
        <v>-6</v>
      </c>
      <c r="AJ106" s="765">
        <v>70</v>
      </c>
      <c r="AK106" s="590">
        <f t="shared" si="42"/>
        <v>-999</v>
      </c>
      <c r="AL106" s="765"/>
      <c r="AM106" s="765"/>
      <c r="AN106" s="590"/>
      <c r="AO106" s="589">
        <f t="shared" si="38"/>
        <v>-283.38463567821088</v>
      </c>
      <c r="AP106" s="589">
        <f t="shared" si="39"/>
        <v>58.728056940494618</v>
      </c>
      <c r="AQ106" s="590">
        <f t="shared" si="19"/>
        <v>-120.7</v>
      </c>
      <c r="AR106" s="589">
        <f t="shared" si="31"/>
        <v>-283.38463567821088</v>
      </c>
      <c r="AS106" s="589">
        <f t="shared" si="32"/>
        <v>58.728056940494618</v>
      </c>
      <c r="AT106" s="590">
        <f t="shared" si="20"/>
        <v>-120.7</v>
      </c>
      <c r="AU106" s="568"/>
    </row>
    <row r="107" spans="1:47" s="597" customFormat="1" ht="18.75" customHeight="1" x14ac:dyDescent="0.3">
      <c r="A107" s="594" t="s">
        <v>379</v>
      </c>
      <c r="B107" s="764"/>
      <c r="C107" s="765"/>
      <c r="D107" s="589"/>
      <c r="E107" s="764"/>
      <c r="F107" s="765"/>
      <c r="G107" s="590"/>
      <c r="H107" s="764"/>
      <c r="I107" s="765"/>
      <c r="J107" s="590"/>
      <c r="K107" s="764"/>
      <c r="L107" s="765"/>
      <c r="M107" s="590"/>
      <c r="N107" s="764"/>
      <c r="O107" s="765"/>
      <c r="P107" s="589"/>
      <c r="Q107" s="764"/>
      <c r="R107" s="765"/>
      <c r="S107" s="590"/>
      <c r="T107" s="764"/>
      <c r="U107" s="765"/>
      <c r="V107" s="590"/>
      <c r="W107" s="764"/>
      <c r="X107" s="765"/>
      <c r="Y107" s="590"/>
      <c r="Z107" s="764"/>
      <c r="AA107" s="765"/>
      <c r="AB107" s="590"/>
      <c r="AC107" s="764"/>
      <c r="AD107" s="765"/>
      <c r="AE107" s="590"/>
      <c r="AF107" s="764"/>
      <c r="AG107" s="765"/>
      <c r="AH107" s="590"/>
      <c r="AI107" s="764"/>
      <c r="AJ107" s="765"/>
      <c r="AK107" s="590"/>
      <c r="AL107" s="765"/>
      <c r="AM107" s="765"/>
      <c r="AN107" s="590"/>
      <c r="AO107" s="589"/>
      <c r="AP107" s="589"/>
      <c r="AQ107" s="590"/>
      <c r="AR107" s="589">
        <f t="shared" si="31"/>
        <v>0</v>
      </c>
      <c r="AS107" s="589">
        <f t="shared" si="32"/>
        <v>0</v>
      </c>
      <c r="AT107" s="590"/>
      <c r="AU107" s="596"/>
    </row>
    <row r="108" spans="1:47" s="597" customFormat="1" ht="18.75" customHeight="1" x14ac:dyDescent="0.3">
      <c r="A108" s="595" t="s">
        <v>351</v>
      </c>
      <c r="B108" s="764"/>
      <c r="C108" s="765"/>
      <c r="D108" s="589"/>
      <c r="E108" s="764"/>
      <c r="F108" s="765"/>
      <c r="G108" s="590"/>
      <c r="H108" s="764"/>
      <c r="I108" s="765"/>
      <c r="J108" s="590"/>
      <c r="K108" s="764"/>
      <c r="L108" s="765"/>
      <c r="M108" s="590"/>
      <c r="N108" s="764"/>
      <c r="O108" s="765"/>
      <c r="P108" s="589"/>
      <c r="Q108" s="764"/>
      <c r="R108" s="765"/>
      <c r="S108" s="590"/>
      <c r="T108" s="764"/>
      <c r="U108" s="765"/>
      <c r="V108" s="590"/>
      <c r="W108" s="764"/>
      <c r="X108" s="765"/>
      <c r="Y108" s="590"/>
      <c r="Z108" s="764"/>
      <c r="AA108" s="765"/>
      <c r="AB108" s="590"/>
      <c r="AC108" s="764"/>
      <c r="AD108" s="765"/>
      <c r="AE108" s="590"/>
      <c r="AF108" s="764"/>
      <c r="AG108" s="765"/>
      <c r="AH108" s="590"/>
      <c r="AI108" s="764">
        <v>8</v>
      </c>
      <c r="AJ108" s="765">
        <v>4.4000000000000004</v>
      </c>
      <c r="AK108" s="590">
        <f t="shared" ref="AK108:AK118" si="43">IF(AI108=0, "    ---- ", IF(ABS(ROUND(100/AI108*AJ108-100,1))&lt;999,ROUND(100/AI108*AJ108-100,1),IF(ROUND(100/AI108*AJ108-100,1)&gt;999,999,-999)))</f>
        <v>-45</v>
      </c>
      <c r="AL108" s="765"/>
      <c r="AM108" s="765"/>
      <c r="AN108" s="590"/>
      <c r="AO108" s="589">
        <f t="shared" ref="AO108:AO118" si="44">B108+E108+H108+K108+N108+T108+W108+Z108+AF108+AI108</f>
        <v>8</v>
      </c>
      <c r="AP108" s="589">
        <f t="shared" ref="AP108:AP118" si="45">C108+F108+I108+L108+O108+U108+AM108+X108+AA108+AG108+AJ108</f>
        <v>4.4000000000000004</v>
      </c>
      <c r="AQ108" s="590">
        <f t="shared" ref="AQ108:AQ118" si="46">IF(AO108=0, "    ---- ", IF(ABS(ROUND(100/AO108*AP108-100,1))&lt;999,ROUND(100/AO108*AP108-100,1),IF(ROUND(100/AO108*AP108-100,1)&gt;999,999,-999)))</f>
        <v>-45</v>
      </c>
      <c r="AR108" s="589">
        <f t="shared" ref="AR108:AR144" si="47">+B108+E108+H108+K108+N108+Q108+T108+AL108+W108+Z108+AC108+AF108+AI108</f>
        <v>8</v>
      </c>
      <c r="AS108" s="589">
        <f t="shared" ref="AS108:AS144" si="48">+C108+F108+I108+L108+O108+R108+U108+AM108+X108+AA108+AD108+AG108+AJ108</f>
        <v>4.4000000000000004</v>
      </c>
      <c r="AT108" s="590">
        <f t="shared" ref="AT108:AT118" si="49">IF(AR108=0, "    ---- ", IF(ABS(ROUND(100/AR108*AS108-100,1))&lt;999,ROUND(100/AR108*AS108-100,1),IF(ROUND(100/AR108*AS108-100,1)&gt;999,999,-999)))</f>
        <v>-45</v>
      </c>
      <c r="AU108" s="596"/>
    </row>
    <row r="109" spans="1:47" s="597" customFormat="1" ht="18.75" customHeight="1" x14ac:dyDescent="0.3">
      <c r="A109" s="595" t="s">
        <v>352</v>
      </c>
      <c r="B109" s="764"/>
      <c r="C109" s="765"/>
      <c r="D109" s="589"/>
      <c r="E109" s="764"/>
      <c r="F109" s="765"/>
      <c r="G109" s="590"/>
      <c r="H109" s="764"/>
      <c r="I109" s="765"/>
      <c r="J109" s="590"/>
      <c r="K109" s="764"/>
      <c r="L109" s="765"/>
      <c r="M109" s="590"/>
      <c r="N109" s="764"/>
      <c r="O109" s="765"/>
      <c r="P109" s="589"/>
      <c r="Q109" s="764"/>
      <c r="R109" s="765"/>
      <c r="S109" s="590"/>
      <c r="T109" s="764"/>
      <c r="U109" s="765"/>
      <c r="V109" s="590"/>
      <c r="W109" s="764"/>
      <c r="X109" s="765"/>
      <c r="Y109" s="590"/>
      <c r="Z109" s="764"/>
      <c r="AA109" s="765"/>
      <c r="AB109" s="590"/>
      <c r="AC109" s="764"/>
      <c r="AD109" s="765"/>
      <c r="AE109" s="590"/>
      <c r="AF109" s="764"/>
      <c r="AG109" s="765"/>
      <c r="AH109" s="590"/>
      <c r="AI109" s="764"/>
      <c r="AJ109" s="765"/>
      <c r="AK109" s="590"/>
      <c r="AL109" s="765"/>
      <c r="AM109" s="765"/>
      <c r="AN109" s="590"/>
      <c r="AO109" s="589">
        <f t="shared" si="44"/>
        <v>0</v>
      </c>
      <c r="AP109" s="589">
        <f t="shared" si="45"/>
        <v>0</v>
      </c>
      <c r="AQ109" s="590" t="str">
        <f t="shared" si="46"/>
        <v xml:space="preserve">    ---- </v>
      </c>
      <c r="AR109" s="589">
        <f t="shared" si="47"/>
        <v>0</v>
      </c>
      <c r="AS109" s="589">
        <f t="shared" si="48"/>
        <v>0</v>
      </c>
      <c r="AT109" s="590" t="str">
        <f t="shared" si="49"/>
        <v xml:space="preserve">    ---- </v>
      </c>
      <c r="AU109" s="596"/>
    </row>
    <row r="110" spans="1:47" s="597" customFormat="1" ht="18.75" customHeight="1" x14ac:dyDescent="0.3">
      <c r="A110" s="595" t="s">
        <v>353</v>
      </c>
      <c r="B110" s="764"/>
      <c r="C110" s="765"/>
      <c r="D110" s="589"/>
      <c r="E110" s="764"/>
      <c r="F110" s="765"/>
      <c r="G110" s="590"/>
      <c r="H110" s="764"/>
      <c r="I110" s="765"/>
      <c r="J110" s="590"/>
      <c r="K110" s="764"/>
      <c r="L110" s="765"/>
      <c r="M110" s="590"/>
      <c r="N110" s="764"/>
      <c r="O110" s="765"/>
      <c r="P110" s="589"/>
      <c r="Q110" s="764"/>
      <c r="R110" s="765"/>
      <c r="S110" s="590"/>
      <c r="T110" s="764"/>
      <c r="U110" s="765"/>
      <c r="V110" s="590"/>
      <c r="W110" s="764"/>
      <c r="X110" s="765"/>
      <c r="Y110" s="590"/>
      <c r="Z110" s="764"/>
      <c r="AA110" s="765"/>
      <c r="AB110" s="590"/>
      <c r="AC110" s="764"/>
      <c r="AD110" s="765"/>
      <c r="AE110" s="590"/>
      <c r="AF110" s="764"/>
      <c r="AG110" s="765"/>
      <c r="AH110" s="590"/>
      <c r="AI110" s="764">
        <v>1</v>
      </c>
      <c r="AJ110" s="765">
        <v>1.4</v>
      </c>
      <c r="AK110" s="590">
        <f t="shared" si="43"/>
        <v>40</v>
      </c>
      <c r="AL110" s="765"/>
      <c r="AM110" s="765"/>
      <c r="AN110" s="590"/>
      <c r="AO110" s="589">
        <f t="shared" si="44"/>
        <v>1</v>
      </c>
      <c r="AP110" s="589">
        <f t="shared" si="45"/>
        <v>1.4</v>
      </c>
      <c r="AQ110" s="590">
        <f t="shared" si="46"/>
        <v>40</v>
      </c>
      <c r="AR110" s="589">
        <f t="shared" si="47"/>
        <v>1</v>
      </c>
      <c r="AS110" s="589">
        <f t="shared" si="48"/>
        <v>1.4</v>
      </c>
      <c r="AT110" s="590">
        <f t="shared" si="49"/>
        <v>40</v>
      </c>
      <c r="AU110" s="596"/>
    </row>
    <row r="111" spans="1:47" s="597" customFormat="1" ht="18.75" customHeight="1" x14ac:dyDescent="0.3">
      <c r="A111" s="595" t="s">
        <v>354</v>
      </c>
      <c r="B111" s="764"/>
      <c r="C111" s="765"/>
      <c r="D111" s="589"/>
      <c r="E111" s="764"/>
      <c r="F111" s="765"/>
      <c r="G111" s="590"/>
      <c r="H111" s="764"/>
      <c r="I111" s="765"/>
      <c r="J111" s="590"/>
      <c r="K111" s="764"/>
      <c r="L111" s="765"/>
      <c r="M111" s="590"/>
      <c r="N111" s="764"/>
      <c r="O111" s="765"/>
      <c r="P111" s="589"/>
      <c r="Q111" s="764"/>
      <c r="R111" s="765"/>
      <c r="S111" s="590"/>
      <c r="T111" s="764"/>
      <c r="U111" s="765"/>
      <c r="V111" s="590"/>
      <c r="W111" s="764"/>
      <c r="X111" s="765"/>
      <c r="Y111" s="590"/>
      <c r="Z111" s="764"/>
      <c r="AA111" s="765"/>
      <c r="AB111" s="590"/>
      <c r="AC111" s="764"/>
      <c r="AD111" s="765"/>
      <c r="AE111" s="590"/>
      <c r="AF111" s="764"/>
      <c r="AG111" s="765"/>
      <c r="AH111" s="590"/>
      <c r="AI111" s="764"/>
      <c r="AJ111" s="765"/>
      <c r="AK111" s="590"/>
      <c r="AL111" s="765"/>
      <c r="AM111" s="765"/>
      <c r="AN111" s="590"/>
      <c r="AO111" s="589">
        <f t="shared" si="44"/>
        <v>0</v>
      </c>
      <c r="AP111" s="589">
        <f t="shared" si="45"/>
        <v>0</v>
      </c>
      <c r="AQ111" s="590" t="str">
        <f t="shared" si="46"/>
        <v xml:space="preserve">    ---- </v>
      </c>
      <c r="AR111" s="589">
        <f t="shared" si="47"/>
        <v>0</v>
      </c>
      <c r="AS111" s="589">
        <f t="shared" si="48"/>
        <v>0</v>
      </c>
      <c r="AT111" s="590" t="str">
        <f t="shared" si="49"/>
        <v xml:space="preserve">    ---- </v>
      </c>
      <c r="AU111" s="596"/>
    </row>
    <row r="112" spans="1:47" s="597" customFormat="1" ht="18.75" customHeight="1" x14ac:dyDescent="0.3">
      <c r="A112" s="595" t="s">
        <v>355</v>
      </c>
      <c r="B112" s="764"/>
      <c r="C112" s="765"/>
      <c r="D112" s="589"/>
      <c r="E112" s="764"/>
      <c r="F112" s="765"/>
      <c r="G112" s="590"/>
      <c r="H112" s="764"/>
      <c r="I112" s="765"/>
      <c r="J112" s="590"/>
      <c r="K112" s="764"/>
      <c r="L112" s="765"/>
      <c r="M112" s="590"/>
      <c r="N112" s="764"/>
      <c r="O112" s="765"/>
      <c r="P112" s="589"/>
      <c r="Q112" s="764"/>
      <c r="R112" s="765"/>
      <c r="S112" s="590"/>
      <c r="T112" s="764"/>
      <c r="U112" s="765"/>
      <c r="V112" s="590"/>
      <c r="W112" s="764"/>
      <c r="X112" s="765"/>
      <c r="Y112" s="590"/>
      <c r="Z112" s="764"/>
      <c r="AA112" s="765"/>
      <c r="AB112" s="590"/>
      <c r="AC112" s="764"/>
      <c r="AD112" s="765"/>
      <c r="AE112" s="590"/>
      <c r="AF112" s="764"/>
      <c r="AG112" s="765"/>
      <c r="AH112" s="590"/>
      <c r="AI112" s="764"/>
      <c r="AJ112" s="765"/>
      <c r="AK112" s="590"/>
      <c r="AL112" s="765"/>
      <c r="AM112" s="765"/>
      <c r="AN112" s="590"/>
      <c r="AO112" s="589">
        <f t="shared" si="44"/>
        <v>0</v>
      </c>
      <c r="AP112" s="589">
        <f t="shared" si="45"/>
        <v>0</v>
      </c>
      <c r="AQ112" s="590" t="str">
        <f t="shared" si="46"/>
        <v xml:space="preserve">    ---- </v>
      </c>
      <c r="AR112" s="589">
        <f t="shared" si="47"/>
        <v>0</v>
      </c>
      <c r="AS112" s="589">
        <f t="shared" si="48"/>
        <v>0</v>
      </c>
      <c r="AT112" s="590" t="str">
        <f t="shared" si="49"/>
        <v xml:space="preserve">    ---- </v>
      </c>
      <c r="AU112" s="596"/>
    </row>
    <row r="113" spans="1:47" s="597" customFormat="1" ht="18.75" customHeight="1" x14ac:dyDescent="0.3">
      <c r="A113" s="595" t="s">
        <v>356</v>
      </c>
      <c r="B113" s="764"/>
      <c r="C113" s="765"/>
      <c r="D113" s="589"/>
      <c r="E113" s="764"/>
      <c r="F113" s="765"/>
      <c r="G113" s="590"/>
      <c r="H113" s="764"/>
      <c r="I113" s="765"/>
      <c r="J113" s="590"/>
      <c r="K113" s="764"/>
      <c r="L113" s="765"/>
      <c r="M113" s="590"/>
      <c r="N113" s="764"/>
      <c r="O113" s="765"/>
      <c r="P113" s="589"/>
      <c r="Q113" s="764"/>
      <c r="R113" s="765"/>
      <c r="S113" s="590"/>
      <c r="T113" s="764"/>
      <c r="U113" s="765"/>
      <c r="V113" s="590"/>
      <c r="W113" s="764"/>
      <c r="X113" s="765"/>
      <c r="Y113" s="590"/>
      <c r="Z113" s="764"/>
      <c r="AA113" s="765"/>
      <c r="AB113" s="590"/>
      <c r="AC113" s="764"/>
      <c r="AD113" s="765"/>
      <c r="AE113" s="590"/>
      <c r="AF113" s="764"/>
      <c r="AG113" s="765"/>
      <c r="AH113" s="590"/>
      <c r="AI113" s="764"/>
      <c r="AJ113" s="765"/>
      <c r="AK113" s="590"/>
      <c r="AL113" s="765"/>
      <c r="AM113" s="765"/>
      <c r="AN113" s="590"/>
      <c r="AO113" s="589">
        <f t="shared" si="44"/>
        <v>0</v>
      </c>
      <c r="AP113" s="589">
        <f t="shared" si="45"/>
        <v>0</v>
      </c>
      <c r="AQ113" s="590" t="str">
        <f t="shared" si="46"/>
        <v xml:space="preserve">    ---- </v>
      </c>
      <c r="AR113" s="589">
        <f t="shared" si="47"/>
        <v>0</v>
      </c>
      <c r="AS113" s="589">
        <f t="shared" si="48"/>
        <v>0</v>
      </c>
      <c r="AT113" s="590" t="str">
        <f t="shared" si="49"/>
        <v xml:space="preserve">    ---- </v>
      </c>
      <c r="AU113" s="596"/>
    </row>
    <row r="114" spans="1:47" s="597" customFormat="1" ht="18.75" customHeight="1" x14ac:dyDescent="0.3">
      <c r="A114" s="595" t="s">
        <v>357</v>
      </c>
      <c r="B114" s="764"/>
      <c r="C114" s="765"/>
      <c r="D114" s="589"/>
      <c r="E114" s="764"/>
      <c r="F114" s="765"/>
      <c r="G114" s="590"/>
      <c r="H114" s="764"/>
      <c r="I114" s="765"/>
      <c r="J114" s="590"/>
      <c r="K114" s="764"/>
      <c r="L114" s="765"/>
      <c r="M114" s="590"/>
      <c r="N114" s="764"/>
      <c r="O114" s="765"/>
      <c r="P114" s="589"/>
      <c r="Q114" s="764"/>
      <c r="R114" s="765"/>
      <c r="S114" s="590"/>
      <c r="T114" s="764"/>
      <c r="U114" s="765"/>
      <c r="V114" s="590"/>
      <c r="W114" s="764"/>
      <c r="X114" s="765"/>
      <c r="Y114" s="590"/>
      <c r="Z114" s="764"/>
      <c r="AA114" s="765"/>
      <c r="AB114" s="590"/>
      <c r="AC114" s="764"/>
      <c r="AD114" s="765"/>
      <c r="AE114" s="590"/>
      <c r="AF114" s="764"/>
      <c r="AG114" s="765"/>
      <c r="AH114" s="590"/>
      <c r="AI114" s="764"/>
      <c r="AJ114" s="765"/>
      <c r="AK114" s="590"/>
      <c r="AL114" s="765"/>
      <c r="AM114" s="765"/>
      <c r="AN114" s="590"/>
      <c r="AO114" s="589">
        <f t="shared" si="44"/>
        <v>0</v>
      </c>
      <c r="AP114" s="589">
        <f t="shared" si="45"/>
        <v>0</v>
      </c>
      <c r="AQ114" s="590" t="str">
        <f t="shared" si="46"/>
        <v xml:space="preserve">    ---- </v>
      </c>
      <c r="AR114" s="589">
        <f t="shared" si="47"/>
        <v>0</v>
      </c>
      <c r="AS114" s="589">
        <f t="shared" si="48"/>
        <v>0</v>
      </c>
      <c r="AT114" s="590" t="str">
        <f t="shared" si="49"/>
        <v xml:space="preserve">    ---- </v>
      </c>
      <c r="AU114" s="596"/>
    </row>
    <row r="115" spans="1:47" s="597" customFormat="1" ht="18.75" customHeight="1" x14ac:dyDescent="0.3">
      <c r="A115" s="595" t="s">
        <v>358</v>
      </c>
      <c r="B115" s="764"/>
      <c r="C115" s="765"/>
      <c r="D115" s="589"/>
      <c r="E115" s="764"/>
      <c r="F115" s="765"/>
      <c r="G115" s="590"/>
      <c r="H115" s="764"/>
      <c r="I115" s="765"/>
      <c r="J115" s="590"/>
      <c r="K115" s="764"/>
      <c r="L115" s="765"/>
      <c r="M115" s="590"/>
      <c r="N115" s="764"/>
      <c r="O115" s="765"/>
      <c r="P115" s="589"/>
      <c r="Q115" s="764"/>
      <c r="R115" s="765"/>
      <c r="S115" s="590"/>
      <c r="T115" s="764"/>
      <c r="U115" s="765"/>
      <c r="V115" s="590"/>
      <c r="W115" s="764"/>
      <c r="X115" s="765"/>
      <c r="Y115" s="590"/>
      <c r="Z115" s="764"/>
      <c r="AA115" s="765"/>
      <c r="AB115" s="590"/>
      <c r="AC115" s="764"/>
      <c r="AD115" s="765"/>
      <c r="AE115" s="590"/>
      <c r="AF115" s="764"/>
      <c r="AG115" s="765"/>
      <c r="AH115" s="590"/>
      <c r="AI115" s="764"/>
      <c r="AJ115" s="765"/>
      <c r="AK115" s="590"/>
      <c r="AL115" s="765"/>
      <c r="AM115" s="765"/>
      <c r="AN115" s="590"/>
      <c r="AO115" s="589">
        <f t="shared" si="44"/>
        <v>0</v>
      </c>
      <c r="AP115" s="589">
        <f t="shared" si="45"/>
        <v>0</v>
      </c>
      <c r="AQ115" s="590" t="str">
        <f t="shared" si="46"/>
        <v xml:space="preserve">    ---- </v>
      </c>
      <c r="AR115" s="589">
        <f t="shared" si="47"/>
        <v>0</v>
      </c>
      <c r="AS115" s="589">
        <f t="shared" si="48"/>
        <v>0</v>
      </c>
      <c r="AT115" s="590" t="str">
        <f t="shared" si="49"/>
        <v xml:space="preserve">    ---- </v>
      </c>
      <c r="AU115" s="596"/>
    </row>
    <row r="116" spans="1:47" s="599" customFormat="1" ht="18.75" customHeight="1" x14ac:dyDescent="0.3">
      <c r="A116" s="594" t="s">
        <v>359</v>
      </c>
      <c r="B116" s="766"/>
      <c r="C116" s="767"/>
      <c r="D116" s="587"/>
      <c r="E116" s="766"/>
      <c r="F116" s="767"/>
      <c r="G116" s="588"/>
      <c r="H116" s="766"/>
      <c r="I116" s="767"/>
      <c r="J116" s="588"/>
      <c r="K116" s="766"/>
      <c r="L116" s="767"/>
      <c r="M116" s="588"/>
      <c r="N116" s="766"/>
      <c r="O116" s="767"/>
      <c r="P116" s="587"/>
      <c r="Q116" s="766"/>
      <c r="R116" s="767"/>
      <c r="S116" s="588"/>
      <c r="T116" s="766"/>
      <c r="U116" s="767"/>
      <c r="V116" s="588"/>
      <c r="W116" s="766"/>
      <c r="X116" s="767"/>
      <c r="Y116" s="588"/>
      <c r="Z116" s="766"/>
      <c r="AA116" s="767"/>
      <c r="AB116" s="588"/>
      <c r="AC116" s="766"/>
      <c r="AD116" s="767"/>
      <c r="AE116" s="588"/>
      <c r="AF116" s="766"/>
      <c r="AG116" s="767"/>
      <c r="AH116" s="588"/>
      <c r="AI116" s="766">
        <f>SUM(AI108:AI113)+AI115</f>
        <v>9</v>
      </c>
      <c r="AJ116" s="767">
        <f>SUM(AJ108:AJ113)+AJ115</f>
        <v>5.8000000000000007</v>
      </c>
      <c r="AK116" s="588">
        <f t="shared" si="43"/>
        <v>-35.6</v>
      </c>
      <c r="AL116" s="767"/>
      <c r="AM116" s="767">
        <f>SUM(AM108:AM113)+AM115</f>
        <v>0</v>
      </c>
      <c r="AN116" s="588"/>
      <c r="AO116" s="587">
        <f t="shared" si="44"/>
        <v>9</v>
      </c>
      <c r="AP116" s="587">
        <f t="shared" si="45"/>
        <v>5.8000000000000007</v>
      </c>
      <c r="AQ116" s="588">
        <f t="shared" si="46"/>
        <v>-35.6</v>
      </c>
      <c r="AR116" s="587">
        <f t="shared" si="47"/>
        <v>9</v>
      </c>
      <c r="AS116" s="587">
        <f t="shared" si="48"/>
        <v>5.8000000000000007</v>
      </c>
      <c r="AT116" s="588">
        <f t="shared" si="49"/>
        <v>-35.6</v>
      </c>
      <c r="AU116" s="598"/>
    </row>
    <row r="117" spans="1:47" s="597" customFormat="1" ht="18.75" customHeight="1" x14ac:dyDescent="0.3">
      <c r="A117" s="595" t="s">
        <v>360</v>
      </c>
      <c r="B117" s="764"/>
      <c r="C117" s="765"/>
      <c r="D117" s="589"/>
      <c r="E117" s="764"/>
      <c r="F117" s="765"/>
      <c r="G117" s="590"/>
      <c r="H117" s="764"/>
      <c r="I117" s="765"/>
      <c r="J117" s="590"/>
      <c r="K117" s="764"/>
      <c r="L117" s="765"/>
      <c r="M117" s="590"/>
      <c r="N117" s="764"/>
      <c r="O117" s="765"/>
      <c r="P117" s="589"/>
      <c r="Q117" s="764"/>
      <c r="R117" s="765"/>
      <c r="S117" s="590"/>
      <c r="T117" s="764"/>
      <c r="U117" s="765"/>
      <c r="V117" s="590"/>
      <c r="W117" s="764"/>
      <c r="X117" s="765"/>
      <c r="Y117" s="590"/>
      <c r="Z117" s="764"/>
      <c r="AA117" s="765"/>
      <c r="AB117" s="590"/>
      <c r="AC117" s="764"/>
      <c r="AD117" s="765"/>
      <c r="AE117" s="590"/>
      <c r="AF117" s="764"/>
      <c r="AG117" s="765"/>
      <c r="AH117" s="590"/>
      <c r="AI117" s="764">
        <v>6</v>
      </c>
      <c r="AJ117" s="765">
        <v>4</v>
      </c>
      <c r="AK117" s="590">
        <f t="shared" si="43"/>
        <v>-33.299999999999997</v>
      </c>
      <c r="AL117" s="765"/>
      <c r="AM117" s="765"/>
      <c r="AN117" s="590"/>
      <c r="AO117" s="589">
        <f t="shared" si="44"/>
        <v>6</v>
      </c>
      <c r="AP117" s="589">
        <f t="shared" si="45"/>
        <v>4</v>
      </c>
      <c r="AQ117" s="590">
        <f t="shared" si="46"/>
        <v>-33.299999999999997</v>
      </c>
      <c r="AR117" s="589">
        <f t="shared" si="47"/>
        <v>6</v>
      </c>
      <c r="AS117" s="589">
        <f t="shared" si="48"/>
        <v>4</v>
      </c>
      <c r="AT117" s="590">
        <f t="shared" si="49"/>
        <v>-33.299999999999997</v>
      </c>
      <c r="AU117" s="596"/>
    </row>
    <row r="118" spans="1:47" s="597" customFormat="1" ht="18.75" customHeight="1" x14ac:dyDescent="0.3">
      <c r="A118" s="595" t="s">
        <v>361</v>
      </c>
      <c r="B118" s="764"/>
      <c r="C118" s="765"/>
      <c r="D118" s="589"/>
      <c r="E118" s="764"/>
      <c r="F118" s="765"/>
      <c r="G118" s="590"/>
      <c r="H118" s="764"/>
      <c r="I118" s="765"/>
      <c r="J118" s="590"/>
      <c r="K118" s="764"/>
      <c r="L118" s="765"/>
      <c r="M118" s="590"/>
      <c r="N118" s="764"/>
      <c r="O118" s="765"/>
      <c r="P118" s="589"/>
      <c r="Q118" s="764"/>
      <c r="R118" s="765"/>
      <c r="S118" s="590"/>
      <c r="T118" s="764"/>
      <c r="U118" s="765"/>
      <c r="V118" s="590"/>
      <c r="W118" s="764"/>
      <c r="X118" s="765"/>
      <c r="Y118" s="590"/>
      <c r="Z118" s="764"/>
      <c r="AA118" s="765"/>
      <c r="AB118" s="590"/>
      <c r="AC118" s="764"/>
      <c r="AD118" s="765"/>
      <c r="AE118" s="590"/>
      <c r="AF118" s="764"/>
      <c r="AG118" s="765"/>
      <c r="AH118" s="590"/>
      <c r="AI118" s="764">
        <v>2.6</v>
      </c>
      <c r="AJ118" s="765">
        <v>2</v>
      </c>
      <c r="AK118" s="590">
        <f t="shared" si="43"/>
        <v>-23.1</v>
      </c>
      <c r="AL118" s="765"/>
      <c r="AM118" s="765"/>
      <c r="AN118" s="590"/>
      <c r="AO118" s="589">
        <f t="shared" si="44"/>
        <v>2.6</v>
      </c>
      <c r="AP118" s="589">
        <f t="shared" si="45"/>
        <v>2</v>
      </c>
      <c r="AQ118" s="590">
        <f t="shared" si="46"/>
        <v>-23.1</v>
      </c>
      <c r="AR118" s="589">
        <f t="shared" si="47"/>
        <v>2.6</v>
      </c>
      <c r="AS118" s="589">
        <f t="shared" si="48"/>
        <v>2</v>
      </c>
      <c r="AT118" s="590">
        <f t="shared" si="49"/>
        <v>-23.1</v>
      </c>
      <c r="AU118" s="596"/>
    </row>
    <row r="119" spans="1:47" s="591" customFormat="1" ht="18.75" customHeight="1" x14ac:dyDescent="0.3">
      <c r="A119" s="554"/>
      <c r="B119" s="768"/>
      <c r="C119" s="769"/>
      <c r="D119" s="600"/>
      <c r="E119" s="768"/>
      <c r="F119" s="769"/>
      <c r="G119" s="601"/>
      <c r="H119" s="768"/>
      <c r="I119" s="769"/>
      <c r="J119" s="601"/>
      <c r="K119" s="768"/>
      <c r="L119" s="769"/>
      <c r="M119" s="601"/>
      <c r="N119" s="768"/>
      <c r="O119" s="769"/>
      <c r="P119" s="600"/>
      <c r="Q119" s="768"/>
      <c r="R119" s="769"/>
      <c r="S119" s="601"/>
      <c r="T119" s="768"/>
      <c r="U119" s="769"/>
      <c r="V119" s="601"/>
      <c r="W119" s="768"/>
      <c r="X119" s="769"/>
      <c r="Y119" s="601"/>
      <c r="Z119" s="768"/>
      <c r="AA119" s="769"/>
      <c r="AB119" s="601"/>
      <c r="AC119" s="768"/>
      <c r="AD119" s="769"/>
      <c r="AE119" s="601"/>
      <c r="AF119" s="768"/>
      <c r="AG119" s="769"/>
      <c r="AH119" s="601"/>
      <c r="AI119" s="768"/>
      <c r="AJ119" s="769"/>
      <c r="AK119" s="601"/>
      <c r="AL119" s="769"/>
      <c r="AM119" s="769"/>
      <c r="AN119" s="601"/>
      <c r="AO119" s="601"/>
      <c r="AP119" s="601"/>
      <c r="AQ119" s="601"/>
      <c r="AR119" s="601">
        <f t="shared" si="47"/>
        <v>0</v>
      </c>
      <c r="AS119" s="601">
        <f t="shared" si="48"/>
        <v>0</v>
      </c>
      <c r="AT119" s="601"/>
      <c r="AU119" s="568"/>
    </row>
    <row r="120" spans="1:47" s="591" customFormat="1" ht="18.75" customHeight="1" x14ac:dyDescent="0.3">
      <c r="A120" s="542"/>
      <c r="B120" s="764"/>
      <c r="C120" s="765"/>
      <c r="D120" s="589"/>
      <c r="E120" s="764"/>
      <c r="F120" s="765"/>
      <c r="G120" s="590"/>
      <c r="H120" s="764"/>
      <c r="I120" s="765"/>
      <c r="J120" s="590"/>
      <c r="K120" s="764"/>
      <c r="L120" s="765"/>
      <c r="M120" s="590"/>
      <c r="N120" s="764"/>
      <c r="O120" s="765"/>
      <c r="P120" s="589"/>
      <c r="Q120" s="764"/>
      <c r="R120" s="765"/>
      <c r="S120" s="590"/>
      <c r="T120" s="764"/>
      <c r="U120" s="765"/>
      <c r="V120" s="590"/>
      <c r="W120" s="764"/>
      <c r="X120" s="765"/>
      <c r="Y120" s="590"/>
      <c r="Z120" s="764"/>
      <c r="AA120" s="765"/>
      <c r="AB120" s="590"/>
      <c r="AC120" s="764"/>
      <c r="AD120" s="765"/>
      <c r="AE120" s="590"/>
      <c r="AF120" s="764"/>
      <c r="AG120" s="765"/>
      <c r="AH120" s="590"/>
      <c r="AI120" s="764"/>
      <c r="AJ120" s="765"/>
      <c r="AK120" s="590"/>
      <c r="AL120" s="765"/>
      <c r="AM120" s="765"/>
      <c r="AN120" s="590"/>
      <c r="AO120" s="589"/>
      <c r="AP120" s="589"/>
      <c r="AQ120" s="590"/>
      <c r="AR120" s="589">
        <f t="shared" si="47"/>
        <v>0</v>
      </c>
      <c r="AS120" s="589">
        <f t="shared" si="48"/>
        <v>0</v>
      </c>
      <c r="AT120" s="590"/>
      <c r="AU120" s="568"/>
    </row>
    <row r="121" spans="1:47" s="591" customFormat="1" ht="18.75" customHeight="1" x14ac:dyDescent="0.3">
      <c r="A121" s="537" t="s">
        <v>380</v>
      </c>
      <c r="B121" s="764"/>
      <c r="C121" s="765"/>
      <c r="D121" s="589"/>
      <c r="E121" s="764"/>
      <c r="F121" s="765"/>
      <c r="G121" s="590"/>
      <c r="H121" s="764"/>
      <c r="I121" s="765"/>
      <c r="J121" s="590"/>
      <c r="K121" s="764"/>
      <c r="L121" s="765"/>
      <c r="M121" s="590"/>
      <c r="N121" s="764"/>
      <c r="O121" s="765"/>
      <c r="P121" s="589"/>
      <c r="Q121" s="764"/>
      <c r="R121" s="765"/>
      <c r="S121" s="590"/>
      <c r="T121" s="764"/>
      <c r="U121" s="765"/>
      <c r="V121" s="590"/>
      <c r="W121" s="764"/>
      <c r="X121" s="765"/>
      <c r="Y121" s="590"/>
      <c r="Z121" s="764"/>
      <c r="AA121" s="765"/>
      <c r="AB121" s="590"/>
      <c r="AC121" s="764"/>
      <c r="AD121" s="765"/>
      <c r="AE121" s="590"/>
      <c r="AF121" s="764"/>
      <c r="AG121" s="765"/>
      <c r="AH121" s="590"/>
      <c r="AI121" s="764"/>
      <c r="AJ121" s="765"/>
      <c r="AK121" s="590"/>
      <c r="AL121" s="765"/>
      <c r="AM121" s="765"/>
      <c r="AN121" s="590"/>
      <c r="AO121" s="589"/>
      <c r="AP121" s="589"/>
      <c r="AQ121" s="590"/>
      <c r="AR121" s="589">
        <f t="shared" si="47"/>
        <v>0</v>
      </c>
      <c r="AS121" s="589">
        <f t="shared" si="48"/>
        <v>0</v>
      </c>
      <c r="AT121" s="590"/>
      <c r="AU121" s="568"/>
    </row>
    <row r="122" spans="1:47" s="591" customFormat="1" ht="18.75" customHeight="1" x14ac:dyDescent="0.3">
      <c r="A122" s="542" t="s">
        <v>351</v>
      </c>
      <c r="B122" s="764"/>
      <c r="C122" s="765"/>
      <c r="D122" s="589"/>
      <c r="E122" s="764"/>
      <c r="F122" s="765"/>
      <c r="G122" s="590"/>
      <c r="H122" s="764"/>
      <c r="I122" s="765"/>
      <c r="J122" s="590"/>
      <c r="K122" s="764"/>
      <c r="L122" s="765"/>
      <c r="M122" s="590"/>
      <c r="N122" s="764"/>
      <c r="O122" s="765"/>
      <c r="P122" s="589"/>
      <c r="Q122" s="764"/>
      <c r="R122" s="765"/>
      <c r="S122" s="590"/>
      <c r="T122" s="764">
        <v>14720.265046637975</v>
      </c>
      <c r="U122" s="765">
        <v>-19969.125377537101</v>
      </c>
      <c r="V122" s="590">
        <f t="shared" ref="V122:V144" si="50">IF(T122=0, "    ---- ", IF(ABS(ROUND(100/T122*U122-100,1))&lt;999,ROUND(100/T122*U122-100,1),IF(ROUND(100/T122*U122-100,1)&gt;999,999,-999)))</f>
        <v>-235.7</v>
      </c>
      <c r="W122" s="764"/>
      <c r="X122" s="765"/>
      <c r="Y122" s="590"/>
      <c r="Z122" s="764">
        <v>5440</v>
      </c>
      <c r="AA122" s="765">
        <f>-554+440</f>
        <v>-114</v>
      </c>
      <c r="AB122" s="590">
        <f t="shared" ref="AB122:AB132" si="51">IF(Z122=0, "    ---- ", IF(ABS(ROUND(100/Z122*AA122-100,1))&lt;999,ROUND(100/Z122*AA122-100,1),IF(ROUND(100/Z122*AA122-100,1)&gt;999,999,-999)))</f>
        <v>-102.1</v>
      </c>
      <c r="AC122" s="764"/>
      <c r="AD122" s="765"/>
      <c r="AE122" s="590"/>
      <c r="AF122" s="764"/>
      <c r="AG122" s="765"/>
      <c r="AH122" s="590"/>
      <c r="AI122" s="764">
        <v>336</v>
      </c>
      <c r="AJ122" s="765">
        <v>-777</v>
      </c>
      <c r="AK122" s="590">
        <f t="shared" ref="AK122:AK132" si="52">IF(AI122=0, "    ---- ", IF(ABS(ROUND(100/AI122*AJ122-100,1))&lt;999,ROUND(100/AI122*AJ122-100,1),IF(ROUND(100/AI122*AJ122-100,1)&gt;999,999,-999)))</f>
        <v>-331.3</v>
      </c>
      <c r="AL122" s="765"/>
      <c r="AM122" s="765"/>
      <c r="AN122" s="590"/>
      <c r="AO122" s="589">
        <f t="shared" ref="AO122:AO132" si="53">B122+E122+H122+K122+N122+T122+W122+Z122+AF122+AI122</f>
        <v>20496.265046637975</v>
      </c>
      <c r="AP122" s="589">
        <f t="shared" ref="AP122:AP132" si="54">C122+F122+I122+L122+O122+U122+AM122+X122+AA122+AG122+AJ122</f>
        <v>-20860.125377537101</v>
      </c>
      <c r="AQ122" s="590">
        <f t="shared" si="19"/>
        <v>-201.8</v>
      </c>
      <c r="AR122" s="589">
        <f t="shared" si="47"/>
        <v>20496.265046637975</v>
      </c>
      <c r="AS122" s="589">
        <f t="shared" si="48"/>
        <v>-20860.125377537101</v>
      </c>
      <c r="AT122" s="590">
        <f t="shared" si="20"/>
        <v>-201.8</v>
      </c>
      <c r="AU122" s="568"/>
    </row>
    <row r="123" spans="1:47" s="591" customFormat="1" ht="18.75" customHeight="1" x14ac:dyDescent="0.3">
      <c r="A123" s="542" t="s">
        <v>352</v>
      </c>
      <c r="B123" s="764"/>
      <c r="C123" s="765"/>
      <c r="D123" s="589"/>
      <c r="E123" s="764"/>
      <c r="F123" s="765"/>
      <c r="G123" s="590"/>
      <c r="H123" s="764"/>
      <c r="I123" s="765"/>
      <c r="J123" s="590"/>
      <c r="K123" s="764"/>
      <c r="L123" s="765"/>
      <c r="M123" s="590"/>
      <c r="N123" s="764"/>
      <c r="O123" s="765"/>
      <c r="P123" s="589"/>
      <c r="Q123" s="764"/>
      <c r="R123" s="765"/>
      <c r="S123" s="590"/>
      <c r="T123" s="764">
        <v>276.70562864422538</v>
      </c>
      <c r="U123" s="765">
        <v>0</v>
      </c>
      <c r="V123" s="590">
        <f t="shared" si="50"/>
        <v>-100</v>
      </c>
      <c r="W123" s="764"/>
      <c r="X123" s="765"/>
      <c r="Y123" s="590"/>
      <c r="Z123" s="764">
        <v>-658</v>
      </c>
      <c r="AA123" s="765">
        <v>0</v>
      </c>
      <c r="AB123" s="590">
        <f t="shared" si="51"/>
        <v>-100</v>
      </c>
      <c r="AC123" s="764"/>
      <c r="AD123" s="765"/>
      <c r="AE123" s="590"/>
      <c r="AF123" s="764"/>
      <c r="AG123" s="765"/>
      <c r="AH123" s="590"/>
      <c r="AI123" s="764">
        <v>-11</v>
      </c>
      <c r="AJ123" s="765">
        <v>777</v>
      </c>
      <c r="AK123" s="590">
        <f t="shared" si="52"/>
        <v>-999</v>
      </c>
      <c r="AL123" s="765"/>
      <c r="AM123" s="765"/>
      <c r="AN123" s="590"/>
      <c r="AO123" s="589">
        <f t="shared" si="53"/>
        <v>-392.29437135577462</v>
      </c>
      <c r="AP123" s="589">
        <f t="shared" si="54"/>
        <v>777</v>
      </c>
      <c r="AQ123" s="590">
        <f t="shared" si="19"/>
        <v>-298.10000000000002</v>
      </c>
      <c r="AR123" s="589">
        <f t="shared" si="47"/>
        <v>-392.29437135577462</v>
      </c>
      <c r="AS123" s="589">
        <f t="shared" si="48"/>
        <v>777</v>
      </c>
      <c r="AT123" s="590">
        <f t="shared" si="20"/>
        <v>-298.10000000000002</v>
      </c>
      <c r="AU123" s="568"/>
    </row>
    <row r="124" spans="1:47" s="591" customFormat="1" ht="18.75" customHeight="1" x14ac:dyDescent="0.3">
      <c r="A124" s="542" t="s">
        <v>353</v>
      </c>
      <c r="B124" s="764"/>
      <c r="C124" s="765"/>
      <c r="D124" s="589"/>
      <c r="E124" s="764"/>
      <c r="F124" s="765"/>
      <c r="G124" s="590"/>
      <c r="H124" s="764"/>
      <c r="I124" s="765"/>
      <c r="J124" s="590"/>
      <c r="K124" s="764"/>
      <c r="L124" s="765"/>
      <c r="M124" s="590"/>
      <c r="N124" s="764"/>
      <c r="O124" s="765"/>
      <c r="P124" s="589"/>
      <c r="Q124" s="764"/>
      <c r="R124" s="765"/>
      <c r="S124" s="590"/>
      <c r="T124" s="764">
        <v>34.768587032710315</v>
      </c>
      <c r="U124" s="765">
        <v>-16.555278548165798</v>
      </c>
      <c r="V124" s="590">
        <f t="shared" si="50"/>
        <v>-147.6</v>
      </c>
      <c r="W124" s="764"/>
      <c r="X124" s="765"/>
      <c r="Y124" s="590"/>
      <c r="Z124" s="764">
        <v>2</v>
      </c>
      <c r="AA124" s="765">
        <v>3</v>
      </c>
      <c r="AB124" s="590">
        <f t="shared" si="51"/>
        <v>50</v>
      </c>
      <c r="AC124" s="764"/>
      <c r="AD124" s="765"/>
      <c r="AE124" s="590"/>
      <c r="AF124" s="764"/>
      <c r="AG124" s="765"/>
      <c r="AH124" s="590"/>
      <c r="AI124" s="764">
        <v>-64</v>
      </c>
      <c r="AJ124" s="765">
        <v>-62</v>
      </c>
      <c r="AK124" s="590">
        <f t="shared" si="52"/>
        <v>-3.1</v>
      </c>
      <c r="AL124" s="765"/>
      <c r="AM124" s="765"/>
      <c r="AN124" s="590"/>
      <c r="AO124" s="589">
        <f t="shared" si="53"/>
        <v>-27.231412967289685</v>
      </c>
      <c r="AP124" s="589">
        <f t="shared" si="54"/>
        <v>-75.555278548165802</v>
      </c>
      <c r="AQ124" s="590">
        <f t="shared" si="19"/>
        <v>177.5</v>
      </c>
      <c r="AR124" s="589">
        <f t="shared" si="47"/>
        <v>-27.231412967289685</v>
      </c>
      <c r="AS124" s="589">
        <f t="shared" si="48"/>
        <v>-75.555278548165802</v>
      </c>
      <c r="AT124" s="590">
        <f t="shared" si="20"/>
        <v>177.5</v>
      </c>
      <c r="AU124" s="568"/>
    </row>
    <row r="125" spans="1:47" s="591" customFormat="1" ht="18.75" customHeight="1" x14ac:dyDescent="0.3">
      <c r="A125" s="542" t="s">
        <v>354</v>
      </c>
      <c r="B125" s="764"/>
      <c r="C125" s="765"/>
      <c r="D125" s="589"/>
      <c r="E125" s="764"/>
      <c r="F125" s="765"/>
      <c r="G125" s="590"/>
      <c r="H125" s="764"/>
      <c r="I125" s="765"/>
      <c r="J125" s="590"/>
      <c r="K125" s="764"/>
      <c r="L125" s="765"/>
      <c r="M125" s="590"/>
      <c r="N125" s="764"/>
      <c r="O125" s="765"/>
      <c r="P125" s="589"/>
      <c r="Q125" s="764"/>
      <c r="R125" s="765"/>
      <c r="S125" s="590"/>
      <c r="T125" s="764"/>
      <c r="U125" s="765"/>
      <c r="V125" s="590"/>
      <c r="W125" s="764"/>
      <c r="X125" s="765"/>
      <c r="Y125" s="590"/>
      <c r="Z125" s="764"/>
      <c r="AA125" s="765"/>
      <c r="AB125" s="590"/>
      <c r="AC125" s="764"/>
      <c r="AD125" s="765"/>
      <c r="AE125" s="590"/>
      <c r="AF125" s="764"/>
      <c r="AG125" s="765"/>
      <c r="AH125" s="590"/>
      <c r="AI125" s="764">
        <v>8</v>
      </c>
      <c r="AJ125" s="765">
        <v>13</v>
      </c>
      <c r="AK125" s="590">
        <f t="shared" si="52"/>
        <v>62.5</v>
      </c>
      <c r="AL125" s="765"/>
      <c r="AM125" s="765"/>
      <c r="AN125" s="590"/>
      <c r="AO125" s="589">
        <f t="shared" si="53"/>
        <v>8</v>
      </c>
      <c r="AP125" s="589">
        <f t="shared" si="54"/>
        <v>13</v>
      </c>
      <c r="AQ125" s="590">
        <f t="shared" si="19"/>
        <v>62.5</v>
      </c>
      <c r="AR125" s="589">
        <f t="shared" si="47"/>
        <v>8</v>
      </c>
      <c r="AS125" s="589">
        <f t="shared" si="48"/>
        <v>13</v>
      </c>
      <c r="AT125" s="590">
        <f t="shared" si="20"/>
        <v>62.5</v>
      </c>
      <c r="AU125" s="568"/>
    </row>
    <row r="126" spans="1:47" s="591" customFormat="1" ht="18.75" customHeight="1" x14ac:dyDescent="0.3">
      <c r="A126" s="542" t="s">
        <v>355</v>
      </c>
      <c r="B126" s="764"/>
      <c r="C126" s="765"/>
      <c r="D126" s="589"/>
      <c r="E126" s="764"/>
      <c r="F126" s="765"/>
      <c r="G126" s="590"/>
      <c r="H126" s="764"/>
      <c r="I126" s="765"/>
      <c r="J126" s="590"/>
      <c r="K126" s="764"/>
      <c r="L126" s="765"/>
      <c r="M126" s="590"/>
      <c r="N126" s="764"/>
      <c r="O126" s="765"/>
      <c r="P126" s="589"/>
      <c r="Q126" s="764"/>
      <c r="R126" s="765"/>
      <c r="S126" s="590"/>
      <c r="T126" s="764">
        <v>250.64177799999999</v>
      </c>
      <c r="U126" s="765">
        <v>265.149856</v>
      </c>
      <c r="V126" s="590">
        <f t="shared" si="50"/>
        <v>5.8</v>
      </c>
      <c r="W126" s="764"/>
      <c r="X126" s="765"/>
      <c r="Y126" s="590"/>
      <c r="Z126" s="764">
        <v>479</v>
      </c>
      <c r="AA126" s="765">
        <v>402</v>
      </c>
      <c r="AB126" s="590">
        <f t="shared" si="51"/>
        <v>-16.100000000000001</v>
      </c>
      <c r="AC126" s="764"/>
      <c r="AD126" s="765"/>
      <c r="AE126" s="590"/>
      <c r="AF126" s="764"/>
      <c r="AG126" s="765"/>
      <c r="AH126" s="590"/>
      <c r="AI126" s="764">
        <v>30</v>
      </c>
      <c r="AJ126" s="765">
        <v>47.3</v>
      </c>
      <c r="AK126" s="590">
        <f t="shared" si="52"/>
        <v>57.7</v>
      </c>
      <c r="AL126" s="765"/>
      <c r="AM126" s="765"/>
      <c r="AN126" s="590"/>
      <c r="AO126" s="589">
        <f t="shared" si="53"/>
        <v>759.64177799999993</v>
      </c>
      <c r="AP126" s="589">
        <f t="shared" si="54"/>
        <v>714.44985599999995</v>
      </c>
      <c r="AQ126" s="590">
        <f t="shared" si="19"/>
        <v>-5.9</v>
      </c>
      <c r="AR126" s="589">
        <f t="shared" si="47"/>
        <v>759.64177799999993</v>
      </c>
      <c r="AS126" s="589">
        <f t="shared" si="48"/>
        <v>714.44985599999995</v>
      </c>
      <c r="AT126" s="590">
        <f t="shared" si="20"/>
        <v>-5.9</v>
      </c>
      <c r="AU126" s="568"/>
    </row>
    <row r="127" spans="1:47" s="591" customFormat="1" ht="18.75" customHeight="1" x14ac:dyDescent="0.3">
      <c r="A127" s="542" t="s">
        <v>356</v>
      </c>
      <c r="B127" s="764"/>
      <c r="C127" s="765"/>
      <c r="D127" s="589"/>
      <c r="E127" s="764"/>
      <c r="F127" s="765"/>
      <c r="G127" s="590"/>
      <c r="H127" s="764"/>
      <c r="I127" s="765"/>
      <c r="J127" s="590"/>
      <c r="K127" s="764"/>
      <c r="L127" s="765"/>
      <c r="M127" s="590"/>
      <c r="N127" s="764"/>
      <c r="O127" s="765"/>
      <c r="P127" s="589"/>
      <c r="Q127" s="764"/>
      <c r="R127" s="765"/>
      <c r="S127" s="590"/>
      <c r="T127" s="764">
        <v>588.14300975748779</v>
      </c>
      <c r="U127" s="765">
        <v>555.07609309320446</v>
      </c>
      <c r="V127" s="590">
        <f t="shared" si="50"/>
        <v>-5.6</v>
      </c>
      <c r="W127" s="764"/>
      <c r="X127" s="765"/>
      <c r="Y127" s="590"/>
      <c r="Z127" s="764">
        <v>111</v>
      </c>
      <c r="AA127" s="765">
        <v>149</v>
      </c>
      <c r="AB127" s="590">
        <f t="shared" si="51"/>
        <v>34.200000000000003</v>
      </c>
      <c r="AC127" s="764"/>
      <c r="AD127" s="765"/>
      <c r="AE127" s="590"/>
      <c r="AF127" s="764"/>
      <c r="AG127" s="765"/>
      <c r="AH127" s="590"/>
      <c r="AI127" s="764">
        <v>-6</v>
      </c>
      <c r="AJ127" s="765">
        <v>8.4</v>
      </c>
      <c r="AK127" s="590">
        <f t="shared" si="52"/>
        <v>-240</v>
      </c>
      <c r="AL127" s="765"/>
      <c r="AM127" s="765"/>
      <c r="AN127" s="590"/>
      <c r="AO127" s="589">
        <f t="shared" si="53"/>
        <v>693.14300975748779</v>
      </c>
      <c r="AP127" s="589">
        <f t="shared" si="54"/>
        <v>712.47609309320444</v>
      </c>
      <c r="AQ127" s="590">
        <f t="shared" si="19"/>
        <v>2.8</v>
      </c>
      <c r="AR127" s="589">
        <f t="shared" si="47"/>
        <v>693.14300975748779</v>
      </c>
      <c r="AS127" s="589">
        <f t="shared" si="48"/>
        <v>712.47609309320444</v>
      </c>
      <c r="AT127" s="590">
        <f t="shared" si="20"/>
        <v>2.8</v>
      </c>
      <c r="AU127" s="568"/>
    </row>
    <row r="128" spans="1:47" s="591" customFormat="1" ht="18.75" customHeight="1" x14ac:dyDescent="0.3">
      <c r="A128" s="542" t="s">
        <v>357</v>
      </c>
      <c r="B128" s="764"/>
      <c r="C128" s="765"/>
      <c r="D128" s="589"/>
      <c r="E128" s="764"/>
      <c r="F128" s="765"/>
      <c r="G128" s="590"/>
      <c r="H128" s="764"/>
      <c r="I128" s="765"/>
      <c r="J128" s="590"/>
      <c r="K128" s="764"/>
      <c r="L128" s="765"/>
      <c r="M128" s="590"/>
      <c r="N128" s="764"/>
      <c r="O128" s="765"/>
      <c r="P128" s="589"/>
      <c r="Q128" s="764"/>
      <c r="R128" s="765"/>
      <c r="S128" s="590"/>
      <c r="T128" s="764">
        <v>0</v>
      </c>
      <c r="U128" s="765">
        <v>0</v>
      </c>
      <c r="V128" s="590" t="str">
        <f t="shared" si="50"/>
        <v xml:space="preserve">    ---- </v>
      </c>
      <c r="W128" s="764"/>
      <c r="X128" s="765"/>
      <c r="Y128" s="590"/>
      <c r="Z128" s="764">
        <v>0</v>
      </c>
      <c r="AA128" s="765">
        <v>0</v>
      </c>
      <c r="AB128" s="590" t="str">
        <f t="shared" si="51"/>
        <v xml:space="preserve">    ---- </v>
      </c>
      <c r="AC128" s="764"/>
      <c r="AD128" s="765"/>
      <c r="AE128" s="590"/>
      <c r="AF128" s="764"/>
      <c r="AG128" s="765"/>
      <c r="AH128" s="590"/>
      <c r="AI128" s="764">
        <v>-5.6</v>
      </c>
      <c r="AJ128" s="765">
        <v>4</v>
      </c>
      <c r="AK128" s="590">
        <f t="shared" si="52"/>
        <v>-171.4</v>
      </c>
      <c r="AL128" s="765"/>
      <c r="AM128" s="765"/>
      <c r="AN128" s="590"/>
      <c r="AO128" s="589">
        <f t="shared" si="53"/>
        <v>-5.6</v>
      </c>
      <c r="AP128" s="589">
        <f t="shared" si="54"/>
        <v>4</v>
      </c>
      <c r="AQ128" s="590">
        <f t="shared" si="19"/>
        <v>-171.4</v>
      </c>
      <c r="AR128" s="589">
        <f t="shared" si="47"/>
        <v>-5.6</v>
      </c>
      <c r="AS128" s="589">
        <f t="shared" si="48"/>
        <v>4</v>
      </c>
      <c r="AT128" s="590">
        <f t="shared" si="20"/>
        <v>-171.4</v>
      </c>
      <c r="AU128" s="568"/>
    </row>
    <row r="129" spans="1:47" s="591" customFormat="1" ht="18.75" customHeight="1" x14ac:dyDescent="0.3">
      <c r="A129" s="542" t="s">
        <v>358</v>
      </c>
      <c r="B129" s="764"/>
      <c r="C129" s="765"/>
      <c r="D129" s="589"/>
      <c r="E129" s="764"/>
      <c r="F129" s="765"/>
      <c r="G129" s="590"/>
      <c r="H129" s="764"/>
      <c r="I129" s="765"/>
      <c r="J129" s="590"/>
      <c r="K129" s="764"/>
      <c r="L129" s="765"/>
      <c r="M129" s="590"/>
      <c r="N129" s="764"/>
      <c r="O129" s="765"/>
      <c r="P129" s="589"/>
      <c r="Q129" s="764"/>
      <c r="R129" s="765"/>
      <c r="S129" s="590"/>
      <c r="T129" s="764"/>
      <c r="U129" s="765"/>
      <c r="V129" s="590"/>
      <c r="W129" s="764"/>
      <c r="X129" s="765"/>
      <c r="Y129" s="590"/>
      <c r="Z129" s="764"/>
      <c r="AA129" s="765"/>
      <c r="AB129" s="590"/>
      <c r="AC129" s="764"/>
      <c r="AD129" s="765"/>
      <c r="AE129" s="590"/>
      <c r="AF129" s="764"/>
      <c r="AG129" s="765"/>
      <c r="AH129" s="590"/>
      <c r="AI129" s="764"/>
      <c r="AJ129" s="765"/>
      <c r="AK129" s="590"/>
      <c r="AL129" s="765"/>
      <c r="AM129" s="765"/>
      <c r="AN129" s="590"/>
      <c r="AO129" s="589">
        <f t="shared" si="53"/>
        <v>0</v>
      </c>
      <c r="AP129" s="589">
        <f t="shared" si="54"/>
        <v>0</v>
      </c>
      <c r="AQ129" s="590" t="str">
        <f t="shared" si="19"/>
        <v xml:space="preserve">    ---- </v>
      </c>
      <c r="AR129" s="589">
        <f t="shared" si="47"/>
        <v>0</v>
      </c>
      <c r="AS129" s="589">
        <f t="shared" si="48"/>
        <v>0</v>
      </c>
      <c r="AT129" s="590" t="str">
        <f t="shared" si="20"/>
        <v xml:space="preserve">    ---- </v>
      </c>
      <c r="AU129" s="568"/>
    </row>
    <row r="130" spans="1:47" s="593" customFormat="1" ht="18.75" customHeight="1" x14ac:dyDescent="0.3">
      <c r="A130" s="537" t="s">
        <v>359</v>
      </c>
      <c r="B130" s="766"/>
      <c r="C130" s="767"/>
      <c r="D130" s="587"/>
      <c r="E130" s="766"/>
      <c r="F130" s="767"/>
      <c r="G130" s="588"/>
      <c r="H130" s="766"/>
      <c r="I130" s="767"/>
      <c r="J130" s="588"/>
      <c r="K130" s="766"/>
      <c r="L130" s="767"/>
      <c r="M130" s="588"/>
      <c r="N130" s="766"/>
      <c r="O130" s="767"/>
      <c r="P130" s="587"/>
      <c r="Q130" s="766"/>
      <c r="R130" s="767"/>
      <c r="S130" s="588"/>
      <c r="T130" s="766">
        <v>15870.524050072398</v>
      </c>
      <c r="U130" s="767">
        <f>SUM(U122:U127)+U129</f>
        <v>-19165.454706992063</v>
      </c>
      <c r="V130" s="588">
        <f t="shared" si="50"/>
        <v>-220.8</v>
      </c>
      <c r="W130" s="766"/>
      <c r="X130" s="767"/>
      <c r="Y130" s="588"/>
      <c r="Z130" s="766">
        <f>SUM(Z122:Z127)+Z129</f>
        <v>5374</v>
      </c>
      <c r="AA130" s="767">
        <f>SUM(AA122:AA127)+AA129</f>
        <v>440</v>
      </c>
      <c r="AB130" s="590">
        <f t="shared" si="51"/>
        <v>-91.8</v>
      </c>
      <c r="AC130" s="766"/>
      <c r="AD130" s="767"/>
      <c r="AE130" s="588"/>
      <c r="AF130" s="766"/>
      <c r="AG130" s="767"/>
      <c r="AH130" s="588"/>
      <c r="AI130" s="766">
        <f>SUM(AI122:AI127)+AI129</f>
        <v>293</v>
      </c>
      <c r="AJ130" s="767">
        <f>SUM(AJ122:AJ127)+AJ129</f>
        <v>6.6999999999999975</v>
      </c>
      <c r="AK130" s="588">
        <f t="shared" si="52"/>
        <v>-97.7</v>
      </c>
      <c r="AL130" s="767"/>
      <c r="AM130" s="767">
        <f>SUM(AM122:AM127)+AM129</f>
        <v>0</v>
      </c>
      <c r="AN130" s="588"/>
      <c r="AO130" s="587">
        <f t="shared" si="53"/>
        <v>21537.524050072396</v>
      </c>
      <c r="AP130" s="587">
        <f t="shared" si="54"/>
        <v>-18718.754706992062</v>
      </c>
      <c r="AQ130" s="588">
        <f t="shared" si="19"/>
        <v>-186.9</v>
      </c>
      <c r="AR130" s="587">
        <f t="shared" si="47"/>
        <v>21537.524050072396</v>
      </c>
      <c r="AS130" s="587">
        <f t="shared" si="48"/>
        <v>-18718.754706992062</v>
      </c>
      <c r="AT130" s="588">
        <f t="shared" si="20"/>
        <v>-186.9</v>
      </c>
      <c r="AU130" s="592"/>
    </row>
    <row r="131" spans="1:47" s="591" customFormat="1" ht="18.75" customHeight="1" x14ac:dyDescent="0.3">
      <c r="A131" s="542" t="s">
        <v>360</v>
      </c>
      <c r="B131" s="764"/>
      <c r="C131" s="765"/>
      <c r="D131" s="589"/>
      <c r="E131" s="764"/>
      <c r="F131" s="765"/>
      <c r="G131" s="590"/>
      <c r="H131" s="764"/>
      <c r="I131" s="765"/>
      <c r="J131" s="590"/>
      <c r="K131" s="764"/>
      <c r="L131" s="765"/>
      <c r="M131" s="590"/>
      <c r="N131" s="764"/>
      <c r="O131" s="765"/>
      <c r="P131" s="589"/>
      <c r="Q131" s="764"/>
      <c r="R131" s="765"/>
      <c r="S131" s="590"/>
      <c r="T131" s="764">
        <v>16659.674195147167</v>
      </c>
      <c r="U131" s="765">
        <v>-19287.540984676063</v>
      </c>
      <c r="V131" s="590">
        <f t="shared" si="50"/>
        <v>-215.8</v>
      </c>
      <c r="W131" s="764"/>
      <c r="X131" s="765"/>
      <c r="Y131" s="590"/>
      <c r="Z131" s="764">
        <v>4163</v>
      </c>
      <c r="AA131" s="765">
        <v>149</v>
      </c>
      <c r="AB131" s="590">
        <f t="shared" si="51"/>
        <v>-96.4</v>
      </c>
      <c r="AC131" s="764"/>
      <c r="AD131" s="765"/>
      <c r="AE131" s="590"/>
      <c r="AF131" s="764"/>
      <c r="AG131" s="765"/>
      <c r="AH131" s="590"/>
      <c r="AI131" s="764">
        <v>325</v>
      </c>
      <c r="AJ131" s="765">
        <v>4</v>
      </c>
      <c r="AK131" s="590">
        <f t="shared" si="52"/>
        <v>-98.8</v>
      </c>
      <c r="AL131" s="765"/>
      <c r="AM131" s="765"/>
      <c r="AN131" s="590"/>
      <c r="AO131" s="589">
        <f t="shared" si="53"/>
        <v>21147.674195147167</v>
      </c>
      <c r="AP131" s="589">
        <f t="shared" si="54"/>
        <v>-19134.540984676063</v>
      </c>
      <c r="AQ131" s="590">
        <f t="shared" si="19"/>
        <v>-190.5</v>
      </c>
      <c r="AR131" s="589">
        <f t="shared" si="47"/>
        <v>21147.674195147167</v>
      </c>
      <c r="AS131" s="589">
        <f t="shared" si="48"/>
        <v>-19134.540984676063</v>
      </c>
      <c r="AT131" s="590">
        <f t="shared" si="20"/>
        <v>-190.5</v>
      </c>
      <c r="AU131" s="568"/>
    </row>
    <row r="132" spans="1:47" s="591" customFormat="1" ht="18.75" customHeight="1" x14ac:dyDescent="0.3">
      <c r="A132" s="542" t="s">
        <v>361</v>
      </c>
      <c r="B132" s="764"/>
      <c r="C132" s="765"/>
      <c r="D132" s="589"/>
      <c r="E132" s="764"/>
      <c r="F132" s="765"/>
      <c r="G132" s="590"/>
      <c r="H132" s="764"/>
      <c r="I132" s="765"/>
      <c r="J132" s="590"/>
      <c r="K132" s="764"/>
      <c r="L132" s="765"/>
      <c r="M132" s="590"/>
      <c r="N132" s="764"/>
      <c r="O132" s="765"/>
      <c r="P132" s="589"/>
      <c r="Q132" s="764"/>
      <c r="R132" s="765"/>
      <c r="S132" s="590"/>
      <c r="T132" s="764">
        <v>-789.1501450747669</v>
      </c>
      <c r="U132" s="765">
        <v>122.08627768400193</v>
      </c>
      <c r="V132" s="590">
        <f t="shared" si="50"/>
        <v>-115.5</v>
      </c>
      <c r="W132" s="764"/>
      <c r="X132" s="765"/>
      <c r="Y132" s="590"/>
      <c r="Z132" s="764">
        <v>1211</v>
      </c>
      <c r="AA132" s="765">
        <v>291</v>
      </c>
      <c r="AB132" s="590">
        <f t="shared" si="51"/>
        <v>-76</v>
      </c>
      <c r="AC132" s="764"/>
      <c r="AD132" s="765"/>
      <c r="AE132" s="590"/>
      <c r="AF132" s="764"/>
      <c r="AG132" s="765"/>
      <c r="AH132" s="590"/>
      <c r="AI132" s="764">
        <v>-32.4</v>
      </c>
      <c r="AJ132" s="765">
        <v>3</v>
      </c>
      <c r="AK132" s="590">
        <f t="shared" si="52"/>
        <v>-109.3</v>
      </c>
      <c r="AL132" s="765"/>
      <c r="AM132" s="765"/>
      <c r="AN132" s="590"/>
      <c r="AO132" s="589">
        <f t="shared" si="53"/>
        <v>389.44985492523313</v>
      </c>
      <c r="AP132" s="589">
        <f t="shared" si="54"/>
        <v>416.08627768400191</v>
      </c>
      <c r="AQ132" s="590">
        <f t="shared" si="19"/>
        <v>6.8</v>
      </c>
      <c r="AR132" s="589">
        <f t="shared" si="47"/>
        <v>389.44985492523313</v>
      </c>
      <c r="AS132" s="589">
        <f t="shared" si="48"/>
        <v>416.08627768400191</v>
      </c>
      <c r="AT132" s="590">
        <f t="shared" si="20"/>
        <v>6.8</v>
      </c>
      <c r="AU132" s="568"/>
    </row>
    <row r="133" spans="1:47" s="591" customFormat="1" ht="18.75" customHeight="1" x14ac:dyDescent="0.3">
      <c r="A133" s="537" t="s">
        <v>381</v>
      </c>
      <c r="B133" s="764"/>
      <c r="C133" s="765"/>
      <c r="D133" s="589"/>
      <c r="E133" s="764"/>
      <c r="F133" s="765"/>
      <c r="G133" s="590"/>
      <c r="H133" s="764"/>
      <c r="I133" s="765"/>
      <c r="J133" s="590"/>
      <c r="K133" s="764"/>
      <c r="L133" s="765"/>
      <c r="M133" s="590"/>
      <c r="N133" s="764"/>
      <c r="O133" s="765"/>
      <c r="P133" s="589"/>
      <c r="Q133" s="764"/>
      <c r="R133" s="765"/>
      <c r="S133" s="590"/>
      <c r="T133" s="764"/>
      <c r="U133" s="765"/>
      <c r="V133" s="590"/>
      <c r="W133" s="764"/>
      <c r="X133" s="765"/>
      <c r="Y133" s="590"/>
      <c r="Z133" s="764"/>
      <c r="AA133" s="765"/>
      <c r="AB133" s="590"/>
      <c r="AC133" s="764"/>
      <c r="AD133" s="765"/>
      <c r="AE133" s="590"/>
      <c r="AF133" s="764"/>
      <c r="AG133" s="765"/>
      <c r="AH133" s="590"/>
      <c r="AI133" s="764"/>
      <c r="AJ133" s="765"/>
      <c r="AK133" s="590"/>
      <c r="AL133" s="765"/>
      <c r="AM133" s="765"/>
      <c r="AN133" s="590"/>
      <c r="AO133" s="589"/>
      <c r="AP133" s="589"/>
      <c r="AQ133" s="590"/>
      <c r="AR133" s="589">
        <f t="shared" si="47"/>
        <v>0</v>
      </c>
      <c r="AS133" s="589">
        <f t="shared" si="48"/>
        <v>0</v>
      </c>
      <c r="AT133" s="590"/>
      <c r="AU133" s="568"/>
    </row>
    <row r="134" spans="1:47" s="591" customFormat="1" ht="18.75" customHeight="1" x14ac:dyDescent="0.3">
      <c r="A134" s="542" t="s">
        <v>351</v>
      </c>
      <c r="B134" s="764"/>
      <c r="C134" s="765"/>
      <c r="D134" s="589"/>
      <c r="E134" s="764"/>
      <c r="F134" s="765"/>
      <c r="G134" s="590"/>
      <c r="H134" s="764"/>
      <c r="I134" s="765"/>
      <c r="J134" s="590"/>
      <c r="K134" s="764"/>
      <c r="L134" s="765"/>
      <c r="M134" s="590"/>
      <c r="N134" s="764"/>
      <c r="O134" s="765"/>
      <c r="P134" s="589"/>
      <c r="Q134" s="764"/>
      <c r="R134" s="765"/>
      <c r="S134" s="590"/>
      <c r="T134" s="764">
        <v>136.33122399000001</v>
      </c>
      <c r="U134" s="765">
        <v>-129.59883686980223</v>
      </c>
      <c r="V134" s="590">
        <f t="shared" si="50"/>
        <v>-195.1</v>
      </c>
      <c r="W134" s="764"/>
      <c r="X134" s="765"/>
      <c r="Y134" s="590"/>
      <c r="Z134" s="764"/>
      <c r="AA134" s="765"/>
      <c r="AB134" s="590"/>
      <c r="AC134" s="764"/>
      <c r="AD134" s="765"/>
      <c r="AE134" s="590"/>
      <c r="AF134" s="764"/>
      <c r="AG134" s="765"/>
      <c r="AH134" s="590"/>
      <c r="AI134" s="764"/>
      <c r="AJ134" s="765"/>
      <c r="AK134" s="590"/>
      <c r="AL134" s="765"/>
      <c r="AM134" s="765"/>
      <c r="AN134" s="590"/>
      <c r="AO134" s="589">
        <f t="shared" ref="AO134:AO144" si="55">B134+E134+H134+K134+N134+T134+W134+Z134+AF134+AI134</f>
        <v>136.33122399000001</v>
      </c>
      <c r="AP134" s="589">
        <f t="shared" ref="AP134:AP144" si="56">C134+F134+I134+L134+O134+U134+AM134+X134+AA134+AG134+AJ134</f>
        <v>-129.59883686980223</v>
      </c>
      <c r="AQ134" s="590">
        <f t="shared" si="19"/>
        <v>-195.1</v>
      </c>
      <c r="AR134" s="589">
        <f t="shared" si="47"/>
        <v>136.33122399000001</v>
      </c>
      <c r="AS134" s="589">
        <f t="shared" si="48"/>
        <v>-129.59883686980223</v>
      </c>
      <c r="AT134" s="590">
        <f t="shared" si="20"/>
        <v>-195.1</v>
      </c>
      <c r="AU134" s="568"/>
    </row>
    <row r="135" spans="1:47" s="591" customFormat="1" ht="18.75" customHeight="1" x14ac:dyDescent="0.3">
      <c r="A135" s="542" t="s">
        <v>352</v>
      </c>
      <c r="B135" s="764"/>
      <c r="C135" s="765"/>
      <c r="D135" s="589"/>
      <c r="E135" s="764"/>
      <c r="F135" s="765"/>
      <c r="G135" s="590"/>
      <c r="H135" s="764"/>
      <c r="I135" s="765"/>
      <c r="J135" s="590"/>
      <c r="K135" s="764"/>
      <c r="L135" s="765"/>
      <c r="M135" s="590"/>
      <c r="N135" s="764"/>
      <c r="O135" s="765"/>
      <c r="P135" s="589"/>
      <c r="Q135" s="764"/>
      <c r="R135" s="765"/>
      <c r="S135" s="590"/>
      <c r="T135" s="764">
        <v>0</v>
      </c>
      <c r="U135" s="765">
        <v>0</v>
      </c>
      <c r="V135" s="590" t="str">
        <f t="shared" si="50"/>
        <v xml:space="preserve">    ---- </v>
      </c>
      <c r="W135" s="764"/>
      <c r="X135" s="765"/>
      <c r="Y135" s="590"/>
      <c r="Z135" s="764"/>
      <c r="AA135" s="765"/>
      <c r="AB135" s="590"/>
      <c r="AC135" s="764"/>
      <c r="AD135" s="765"/>
      <c r="AE135" s="590"/>
      <c r="AF135" s="764"/>
      <c r="AG135" s="765"/>
      <c r="AH135" s="590"/>
      <c r="AI135" s="764"/>
      <c r="AJ135" s="765"/>
      <c r="AK135" s="590"/>
      <c r="AL135" s="765"/>
      <c r="AM135" s="765"/>
      <c r="AN135" s="590"/>
      <c r="AO135" s="589">
        <f t="shared" si="55"/>
        <v>0</v>
      </c>
      <c r="AP135" s="589">
        <f t="shared" si="56"/>
        <v>0</v>
      </c>
      <c r="AQ135" s="590" t="str">
        <f t="shared" si="19"/>
        <v xml:space="preserve">    ---- </v>
      </c>
      <c r="AR135" s="589">
        <f t="shared" si="47"/>
        <v>0</v>
      </c>
      <c r="AS135" s="589">
        <f t="shared" si="48"/>
        <v>0</v>
      </c>
      <c r="AT135" s="590" t="str">
        <f t="shared" si="20"/>
        <v xml:space="preserve">    ---- </v>
      </c>
      <c r="AU135" s="568"/>
    </row>
    <row r="136" spans="1:47" s="591" customFormat="1" ht="18.75" customHeight="1" x14ac:dyDescent="0.3">
      <c r="A136" s="542" t="s">
        <v>353</v>
      </c>
      <c r="B136" s="764"/>
      <c r="C136" s="765"/>
      <c r="D136" s="589"/>
      <c r="E136" s="764"/>
      <c r="F136" s="765"/>
      <c r="G136" s="590"/>
      <c r="H136" s="764"/>
      <c r="I136" s="765"/>
      <c r="J136" s="590"/>
      <c r="K136" s="764"/>
      <c r="L136" s="765"/>
      <c r="M136" s="590"/>
      <c r="N136" s="764"/>
      <c r="O136" s="765"/>
      <c r="P136" s="589"/>
      <c r="Q136" s="764"/>
      <c r="R136" s="765"/>
      <c r="S136" s="590"/>
      <c r="T136" s="764">
        <v>-5.0521821173679086E-2</v>
      </c>
      <c r="U136" s="765">
        <v>-0.24649318420090804</v>
      </c>
      <c r="V136" s="590">
        <f t="shared" si="50"/>
        <v>387.9</v>
      </c>
      <c r="W136" s="764"/>
      <c r="X136" s="765"/>
      <c r="Y136" s="590"/>
      <c r="Z136" s="764"/>
      <c r="AA136" s="765"/>
      <c r="AB136" s="590"/>
      <c r="AC136" s="764"/>
      <c r="AD136" s="765"/>
      <c r="AE136" s="590"/>
      <c r="AF136" s="764"/>
      <c r="AG136" s="765"/>
      <c r="AH136" s="590"/>
      <c r="AI136" s="764"/>
      <c r="AJ136" s="765"/>
      <c r="AK136" s="590"/>
      <c r="AL136" s="765"/>
      <c r="AM136" s="765"/>
      <c r="AN136" s="590"/>
      <c r="AO136" s="589">
        <f t="shared" si="55"/>
        <v>-5.0521821173679086E-2</v>
      </c>
      <c r="AP136" s="589">
        <f t="shared" si="56"/>
        <v>-0.24649318420090804</v>
      </c>
      <c r="AQ136" s="590">
        <f t="shared" si="19"/>
        <v>387.9</v>
      </c>
      <c r="AR136" s="589">
        <f t="shared" si="47"/>
        <v>-5.0521821173679086E-2</v>
      </c>
      <c r="AS136" s="589">
        <f t="shared" si="48"/>
        <v>-0.24649318420090804</v>
      </c>
      <c r="AT136" s="590">
        <f t="shared" si="20"/>
        <v>387.9</v>
      </c>
      <c r="AU136" s="568"/>
    </row>
    <row r="137" spans="1:47" s="591" customFormat="1" ht="18.75" customHeight="1" x14ac:dyDescent="0.3">
      <c r="A137" s="542" t="s">
        <v>354</v>
      </c>
      <c r="B137" s="764"/>
      <c r="C137" s="765"/>
      <c r="D137" s="589"/>
      <c r="E137" s="764"/>
      <c r="F137" s="765"/>
      <c r="G137" s="590"/>
      <c r="H137" s="764"/>
      <c r="I137" s="765"/>
      <c r="J137" s="590"/>
      <c r="K137" s="764"/>
      <c r="L137" s="765"/>
      <c r="M137" s="590"/>
      <c r="N137" s="764"/>
      <c r="O137" s="765"/>
      <c r="P137" s="589"/>
      <c r="Q137" s="764"/>
      <c r="R137" s="765"/>
      <c r="S137" s="590"/>
      <c r="T137" s="764"/>
      <c r="U137" s="765"/>
      <c r="V137" s="590"/>
      <c r="W137" s="764"/>
      <c r="X137" s="765"/>
      <c r="Y137" s="590"/>
      <c r="Z137" s="764"/>
      <c r="AA137" s="765"/>
      <c r="AB137" s="590"/>
      <c r="AC137" s="764"/>
      <c r="AD137" s="765"/>
      <c r="AE137" s="590"/>
      <c r="AF137" s="764"/>
      <c r="AG137" s="765"/>
      <c r="AH137" s="590"/>
      <c r="AI137" s="764"/>
      <c r="AJ137" s="765"/>
      <c r="AK137" s="590"/>
      <c r="AL137" s="765"/>
      <c r="AM137" s="765"/>
      <c r="AN137" s="590"/>
      <c r="AO137" s="589">
        <f t="shared" si="55"/>
        <v>0</v>
      </c>
      <c r="AP137" s="589">
        <f t="shared" si="56"/>
        <v>0</v>
      </c>
      <c r="AQ137" s="590" t="str">
        <f t="shared" si="19"/>
        <v xml:space="preserve">    ---- </v>
      </c>
      <c r="AR137" s="589">
        <f t="shared" si="47"/>
        <v>0</v>
      </c>
      <c r="AS137" s="589">
        <f t="shared" si="48"/>
        <v>0</v>
      </c>
      <c r="AT137" s="590" t="str">
        <f t="shared" si="20"/>
        <v xml:space="preserve">    ---- </v>
      </c>
      <c r="AU137" s="568"/>
    </row>
    <row r="138" spans="1:47" s="591" customFormat="1" ht="18.75" customHeight="1" x14ac:dyDescent="0.3">
      <c r="A138" s="542" t="s">
        <v>355</v>
      </c>
      <c r="B138" s="764"/>
      <c r="C138" s="765"/>
      <c r="D138" s="589"/>
      <c r="E138" s="764"/>
      <c r="F138" s="765"/>
      <c r="G138" s="590"/>
      <c r="H138" s="764"/>
      <c r="I138" s="765"/>
      <c r="J138" s="590"/>
      <c r="K138" s="764"/>
      <c r="L138" s="765"/>
      <c r="M138" s="590"/>
      <c r="N138" s="764"/>
      <c r="O138" s="765"/>
      <c r="P138" s="589"/>
      <c r="Q138" s="764"/>
      <c r="R138" s="765"/>
      <c r="S138" s="590"/>
      <c r="T138" s="764">
        <v>0.47944500000000001</v>
      </c>
      <c r="U138" s="765">
        <v>1.2013590000000001</v>
      </c>
      <c r="V138" s="590">
        <f t="shared" si="50"/>
        <v>150.6</v>
      </c>
      <c r="W138" s="764"/>
      <c r="X138" s="765"/>
      <c r="Y138" s="590"/>
      <c r="Z138" s="764"/>
      <c r="AA138" s="765"/>
      <c r="AB138" s="590"/>
      <c r="AC138" s="764"/>
      <c r="AD138" s="765"/>
      <c r="AE138" s="590"/>
      <c r="AF138" s="764"/>
      <c r="AG138" s="765"/>
      <c r="AH138" s="590"/>
      <c r="AI138" s="764"/>
      <c r="AJ138" s="765"/>
      <c r="AK138" s="590"/>
      <c r="AL138" s="765"/>
      <c r="AM138" s="765"/>
      <c r="AN138" s="590"/>
      <c r="AO138" s="589">
        <f t="shared" si="55"/>
        <v>0.47944500000000001</v>
      </c>
      <c r="AP138" s="589">
        <f t="shared" si="56"/>
        <v>1.2013590000000001</v>
      </c>
      <c r="AQ138" s="590">
        <f t="shared" si="19"/>
        <v>150.6</v>
      </c>
      <c r="AR138" s="589">
        <f t="shared" si="47"/>
        <v>0.47944500000000001</v>
      </c>
      <c r="AS138" s="589">
        <f t="shared" si="48"/>
        <v>1.2013590000000001</v>
      </c>
      <c r="AT138" s="590">
        <f t="shared" si="20"/>
        <v>150.6</v>
      </c>
      <c r="AU138" s="568"/>
    </row>
    <row r="139" spans="1:47" s="591" customFormat="1" ht="18.75" customHeight="1" x14ac:dyDescent="0.3">
      <c r="A139" s="542" t="s">
        <v>356</v>
      </c>
      <c r="B139" s="764"/>
      <c r="C139" s="765"/>
      <c r="D139" s="589"/>
      <c r="E139" s="764"/>
      <c r="F139" s="765"/>
      <c r="G139" s="590"/>
      <c r="H139" s="764"/>
      <c r="I139" s="765"/>
      <c r="J139" s="590"/>
      <c r="K139" s="764"/>
      <c r="L139" s="765"/>
      <c r="M139" s="590"/>
      <c r="N139" s="764"/>
      <c r="O139" s="765"/>
      <c r="P139" s="589"/>
      <c r="Q139" s="764"/>
      <c r="R139" s="765"/>
      <c r="S139" s="590"/>
      <c r="T139" s="764">
        <v>1.1277882968660382</v>
      </c>
      <c r="U139" s="765">
        <v>2.8128526581748883</v>
      </c>
      <c r="V139" s="590">
        <f t="shared" si="50"/>
        <v>149.4</v>
      </c>
      <c r="W139" s="764"/>
      <c r="X139" s="765"/>
      <c r="Y139" s="590"/>
      <c r="Z139" s="764"/>
      <c r="AA139" s="765"/>
      <c r="AB139" s="590"/>
      <c r="AC139" s="764"/>
      <c r="AD139" s="765"/>
      <c r="AE139" s="590"/>
      <c r="AF139" s="764"/>
      <c r="AG139" s="765"/>
      <c r="AH139" s="590"/>
      <c r="AI139" s="764"/>
      <c r="AJ139" s="765"/>
      <c r="AK139" s="590"/>
      <c r="AL139" s="765"/>
      <c r="AM139" s="765"/>
      <c r="AN139" s="590"/>
      <c r="AO139" s="589">
        <f t="shared" si="55"/>
        <v>1.1277882968660382</v>
      </c>
      <c r="AP139" s="589">
        <f t="shared" si="56"/>
        <v>2.8128526581748883</v>
      </c>
      <c r="AQ139" s="590">
        <f t="shared" si="19"/>
        <v>149.4</v>
      </c>
      <c r="AR139" s="589">
        <f t="shared" si="47"/>
        <v>1.1277882968660382</v>
      </c>
      <c r="AS139" s="589">
        <f t="shared" si="48"/>
        <v>2.8128526581748883</v>
      </c>
      <c r="AT139" s="590">
        <f t="shared" si="20"/>
        <v>149.4</v>
      </c>
      <c r="AU139" s="568"/>
    </row>
    <row r="140" spans="1:47" s="591" customFormat="1" ht="18.75" customHeight="1" x14ac:dyDescent="0.3">
      <c r="A140" s="542" t="s">
        <v>357</v>
      </c>
      <c r="B140" s="764"/>
      <c r="C140" s="765"/>
      <c r="D140" s="589"/>
      <c r="E140" s="764"/>
      <c r="F140" s="765"/>
      <c r="G140" s="590"/>
      <c r="H140" s="764"/>
      <c r="I140" s="765"/>
      <c r="J140" s="590"/>
      <c r="K140" s="764"/>
      <c r="L140" s="765"/>
      <c r="M140" s="590"/>
      <c r="N140" s="764"/>
      <c r="O140" s="765"/>
      <c r="P140" s="589"/>
      <c r="Q140" s="764"/>
      <c r="R140" s="765"/>
      <c r="S140" s="590"/>
      <c r="T140" s="764">
        <v>0</v>
      </c>
      <c r="U140" s="765">
        <v>0</v>
      </c>
      <c r="V140" s="590" t="str">
        <f t="shared" si="50"/>
        <v xml:space="preserve">    ---- </v>
      </c>
      <c r="W140" s="764"/>
      <c r="X140" s="765"/>
      <c r="Y140" s="590"/>
      <c r="Z140" s="764"/>
      <c r="AA140" s="765"/>
      <c r="AB140" s="590"/>
      <c r="AC140" s="764"/>
      <c r="AD140" s="765"/>
      <c r="AE140" s="590"/>
      <c r="AF140" s="764"/>
      <c r="AG140" s="765"/>
      <c r="AH140" s="590"/>
      <c r="AI140" s="764"/>
      <c r="AJ140" s="765"/>
      <c r="AK140" s="590"/>
      <c r="AL140" s="765"/>
      <c r="AM140" s="765"/>
      <c r="AN140" s="590"/>
      <c r="AO140" s="589">
        <f t="shared" si="55"/>
        <v>0</v>
      </c>
      <c r="AP140" s="589">
        <f t="shared" si="56"/>
        <v>0</v>
      </c>
      <c r="AQ140" s="590" t="str">
        <f t="shared" si="19"/>
        <v xml:space="preserve">    ---- </v>
      </c>
      <c r="AR140" s="589">
        <f t="shared" si="47"/>
        <v>0</v>
      </c>
      <c r="AS140" s="589">
        <f t="shared" si="48"/>
        <v>0</v>
      </c>
      <c r="AT140" s="590" t="str">
        <f t="shared" si="20"/>
        <v xml:space="preserve">    ---- </v>
      </c>
      <c r="AU140" s="568"/>
    </row>
    <row r="141" spans="1:47" s="591" customFormat="1" ht="18.75" customHeight="1" x14ac:dyDescent="0.3">
      <c r="A141" s="542" t="s">
        <v>358</v>
      </c>
      <c r="B141" s="764"/>
      <c r="C141" s="765"/>
      <c r="D141" s="589"/>
      <c r="E141" s="764"/>
      <c r="F141" s="765"/>
      <c r="G141" s="590"/>
      <c r="H141" s="764"/>
      <c r="I141" s="765"/>
      <c r="J141" s="590"/>
      <c r="K141" s="764"/>
      <c r="L141" s="765"/>
      <c r="M141" s="590"/>
      <c r="N141" s="764"/>
      <c r="O141" s="765"/>
      <c r="P141" s="589"/>
      <c r="Q141" s="764"/>
      <c r="R141" s="765"/>
      <c r="S141" s="590"/>
      <c r="T141" s="764"/>
      <c r="U141" s="765"/>
      <c r="V141" s="590"/>
      <c r="W141" s="764"/>
      <c r="X141" s="765"/>
      <c r="Y141" s="590"/>
      <c r="Z141" s="764"/>
      <c r="AA141" s="765"/>
      <c r="AB141" s="590"/>
      <c r="AC141" s="764"/>
      <c r="AD141" s="765"/>
      <c r="AE141" s="590"/>
      <c r="AF141" s="764"/>
      <c r="AG141" s="765"/>
      <c r="AH141" s="590"/>
      <c r="AI141" s="764"/>
      <c r="AJ141" s="765"/>
      <c r="AK141" s="590"/>
      <c r="AL141" s="765"/>
      <c r="AM141" s="765"/>
      <c r="AN141" s="590"/>
      <c r="AO141" s="589">
        <f t="shared" si="55"/>
        <v>0</v>
      </c>
      <c r="AP141" s="589">
        <f t="shared" si="56"/>
        <v>0</v>
      </c>
      <c r="AQ141" s="590" t="str">
        <f t="shared" si="19"/>
        <v xml:space="preserve">    ---- </v>
      </c>
      <c r="AR141" s="589">
        <f t="shared" si="47"/>
        <v>0</v>
      </c>
      <c r="AS141" s="589">
        <f t="shared" si="48"/>
        <v>0</v>
      </c>
      <c r="AT141" s="590" t="str">
        <f t="shared" si="20"/>
        <v xml:space="preserve">    ---- </v>
      </c>
      <c r="AU141" s="568"/>
    </row>
    <row r="142" spans="1:47" s="593" customFormat="1" ht="18.75" customHeight="1" x14ac:dyDescent="0.3">
      <c r="A142" s="537" t="s">
        <v>359</v>
      </c>
      <c r="B142" s="766"/>
      <c r="C142" s="767"/>
      <c r="D142" s="587"/>
      <c r="E142" s="766"/>
      <c r="F142" s="767"/>
      <c r="G142" s="588"/>
      <c r="H142" s="766"/>
      <c r="I142" s="767"/>
      <c r="J142" s="588"/>
      <c r="K142" s="766"/>
      <c r="L142" s="767"/>
      <c r="M142" s="588"/>
      <c r="N142" s="766"/>
      <c r="O142" s="767"/>
      <c r="P142" s="587"/>
      <c r="Q142" s="766"/>
      <c r="R142" s="767"/>
      <c r="S142" s="588"/>
      <c r="T142" s="766">
        <v>137.88793546569238</v>
      </c>
      <c r="U142" s="767">
        <f>SUM(U134:U139)+U141</f>
        <v>-125.83111839582826</v>
      </c>
      <c r="V142" s="588">
        <f t="shared" si="50"/>
        <v>-191.3</v>
      </c>
      <c r="W142" s="766"/>
      <c r="X142" s="767"/>
      <c r="Y142" s="588"/>
      <c r="Z142" s="766"/>
      <c r="AA142" s="767"/>
      <c r="AB142" s="588"/>
      <c r="AC142" s="766"/>
      <c r="AD142" s="767"/>
      <c r="AE142" s="588"/>
      <c r="AF142" s="766"/>
      <c r="AG142" s="767"/>
      <c r="AH142" s="588"/>
      <c r="AI142" s="766"/>
      <c r="AJ142" s="767"/>
      <c r="AK142" s="588"/>
      <c r="AL142" s="767"/>
      <c r="AM142" s="767">
        <f>SUM(AM134:AM139)+AM141</f>
        <v>0</v>
      </c>
      <c r="AN142" s="588"/>
      <c r="AO142" s="587">
        <f t="shared" si="55"/>
        <v>137.88793546569238</v>
      </c>
      <c r="AP142" s="587">
        <f t="shared" si="56"/>
        <v>-125.83111839582826</v>
      </c>
      <c r="AQ142" s="588">
        <f t="shared" si="19"/>
        <v>-191.3</v>
      </c>
      <c r="AR142" s="587">
        <f t="shared" si="47"/>
        <v>137.88793546569238</v>
      </c>
      <c r="AS142" s="587">
        <f t="shared" si="48"/>
        <v>-125.83111839582826</v>
      </c>
      <c r="AT142" s="588">
        <f t="shared" si="20"/>
        <v>-191.3</v>
      </c>
      <c r="AU142" s="592"/>
    </row>
    <row r="143" spans="1:47" s="591" customFormat="1" ht="18.75" customHeight="1" x14ac:dyDescent="0.3">
      <c r="A143" s="542" t="s">
        <v>360</v>
      </c>
      <c r="B143" s="764"/>
      <c r="C143" s="765"/>
      <c r="D143" s="589"/>
      <c r="E143" s="764"/>
      <c r="F143" s="765"/>
      <c r="G143" s="590"/>
      <c r="H143" s="764"/>
      <c r="I143" s="765"/>
      <c r="J143" s="590"/>
      <c r="K143" s="764"/>
      <c r="L143" s="765"/>
      <c r="M143" s="590"/>
      <c r="N143" s="764"/>
      <c r="O143" s="765"/>
      <c r="P143" s="589"/>
      <c r="Q143" s="764"/>
      <c r="R143" s="765"/>
      <c r="S143" s="590"/>
      <c r="T143" s="764">
        <v>136.33122399000001</v>
      </c>
      <c r="U143" s="765">
        <v>-110.96948180182513</v>
      </c>
      <c r="V143" s="590">
        <f t="shared" si="50"/>
        <v>-181.4</v>
      </c>
      <c r="W143" s="764"/>
      <c r="X143" s="765"/>
      <c r="Y143" s="590"/>
      <c r="Z143" s="764"/>
      <c r="AA143" s="765"/>
      <c r="AB143" s="590"/>
      <c r="AC143" s="764"/>
      <c r="AD143" s="765"/>
      <c r="AE143" s="590"/>
      <c r="AF143" s="764"/>
      <c r="AG143" s="765"/>
      <c r="AH143" s="590"/>
      <c r="AI143" s="764"/>
      <c r="AJ143" s="765"/>
      <c r="AK143" s="590"/>
      <c r="AL143" s="765"/>
      <c r="AM143" s="765"/>
      <c r="AN143" s="590"/>
      <c r="AO143" s="589">
        <f t="shared" si="55"/>
        <v>136.33122399000001</v>
      </c>
      <c r="AP143" s="589">
        <f t="shared" si="56"/>
        <v>-110.96948180182513</v>
      </c>
      <c r="AQ143" s="590">
        <f t="shared" si="19"/>
        <v>-181.4</v>
      </c>
      <c r="AR143" s="589">
        <f t="shared" si="47"/>
        <v>136.33122399000001</v>
      </c>
      <c r="AS143" s="589">
        <f t="shared" si="48"/>
        <v>-110.96948180182513</v>
      </c>
      <c r="AT143" s="590">
        <f t="shared" si="20"/>
        <v>-181.4</v>
      </c>
      <c r="AU143" s="568"/>
    </row>
    <row r="144" spans="1:47" s="568" customFormat="1" ht="18.75" customHeight="1" x14ac:dyDescent="0.3">
      <c r="A144" s="554" t="s">
        <v>361</v>
      </c>
      <c r="B144" s="768"/>
      <c r="C144" s="769"/>
      <c r="D144" s="600"/>
      <c r="E144" s="768"/>
      <c r="F144" s="769"/>
      <c r="G144" s="601"/>
      <c r="H144" s="768"/>
      <c r="I144" s="769"/>
      <c r="J144" s="601"/>
      <c r="K144" s="768"/>
      <c r="L144" s="769"/>
      <c r="M144" s="601"/>
      <c r="N144" s="768"/>
      <c r="O144" s="769"/>
      <c r="P144" s="600"/>
      <c r="Q144" s="768"/>
      <c r="R144" s="769"/>
      <c r="S144" s="601"/>
      <c r="T144" s="768">
        <v>1.5567114756923617</v>
      </c>
      <c r="U144" s="769">
        <v>-14.861636594003141</v>
      </c>
      <c r="V144" s="601">
        <f t="shared" si="50"/>
        <v>-999</v>
      </c>
      <c r="W144" s="768"/>
      <c r="X144" s="769"/>
      <c r="Y144" s="601"/>
      <c r="Z144" s="768"/>
      <c r="AA144" s="769"/>
      <c r="AB144" s="601"/>
      <c r="AC144" s="768"/>
      <c r="AD144" s="769"/>
      <c r="AE144" s="601"/>
      <c r="AF144" s="768"/>
      <c r="AG144" s="769"/>
      <c r="AH144" s="601"/>
      <c r="AI144" s="768"/>
      <c r="AJ144" s="769"/>
      <c r="AK144" s="601"/>
      <c r="AL144" s="769"/>
      <c r="AM144" s="769"/>
      <c r="AN144" s="601"/>
      <c r="AO144" s="601">
        <f t="shared" si="55"/>
        <v>1.5567114756923617</v>
      </c>
      <c r="AP144" s="601">
        <f t="shared" si="56"/>
        <v>-14.861636594003141</v>
      </c>
      <c r="AQ144" s="601">
        <f t="shared" si="19"/>
        <v>-999</v>
      </c>
      <c r="AR144" s="601">
        <f t="shared" si="47"/>
        <v>1.5567114756923617</v>
      </c>
      <c r="AS144" s="601">
        <f t="shared" si="48"/>
        <v>-14.861636594003141</v>
      </c>
      <c r="AT144" s="601">
        <f t="shared" si="20"/>
        <v>-999</v>
      </c>
    </row>
    <row r="145" spans="1:47" s="603" customFormat="1" ht="18.75" customHeight="1" x14ac:dyDescent="0.3">
      <c r="A145" s="568" t="s">
        <v>245</v>
      </c>
      <c r="B145" s="517"/>
      <c r="C145" s="602"/>
      <c r="D145" s="602"/>
      <c r="E145" s="602"/>
      <c r="F145" s="602"/>
      <c r="G145" s="602"/>
      <c r="H145" s="573"/>
      <c r="I145" s="568"/>
      <c r="J145" s="568"/>
      <c r="K145" s="573"/>
      <c r="L145" s="568"/>
      <c r="M145" s="568"/>
      <c r="N145" s="568"/>
      <c r="O145" s="568"/>
      <c r="P145" s="568"/>
      <c r="Q145" s="568"/>
      <c r="R145" s="568"/>
      <c r="S145" s="568"/>
      <c r="T145" s="568"/>
      <c r="U145" s="568"/>
      <c r="V145" s="568"/>
      <c r="X145" s="568"/>
      <c r="Y145" s="568"/>
      <c r="Z145" s="568"/>
      <c r="AA145" s="568"/>
      <c r="AB145" s="568"/>
      <c r="AD145" s="568"/>
      <c r="AE145" s="568"/>
      <c r="AF145" s="568"/>
      <c r="AG145" s="568"/>
      <c r="AH145" s="568"/>
      <c r="AJ145" s="568"/>
      <c r="AK145" s="568"/>
      <c r="AL145" s="568"/>
      <c r="AM145" s="568"/>
      <c r="AN145" s="568"/>
      <c r="AO145" s="568"/>
      <c r="AP145" s="568"/>
      <c r="AQ145" s="568"/>
      <c r="AR145" s="573"/>
      <c r="AS145" s="573"/>
      <c r="AT145" s="573"/>
      <c r="AU145" s="604"/>
    </row>
    <row r="146" spans="1:47" s="603" customFormat="1" ht="18.75" customHeight="1" x14ac:dyDescent="0.3">
      <c r="A146" s="568"/>
      <c r="D146" s="602"/>
      <c r="G146" s="602"/>
      <c r="J146" s="602"/>
      <c r="M146" s="602"/>
      <c r="P146" s="602"/>
      <c r="S146" s="602"/>
      <c r="V146" s="602"/>
      <c r="Y146" s="602"/>
      <c r="AB146" s="602"/>
      <c r="AE146" s="602"/>
      <c r="AH146" s="602"/>
      <c r="AK146" s="602"/>
      <c r="AN146" s="602"/>
      <c r="AQ146" s="602"/>
      <c r="AT146" s="602"/>
      <c r="AU146" s="604"/>
    </row>
    <row r="147" spans="1:47" ht="18.75" x14ac:dyDescent="0.3">
      <c r="A147" s="568"/>
    </row>
    <row r="148" spans="1:47" ht="18.75" x14ac:dyDescent="0.3">
      <c r="A148" s="568"/>
    </row>
    <row r="149" spans="1:47" ht="18.75" x14ac:dyDescent="0.3">
      <c r="A149" s="568"/>
    </row>
    <row r="150" spans="1:47" ht="18.75" x14ac:dyDescent="0.3">
      <c r="A150" s="568"/>
    </row>
    <row r="151" spans="1:47" ht="18.75" x14ac:dyDescent="0.3">
      <c r="A151" s="568"/>
    </row>
    <row r="152" spans="1:47" ht="18.75" x14ac:dyDescent="0.3">
      <c r="A152" s="568"/>
    </row>
    <row r="153" spans="1:47" ht="18.75" x14ac:dyDescent="0.3">
      <c r="A153" s="568"/>
    </row>
    <row r="154" spans="1:47" ht="18.75" x14ac:dyDescent="0.3">
      <c r="A154" s="568"/>
    </row>
    <row r="155" spans="1:47" ht="18.75" x14ac:dyDescent="0.3">
      <c r="A155" s="568"/>
    </row>
    <row r="156" spans="1:47" ht="18.75" x14ac:dyDescent="0.3">
      <c r="A156" s="568"/>
    </row>
    <row r="157" spans="1:47" ht="18.75" x14ac:dyDescent="0.3">
      <c r="A157" s="568"/>
    </row>
    <row r="158" spans="1:47" ht="18.75" x14ac:dyDescent="0.3">
      <c r="A158" s="568"/>
    </row>
    <row r="159" spans="1:47" ht="18.75" x14ac:dyDescent="0.3">
      <c r="A159" s="568"/>
    </row>
    <row r="160" spans="1:47" ht="18.75" x14ac:dyDescent="0.3">
      <c r="A160" s="568"/>
    </row>
    <row r="161" spans="1:1" ht="18.75" x14ac:dyDescent="0.3">
      <c r="A161" s="568"/>
    </row>
    <row r="162" spans="1:1" ht="18.75" x14ac:dyDescent="0.3">
      <c r="A162" s="568"/>
    </row>
    <row r="163" spans="1:1" ht="18.75" x14ac:dyDescent="0.3">
      <c r="A163" s="568"/>
    </row>
    <row r="164" spans="1:1" ht="18.75" x14ac:dyDescent="0.3">
      <c r="A164" s="568"/>
    </row>
    <row r="165" spans="1:1" ht="18.75" x14ac:dyDescent="0.3">
      <c r="A165" s="568"/>
    </row>
    <row r="166" spans="1:1" ht="18.75" x14ac:dyDescent="0.3">
      <c r="A166" s="568"/>
    </row>
    <row r="167" spans="1:1" ht="18.75" x14ac:dyDescent="0.3">
      <c r="A167" s="568"/>
    </row>
    <row r="168" spans="1:1" ht="18.75" x14ac:dyDescent="0.3">
      <c r="A168" s="568"/>
    </row>
    <row r="169" spans="1:1" ht="18.75" x14ac:dyDescent="0.3">
      <c r="A169" s="568"/>
    </row>
    <row r="170" spans="1:1" ht="18.75" x14ac:dyDescent="0.3">
      <c r="A170" s="568"/>
    </row>
    <row r="171" spans="1:1" ht="18.75" x14ac:dyDescent="0.3">
      <c r="A171" s="568"/>
    </row>
    <row r="172" spans="1:1" ht="18.75" x14ac:dyDescent="0.3">
      <c r="A172" s="568"/>
    </row>
    <row r="173" spans="1:1" ht="18.75" x14ac:dyDescent="0.3">
      <c r="A173" s="568"/>
    </row>
    <row r="174" spans="1:1" ht="18.75" x14ac:dyDescent="0.3">
      <c r="A174" s="568"/>
    </row>
    <row r="175" spans="1:1" ht="18.75" x14ac:dyDescent="0.3">
      <c r="A175" s="568"/>
    </row>
    <row r="176" spans="1:1" ht="18.75" x14ac:dyDescent="0.3">
      <c r="A176" s="568"/>
    </row>
    <row r="177" spans="1:1" ht="18.75" x14ac:dyDescent="0.3">
      <c r="A177" s="568"/>
    </row>
    <row r="178" spans="1:1" ht="18.75" x14ac:dyDescent="0.3">
      <c r="A178" s="568"/>
    </row>
    <row r="179" spans="1:1" ht="18.75" x14ac:dyDescent="0.3">
      <c r="A179" s="568"/>
    </row>
    <row r="180" spans="1:1" ht="18.75" x14ac:dyDescent="0.3">
      <c r="A180" s="568"/>
    </row>
    <row r="181" spans="1:1" ht="18.75" x14ac:dyDescent="0.3">
      <c r="A181" s="568"/>
    </row>
    <row r="182" spans="1:1" ht="18.75" x14ac:dyDescent="0.3">
      <c r="A182" s="568"/>
    </row>
    <row r="183" spans="1:1" ht="18.75" x14ac:dyDescent="0.3">
      <c r="A183" s="568"/>
    </row>
    <row r="184" spans="1:1" ht="18.75" x14ac:dyDescent="0.3">
      <c r="A184" s="568"/>
    </row>
    <row r="185" spans="1:1" ht="18.75" x14ac:dyDescent="0.3">
      <c r="A185" s="568"/>
    </row>
    <row r="186" spans="1:1" ht="18.75" x14ac:dyDescent="0.3">
      <c r="A186" s="568"/>
    </row>
    <row r="187" spans="1:1" ht="18.75" x14ac:dyDescent="0.3">
      <c r="A187" s="568"/>
    </row>
    <row r="188" spans="1:1" ht="18.75" x14ac:dyDescent="0.3">
      <c r="A188" s="568"/>
    </row>
    <row r="189" spans="1:1" ht="18.75" x14ac:dyDescent="0.3">
      <c r="A189" s="568"/>
    </row>
    <row r="190" spans="1:1" ht="18.75" x14ac:dyDescent="0.3">
      <c r="A190" s="568"/>
    </row>
    <row r="191" spans="1:1" ht="18.75" x14ac:dyDescent="0.3">
      <c r="A191" s="568"/>
    </row>
    <row r="192" spans="1:1" ht="18.75" x14ac:dyDescent="0.3">
      <c r="A192" s="568"/>
    </row>
    <row r="193" spans="1:1" ht="18.75" x14ac:dyDescent="0.3">
      <c r="A193" s="568"/>
    </row>
    <row r="194" spans="1:1" ht="18.75" x14ac:dyDescent="0.3">
      <c r="A194" s="568"/>
    </row>
    <row r="195" spans="1:1" ht="18.75" x14ac:dyDescent="0.3">
      <c r="A195" s="568"/>
    </row>
    <row r="196" spans="1:1" ht="18.75" x14ac:dyDescent="0.3">
      <c r="A196" s="568"/>
    </row>
    <row r="197" spans="1:1" ht="18.75" x14ac:dyDescent="0.3">
      <c r="A197" s="568"/>
    </row>
    <row r="198" spans="1:1" ht="18.75" x14ac:dyDescent="0.3">
      <c r="A198" s="568"/>
    </row>
    <row r="199" spans="1:1" ht="18.75" x14ac:dyDescent="0.3">
      <c r="A199" s="568"/>
    </row>
    <row r="200" spans="1:1" ht="18.75" x14ac:dyDescent="0.3">
      <c r="A200" s="568"/>
    </row>
    <row r="201" spans="1:1" ht="18.75" x14ac:dyDescent="0.3">
      <c r="A201" s="568"/>
    </row>
    <row r="202" spans="1:1" ht="18.75" x14ac:dyDescent="0.3">
      <c r="A202" s="568"/>
    </row>
    <row r="203" spans="1:1" ht="18.75" x14ac:dyDescent="0.3">
      <c r="A203" s="568"/>
    </row>
    <row r="204" spans="1:1" ht="18.75" x14ac:dyDescent="0.3">
      <c r="A204" s="568"/>
    </row>
    <row r="205" spans="1:1" ht="18.75" x14ac:dyDescent="0.3">
      <c r="A205" s="568"/>
    </row>
    <row r="206" spans="1:1" ht="18.75" x14ac:dyDescent="0.3">
      <c r="A206" s="568"/>
    </row>
    <row r="207" spans="1:1" ht="18.75" x14ac:dyDescent="0.3">
      <c r="A207" s="568"/>
    </row>
    <row r="208" spans="1:1" ht="18.75" x14ac:dyDescent="0.3">
      <c r="A208" s="568"/>
    </row>
    <row r="209" spans="1:1" ht="18.75" x14ac:dyDescent="0.3">
      <c r="A209" s="568"/>
    </row>
    <row r="210" spans="1:1" ht="18.75" x14ac:dyDescent="0.3">
      <c r="A210" s="568"/>
    </row>
    <row r="211" spans="1:1" ht="18.75" x14ac:dyDescent="0.3">
      <c r="A211" s="568"/>
    </row>
    <row r="212" spans="1:1" ht="18.75" x14ac:dyDescent="0.3">
      <c r="A212" s="568"/>
    </row>
    <row r="213" spans="1:1" ht="18.75" x14ac:dyDescent="0.3">
      <c r="A213" s="568"/>
    </row>
    <row r="214" spans="1:1" ht="18.75" x14ac:dyDescent="0.3">
      <c r="A214" s="568"/>
    </row>
    <row r="215" spans="1:1" ht="18.75" x14ac:dyDescent="0.3">
      <c r="A215" s="568"/>
    </row>
    <row r="216" spans="1:1" ht="18.75" x14ac:dyDescent="0.3">
      <c r="A216" s="568"/>
    </row>
    <row r="217" spans="1:1" ht="18.75" x14ac:dyDescent="0.3">
      <c r="A217" s="568"/>
    </row>
    <row r="218" spans="1:1" ht="18.75" x14ac:dyDescent="0.3">
      <c r="A218" s="568"/>
    </row>
    <row r="219" spans="1:1" ht="18.75" x14ac:dyDescent="0.3">
      <c r="A219" s="568"/>
    </row>
  </sheetData>
  <mergeCells count="27">
    <mergeCell ref="AR6:AT6"/>
    <mergeCell ref="AR7:AT7"/>
    <mergeCell ref="AO7:AQ7"/>
    <mergeCell ref="AL7:AN7"/>
    <mergeCell ref="W7:Y7"/>
    <mergeCell ref="Z7:AB7"/>
    <mergeCell ref="AC7:AE7"/>
    <mergeCell ref="AF7:AH7"/>
    <mergeCell ref="AO6:AQ6"/>
    <mergeCell ref="AL6:AN6"/>
    <mergeCell ref="B7:D7"/>
    <mergeCell ref="E7:G7"/>
    <mergeCell ref="K7:M7"/>
    <mergeCell ref="N7:P7"/>
    <mergeCell ref="Q7:S7"/>
    <mergeCell ref="H7:J7"/>
    <mergeCell ref="T7:V7"/>
    <mergeCell ref="Z6:AB6"/>
    <mergeCell ref="AF6:AH6"/>
    <mergeCell ref="AI6:AK6"/>
    <mergeCell ref="AI7:AK7"/>
    <mergeCell ref="B6:D6"/>
    <mergeCell ref="E6:G6"/>
    <mergeCell ref="K6:M6"/>
    <mergeCell ref="N6:P6"/>
    <mergeCell ref="Q6:S6"/>
    <mergeCell ref="H6:J6"/>
  </mergeCells>
  <conditionalFormatting sqref="AL20">
    <cfRule type="expression" dxfId="646" priority="793">
      <formula>#REF!="20≠21+22"</formula>
    </cfRule>
  </conditionalFormatting>
  <conditionalFormatting sqref="AL32">
    <cfRule type="expression" dxfId="645" priority="794">
      <formula>#REF!="32≠24+25+26+27+28+29+31"</formula>
    </cfRule>
    <cfRule type="expression" dxfId="644" priority="795">
      <formula>#REF!="32≠33+34"</formula>
    </cfRule>
  </conditionalFormatting>
  <conditionalFormatting sqref="AL44">
    <cfRule type="expression" dxfId="643" priority="796">
      <formula>#REF!="44≠36+37+38+39+40+41+43"</formula>
    </cfRule>
    <cfRule type="expression" dxfId="642" priority="797">
      <formula>#REF!="44≠45+46"</formula>
    </cfRule>
  </conditionalFormatting>
  <conditionalFormatting sqref="AL56">
    <cfRule type="expression" dxfId="641" priority="798">
      <formula>#REF!="56≠48+49+50+51+52+53+55"</formula>
    </cfRule>
    <cfRule type="expression" dxfId="640" priority="799">
      <formula>#REF!="56≠57+58"</formula>
    </cfRule>
  </conditionalFormatting>
  <conditionalFormatting sqref="AL68">
    <cfRule type="expression" dxfId="639" priority="800">
      <formula>#REF!="68≠60+61+62+63+64+65+67"</formula>
    </cfRule>
    <cfRule type="expression" dxfId="638" priority="801">
      <formula>#REF!="68≠69+70"</formula>
    </cfRule>
  </conditionalFormatting>
  <conditionalFormatting sqref="AL80">
    <cfRule type="expression" dxfId="637" priority="802">
      <formula>#REF!="80≠72+73+74+75+76+77+79"</formula>
    </cfRule>
    <cfRule type="expression" dxfId="636" priority="803">
      <formula>#REF!="80≠81+82"</formula>
    </cfRule>
  </conditionalFormatting>
  <conditionalFormatting sqref="AL92">
    <cfRule type="expression" dxfId="635" priority="804">
      <formula>#REF!="92≠84+85+86+87+88+89+91"</formula>
    </cfRule>
    <cfRule type="expression" dxfId="634" priority="805">
      <formula>#REF!="92≠93+94"</formula>
    </cfRule>
  </conditionalFormatting>
  <conditionalFormatting sqref="AL104">
    <cfRule type="expression" dxfId="633" priority="806">
      <formula>#REF!="104≠96+97+98+99+100+101+103"</formula>
    </cfRule>
    <cfRule type="expression" dxfId="632" priority="807">
      <formula>#REF!="104≠105+106"</formula>
    </cfRule>
  </conditionalFormatting>
  <conditionalFormatting sqref="AL116">
    <cfRule type="expression" dxfId="631" priority="808">
      <formula>#REF!="116≠108+109+110+111+112+113+115"</formula>
    </cfRule>
    <cfRule type="expression" dxfId="630" priority="809">
      <formula>#REF!="116≠117+118"</formula>
    </cfRule>
  </conditionalFormatting>
  <conditionalFormatting sqref="AL130">
    <cfRule type="expression" dxfId="629" priority="810">
      <formula>#REF!="130≠122+123+124+125+126+127+129"</formula>
    </cfRule>
    <cfRule type="expression" dxfId="628" priority="811">
      <formula>#REF!="130≠131+132"</formula>
    </cfRule>
  </conditionalFormatting>
  <conditionalFormatting sqref="AL142">
    <cfRule type="expression" dxfId="627" priority="812">
      <formula>#REF!="142≠134+135+136+137+138+139+141"</formula>
    </cfRule>
    <cfRule type="expression" dxfId="626" priority="813">
      <formula>#REF!="142≠143+144"</formula>
    </cfRule>
  </conditionalFormatting>
  <conditionalFormatting sqref="AL20">
    <cfRule type="expression" dxfId="625" priority="814">
      <formula>#REF!="20≠12+13+14+15+16+17+19"</formula>
    </cfRule>
  </conditionalFormatting>
  <conditionalFormatting sqref="N20">
    <cfRule type="expression" dxfId="624" priority="485">
      <formula>#REF!="20≠21+22"</formula>
    </cfRule>
  </conditionalFormatting>
  <conditionalFormatting sqref="N32">
    <cfRule type="expression" dxfId="623" priority="486">
      <formula>#REF!="32≠24+25+26+27+28+29+31"</formula>
    </cfRule>
    <cfRule type="expression" dxfId="622" priority="487">
      <formula>#REF!="32≠33+34"</formula>
    </cfRule>
  </conditionalFormatting>
  <conditionalFormatting sqref="N44">
    <cfRule type="expression" dxfId="621" priority="488">
      <formula>#REF!="44≠36+37+38+39+40+41+43"</formula>
    </cfRule>
    <cfRule type="expression" dxfId="620" priority="489">
      <formula>#REF!="44≠45+46"</formula>
    </cfRule>
  </conditionalFormatting>
  <conditionalFormatting sqref="N56">
    <cfRule type="expression" dxfId="619" priority="490">
      <formula>#REF!="56≠48+49+50+51+52+53+55"</formula>
    </cfRule>
    <cfRule type="expression" dxfId="618" priority="491">
      <formula>#REF!="56≠57+58"</formula>
    </cfRule>
  </conditionalFormatting>
  <conditionalFormatting sqref="N68">
    <cfRule type="expression" dxfId="617" priority="492">
      <formula>#REF!="68≠60+61+62+63+64+65+67"</formula>
    </cfRule>
    <cfRule type="expression" dxfId="616" priority="493">
      <formula>#REF!="68≠69+70"</formula>
    </cfRule>
  </conditionalFormatting>
  <conditionalFormatting sqref="N80">
    <cfRule type="expression" dxfId="615" priority="494">
      <formula>#REF!="80≠72+73+74+75+76+77+79"</formula>
    </cfRule>
    <cfRule type="expression" dxfId="614" priority="495">
      <formula>#REF!="80≠81+82"</formula>
    </cfRule>
  </conditionalFormatting>
  <conditionalFormatting sqref="N92">
    <cfRule type="expression" dxfId="613" priority="496">
      <formula>#REF!="92≠84+85+86+87+88+89+91"</formula>
    </cfRule>
    <cfRule type="expression" dxfId="612" priority="497">
      <formula>#REF!="92≠93+94"</formula>
    </cfRule>
  </conditionalFormatting>
  <conditionalFormatting sqref="N104">
    <cfRule type="expression" dxfId="611" priority="498">
      <formula>#REF!="104≠96+97+98+99+100+101+103"</formula>
    </cfRule>
    <cfRule type="expression" dxfId="610" priority="499">
      <formula>#REF!="104≠105+106"</formula>
    </cfRule>
  </conditionalFormatting>
  <conditionalFormatting sqref="N116">
    <cfRule type="expression" dxfId="609" priority="500">
      <formula>#REF!="116≠108+109+110+111+112+113+115"</formula>
    </cfRule>
    <cfRule type="expression" dxfId="608" priority="501">
      <formula>#REF!="116≠117+118"</formula>
    </cfRule>
  </conditionalFormatting>
  <conditionalFormatting sqref="N130">
    <cfRule type="expression" dxfId="607" priority="502">
      <formula>#REF!="130≠122+123+124+125+126+127+129"</formula>
    </cfRule>
    <cfRule type="expression" dxfId="606" priority="503">
      <formula>#REF!="130≠131+132"</formula>
    </cfRule>
  </conditionalFormatting>
  <conditionalFormatting sqref="N142">
    <cfRule type="expression" dxfId="605" priority="504">
      <formula>#REF!="142≠134+135+136+137+138+139+141"</formula>
    </cfRule>
    <cfRule type="expression" dxfId="604" priority="505">
      <formula>#REF!="142≠143+144"</formula>
    </cfRule>
  </conditionalFormatting>
  <conditionalFormatting sqref="N20">
    <cfRule type="expression" dxfId="603" priority="506">
      <formula>#REF!="20≠12+13+14+15+16+17+19"</formula>
    </cfRule>
  </conditionalFormatting>
  <conditionalFormatting sqref="W20">
    <cfRule type="expression" dxfId="602" priority="441">
      <formula>#REF!="20≠21+22"</formula>
    </cfRule>
  </conditionalFormatting>
  <conditionalFormatting sqref="W32">
    <cfRule type="expression" dxfId="601" priority="442">
      <formula>#REF!="32≠24+25+26+27+28+29+31"</formula>
    </cfRule>
    <cfRule type="expression" dxfId="600" priority="443">
      <formula>#REF!="32≠33+34"</formula>
    </cfRule>
  </conditionalFormatting>
  <conditionalFormatting sqref="W44">
    <cfRule type="expression" dxfId="599" priority="444">
      <formula>#REF!="44≠36+37+38+39+40+41+43"</formula>
    </cfRule>
    <cfRule type="expression" dxfId="598" priority="445">
      <formula>#REF!="44≠45+46"</formula>
    </cfRule>
  </conditionalFormatting>
  <conditionalFormatting sqref="W56">
    <cfRule type="expression" dxfId="597" priority="446">
      <formula>#REF!="56≠48+49+50+51+52+53+55"</formula>
    </cfRule>
    <cfRule type="expression" dxfId="596" priority="447">
      <formula>#REF!="56≠57+58"</formula>
    </cfRule>
  </conditionalFormatting>
  <conditionalFormatting sqref="W68">
    <cfRule type="expression" dxfId="595" priority="448">
      <formula>#REF!="68≠60+61+62+63+64+65+67"</formula>
    </cfRule>
    <cfRule type="expression" dxfId="594" priority="449">
      <formula>#REF!="68≠69+70"</formula>
    </cfRule>
  </conditionalFormatting>
  <conditionalFormatting sqref="W80">
    <cfRule type="expression" dxfId="593" priority="450">
      <formula>#REF!="80≠72+73+74+75+76+77+79"</formula>
    </cfRule>
    <cfRule type="expression" dxfId="592" priority="451">
      <formula>#REF!="80≠81+82"</formula>
    </cfRule>
  </conditionalFormatting>
  <conditionalFormatting sqref="W92">
    <cfRule type="expression" dxfId="591" priority="452">
      <formula>#REF!="92≠84+85+86+87+88+89+91"</formula>
    </cfRule>
    <cfRule type="expression" dxfId="590" priority="453">
      <formula>#REF!="92≠93+94"</formula>
    </cfRule>
  </conditionalFormatting>
  <conditionalFormatting sqref="W104">
    <cfRule type="expression" dxfId="589" priority="454">
      <formula>#REF!="104≠96+97+98+99+100+101+103"</formula>
    </cfRule>
    <cfRule type="expression" dxfId="588" priority="455">
      <formula>#REF!="104≠105+106"</formula>
    </cfRule>
  </conditionalFormatting>
  <conditionalFormatting sqref="W116">
    <cfRule type="expression" dxfId="587" priority="456">
      <formula>#REF!="116≠108+109+110+111+112+113+115"</formula>
    </cfRule>
    <cfRule type="expression" dxfId="586" priority="457">
      <formula>#REF!="116≠117+118"</formula>
    </cfRule>
  </conditionalFormatting>
  <conditionalFormatting sqref="W130">
    <cfRule type="expression" dxfId="585" priority="458">
      <formula>#REF!="130≠122+123+124+125+126+127+129"</formula>
    </cfRule>
    <cfRule type="expression" dxfId="584" priority="459">
      <formula>#REF!="130≠131+132"</formula>
    </cfRule>
  </conditionalFormatting>
  <conditionalFormatting sqref="W142">
    <cfRule type="expression" dxfId="583" priority="460">
      <formula>#REF!="142≠134+135+136+137+138+139+141"</formula>
    </cfRule>
    <cfRule type="expression" dxfId="582" priority="461">
      <formula>#REF!="142≠143+144"</formula>
    </cfRule>
  </conditionalFormatting>
  <conditionalFormatting sqref="W20">
    <cfRule type="expression" dxfId="581" priority="462">
      <formula>#REF!="20≠12+13+14+15+16+17+19"</formula>
    </cfRule>
  </conditionalFormatting>
  <conditionalFormatting sqref="Z20">
    <cfRule type="expression" dxfId="580" priority="397">
      <formula>#REF!="20≠21+22"</formula>
    </cfRule>
  </conditionalFormatting>
  <conditionalFormatting sqref="Z32">
    <cfRule type="expression" dxfId="579" priority="398">
      <formula>#REF!="32≠24+25+26+27+28+29+31"</formula>
    </cfRule>
    <cfRule type="expression" dxfId="578" priority="399">
      <formula>#REF!="32≠33+34"</formula>
    </cfRule>
  </conditionalFormatting>
  <conditionalFormatting sqref="Z44">
    <cfRule type="expression" dxfId="577" priority="400">
      <formula>#REF!="44≠36+37+38+39+40+41+43"</formula>
    </cfRule>
    <cfRule type="expression" dxfId="576" priority="401">
      <formula>#REF!="44≠45+46"</formula>
    </cfRule>
  </conditionalFormatting>
  <conditionalFormatting sqref="Z56">
    <cfRule type="expression" dxfId="575" priority="402">
      <formula>#REF!="56≠48+49+50+51+52+53+55"</formula>
    </cfRule>
    <cfRule type="expression" dxfId="574" priority="403">
      <formula>#REF!="56≠57+58"</formula>
    </cfRule>
  </conditionalFormatting>
  <conditionalFormatting sqref="Z68">
    <cfRule type="expression" dxfId="573" priority="404">
      <formula>#REF!="68≠60+61+62+63+64+65+67"</formula>
    </cfRule>
    <cfRule type="expression" dxfId="572" priority="405">
      <formula>#REF!="68≠69+70"</formula>
    </cfRule>
  </conditionalFormatting>
  <conditionalFormatting sqref="Z80">
    <cfRule type="expression" dxfId="571" priority="406">
      <formula>#REF!="80≠72+73+74+75+76+77+79"</formula>
    </cfRule>
    <cfRule type="expression" dxfId="570" priority="407">
      <formula>#REF!="80≠81+82"</formula>
    </cfRule>
  </conditionalFormatting>
  <conditionalFormatting sqref="Z92">
    <cfRule type="expression" dxfId="569" priority="408">
      <formula>#REF!="92≠84+85+86+87+88+89+91"</formula>
    </cfRule>
    <cfRule type="expression" dxfId="568" priority="409">
      <formula>#REF!="92≠93+94"</formula>
    </cfRule>
  </conditionalFormatting>
  <conditionalFormatting sqref="Z104">
    <cfRule type="expression" dxfId="567" priority="410">
      <formula>#REF!="104≠96+97+98+99+100+101+103"</formula>
    </cfRule>
    <cfRule type="expression" dxfId="566" priority="411">
      <formula>#REF!="104≠105+106"</formula>
    </cfRule>
  </conditionalFormatting>
  <conditionalFormatting sqref="Z116">
    <cfRule type="expression" dxfId="565" priority="412">
      <formula>#REF!="116≠108+109+110+111+112+113+115"</formula>
    </cfRule>
    <cfRule type="expression" dxfId="564" priority="413">
      <formula>#REF!="116≠117+118"</formula>
    </cfRule>
  </conditionalFormatting>
  <conditionalFormatting sqref="Z130">
    <cfRule type="expression" dxfId="563" priority="414">
      <formula>#REF!="130≠122+123+124+125+126+127+129"</formula>
    </cfRule>
    <cfRule type="expression" dxfId="562" priority="415">
      <formula>#REF!="130≠131+132"</formula>
    </cfRule>
  </conditionalFormatting>
  <conditionalFormatting sqref="Z142">
    <cfRule type="expression" dxfId="561" priority="416">
      <formula>#REF!="142≠134+135+136+137+138+139+141"</formula>
    </cfRule>
    <cfRule type="expression" dxfId="560" priority="417">
      <formula>#REF!="142≠143+144"</formula>
    </cfRule>
  </conditionalFormatting>
  <conditionalFormatting sqref="Z20">
    <cfRule type="expression" dxfId="559" priority="418">
      <formula>#REF!="20≠12+13+14+15+16+17+19"</formula>
    </cfRule>
  </conditionalFormatting>
  <conditionalFormatting sqref="AI20">
    <cfRule type="expression" dxfId="558" priority="353">
      <formula>#REF!="20≠21+22"</formula>
    </cfRule>
  </conditionalFormatting>
  <conditionalFormatting sqref="AI32">
    <cfRule type="expression" dxfId="557" priority="354">
      <formula>#REF!="32≠24+25+26+27+28+29+31"</formula>
    </cfRule>
    <cfRule type="expression" dxfId="556" priority="355">
      <formula>#REF!="32≠33+34"</formula>
    </cfRule>
  </conditionalFormatting>
  <conditionalFormatting sqref="AI44">
    <cfRule type="expression" dxfId="555" priority="356">
      <formula>#REF!="44≠36+37+38+39+40+41+43"</formula>
    </cfRule>
    <cfRule type="expression" dxfId="554" priority="357">
      <formula>#REF!="44≠45+46"</formula>
    </cfRule>
  </conditionalFormatting>
  <conditionalFormatting sqref="AI56">
    <cfRule type="expression" dxfId="553" priority="358">
      <formula>#REF!="56≠48+49+50+51+52+53+55"</formula>
    </cfRule>
    <cfRule type="expression" dxfId="552" priority="359">
      <formula>#REF!="56≠57+58"</formula>
    </cfRule>
  </conditionalFormatting>
  <conditionalFormatting sqref="AI68">
    <cfRule type="expression" dxfId="551" priority="360">
      <formula>#REF!="68≠60+61+62+63+64+65+67"</formula>
    </cfRule>
    <cfRule type="expression" dxfId="550" priority="361">
      <formula>#REF!="68≠69+70"</formula>
    </cfRule>
  </conditionalFormatting>
  <conditionalFormatting sqref="AI80">
    <cfRule type="expression" dxfId="549" priority="362">
      <formula>#REF!="80≠72+73+74+75+76+77+79"</formula>
    </cfRule>
    <cfRule type="expression" dxfId="548" priority="363">
      <formula>#REF!="80≠81+82"</formula>
    </cfRule>
  </conditionalFormatting>
  <conditionalFormatting sqref="AI92">
    <cfRule type="expression" dxfId="547" priority="364">
      <formula>#REF!="92≠84+85+86+87+88+89+91"</formula>
    </cfRule>
    <cfRule type="expression" dxfId="546" priority="365">
      <formula>#REF!="92≠93+94"</formula>
    </cfRule>
  </conditionalFormatting>
  <conditionalFormatting sqref="AI104">
    <cfRule type="expression" dxfId="545" priority="366">
      <formula>#REF!="104≠96+97+98+99+100+101+103"</formula>
    </cfRule>
    <cfRule type="expression" dxfId="544" priority="367">
      <formula>#REF!="104≠105+106"</formula>
    </cfRule>
  </conditionalFormatting>
  <conditionalFormatting sqref="AI116">
    <cfRule type="expression" dxfId="543" priority="368">
      <formula>#REF!="116≠108+109+110+111+112+113+115"</formula>
    </cfRule>
    <cfRule type="expression" dxfId="542" priority="369">
      <formula>#REF!="116≠117+118"</formula>
    </cfRule>
  </conditionalFormatting>
  <conditionalFormatting sqref="AI130">
    <cfRule type="expression" dxfId="541" priority="370">
      <formula>#REF!="130≠122+123+124+125+126+127+129"</formula>
    </cfRule>
    <cfRule type="expression" dxfId="540" priority="371">
      <formula>#REF!="130≠131+132"</formula>
    </cfRule>
  </conditionalFormatting>
  <conditionalFormatting sqref="AI142">
    <cfRule type="expression" dxfId="539" priority="372">
      <formula>#REF!="142≠134+135+136+137+138+139+141"</formula>
    </cfRule>
    <cfRule type="expression" dxfId="538" priority="373">
      <formula>#REF!="142≠143+144"</formula>
    </cfRule>
  </conditionalFormatting>
  <conditionalFormatting sqref="AI20">
    <cfRule type="expression" dxfId="537" priority="374">
      <formula>#REF!="20≠12+13+14+15+16+17+19"</formula>
    </cfRule>
  </conditionalFormatting>
  <conditionalFormatting sqref="Q20">
    <cfRule type="expression" dxfId="536" priority="309">
      <formula>#REF!="20≠21+22"</formula>
    </cfRule>
  </conditionalFormatting>
  <conditionalFormatting sqref="Q32">
    <cfRule type="expression" dxfId="535" priority="310">
      <formula>#REF!="32≠24+25+26+27+28+29+31"</formula>
    </cfRule>
    <cfRule type="expression" dxfId="534" priority="311">
      <formula>#REF!="32≠33+34"</formula>
    </cfRule>
  </conditionalFormatting>
  <conditionalFormatting sqref="Q44">
    <cfRule type="expression" dxfId="533" priority="312">
      <formula>#REF!="44≠36+37+38+39+40+41+43"</formula>
    </cfRule>
    <cfRule type="expression" dxfId="532" priority="313">
      <formula>#REF!="44≠45+46"</formula>
    </cfRule>
  </conditionalFormatting>
  <conditionalFormatting sqref="Q56">
    <cfRule type="expression" dxfId="531" priority="314">
      <formula>#REF!="56≠48+49+50+51+52+53+55"</formula>
    </cfRule>
    <cfRule type="expression" dxfId="530" priority="315">
      <formula>#REF!="56≠57+58"</formula>
    </cfRule>
  </conditionalFormatting>
  <conditionalFormatting sqref="Q68">
    <cfRule type="expression" dxfId="529" priority="316">
      <formula>#REF!="68≠60+61+62+63+64+65+67"</formula>
    </cfRule>
    <cfRule type="expression" dxfId="528" priority="317">
      <formula>#REF!="68≠69+70"</formula>
    </cfRule>
  </conditionalFormatting>
  <conditionalFormatting sqref="Q80">
    <cfRule type="expression" dxfId="527" priority="318">
      <formula>#REF!="80≠72+73+74+75+76+77+79"</formula>
    </cfRule>
    <cfRule type="expression" dxfId="526" priority="319">
      <formula>#REF!="80≠81+82"</formula>
    </cfRule>
  </conditionalFormatting>
  <conditionalFormatting sqref="Q92">
    <cfRule type="expression" dxfId="525" priority="320">
      <formula>#REF!="92≠84+85+86+87+88+89+91"</formula>
    </cfRule>
    <cfRule type="expression" dxfId="524" priority="321">
      <formula>#REF!="92≠93+94"</formula>
    </cfRule>
  </conditionalFormatting>
  <conditionalFormatting sqref="Q104">
    <cfRule type="expression" dxfId="523" priority="322">
      <formula>#REF!="104≠96+97+98+99+100+101+103"</formula>
    </cfRule>
    <cfRule type="expression" dxfId="522" priority="323">
      <formula>#REF!="104≠105+106"</formula>
    </cfRule>
  </conditionalFormatting>
  <conditionalFormatting sqref="Q116">
    <cfRule type="expression" dxfId="521" priority="324">
      <formula>#REF!="116≠108+109+110+111+112+113+115"</formula>
    </cfRule>
    <cfRule type="expression" dxfId="520" priority="325">
      <formula>#REF!="116≠117+118"</formula>
    </cfRule>
  </conditionalFormatting>
  <conditionalFormatting sqref="Q130">
    <cfRule type="expression" dxfId="519" priority="326">
      <formula>#REF!="130≠122+123+124+125+126+127+129"</formula>
    </cfRule>
    <cfRule type="expression" dxfId="518" priority="327">
      <formula>#REF!="130≠131+132"</formula>
    </cfRule>
  </conditionalFormatting>
  <conditionalFormatting sqref="Q142">
    <cfRule type="expression" dxfId="517" priority="328">
      <formula>#REF!="142≠134+135+136+137+138+139+141"</formula>
    </cfRule>
    <cfRule type="expression" dxfId="516" priority="329">
      <formula>#REF!="142≠143+144"</formula>
    </cfRule>
  </conditionalFormatting>
  <conditionalFormatting sqref="Q20">
    <cfRule type="expression" dxfId="515" priority="330">
      <formula>#REF!="20≠12+13+14+15+16+17+19"</formula>
    </cfRule>
  </conditionalFormatting>
  <conditionalFormatting sqref="AC20">
    <cfRule type="expression" dxfId="514" priority="265">
      <formula>#REF!="20≠21+22"</formula>
    </cfRule>
  </conditionalFormatting>
  <conditionalFormatting sqref="AC32">
    <cfRule type="expression" dxfId="513" priority="266">
      <formula>#REF!="32≠24+25+26+27+28+29+31"</formula>
    </cfRule>
    <cfRule type="expression" dxfId="512" priority="267">
      <formula>#REF!="32≠33+34"</formula>
    </cfRule>
  </conditionalFormatting>
  <conditionalFormatting sqref="AC44">
    <cfRule type="expression" dxfId="511" priority="268">
      <formula>#REF!="44≠36+37+38+39+40+41+43"</formula>
    </cfRule>
    <cfRule type="expression" dxfId="510" priority="269">
      <formula>#REF!="44≠45+46"</formula>
    </cfRule>
  </conditionalFormatting>
  <conditionalFormatting sqref="AC56">
    <cfRule type="expression" dxfId="509" priority="270">
      <formula>#REF!="56≠48+49+50+51+52+53+55"</formula>
    </cfRule>
    <cfRule type="expression" dxfId="508" priority="271">
      <formula>#REF!="56≠57+58"</formula>
    </cfRule>
  </conditionalFormatting>
  <conditionalFormatting sqref="AC68">
    <cfRule type="expression" dxfId="507" priority="272">
      <formula>#REF!="68≠60+61+62+63+64+65+67"</formula>
    </cfRule>
    <cfRule type="expression" dxfId="506" priority="273">
      <formula>#REF!="68≠69+70"</formula>
    </cfRule>
  </conditionalFormatting>
  <conditionalFormatting sqref="AC80">
    <cfRule type="expression" dxfId="505" priority="274">
      <formula>#REF!="80≠72+73+74+75+76+77+79"</formula>
    </cfRule>
    <cfRule type="expression" dxfId="504" priority="275">
      <formula>#REF!="80≠81+82"</formula>
    </cfRule>
  </conditionalFormatting>
  <conditionalFormatting sqref="AC92">
    <cfRule type="expression" dxfId="503" priority="276">
      <formula>#REF!="92≠84+85+86+87+88+89+91"</formula>
    </cfRule>
    <cfRule type="expression" dxfId="502" priority="277">
      <formula>#REF!="92≠93+94"</formula>
    </cfRule>
  </conditionalFormatting>
  <conditionalFormatting sqref="AC104">
    <cfRule type="expression" dxfId="501" priority="278">
      <formula>#REF!="104≠96+97+98+99+100+101+103"</formula>
    </cfRule>
    <cfRule type="expression" dxfId="500" priority="279">
      <formula>#REF!="104≠105+106"</formula>
    </cfRule>
  </conditionalFormatting>
  <conditionalFormatting sqref="AC116">
    <cfRule type="expression" dxfId="499" priority="280">
      <formula>#REF!="116≠108+109+110+111+112+113+115"</formula>
    </cfRule>
    <cfRule type="expression" dxfId="498" priority="281">
      <formula>#REF!="116≠117+118"</formula>
    </cfRule>
  </conditionalFormatting>
  <conditionalFormatting sqref="AC130">
    <cfRule type="expression" dxfId="497" priority="282">
      <formula>#REF!="130≠122+123+124+125+126+127+129"</formula>
    </cfRule>
    <cfRule type="expression" dxfId="496" priority="283">
      <formula>#REF!="130≠131+132"</formula>
    </cfRule>
  </conditionalFormatting>
  <conditionalFormatting sqref="AC142">
    <cfRule type="expression" dxfId="495" priority="284">
      <formula>#REF!="142≠134+135+136+137+138+139+141"</formula>
    </cfRule>
    <cfRule type="expression" dxfId="494" priority="285">
      <formula>#REF!="142≠143+144"</formula>
    </cfRule>
  </conditionalFormatting>
  <conditionalFormatting sqref="AC20">
    <cfRule type="expression" dxfId="493" priority="286">
      <formula>#REF!="20≠12+13+14+15+16+17+19"</formula>
    </cfRule>
  </conditionalFormatting>
  <conditionalFormatting sqref="H20">
    <cfRule type="expression" dxfId="492" priority="221">
      <formula>#REF!="20≠21+22"</formula>
    </cfRule>
  </conditionalFormatting>
  <conditionalFormatting sqref="H32">
    <cfRule type="expression" dxfId="491" priority="222">
      <formula>#REF!="32≠24+25+26+27+28+29+31"</formula>
    </cfRule>
    <cfRule type="expression" dxfId="490" priority="223">
      <formula>#REF!="32≠33+34"</formula>
    </cfRule>
  </conditionalFormatting>
  <conditionalFormatting sqref="H44">
    <cfRule type="expression" dxfId="489" priority="224">
      <formula>#REF!="44≠36+37+38+39+40+41+43"</formula>
    </cfRule>
    <cfRule type="expression" dxfId="488" priority="225">
      <formula>#REF!="44≠45+46"</formula>
    </cfRule>
  </conditionalFormatting>
  <conditionalFormatting sqref="H56">
    <cfRule type="expression" dxfId="487" priority="226">
      <formula>#REF!="56≠48+49+50+51+52+53+55"</formula>
    </cfRule>
    <cfRule type="expression" dxfId="486" priority="227">
      <formula>#REF!="56≠57+58"</formula>
    </cfRule>
  </conditionalFormatting>
  <conditionalFormatting sqref="H68">
    <cfRule type="expression" dxfId="485" priority="228">
      <formula>#REF!="68≠60+61+62+63+64+65+67"</formula>
    </cfRule>
    <cfRule type="expression" dxfId="484" priority="229">
      <formula>#REF!="68≠69+70"</formula>
    </cfRule>
  </conditionalFormatting>
  <conditionalFormatting sqref="H80">
    <cfRule type="expression" dxfId="483" priority="230">
      <formula>#REF!="80≠72+73+74+75+76+77+79"</formula>
    </cfRule>
    <cfRule type="expression" dxfId="482" priority="231">
      <formula>#REF!="80≠81+82"</formula>
    </cfRule>
  </conditionalFormatting>
  <conditionalFormatting sqref="H92">
    <cfRule type="expression" dxfId="481" priority="232">
      <formula>#REF!="92≠84+85+86+87+88+89+91"</formula>
    </cfRule>
    <cfRule type="expression" dxfId="480" priority="233">
      <formula>#REF!="92≠93+94"</formula>
    </cfRule>
  </conditionalFormatting>
  <conditionalFormatting sqref="H104">
    <cfRule type="expression" dxfId="479" priority="234">
      <formula>#REF!="104≠96+97+98+99+100+101+103"</formula>
    </cfRule>
    <cfRule type="expression" dxfId="478" priority="235">
      <formula>#REF!="104≠105+106"</formula>
    </cfRule>
  </conditionalFormatting>
  <conditionalFormatting sqref="H116">
    <cfRule type="expression" dxfId="477" priority="236">
      <formula>#REF!="116≠108+109+110+111+112+113+115"</formula>
    </cfRule>
    <cfRule type="expression" dxfId="476" priority="237">
      <formula>#REF!="116≠117+118"</formula>
    </cfRule>
  </conditionalFormatting>
  <conditionalFormatting sqref="H130">
    <cfRule type="expression" dxfId="475" priority="238">
      <formula>#REF!="130≠122+123+124+125+126+127+129"</formula>
    </cfRule>
    <cfRule type="expression" dxfId="474" priority="239">
      <formula>#REF!="130≠131+132"</formula>
    </cfRule>
  </conditionalFormatting>
  <conditionalFormatting sqref="H142">
    <cfRule type="expression" dxfId="473" priority="240">
      <formula>#REF!="142≠134+135+136+137+138+139+141"</formula>
    </cfRule>
    <cfRule type="expression" dxfId="472" priority="241">
      <formula>#REF!="142≠143+144"</formula>
    </cfRule>
  </conditionalFormatting>
  <conditionalFormatting sqref="H20">
    <cfRule type="expression" dxfId="471" priority="242">
      <formula>#REF!="20≠12+13+14+15+16+17+19"</formula>
    </cfRule>
  </conditionalFormatting>
  <conditionalFormatting sqref="AF20">
    <cfRule type="expression" dxfId="470" priority="177">
      <formula>#REF!="20≠21+22"</formula>
    </cfRule>
  </conditionalFormatting>
  <conditionalFormatting sqref="AF32">
    <cfRule type="expression" dxfId="469" priority="178">
      <formula>#REF!="32≠24+25+26+27+28+29+31"</formula>
    </cfRule>
    <cfRule type="expression" dxfId="468" priority="179">
      <formula>#REF!="32≠33+34"</formula>
    </cfRule>
  </conditionalFormatting>
  <conditionalFormatting sqref="AF44">
    <cfRule type="expression" dxfId="467" priority="180">
      <formula>#REF!="44≠36+37+38+39+40+41+43"</formula>
    </cfRule>
    <cfRule type="expression" dxfId="466" priority="181">
      <formula>#REF!="44≠45+46"</formula>
    </cfRule>
  </conditionalFormatting>
  <conditionalFormatting sqref="AF56">
    <cfRule type="expression" dxfId="465" priority="182">
      <formula>#REF!="56≠48+49+50+51+52+53+55"</formula>
    </cfRule>
    <cfRule type="expression" dxfId="464" priority="183">
      <formula>#REF!="56≠57+58"</formula>
    </cfRule>
  </conditionalFormatting>
  <conditionalFormatting sqref="AF68">
    <cfRule type="expression" dxfId="463" priority="184">
      <formula>#REF!="68≠60+61+62+63+64+65+67"</formula>
    </cfRule>
    <cfRule type="expression" dxfId="462" priority="185">
      <formula>#REF!="68≠69+70"</formula>
    </cfRule>
  </conditionalFormatting>
  <conditionalFormatting sqref="AF80">
    <cfRule type="expression" dxfId="461" priority="186">
      <formula>#REF!="80≠72+73+74+75+76+77+79"</formula>
    </cfRule>
    <cfRule type="expression" dxfId="460" priority="187">
      <formula>#REF!="80≠81+82"</formula>
    </cfRule>
  </conditionalFormatting>
  <conditionalFormatting sqref="AF92">
    <cfRule type="expression" dxfId="459" priority="188">
      <formula>#REF!="92≠84+85+86+87+88+89+91"</formula>
    </cfRule>
    <cfRule type="expression" dxfId="458" priority="189">
      <formula>#REF!="92≠93+94"</formula>
    </cfRule>
  </conditionalFormatting>
  <conditionalFormatting sqref="AF104">
    <cfRule type="expression" dxfId="457" priority="190">
      <formula>#REF!="104≠96+97+98+99+100+101+103"</formula>
    </cfRule>
    <cfRule type="expression" dxfId="456" priority="191">
      <formula>#REF!="104≠105+106"</formula>
    </cfRule>
  </conditionalFormatting>
  <conditionalFormatting sqref="AF116">
    <cfRule type="expression" dxfId="455" priority="192">
      <formula>#REF!="116≠108+109+110+111+112+113+115"</formula>
    </cfRule>
    <cfRule type="expression" dxfId="454" priority="193">
      <formula>#REF!="116≠117+118"</formula>
    </cfRule>
  </conditionalFormatting>
  <conditionalFormatting sqref="AF130">
    <cfRule type="expression" dxfId="453" priority="194">
      <formula>#REF!="130≠122+123+124+125+126+127+129"</formula>
    </cfRule>
    <cfRule type="expression" dxfId="452" priority="195">
      <formula>#REF!="130≠131+132"</formula>
    </cfRule>
  </conditionalFormatting>
  <conditionalFormatting sqref="AF142">
    <cfRule type="expression" dxfId="451" priority="196">
      <formula>#REF!="142≠134+135+136+137+138+139+141"</formula>
    </cfRule>
    <cfRule type="expression" dxfId="450" priority="197">
      <formula>#REF!="142≠143+144"</formula>
    </cfRule>
  </conditionalFormatting>
  <conditionalFormatting sqref="AF20">
    <cfRule type="expression" dxfId="449" priority="198">
      <formula>#REF!="20≠12+13+14+15+16+17+19"</formula>
    </cfRule>
  </conditionalFormatting>
  <conditionalFormatting sqref="E20">
    <cfRule type="expression" dxfId="448" priority="133">
      <formula>#REF!="20≠21+22"</formula>
    </cfRule>
  </conditionalFormatting>
  <conditionalFormatting sqref="E32">
    <cfRule type="expression" dxfId="447" priority="134">
      <formula>#REF!="32≠24+25+26+27+28+29+31"</formula>
    </cfRule>
    <cfRule type="expression" dxfId="446" priority="135">
      <formula>#REF!="32≠33+34"</formula>
    </cfRule>
  </conditionalFormatting>
  <conditionalFormatting sqref="E44">
    <cfRule type="expression" dxfId="445" priority="136">
      <formula>#REF!="44≠36+37+38+39+40+41+43"</formula>
    </cfRule>
    <cfRule type="expression" dxfId="444" priority="137">
      <formula>#REF!="44≠45+46"</formula>
    </cfRule>
  </conditionalFormatting>
  <conditionalFormatting sqref="E56">
    <cfRule type="expression" dxfId="443" priority="138">
      <formula>#REF!="56≠48+49+50+51+52+53+55"</formula>
    </cfRule>
    <cfRule type="expression" dxfId="442" priority="139">
      <formula>#REF!="56≠57+58"</formula>
    </cfRule>
  </conditionalFormatting>
  <conditionalFormatting sqref="E68">
    <cfRule type="expression" dxfId="441" priority="140">
      <formula>#REF!="68≠60+61+62+63+64+65+67"</formula>
    </cfRule>
    <cfRule type="expression" dxfId="440" priority="141">
      <formula>#REF!="68≠69+70"</formula>
    </cfRule>
  </conditionalFormatting>
  <conditionalFormatting sqref="E80">
    <cfRule type="expression" dxfId="439" priority="142">
      <formula>#REF!="80≠72+73+74+75+76+77+79"</formula>
    </cfRule>
    <cfRule type="expression" dxfId="438" priority="143">
      <formula>#REF!="80≠81+82"</formula>
    </cfRule>
  </conditionalFormatting>
  <conditionalFormatting sqref="E92">
    <cfRule type="expression" dxfId="437" priority="144">
      <formula>#REF!="92≠84+85+86+87+88+89+91"</formula>
    </cfRule>
    <cfRule type="expression" dxfId="436" priority="145">
      <formula>#REF!="92≠93+94"</formula>
    </cfRule>
  </conditionalFormatting>
  <conditionalFormatting sqref="E104">
    <cfRule type="expression" dxfId="435" priority="146">
      <formula>#REF!="104≠96+97+98+99+100+101+103"</formula>
    </cfRule>
    <cfRule type="expression" dxfId="434" priority="147">
      <formula>#REF!="104≠105+106"</formula>
    </cfRule>
  </conditionalFormatting>
  <conditionalFormatting sqref="E116">
    <cfRule type="expression" dxfId="433" priority="148">
      <formula>#REF!="116≠108+109+110+111+112+113+115"</formula>
    </cfRule>
    <cfRule type="expression" dxfId="432" priority="149">
      <formula>#REF!="116≠117+118"</formula>
    </cfRule>
  </conditionalFormatting>
  <conditionalFormatting sqref="E130">
    <cfRule type="expression" dxfId="431" priority="150">
      <formula>#REF!="130≠122+123+124+125+126+127+129"</formula>
    </cfRule>
    <cfRule type="expression" dxfId="430" priority="151">
      <formula>#REF!="130≠131+132"</formula>
    </cfRule>
  </conditionalFormatting>
  <conditionalFormatting sqref="E142">
    <cfRule type="expression" dxfId="429" priority="152">
      <formula>#REF!="142≠134+135+136+137+138+139+141"</formula>
    </cfRule>
    <cfRule type="expression" dxfId="428" priority="153">
      <formula>#REF!="142≠143+144"</formula>
    </cfRule>
  </conditionalFormatting>
  <conditionalFormatting sqref="E20">
    <cfRule type="expression" dxfId="427" priority="154">
      <formula>#REF!="20≠12+13+14+15+16+17+19"</formula>
    </cfRule>
  </conditionalFormatting>
  <conditionalFormatting sqref="B20">
    <cfRule type="expression" dxfId="426" priority="89">
      <formula>#REF!="20≠21+22"</formula>
    </cfRule>
  </conditionalFormatting>
  <conditionalFormatting sqref="B32">
    <cfRule type="expression" dxfId="425" priority="90">
      <formula>#REF!="32≠24+25+26+27+28+29+31"</formula>
    </cfRule>
    <cfRule type="expression" dxfId="424" priority="91">
      <formula>#REF!="32≠33+34"</formula>
    </cfRule>
  </conditionalFormatting>
  <conditionalFormatting sqref="B44">
    <cfRule type="expression" dxfId="423" priority="92">
      <formula>#REF!="44≠36+37+38+39+40+41+43"</formula>
    </cfRule>
    <cfRule type="expression" dxfId="422" priority="93">
      <formula>#REF!="44≠45+46"</formula>
    </cfRule>
  </conditionalFormatting>
  <conditionalFormatting sqref="B56">
    <cfRule type="expression" dxfId="421" priority="94">
      <formula>#REF!="56≠48+49+50+51+52+53+55"</formula>
    </cfRule>
    <cfRule type="expression" dxfId="420" priority="95">
      <formula>#REF!="56≠57+58"</formula>
    </cfRule>
  </conditionalFormatting>
  <conditionalFormatting sqref="B68">
    <cfRule type="expression" dxfId="419" priority="96">
      <formula>#REF!="68≠60+61+62+63+64+65+67"</formula>
    </cfRule>
    <cfRule type="expression" dxfId="418" priority="97">
      <formula>#REF!="68≠69+70"</formula>
    </cfRule>
  </conditionalFormatting>
  <conditionalFormatting sqref="B80">
    <cfRule type="expression" dxfId="417" priority="98">
      <formula>#REF!="80≠72+73+74+75+76+77+79"</formula>
    </cfRule>
    <cfRule type="expression" dxfId="416" priority="99">
      <formula>#REF!="80≠81+82"</formula>
    </cfRule>
  </conditionalFormatting>
  <conditionalFormatting sqref="B92">
    <cfRule type="expression" dxfId="415" priority="100">
      <formula>#REF!="92≠84+85+86+87+88+89+91"</formula>
    </cfRule>
    <cfRule type="expression" dxfId="414" priority="101">
      <formula>#REF!="92≠93+94"</formula>
    </cfRule>
  </conditionalFormatting>
  <conditionalFormatting sqref="B104">
    <cfRule type="expression" dxfId="413" priority="102">
      <formula>#REF!="104≠96+97+98+99+100+101+103"</formula>
    </cfRule>
    <cfRule type="expression" dxfId="412" priority="103">
      <formula>#REF!="104≠105+106"</formula>
    </cfRule>
  </conditionalFormatting>
  <conditionalFormatting sqref="B116">
    <cfRule type="expression" dxfId="411" priority="104">
      <formula>#REF!="116≠108+109+110+111+112+113+115"</formula>
    </cfRule>
    <cfRule type="expression" dxfId="410" priority="105">
      <formula>#REF!="116≠117+118"</formula>
    </cfRule>
  </conditionalFormatting>
  <conditionalFormatting sqref="B130">
    <cfRule type="expression" dxfId="409" priority="106">
      <formula>#REF!="130≠122+123+124+125+126+127+129"</formula>
    </cfRule>
    <cfRule type="expression" dxfId="408" priority="107">
      <formula>#REF!="130≠131+132"</formula>
    </cfRule>
  </conditionalFormatting>
  <conditionalFormatting sqref="B142">
    <cfRule type="expression" dxfId="407" priority="108">
      <formula>#REF!="142≠134+135+136+137+138+139+141"</formula>
    </cfRule>
    <cfRule type="expression" dxfId="406" priority="109">
      <formula>#REF!="142≠143+144"</formula>
    </cfRule>
  </conditionalFormatting>
  <conditionalFormatting sqref="B20">
    <cfRule type="expression" dxfId="405" priority="110">
      <formula>#REF!="20≠12+13+14+15+16+17+19"</formula>
    </cfRule>
  </conditionalFormatting>
  <conditionalFormatting sqref="T20">
    <cfRule type="expression" dxfId="404" priority="45">
      <formula>#REF!="20≠21+22"</formula>
    </cfRule>
  </conditionalFormatting>
  <conditionalFormatting sqref="T32">
    <cfRule type="expression" dxfId="403" priority="46">
      <formula>#REF!="32≠24+25+26+27+28+29+31"</formula>
    </cfRule>
    <cfRule type="expression" dxfId="402" priority="47">
      <formula>#REF!="32≠33+34"</formula>
    </cfRule>
  </conditionalFormatting>
  <conditionalFormatting sqref="T44">
    <cfRule type="expression" dxfId="401" priority="48">
      <formula>#REF!="44≠36+37+38+39+40+41+43"</formula>
    </cfRule>
    <cfRule type="expression" dxfId="400" priority="49">
      <formula>#REF!="44≠45+46"</formula>
    </cfRule>
  </conditionalFormatting>
  <conditionalFormatting sqref="T56">
    <cfRule type="expression" dxfId="399" priority="50">
      <formula>#REF!="56≠48+49+50+51+52+53+55"</formula>
    </cfRule>
    <cfRule type="expression" dxfId="398" priority="51">
      <formula>#REF!="56≠57+58"</formula>
    </cfRule>
  </conditionalFormatting>
  <conditionalFormatting sqref="T68">
    <cfRule type="expression" dxfId="397" priority="52">
      <formula>#REF!="68≠60+61+62+63+64+65+67"</formula>
    </cfRule>
    <cfRule type="expression" dxfId="396" priority="53">
      <formula>#REF!="68≠69+70"</formula>
    </cfRule>
  </conditionalFormatting>
  <conditionalFormatting sqref="T80">
    <cfRule type="expression" dxfId="395" priority="54">
      <formula>#REF!="80≠72+73+74+75+76+77+79"</formula>
    </cfRule>
    <cfRule type="expression" dxfId="394" priority="55">
      <formula>#REF!="80≠81+82"</formula>
    </cfRule>
  </conditionalFormatting>
  <conditionalFormatting sqref="T92">
    <cfRule type="expression" dxfId="393" priority="56">
      <formula>#REF!="92≠84+85+86+87+88+89+91"</formula>
    </cfRule>
    <cfRule type="expression" dxfId="392" priority="57">
      <formula>#REF!="92≠93+94"</formula>
    </cfRule>
  </conditionalFormatting>
  <conditionalFormatting sqref="T104">
    <cfRule type="expression" dxfId="391" priority="58">
      <formula>#REF!="104≠96+97+98+99+100+101+103"</formula>
    </cfRule>
    <cfRule type="expression" dxfId="390" priority="59">
      <formula>#REF!="104≠105+106"</formula>
    </cfRule>
  </conditionalFormatting>
  <conditionalFormatting sqref="T116">
    <cfRule type="expression" dxfId="389" priority="60">
      <formula>#REF!="116≠108+109+110+111+112+113+115"</formula>
    </cfRule>
    <cfRule type="expression" dxfId="388" priority="61">
      <formula>#REF!="116≠117+118"</formula>
    </cfRule>
  </conditionalFormatting>
  <conditionalFormatting sqref="T130">
    <cfRule type="expression" dxfId="387" priority="62">
      <formula>#REF!="130≠122+123+124+125+126+127+129"</formula>
    </cfRule>
    <cfRule type="expression" dxfId="386" priority="63">
      <formula>#REF!="130≠131+132"</formula>
    </cfRule>
  </conditionalFormatting>
  <conditionalFormatting sqref="T142">
    <cfRule type="expression" dxfId="385" priority="64">
      <formula>#REF!="142≠134+135+136+137+138+139+141"</formula>
    </cfRule>
    <cfRule type="expression" dxfId="384" priority="65">
      <formula>#REF!="142≠143+144"</formula>
    </cfRule>
  </conditionalFormatting>
  <conditionalFormatting sqref="T20">
    <cfRule type="expression" dxfId="383" priority="66">
      <formula>#REF!="20≠12+13+14+15+16+17+19"</formula>
    </cfRule>
  </conditionalFormatting>
  <conditionalFormatting sqref="K20">
    <cfRule type="expression" dxfId="382" priority="1">
      <formula>#REF!="20≠21+22"</formula>
    </cfRule>
  </conditionalFormatting>
  <conditionalFormatting sqref="K32">
    <cfRule type="expression" dxfId="381" priority="2">
      <formula>#REF!="32≠24+25+26+27+28+29+31"</formula>
    </cfRule>
    <cfRule type="expression" dxfId="380" priority="3">
      <formula>#REF!="32≠33+34"</formula>
    </cfRule>
  </conditionalFormatting>
  <conditionalFormatting sqref="K44">
    <cfRule type="expression" dxfId="379" priority="4">
      <formula>#REF!="44≠36+37+38+39+40+41+43"</formula>
    </cfRule>
    <cfRule type="expression" dxfId="378" priority="5">
      <formula>#REF!="44≠45+46"</formula>
    </cfRule>
  </conditionalFormatting>
  <conditionalFormatting sqref="K56">
    <cfRule type="expression" dxfId="377" priority="6">
      <formula>#REF!="56≠48+49+50+51+52+53+55"</formula>
    </cfRule>
    <cfRule type="expression" dxfId="376" priority="7">
      <formula>#REF!="56≠57+58"</formula>
    </cfRule>
  </conditionalFormatting>
  <conditionalFormatting sqref="K68">
    <cfRule type="expression" dxfId="375" priority="8">
      <formula>#REF!="68≠60+61+62+63+64+65+67"</formula>
    </cfRule>
    <cfRule type="expression" dxfId="374" priority="9">
      <formula>#REF!="68≠69+70"</formula>
    </cfRule>
  </conditionalFormatting>
  <conditionalFormatting sqref="K80">
    <cfRule type="expression" dxfId="373" priority="10">
      <formula>#REF!="80≠72+73+74+75+76+77+79"</formula>
    </cfRule>
    <cfRule type="expression" dxfId="372" priority="11">
      <formula>#REF!="80≠81+82"</formula>
    </cfRule>
  </conditionalFormatting>
  <conditionalFormatting sqref="K92">
    <cfRule type="expression" dxfId="371" priority="12">
      <formula>#REF!="92≠84+85+86+87+88+89+91"</formula>
    </cfRule>
    <cfRule type="expression" dxfId="370" priority="13">
      <formula>#REF!="92≠93+94"</formula>
    </cfRule>
  </conditionalFormatting>
  <conditionalFormatting sqref="K104">
    <cfRule type="expression" dxfId="369" priority="14">
      <formula>#REF!="104≠96+97+98+99+100+101+103"</formula>
    </cfRule>
    <cfRule type="expression" dxfId="368" priority="15">
      <formula>#REF!="104≠105+106"</formula>
    </cfRule>
  </conditionalFormatting>
  <conditionalFormatting sqref="K116">
    <cfRule type="expression" dxfId="367" priority="16">
      <formula>#REF!="116≠108+109+110+111+112+113+115"</formula>
    </cfRule>
    <cfRule type="expression" dxfId="366" priority="17">
      <formula>#REF!="116≠117+118"</formula>
    </cfRule>
  </conditionalFormatting>
  <conditionalFormatting sqref="K130">
    <cfRule type="expression" dxfId="365" priority="18">
      <formula>#REF!="130≠122+123+124+125+126+127+129"</formula>
    </cfRule>
    <cfRule type="expression" dxfId="364" priority="19">
      <formula>#REF!="130≠131+132"</formula>
    </cfRule>
  </conditionalFormatting>
  <conditionalFormatting sqref="K142">
    <cfRule type="expression" dxfId="363" priority="20">
      <formula>#REF!="142≠134+135+136+137+138+139+141"</formula>
    </cfRule>
    <cfRule type="expression" dxfId="362" priority="21">
      <formula>#REF!="142≠143+144"</formula>
    </cfRule>
  </conditionalFormatting>
  <conditionalFormatting sqref="K20">
    <cfRule type="expression" dxfId="361" priority="22">
      <formula>#REF!="20≠12+13+14+15+16+17+19"</formula>
    </cfRule>
  </conditionalFormatting>
  <conditionalFormatting sqref="AM20 O20 X20 AA20 AJ20 R20 AD20 I20 AG20 F20 C20 U20 L20">
    <cfRule type="expression" dxfId="360" priority="1602">
      <formula>#REF!="20≠21+22"</formula>
    </cfRule>
  </conditionalFormatting>
  <conditionalFormatting sqref="AM32 O32 X32 AA32 AJ32 R32 AD32 I32 AG32 F32 C32 U32 L32">
    <cfRule type="expression" dxfId="359" priority="1603">
      <formula>#REF!="32≠24+25+26+27+28+29+31"</formula>
    </cfRule>
    <cfRule type="expression" dxfId="358" priority="1604">
      <formula>#REF!="32≠33+34"</formula>
    </cfRule>
  </conditionalFormatting>
  <conditionalFormatting sqref="AM44 O44 X44 AA44 AJ44 R44 AD44 I44 AG44 F44 C44 U44 L44">
    <cfRule type="expression" dxfId="357" priority="1605">
      <formula>#REF!="44≠36+37+38+39+40+41+43"</formula>
    </cfRule>
    <cfRule type="expression" dxfId="356" priority="1606">
      <formula>#REF!="44≠45+46"</formula>
    </cfRule>
  </conditionalFormatting>
  <conditionalFormatting sqref="AM56 O56 X56 AA56 AJ56 R56 AD56 I56 AG56 F56 C56 U56 L56">
    <cfRule type="expression" dxfId="355" priority="1607">
      <formula>#REF!="56≠48+49+50+51+52+53+55"</formula>
    </cfRule>
    <cfRule type="expression" dxfId="354" priority="1608">
      <formula>#REF!="56≠57+58"</formula>
    </cfRule>
  </conditionalFormatting>
  <conditionalFormatting sqref="AM68 O68 X68 AA68 AJ68 R68 AD68 I68 AG68 F68 C68 U68 L68">
    <cfRule type="expression" dxfId="353" priority="1609">
      <formula>#REF!="68≠60+61+62+63+64+65+67"</formula>
    </cfRule>
    <cfRule type="expression" dxfId="352" priority="1610">
      <formula>#REF!="68≠69+70"</formula>
    </cfRule>
  </conditionalFormatting>
  <conditionalFormatting sqref="AM80 O80 X80 AA80 AJ80 R80 AD80 I80 AG80 F80 C80 U80 L80">
    <cfRule type="expression" dxfId="351" priority="1611">
      <formula>#REF!="80≠72+73+74+75+76+77+79"</formula>
    </cfRule>
    <cfRule type="expression" dxfId="350" priority="1612">
      <formula>#REF!="80≠81+82"</formula>
    </cfRule>
  </conditionalFormatting>
  <conditionalFormatting sqref="AM92 O92 X92 AA92 AJ92 R92 AD92 I92 AG92 F92 C92 U92 L92">
    <cfRule type="expression" dxfId="349" priority="1613">
      <formula>#REF!="92≠84+85+86+87+88+89+91"</formula>
    </cfRule>
    <cfRule type="expression" dxfId="348" priority="1614">
      <formula>#REF!="92≠93+94"</formula>
    </cfRule>
  </conditionalFormatting>
  <conditionalFormatting sqref="AM104 O104 X104 AA104 AJ104 R104 AD104 I104 AG104 F104 C104 U104 L104">
    <cfRule type="expression" dxfId="347" priority="1615">
      <formula>#REF!="104≠96+97+98+99+100+101+103"</formula>
    </cfRule>
    <cfRule type="expression" dxfId="346" priority="1616">
      <formula>#REF!="104≠105+106"</formula>
    </cfRule>
  </conditionalFormatting>
  <conditionalFormatting sqref="AM116 O116 X116 AA116 AJ116 R116 AD116 I116 AG116 F116 C116 U116 L116">
    <cfRule type="expression" dxfId="345" priority="1617">
      <formula>#REF!="116≠108+109+110+111+112+113+115"</formula>
    </cfRule>
    <cfRule type="expression" dxfId="344" priority="1618">
      <formula>#REF!="116≠117+118"</formula>
    </cfRule>
  </conditionalFormatting>
  <conditionalFormatting sqref="AM130 O130 X130 AA130 AJ130 R130 AD130 I130 AG130 F130 C130 U130 L130">
    <cfRule type="expression" dxfId="343" priority="1619">
      <formula>#REF!="130≠122+123+124+125+126+127+129"</formula>
    </cfRule>
    <cfRule type="expression" dxfId="342" priority="1620">
      <formula>#REF!="130≠131+132"</formula>
    </cfRule>
  </conditionalFormatting>
  <conditionalFormatting sqref="AM142 O142 X142 AA142 AJ142 R142 AD142 I142 AG142 F142 C142 U142 L142">
    <cfRule type="expression" dxfId="341" priority="1621">
      <formula>#REF!="142≠134+135+136+137+138+139+141"</formula>
    </cfRule>
    <cfRule type="expression" dxfId="340" priority="1622">
      <formula>#REF!="142≠143+144"</formula>
    </cfRule>
  </conditionalFormatting>
  <conditionalFormatting sqref="AM20 O20 X20 AA20 AJ20 R20 AD20 I20 AG20 F20 C20 U20 L20">
    <cfRule type="expression" dxfId="339" priority="1623">
      <formula>#REF!="20≠12+13+14+15+16+17+19"</formula>
    </cfRule>
  </conditionalFormatting>
  <hyperlinks>
    <hyperlink ref="B1" location="Innhold!A1" display="Tilbake" xr:uid="{00000000-0004-0000-2000-000000000000}"/>
  </hyperlinks>
  <printOptions headings="1"/>
  <pageMargins left="0.78740157480314965" right="0.78740157480314965" top="1.5748031496062993" bottom="0.98425196850393704" header="0.51181102362204722" footer="0.51181102362204722"/>
  <pageSetup paperSize="9" scale="40" fitToWidth="5" orientation="portrait" r:id="rId1"/>
  <headerFooter alignWithMargins="0"/>
  <rowBreaks count="1" manualBreakCount="1">
    <brk id="119" max="39" man="1"/>
  </rowBreaks>
  <colBreaks count="4" manualBreakCount="4">
    <brk id="13" min="1" max="108" man="1"/>
    <brk id="37" min="1" max="108" man="1"/>
    <brk id="28" min="1" max="108" man="1"/>
    <brk id="34" min="1" max="108"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U131"/>
  <sheetViews>
    <sheetView showGridLines="0" zoomScale="60" zoomScaleNormal="60" workbookViewId="0">
      <pane xSplit="1" ySplit="9" topLeftCell="B10" activePane="bottomRight" state="frozen"/>
      <selection activeCell="C1" sqref="C1"/>
      <selection pane="topRight" activeCell="C1" sqref="C1"/>
      <selection pane="bottomLeft" activeCell="C1" sqref="C1"/>
      <selection pane="bottomRight" activeCell="A5" sqref="A5"/>
    </sheetView>
  </sheetViews>
  <sheetFormatPr baseColWidth="10" defaultColWidth="12.5703125" defaultRowHeight="15.75" x14ac:dyDescent="0.25"/>
  <cols>
    <col min="1" max="1" width="55.5703125" style="569" customWidth="1"/>
    <col min="2" max="46" width="11.7109375" style="569" customWidth="1"/>
    <col min="47" max="16384" width="12.5703125" style="569"/>
  </cols>
  <sheetData>
    <row r="1" spans="1:47" ht="20.25" customHeight="1" x14ac:dyDescent="0.3">
      <c r="A1" s="516" t="s">
        <v>167</v>
      </c>
      <c r="B1" s="456" t="s">
        <v>52</v>
      </c>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row>
    <row r="2" spans="1:47" ht="20.100000000000001" customHeight="1" x14ac:dyDescent="0.3">
      <c r="A2" s="570" t="s">
        <v>255</v>
      </c>
      <c r="B2" s="568"/>
      <c r="C2" s="568"/>
      <c r="D2" s="568"/>
      <c r="E2" s="568"/>
      <c r="F2" s="568"/>
      <c r="G2" s="568"/>
      <c r="H2" s="59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row>
    <row r="3" spans="1:47" ht="20.100000000000001" customHeight="1" x14ac:dyDescent="0.3">
      <c r="A3" s="571" t="s">
        <v>382</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row>
    <row r="4" spans="1:47" ht="20.100000000000001" customHeight="1" x14ac:dyDescent="0.3">
      <c r="A4" s="609" t="s">
        <v>383</v>
      </c>
      <c r="B4" s="573"/>
      <c r="C4" s="568"/>
      <c r="D4" s="568"/>
      <c r="E4" s="568"/>
      <c r="F4" s="568"/>
      <c r="G4" s="568"/>
      <c r="H4" s="568"/>
      <c r="I4" s="568"/>
      <c r="J4" s="568"/>
      <c r="K4" s="568"/>
      <c r="L4" s="568"/>
      <c r="M4" s="568"/>
      <c r="N4" s="568"/>
      <c r="O4" s="568"/>
      <c r="P4" s="568"/>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68"/>
      <c r="AS4" s="568"/>
      <c r="AT4" s="568"/>
      <c r="AU4" s="568"/>
    </row>
    <row r="5" spans="1:47" ht="18.75" customHeight="1" x14ac:dyDescent="0.3">
      <c r="A5" s="610" t="s">
        <v>347</v>
      </c>
      <c r="B5" s="575"/>
      <c r="C5" s="575"/>
      <c r="D5" s="576"/>
      <c r="E5" s="577"/>
      <c r="F5" s="575"/>
      <c r="G5" s="576"/>
      <c r="H5" s="577"/>
      <c r="I5" s="575"/>
      <c r="J5" s="576"/>
      <c r="K5" s="577"/>
      <c r="L5" s="575"/>
      <c r="M5" s="576"/>
      <c r="N5" s="577"/>
      <c r="O5" s="575"/>
      <c r="P5" s="576"/>
      <c r="Q5" s="577"/>
      <c r="R5" s="575"/>
      <c r="S5" s="576"/>
      <c r="T5" s="577"/>
      <c r="U5" s="575"/>
      <c r="V5" s="576"/>
      <c r="W5" s="577"/>
      <c r="X5" s="575"/>
      <c r="Y5" s="576"/>
      <c r="Z5" s="577"/>
      <c r="AA5" s="575"/>
      <c r="AB5" s="576"/>
      <c r="AC5" s="577"/>
      <c r="AD5" s="575"/>
      <c r="AE5" s="576"/>
      <c r="AF5" s="577"/>
      <c r="AG5" s="575"/>
      <c r="AH5" s="576"/>
      <c r="AI5" s="577"/>
      <c r="AJ5" s="575"/>
      <c r="AK5" s="576"/>
      <c r="AL5" s="577"/>
      <c r="AM5" s="575"/>
      <c r="AN5" s="576"/>
      <c r="AO5" s="577"/>
      <c r="AP5" s="575"/>
      <c r="AQ5" s="576"/>
      <c r="AR5" s="577"/>
      <c r="AS5" s="575"/>
      <c r="AT5" s="576"/>
      <c r="AU5" s="568"/>
    </row>
    <row r="6" spans="1:47" ht="18.75" customHeight="1" x14ac:dyDescent="0.3">
      <c r="A6" s="578" t="s">
        <v>98</v>
      </c>
      <c r="B6" s="1022" t="s">
        <v>504</v>
      </c>
      <c r="C6" s="1023"/>
      <c r="D6" s="1024"/>
      <c r="E6" s="1022" t="s">
        <v>170</v>
      </c>
      <c r="F6" s="1023"/>
      <c r="G6" s="1024"/>
      <c r="H6" s="1022" t="s">
        <v>461</v>
      </c>
      <c r="I6" s="1023"/>
      <c r="J6" s="1024"/>
      <c r="K6" s="1022" t="s">
        <v>171</v>
      </c>
      <c r="L6" s="1023"/>
      <c r="M6" s="1024"/>
      <c r="N6" s="1022" t="s">
        <v>172</v>
      </c>
      <c r="O6" s="1023"/>
      <c r="P6" s="1024"/>
      <c r="Q6" s="1022" t="s">
        <v>173</v>
      </c>
      <c r="R6" s="1023"/>
      <c r="S6" s="1024"/>
      <c r="T6" s="929" t="s">
        <v>173</v>
      </c>
      <c r="U6" s="930"/>
      <c r="V6" s="931"/>
      <c r="W6" s="864"/>
      <c r="X6" s="865"/>
      <c r="Y6" s="866"/>
      <c r="Z6" s="1022" t="s">
        <v>174</v>
      </c>
      <c r="AA6" s="1023"/>
      <c r="AB6" s="1024"/>
      <c r="AC6" s="912"/>
      <c r="AD6" s="913"/>
      <c r="AE6" s="914"/>
      <c r="AF6" s="1034" t="s">
        <v>67</v>
      </c>
      <c r="AG6" s="1035"/>
      <c r="AH6" s="1036"/>
      <c r="AI6" s="1022" t="s">
        <v>71</v>
      </c>
      <c r="AJ6" s="1023"/>
      <c r="AK6" s="1024"/>
      <c r="AL6" s="1022" t="s">
        <v>478</v>
      </c>
      <c r="AM6" s="1023"/>
      <c r="AN6" s="1024"/>
      <c r="AO6" s="1037" t="s">
        <v>2</v>
      </c>
      <c r="AP6" s="1038"/>
      <c r="AQ6" s="1039"/>
      <c r="AR6" s="1037" t="s">
        <v>2</v>
      </c>
      <c r="AS6" s="1038"/>
      <c r="AT6" s="1039"/>
      <c r="AU6" s="568"/>
    </row>
    <row r="7" spans="1:47" ht="18.75" customHeight="1" x14ac:dyDescent="0.3">
      <c r="A7" s="579"/>
      <c r="B7" s="1031" t="s">
        <v>177</v>
      </c>
      <c r="C7" s="1032"/>
      <c r="D7" s="1033"/>
      <c r="E7" s="1031" t="s">
        <v>176</v>
      </c>
      <c r="F7" s="1032"/>
      <c r="G7" s="1033"/>
      <c r="H7" s="1031" t="s">
        <v>176</v>
      </c>
      <c r="I7" s="1032"/>
      <c r="J7" s="1033"/>
      <c r="K7" s="1031" t="s">
        <v>176</v>
      </c>
      <c r="L7" s="1032"/>
      <c r="M7" s="1033"/>
      <c r="N7" s="1031" t="s">
        <v>177</v>
      </c>
      <c r="O7" s="1032"/>
      <c r="P7" s="1033"/>
      <c r="Q7" s="1031" t="s">
        <v>88</v>
      </c>
      <c r="R7" s="1032"/>
      <c r="S7" s="1033"/>
      <c r="T7" s="1031" t="s">
        <v>63</v>
      </c>
      <c r="U7" s="1032"/>
      <c r="V7" s="1033"/>
      <c r="W7" s="1031" t="s">
        <v>65</v>
      </c>
      <c r="X7" s="1032"/>
      <c r="Y7" s="1033"/>
      <c r="Z7" s="1031" t="s">
        <v>175</v>
      </c>
      <c r="AA7" s="1032"/>
      <c r="AB7" s="1033"/>
      <c r="AC7" s="1031" t="s">
        <v>70</v>
      </c>
      <c r="AD7" s="1032"/>
      <c r="AE7" s="1033"/>
      <c r="AF7" s="1043" t="s">
        <v>474</v>
      </c>
      <c r="AG7" s="1044"/>
      <c r="AH7" s="1045"/>
      <c r="AI7" s="1031" t="s">
        <v>176</v>
      </c>
      <c r="AJ7" s="1032"/>
      <c r="AK7" s="1033"/>
      <c r="AL7" s="1031" t="s">
        <v>176</v>
      </c>
      <c r="AM7" s="1032"/>
      <c r="AN7" s="1033"/>
      <c r="AO7" s="1040" t="s">
        <v>281</v>
      </c>
      <c r="AP7" s="1041"/>
      <c r="AQ7" s="1042"/>
      <c r="AR7" s="1040" t="s">
        <v>282</v>
      </c>
      <c r="AS7" s="1041"/>
      <c r="AT7" s="1042"/>
      <c r="AU7" s="568"/>
    </row>
    <row r="8" spans="1:47" ht="18.75" customHeight="1" x14ac:dyDescent="0.3">
      <c r="A8" s="579"/>
      <c r="B8" s="528"/>
      <c r="C8" s="528"/>
      <c r="D8" s="529" t="s">
        <v>79</v>
      </c>
      <c r="E8" s="528"/>
      <c r="F8" s="528"/>
      <c r="G8" s="529" t="s">
        <v>79</v>
      </c>
      <c r="H8" s="528"/>
      <c r="I8" s="528"/>
      <c r="J8" s="529" t="s">
        <v>79</v>
      </c>
      <c r="K8" s="528"/>
      <c r="L8" s="528"/>
      <c r="M8" s="529" t="s">
        <v>79</v>
      </c>
      <c r="N8" s="528"/>
      <c r="O8" s="528"/>
      <c r="P8" s="529" t="s">
        <v>79</v>
      </c>
      <c r="Q8" s="528"/>
      <c r="R8" s="528"/>
      <c r="S8" s="529" t="s">
        <v>79</v>
      </c>
      <c r="T8" s="528"/>
      <c r="U8" s="528"/>
      <c r="V8" s="529" t="s">
        <v>79</v>
      </c>
      <c r="W8" s="528"/>
      <c r="X8" s="528"/>
      <c r="Y8" s="529" t="s">
        <v>79</v>
      </c>
      <c r="Z8" s="528"/>
      <c r="AA8" s="528"/>
      <c r="AB8" s="529" t="s">
        <v>79</v>
      </c>
      <c r="AC8" s="528"/>
      <c r="AD8" s="528"/>
      <c r="AE8" s="529" t="s">
        <v>79</v>
      </c>
      <c r="AF8" s="528"/>
      <c r="AG8" s="528"/>
      <c r="AH8" s="529" t="s">
        <v>79</v>
      </c>
      <c r="AI8" s="528"/>
      <c r="AJ8" s="528"/>
      <c r="AK8" s="529" t="s">
        <v>79</v>
      </c>
      <c r="AL8" s="528"/>
      <c r="AM8" s="528"/>
      <c r="AN8" s="529" t="s">
        <v>79</v>
      </c>
      <c r="AO8" s="528"/>
      <c r="AP8" s="528"/>
      <c r="AQ8" s="529" t="s">
        <v>79</v>
      </c>
      <c r="AR8" s="528"/>
      <c r="AS8" s="528"/>
      <c r="AT8" s="529" t="s">
        <v>79</v>
      </c>
      <c r="AU8" s="568"/>
    </row>
    <row r="9" spans="1:47" ht="18.75" customHeight="1" x14ac:dyDescent="0.3">
      <c r="A9" s="580" t="s">
        <v>283</v>
      </c>
      <c r="B9" s="531">
        <v>2021</v>
      </c>
      <c r="C9" s="531">
        <v>2022</v>
      </c>
      <c r="D9" s="532" t="s">
        <v>81</v>
      </c>
      <c r="E9" s="611">
        <f>$B$9</f>
        <v>2021</v>
      </c>
      <c r="F9" s="531">
        <f>$C$9</f>
        <v>2022</v>
      </c>
      <c r="G9" s="532" t="s">
        <v>81</v>
      </c>
      <c r="H9" s="611">
        <f>$B$9</f>
        <v>2021</v>
      </c>
      <c r="I9" s="531">
        <f>$C$9</f>
        <v>2022</v>
      </c>
      <c r="J9" s="532" t="s">
        <v>81</v>
      </c>
      <c r="K9" s="611">
        <f>$B$9</f>
        <v>2021</v>
      </c>
      <c r="L9" s="531">
        <f>$C$9</f>
        <v>2022</v>
      </c>
      <c r="M9" s="532" t="s">
        <v>81</v>
      </c>
      <c r="N9" s="611">
        <f>$B$9</f>
        <v>2021</v>
      </c>
      <c r="O9" s="531">
        <f>$C$9</f>
        <v>2022</v>
      </c>
      <c r="P9" s="532" t="s">
        <v>81</v>
      </c>
      <c r="Q9" s="611">
        <f>$B$9</f>
        <v>2021</v>
      </c>
      <c r="R9" s="531">
        <f>$C$9</f>
        <v>2022</v>
      </c>
      <c r="S9" s="532" t="s">
        <v>81</v>
      </c>
      <c r="T9" s="611">
        <f>$B$9</f>
        <v>2021</v>
      </c>
      <c r="U9" s="531">
        <f>$C$9</f>
        <v>2022</v>
      </c>
      <c r="V9" s="532" t="s">
        <v>81</v>
      </c>
      <c r="W9" s="611">
        <f>$B$9</f>
        <v>2021</v>
      </c>
      <c r="X9" s="531">
        <f>$C$9</f>
        <v>2022</v>
      </c>
      <c r="Y9" s="532" t="s">
        <v>81</v>
      </c>
      <c r="Z9" s="611">
        <f>$B$9</f>
        <v>2021</v>
      </c>
      <c r="AA9" s="531">
        <f>$C$9</f>
        <v>2022</v>
      </c>
      <c r="AB9" s="532" t="s">
        <v>81</v>
      </c>
      <c r="AC9" s="611">
        <f>$B$9</f>
        <v>2021</v>
      </c>
      <c r="AD9" s="531">
        <f>$C$9</f>
        <v>2022</v>
      </c>
      <c r="AE9" s="532" t="s">
        <v>81</v>
      </c>
      <c r="AF9" s="611">
        <f>$B$9</f>
        <v>2021</v>
      </c>
      <c r="AG9" s="531">
        <f>$C$9</f>
        <v>2022</v>
      </c>
      <c r="AH9" s="532" t="s">
        <v>81</v>
      </c>
      <c r="AI9" s="611">
        <f>$B$9</f>
        <v>2021</v>
      </c>
      <c r="AJ9" s="531">
        <f>$C$9</f>
        <v>2022</v>
      </c>
      <c r="AK9" s="532" t="s">
        <v>81</v>
      </c>
      <c r="AL9" s="611">
        <f>$B$9</f>
        <v>2021</v>
      </c>
      <c r="AM9" s="531">
        <f>$C$9</f>
        <v>2022</v>
      </c>
      <c r="AN9" s="532" t="s">
        <v>81</v>
      </c>
      <c r="AO9" s="611">
        <f>$B$9</f>
        <v>2021</v>
      </c>
      <c r="AP9" s="531">
        <f>$C$9</f>
        <v>2022</v>
      </c>
      <c r="AQ9" s="532" t="s">
        <v>81</v>
      </c>
      <c r="AR9" s="611">
        <f>$B$9</f>
        <v>2021</v>
      </c>
      <c r="AS9" s="531">
        <f>$C$9</f>
        <v>2022</v>
      </c>
      <c r="AT9" s="532" t="s">
        <v>81</v>
      </c>
      <c r="AU9" s="568"/>
    </row>
    <row r="10" spans="1:47" ht="18.75" customHeight="1" x14ac:dyDescent="0.3">
      <c r="A10" s="581"/>
      <c r="B10" s="762"/>
      <c r="C10" s="763"/>
      <c r="D10" s="582"/>
      <c r="E10" s="762"/>
      <c r="F10" s="763"/>
      <c r="G10" s="583"/>
      <c r="H10" s="762"/>
      <c r="I10" s="763"/>
      <c r="J10" s="584"/>
      <c r="K10" s="762"/>
      <c r="L10" s="763"/>
      <c r="M10" s="584"/>
      <c r="N10" s="762"/>
      <c r="O10" s="763"/>
      <c r="P10" s="582"/>
      <c r="Q10" s="762"/>
      <c r="R10" s="763"/>
      <c r="S10" s="583"/>
      <c r="T10" s="762"/>
      <c r="U10" s="763"/>
      <c r="V10" s="583"/>
      <c r="W10" s="762"/>
      <c r="X10" s="763"/>
      <c r="Y10" s="583"/>
      <c r="Z10" s="762"/>
      <c r="AA10" s="763"/>
      <c r="AB10" s="583"/>
      <c r="AC10" s="762"/>
      <c r="AD10" s="763"/>
      <c r="AE10" s="583"/>
      <c r="AF10" s="762"/>
      <c r="AG10" s="763"/>
      <c r="AH10" s="583"/>
      <c r="AI10" s="762"/>
      <c r="AJ10" s="763"/>
      <c r="AK10" s="583"/>
      <c r="AL10" s="762"/>
      <c r="AM10" s="763"/>
      <c r="AN10" s="583"/>
      <c r="AO10" s="582"/>
      <c r="AP10" s="582"/>
      <c r="AQ10" s="583"/>
      <c r="AR10" s="586"/>
      <c r="AS10" s="586"/>
      <c r="AT10" s="583"/>
      <c r="AU10" s="568"/>
    </row>
    <row r="11" spans="1:47" ht="18.75" customHeight="1" x14ac:dyDescent="0.3">
      <c r="A11" s="612" t="s">
        <v>384</v>
      </c>
      <c r="B11" s="770"/>
      <c r="C11" s="771"/>
      <c r="D11" s="614"/>
      <c r="E11" s="770"/>
      <c r="F11" s="771"/>
      <c r="G11" s="615"/>
      <c r="H11" s="770"/>
      <c r="I11" s="771"/>
      <c r="J11" s="615"/>
      <c r="K11" s="770"/>
      <c r="L11" s="771"/>
      <c r="M11" s="615"/>
      <c r="N11" s="770"/>
      <c r="O11" s="771"/>
      <c r="P11" s="614"/>
      <c r="Q11" s="770"/>
      <c r="R11" s="771"/>
      <c r="S11" s="615"/>
      <c r="T11" s="770"/>
      <c r="U11" s="771"/>
      <c r="V11" s="615"/>
      <c r="W11" s="770"/>
      <c r="X11" s="771"/>
      <c r="Y11" s="615"/>
      <c r="Z11" s="770"/>
      <c r="AA11" s="771"/>
      <c r="AB11" s="615"/>
      <c r="AC11" s="770"/>
      <c r="AD11" s="771"/>
      <c r="AE11" s="615"/>
      <c r="AF11" s="770"/>
      <c r="AG11" s="771"/>
      <c r="AH11" s="615"/>
      <c r="AI11" s="770"/>
      <c r="AJ11" s="771"/>
      <c r="AK11" s="615"/>
      <c r="AL11" s="770"/>
      <c r="AM11" s="771"/>
      <c r="AN11" s="615"/>
      <c r="AO11" s="614"/>
      <c r="AP11" s="614"/>
      <c r="AQ11" s="615"/>
      <c r="AR11" s="613"/>
      <c r="AS11" s="613"/>
      <c r="AT11" s="615"/>
      <c r="AU11" s="568"/>
    </row>
    <row r="12" spans="1:47" s="591" customFormat="1" ht="18.75" customHeight="1" x14ac:dyDescent="0.3">
      <c r="A12" s="542" t="s">
        <v>351</v>
      </c>
      <c r="B12" s="758">
        <v>2.7E-2</v>
      </c>
      <c r="C12" s="759">
        <v>-8.9999999999999993E-3</v>
      </c>
      <c r="D12" s="589">
        <f>IF(B12=0, "    ---- ", IF(ABS(ROUND(100/B12*C12-100,1))&lt;999,ROUND(100/B12*C12-100,1),IF(ROUND(100/B12*C12-100,1)&gt;999,999,-999)))</f>
        <v>-133.30000000000001</v>
      </c>
      <c r="E12" s="758">
        <v>1.9683823247007033</v>
      </c>
      <c r="F12" s="759">
        <v>0</v>
      </c>
      <c r="G12" s="590">
        <f>IF(E12=0, "    ---- ", IF(ABS(ROUND(100/E12*F12-100,1))&lt;999,ROUND(100/E12*F12-100,1),IF(ROUND(100/E12*F12-100,1)&gt;999,999,-999)))</f>
        <v>-100</v>
      </c>
      <c r="H12" s="758">
        <v>48.388082789999999</v>
      </c>
      <c r="I12" s="759">
        <v>-15.114476280000002</v>
      </c>
      <c r="J12" s="590">
        <f t="shared" ref="J12" si="0">IF(H12=0, "    ---- ", IF(ABS(ROUND(100/H12*I12-100,1))&lt;999,ROUND(100/H12*I12-100,1),IF(ROUND(100/H12*I12-100,1)&gt;999,999,-999)))</f>
        <v>-131.19999999999999</v>
      </c>
      <c r="K12" s="758">
        <v>13.462</v>
      </c>
      <c r="L12" s="759">
        <v>-6.49</v>
      </c>
      <c r="M12" s="590">
        <f t="shared" ref="M12:M34" si="1">IF(K12=0, "    ---- ", IF(ABS(ROUND(100/K12*L12-100,1))&lt;999,ROUND(100/K12*L12-100,1),IF(ROUND(100/K12*L12-100,1)&gt;999,999,-999)))</f>
        <v>-148.19999999999999</v>
      </c>
      <c r="N12" s="758"/>
      <c r="O12" s="759"/>
      <c r="P12" s="589"/>
      <c r="Q12" s="758">
        <v>0.20907136471683599</v>
      </c>
      <c r="R12" s="759"/>
      <c r="S12" s="590">
        <f t="shared" ref="S12:S22" si="2">IF(Q12=0, "    ---- ", IF(ABS(ROUND(100/Q12*R12-100,1))&lt;999,ROUND(100/Q12*R12-100,1),IF(ROUND(100/Q12*R12-100,1)&gt;999,999,-999)))</f>
        <v>-100</v>
      </c>
      <c r="T12" s="758"/>
      <c r="U12" s="759"/>
      <c r="V12" s="590"/>
      <c r="W12" s="758"/>
      <c r="X12" s="759"/>
      <c r="Y12" s="590"/>
      <c r="Z12" s="758"/>
      <c r="AA12" s="759"/>
      <c r="AB12" s="590"/>
      <c r="AC12" s="758"/>
      <c r="AD12" s="759"/>
      <c r="AE12" s="590"/>
      <c r="AF12" s="758">
        <v>4</v>
      </c>
      <c r="AG12" s="759">
        <v>-1</v>
      </c>
      <c r="AH12" s="590">
        <f t="shared" ref="AH12:AH22" si="3">IF(AF12=0, "    ---- ", IF(ABS(ROUND(100/AF12*AG12-100,1))&lt;999,ROUND(100/AF12*AG12-100,1),IF(ROUND(100/AF12*AG12-100,1)&gt;999,999,-999)))</f>
        <v>-125</v>
      </c>
      <c r="AI12" s="758">
        <f>30</f>
        <v>30</v>
      </c>
      <c r="AJ12" s="759">
        <v>6.4</v>
      </c>
      <c r="AK12" s="590">
        <f>IF(AI12=0, "    ---- ", IF(ABS(ROUND(100/AI12*AJ12-100,1))&lt;999,ROUND(100/AI12*AJ12-100,1),IF(ROUND(100/AI12*AJ12-100,1)&gt;999,999,-999)))</f>
        <v>-78.7</v>
      </c>
      <c r="AL12" s="758"/>
      <c r="AM12" s="759"/>
      <c r="AN12" s="590"/>
      <c r="AO12" s="589">
        <f>B12+E12+H12+K12+N12+T12+W12+Z12+AF12+AI12</f>
        <v>97.845465114700701</v>
      </c>
      <c r="AP12" s="589">
        <f>C12+F12+I12+L12+O12+U12+X12+AA12+AG12+AJ12</f>
        <v>-16.213476280000002</v>
      </c>
      <c r="AQ12" s="590">
        <f t="shared" ref="AQ12:AQ22" si="4">IF(AO12=0, "    ---- ", IF(ABS(ROUND(100/AO12*AP12-100,1))&lt;999,ROUND(100/AO12*AP12-100,1),IF(ROUND(100/AO12*AP12-100,1)&gt;999,999,-999)))</f>
        <v>-116.6</v>
      </c>
      <c r="AR12" s="550">
        <f t="shared" ref="AR12:AR22" si="5">+B12+E12+H12+K12+N12+Q12+T12+AL12+W12+Z12+AC12+AF12+AI12</f>
        <v>98.054536479417536</v>
      </c>
      <c r="AS12" s="550">
        <f t="shared" ref="AS12:AS22" si="6">+C12+F12+I12+L12+O12+R12+U12+AM12+X12+AA12+AD12+AG12+AJ12</f>
        <v>-16.213476280000002</v>
      </c>
      <c r="AT12" s="590">
        <f t="shared" ref="AT12:AT22" si="7">IF(AR12=0, "    ---- ", IF(ABS(ROUND(100/AR12*AS12-100,1))&lt;999,ROUND(100/AR12*AS12-100,1),IF(ROUND(100/AR12*AS12-100,1)&gt;999,999,-999)))</f>
        <v>-116.5</v>
      </c>
      <c r="AU12" s="568"/>
    </row>
    <row r="13" spans="1:47" s="591" customFormat="1" ht="18.75" customHeight="1" x14ac:dyDescent="0.3">
      <c r="A13" s="542" t="s">
        <v>352</v>
      </c>
      <c r="B13" s="758"/>
      <c r="C13" s="759"/>
      <c r="D13" s="589"/>
      <c r="E13" s="758"/>
      <c r="F13" s="759"/>
      <c r="G13" s="590"/>
      <c r="H13" s="758"/>
      <c r="I13" s="759"/>
      <c r="J13" s="590"/>
      <c r="K13" s="758"/>
      <c r="L13" s="759"/>
      <c r="M13" s="590"/>
      <c r="N13" s="758"/>
      <c r="O13" s="759"/>
      <c r="P13" s="589"/>
      <c r="Q13" s="758"/>
      <c r="R13" s="759"/>
      <c r="S13" s="590"/>
      <c r="T13" s="758"/>
      <c r="U13" s="759"/>
      <c r="V13" s="590"/>
      <c r="W13" s="758"/>
      <c r="X13" s="759"/>
      <c r="Y13" s="590"/>
      <c r="Z13" s="758"/>
      <c r="AA13" s="759"/>
      <c r="AB13" s="590"/>
      <c r="AC13" s="758"/>
      <c r="AD13" s="759"/>
      <c r="AE13" s="590"/>
      <c r="AF13" s="758"/>
      <c r="AG13" s="759"/>
      <c r="AH13" s="590"/>
      <c r="AI13" s="758"/>
      <c r="AJ13" s="759"/>
      <c r="AK13" s="590"/>
      <c r="AL13" s="758"/>
      <c r="AM13" s="759"/>
      <c r="AN13" s="590"/>
      <c r="AO13" s="589"/>
      <c r="AP13" s="589"/>
      <c r="AQ13" s="590"/>
      <c r="AR13" s="550"/>
      <c r="AS13" s="550"/>
      <c r="AT13" s="590"/>
      <c r="AU13" s="568"/>
    </row>
    <row r="14" spans="1:47" s="591" customFormat="1" ht="18.75" customHeight="1" x14ac:dyDescent="0.3">
      <c r="A14" s="542" t="s">
        <v>353</v>
      </c>
      <c r="B14" s="758">
        <v>-0.26600000000000001</v>
      </c>
      <c r="C14" s="759">
        <v>-0.373</v>
      </c>
      <c r="D14" s="589">
        <f>IF(B14=0, "    ---- ", IF(ABS(ROUND(100/B14*C14-100,1))&lt;999,ROUND(100/B14*C14-100,1),IF(ROUND(100/B14*C14-100,1)&gt;999,999,-999)))</f>
        <v>40.200000000000003</v>
      </c>
      <c r="E14" s="758">
        <v>26.887539764293301</v>
      </c>
      <c r="F14" s="759">
        <v>15</v>
      </c>
      <c r="G14" s="590">
        <f>IF(E14=0, "    ---- ", IF(ABS(ROUND(100/E14*F14-100,1))&lt;999,ROUND(100/E14*F14-100,1),IF(ROUND(100/E14*F14-100,1)&gt;999,999,-999)))</f>
        <v>-44.2</v>
      </c>
      <c r="H14" s="758">
        <v>-18.041390759999999</v>
      </c>
      <c r="I14" s="759">
        <v>15.306763350000001</v>
      </c>
      <c r="J14" s="590">
        <f t="shared" ref="J14" si="8">IF(H14=0, "    ---- ", IF(ABS(ROUND(100/H14*I14-100,1))&lt;999,ROUND(100/H14*I14-100,1),IF(ROUND(100/H14*I14-100,1)&gt;999,999,-999)))</f>
        <v>-184.8</v>
      </c>
      <c r="K14" s="758">
        <v>-13.419</v>
      </c>
      <c r="L14" s="759">
        <v>-19.629000000000001</v>
      </c>
      <c r="M14" s="590">
        <f t="shared" si="1"/>
        <v>46.3</v>
      </c>
      <c r="N14" s="758"/>
      <c r="O14" s="759"/>
      <c r="P14" s="589"/>
      <c r="Q14" s="758">
        <v>-2.4199030000000001</v>
      </c>
      <c r="R14" s="759">
        <v>-3.1819999999999999</v>
      </c>
      <c r="S14" s="590">
        <f t="shared" si="2"/>
        <v>31.5</v>
      </c>
      <c r="T14" s="967"/>
      <c r="U14" s="759"/>
      <c r="V14" s="590"/>
      <c r="W14" s="758"/>
      <c r="X14" s="759"/>
      <c r="Y14" s="590"/>
      <c r="Z14" s="758"/>
      <c r="AA14" s="759"/>
      <c r="AB14" s="590"/>
      <c r="AC14" s="758"/>
      <c r="AD14" s="759"/>
      <c r="AE14" s="590"/>
      <c r="AF14" s="758">
        <v>1</v>
      </c>
      <c r="AG14" s="759">
        <v>2</v>
      </c>
      <c r="AH14" s="590">
        <f t="shared" si="3"/>
        <v>100</v>
      </c>
      <c r="AI14" s="758">
        <v>21</v>
      </c>
      <c r="AJ14" s="759">
        <v>-14</v>
      </c>
      <c r="AK14" s="590">
        <f>IF(AI14=0, "    ---- ", IF(ABS(ROUND(100/AI14*AJ14-100,1))&lt;999,ROUND(100/AI14*AJ14-100,1),IF(ROUND(100/AI14*AJ14-100,1)&gt;999,999,-999)))</f>
        <v>-166.7</v>
      </c>
      <c r="AL14" s="758"/>
      <c r="AM14" s="759"/>
      <c r="AN14" s="590"/>
      <c r="AO14" s="589">
        <f t="shared" ref="AO14:AP22" si="9">B14+E14+H14+K14+N14+T14+W14+Z14+AF14+AI14</f>
        <v>17.161149004293303</v>
      </c>
      <c r="AP14" s="589">
        <f t="shared" si="9"/>
        <v>-1.6952366500000018</v>
      </c>
      <c r="AQ14" s="590">
        <f t="shared" si="4"/>
        <v>-109.9</v>
      </c>
      <c r="AR14" s="550">
        <f t="shared" si="5"/>
        <v>14.741246004293304</v>
      </c>
      <c r="AS14" s="550">
        <f t="shared" si="6"/>
        <v>-4.8772366500000022</v>
      </c>
      <c r="AT14" s="590">
        <f t="shared" si="7"/>
        <v>-133.1</v>
      </c>
      <c r="AU14" s="568"/>
    </row>
    <row r="15" spans="1:47" s="591" customFormat="1" ht="18.75" customHeight="1" x14ac:dyDescent="0.3">
      <c r="A15" s="542" t="s">
        <v>354</v>
      </c>
      <c r="B15" s="758"/>
      <c r="C15" s="759"/>
      <c r="D15" s="589"/>
      <c r="E15" s="758"/>
      <c r="F15" s="759"/>
      <c r="G15" s="590"/>
      <c r="H15" s="758"/>
      <c r="I15" s="759"/>
      <c r="J15" s="590"/>
      <c r="K15" s="758"/>
      <c r="L15" s="759"/>
      <c r="M15" s="590"/>
      <c r="N15" s="758"/>
      <c r="O15" s="759"/>
      <c r="P15" s="589"/>
      <c r="Q15" s="919"/>
      <c r="R15" s="759"/>
      <c r="S15" s="590"/>
      <c r="T15" s="758"/>
      <c r="U15" s="759"/>
      <c r="V15" s="590"/>
      <c r="W15" s="758"/>
      <c r="X15" s="759"/>
      <c r="Y15" s="590"/>
      <c r="Z15" s="758"/>
      <c r="AA15" s="759"/>
      <c r="AB15" s="590"/>
      <c r="AC15" s="758"/>
      <c r="AD15" s="759"/>
      <c r="AE15" s="590"/>
      <c r="AF15" s="758"/>
      <c r="AG15" s="759"/>
      <c r="AH15" s="590"/>
      <c r="AI15" s="758"/>
      <c r="AJ15" s="759"/>
      <c r="AK15" s="590"/>
      <c r="AL15" s="758"/>
      <c r="AM15" s="759"/>
      <c r="AN15" s="590"/>
      <c r="AO15" s="589"/>
      <c r="AP15" s="589"/>
      <c r="AQ15" s="590"/>
      <c r="AR15" s="550"/>
      <c r="AS15" s="550"/>
      <c r="AT15" s="590"/>
      <c r="AU15" s="568"/>
    </row>
    <row r="16" spans="1:47" s="591" customFormat="1" ht="18.75" customHeight="1" x14ac:dyDescent="0.3">
      <c r="A16" s="542" t="s">
        <v>355</v>
      </c>
      <c r="B16" s="758"/>
      <c r="C16" s="759"/>
      <c r="D16" s="589"/>
      <c r="E16" s="758"/>
      <c r="F16" s="759"/>
      <c r="G16" s="590"/>
      <c r="H16" s="758"/>
      <c r="I16" s="759"/>
      <c r="J16" s="590"/>
      <c r="K16" s="758"/>
      <c r="L16" s="759"/>
      <c r="M16" s="590"/>
      <c r="N16" s="758"/>
      <c r="O16" s="759"/>
      <c r="P16" s="589"/>
      <c r="Q16" s="758"/>
      <c r="R16" s="759"/>
      <c r="S16" s="590"/>
      <c r="T16" s="758"/>
      <c r="U16" s="759"/>
      <c r="V16" s="590"/>
      <c r="W16" s="758"/>
      <c r="X16" s="759"/>
      <c r="Y16" s="590"/>
      <c r="Z16" s="758"/>
      <c r="AA16" s="759"/>
      <c r="AB16" s="590"/>
      <c r="AC16" s="758"/>
      <c r="AD16" s="759"/>
      <c r="AE16" s="590"/>
      <c r="AF16" s="758"/>
      <c r="AG16" s="759"/>
      <c r="AH16" s="590"/>
      <c r="AI16" s="758"/>
      <c r="AJ16" s="759"/>
      <c r="AK16" s="590"/>
      <c r="AL16" s="758"/>
      <c r="AM16" s="759"/>
      <c r="AN16" s="590"/>
      <c r="AO16" s="589"/>
      <c r="AP16" s="589"/>
      <c r="AQ16" s="590"/>
      <c r="AR16" s="550"/>
      <c r="AS16" s="550"/>
      <c r="AT16" s="590"/>
      <c r="AU16" s="568"/>
    </row>
    <row r="17" spans="1:47" s="591" customFormat="1" ht="18.75" customHeight="1" x14ac:dyDescent="0.3">
      <c r="A17" s="542" t="s">
        <v>356</v>
      </c>
      <c r="B17" s="758">
        <v>2.1749999999999998</v>
      </c>
      <c r="C17" s="759">
        <v>-0.192</v>
      </c>
      <c r="D17" s="589">
        <f>IF(B17=0, "    ---- ", IF(ABS(ROUND(100/B17*C17-100,1))&lt;999,ROUND(100/B17*C17-100,1),IF(ROUND(100/B17*C17-100,1)&gt;999,999,-999)))</f>
        <v>-108.8</v>
      </c>
      <c r="E17" s="758">
        <v>102.60807370125934</v>
      </c>
      <c r="F17" s="759">
        <v>35</v>
      </c>
      <c r="G17" s="590">
        <f>IF(E17=0, "    ---- ", IF(ABS(ROUND(100/E17*F17-100,1))&lt;999,ROUND(100/E17*F17-100,1),IF(ROUND(100/E17*F17-100,1)&gt;999,999,-999)))</f>
        <v>-65.900000000000006</v>
      </c>
      <c r="H17" s="758">
        <v>80.709956219999995</v>
      </c>
      <c r="I17" s="759">
        <v>104.87700784999994</v>
      </c>
      <c r="J17" s="590">
        <f t="shared" ref="J17" si="10">IF(H17=0, "    ---- ", IF(ABS(ROUND(100/H17*I17-100,1))&lt;999,ROUND(100/H17*I17-100,1),IF(ROUND(100/H17*I17-100,1)&gt;999,999,-999)))</f>
        <v>29.9</v>
      </c>
      <c r="K17" s="758">
        <v>15.047000000000001</v>
      </c>
      <c r="L17" s="759">
        <v>-0.20799999999999999</v>
      </c>
      <c r="M17" s="590">
        <f t="shared" si="1"/>
        <v>-101.4</v>
      </c>
      <c r="N17" s="758"/>
      <c r="O17" s="759"/>
      <c r="P17" s="589"/>
      <c r="Q17" s="758">
        <v>2.0472350000000001</v>
      </c>
      <c r="R17" s="759">
        <v>3.44</v>
      </c>
      <c r="S17" s="590">
        <f t="shared" si="2"/>
        <v>68</v>
      </c>
      <c r="T17" s="758">
        <v>0.5</v>
      </c>
      <c r="U17" s="759">
        <v>0.5</v>
      </c>
      <c r="V17" s="590">
        <f t="shared" ref="V17:V22" si="11">IF(T17=0, "    ---- ", IF(ABS(ROUND(100/T17*U17-100,1))&lt;999,ROUND(100/T17*U17-100,1),IF(ROUND(100/T17*U17-100,1)&gt;999,999,-999)))</f>
        <v>0</v>
      </c>
      <c r="W17" s="758"/>
      <c r="X17" s="759"/>
      <c r="Y17" s="590"/>
      <c r="Z17" s="758"/>
      <c r="AA17" s="759"/>
      <c r="AB17" s="590"/>
      <c r="AC17" s="758"/>
      <c r="AD17" s="759"/>
      <c r="AE17" s="590"/>
      <c r="AF17" s="758">
        <v>34</v>
      </c>
      <c r="AG17" s="759">
        <v>3</v>
      </c>
      <c r="AH17" s="590">
        <f t="shared" si="3"/>
        <v>-91.2</v>
      </c>
      <c r="AI17" s="758">
        <v>-84</v>
      </c>
      <c r="AJ17" s="759">
        <v>17.399999999999999</v>
      </c>
      <c r="AK17" s="590">
        <f>IF(AI17=0, "    ---- ", IF(ABS(ROUND(100/AI17*AJ17-100,1))&lt;999,ROUND(100/AI17*AJ17-100,1),IF(ROUND(100/AI17*AJ17-100,1)&gt;999,999,-999)))</f>
        <v>-120.7</v>
      </c>
      <c r="AL17" s="758"/>
      <c r="AM17" s="759"/>
      <c r="AN17" s="590"/>
      <c r="AO17" s="589">
        <f t="shared" si="9"/>
        <v>151.04002992125933</v>
      </c>
      <c r="AP17" s="589">
        <f t="shared" si="9"/>
        <v>160.37700784999996</v>
      </c>
      <c r="AQ17" s="590">
        <f t="shared" si="4"/>
        <v>6.2</v>
      </c>
      <c r="AR17" s="550">
        <f t="shared" si="5"/>
        <v>153.08726492125933</v>
      </c>
      <c r="AS17" s="550">
        <f t="shared" si="6"/>
        <v>163.81700784999995</v>
      </c>
      <c r="AT17" s="590">
        <f t="shared" si="7"/>
        <v>7</v>
      </c>
      <c r="AU17" s="568"/>
    </row>
    <row r="18" spans="1:47" s="591" customFormat="1" ht="18.75" customHeight="1" x14ac:dyDescent="0.3">
      <c r="A18" s="542" t="s">
        <v>357</v>
      </c>
      <c r="B18" s="758"/>
      <c r="C18" s="759"/>
      <c r="D18" s="589"/>
      <c r="E18" s="758"/>
      <c r="F18" s="759"/>
      <c r="G18" s="590"/>
      <c r="H18" s="758"/>
      <c r="I18" s="759"/>
      <c r="J18" s="590"/>
      <c r="K18" s="758"/>
      <c r="L18" s="759"/>
      <c r="M18" s="590"/>
      <c r="N18" s="758"/>
      <c r="O18" s="759"/>
      <c r="P18" s="589"/>
      <c r="Q18" s="758"/>
      <c r="R18" s="759"/>
      <c r="S18" s="590"/>
      <c r="T18" s="758"/>
      <c r="U18" s="759"/>
      <c r="V18" s="590"/>
      <c r="W18" s="758"/>
      <c r="X18" s="759"/>
      <c r="Y18" s="590"/>
      <c r="Z18" s="758"/>
      <c r="AA18" s="759"/>
      <c r="AB18" s="590"/>
      <c r="AC18" s="758"/>
      <c r="AD18" s="759"/>
      <c r="AE18" s="590"/>
      <c r="AF18" s="758"/>
      <c r="AG18" s="759"/>
      <c r="AH18" s="590"/>
      <c r="AI18" s="758"/>
      <c r="AJ18" s="759"/>
      <c r="AK18" s="590"/>
      <c r="AL18" s="758"/>
      <c r="AM18" s="759"/>
      <c r="AN18" s="590"/>
      <c r="AO18" s="589"/>
      <c r="AP18" s="589"/>
      <c r="AQ18" s="590"/>
      <c r="AR18" s="550"/>
      <c r="AS18" s="550"/>
      <c r="AT18" s="590"/>
      <c r="AU18" s="568"/>
    </row>
    <row r="19" spans="1:47" s="591" customFormat="1" ht="18.75" customHeight="1" x14ac:dyDescent="0.3">
      <c r="A19" s="542" t="s">
        <v>358</v>
      </c>
      <c r="B19" s="758"/>
      <c r="C19" s="759"/>
      <c r="D19" s="589"/>
      <c r="E19" s="758"/>
      <c r="F19" s="759"/>
      <c r="G19" s="590"/>
      <c r="H19" s="758"/>
      <c r="I19" s="759"/>
      <c r="J19" s="590"/>
      <c r="K19" s="758"/>
      <c r="L19" s="759"/>
      <c r="M19" s="590"/>
      <c r="N19" s="758"/>
      <c r="O19" s="759"/>
      <c r="P19" s="589"/>
      <c r="Q19" s="758"/>
      <c r="R19" s="759"/>
      <c r="S19" s="590"/>
      <c r="T19" s="758"/>
      <c r="U19" s="759"/>
      <c r="V19" s="590"/>
      <c r="W19" s="758"/>
      <c r="X19" s="759"/>
      <c r="Y19" s="590"/>
      <c r="Z19" s="758"/>
      <c r="AA19" s="759"/>
      <c r="AB19" s="590"/>
      <c r="AC19" s="758"/>
      <c r="AD19" s="759"/>
      <c r="AE19" s="590"/>
      <c r="AF19" s="758"/>
      <c r="AG19" s="759"/>
      <c r="AH19" s="590"/>
      <c r="AI19" s="758"/>
      <c r="AJ19" s="759"/>
      <c r="AK19" s="590"/>
      <c r="AL19" s="758"/>
      <c r="AM19" s="759"/>
      <c r="AN19" s="590"/>
      <c r="AO19" s="589"/>
      <c r="AP19" s="589"/>
      <c r="AQ19" s="590"/>
      <c r="AR19" s="550"/>
      <c r="AS19" s="550"/>
      <c r="AT19" s="590"/>
      <c r="AU19" s="568"/>
    </row>
    <row r="20" spans="1:47" s="593" customFormat="1" ht="18.75" customHeight="1" x14ac:dyDescent="0.3">
      <c r="A20" s="537" t="s">
        <v>359</v>
      </c>
      <c r="B20" s="756">
        <f>SUM(B12:B17)+B19</f>
        <v>1.9359999999999997</v>
      </c>
      <c r="C20" s="757">
        <f>SUM(C12:C17)+C19</f>
        <v>-0.57400000000000007</v>
      </c>
      <c r="D20" s="587">
        <f>IF(B20=0, "    ---- ", IF(ABS(ROUND(100/B20*C20-100,1))&lt;999,ROUND(100/B20*C20-100,1),IF(ROUND(100/B20*C20-100,1)&gt;999,999,-999)))</f>
        <v>-129.6</v>
      </c>
      <c r="E20" s="756">
        <f>SUM(E12:E17)+E19</f>
        <v>131.46399579025334</v>
      </c>
      <c r="F20" s="757">
        <f>SUM(F12:F17)+F19</f>
        <v>50</v>
      </c>
      <c r="G20" s="588">
        <f>IF(E20=0, "    ---- ", IF(ABS(ROUND(100/E20*F20-100,1))&lt;999,ROUND(100/E20*F20-100,1),IF(ROUND(100/E20*F20-100,1)&gt;999,999,-999)))</f>
        <v>-62</v>
      </c>
      <c r="H20" s="757">
        <f>SUM(H12:H17)+H19</f>
        <v>111.05664824999999</v>
      </c>
      <c r="I20" s="757">
        <f>SUM(I12:I17)+I19</f>
        <v>105.06929491999995</v>
      </c>
      <c r="J20" s="588">
        <f t="shared" ref="J20" si="12">IF(H20=0, "    ---- ", IF(ABS(ROUND(100/H20*I20-100,1))&lt;999,ROUND(100/H20*I20-100,1),IF(ROUND(100/H20*I20-100,1)&gt;999,999,-999)))</f>
        <v>-5.4</v>
      </c>
      <c r="K20" s="756">
        <f>SUM(K12:K17)+K19</f>
        <v>15.09</v>
      </c>
      <c r="L20" s="757">
        <f>SUM(L12:L17)+L19</f>
        <v>-26.326999999999998</v>
      </c>
      <c r="M20" s="588">
        <f t="shared" si="1"/>
        <v>-274.5</v>
      </c>
      <c r="N20" s="756"/>
      <c r="O20" s="757"/>
      <c r="P20" s="587"/>
      <c r="Q20" s="756">
        <f>SUM(Q12:Q17)+Q19</f>
        <v>-0.16359663528316393</v>
      </c>
      <c r="R20" s="757">
        <f>SUM(R12:R17)+R19</f>
        <v>0.25800000000000001</v>
      </c>
      <c r="S20" s="588">
        <f t="shared" si="2"/>
        <v>-257.7</v>
      </c>
      <c r="T20" s="756">
        <v>0.5</v>
      </c>
      <c r="U20" s="757">
        <f>SUM(U12:U17)+U19</f>
        <v>0.5</v>
      </c>
      <c r="V20" s="588">
        <f t="shared" si="11"/>
        <v>0</v>
      </c>
      <c r="W20" s="756"/>
      <c r="X20" s="757"/>
      <c r="Y20" s="588"/>
      <c r="Z20" s="756"/>
      <c r="AA20" s="757"/>
      <c r="AB20" s="588"/>
      <c r="AC20" s="756"/>
      <c r="AD20" s="757"/>
      <c r="AE20" s="588"/>
      <c r="AF20" s="756">
        <f>SUM(AF12:AF17)+AF19</f>
        <v>39</v>
      </c>
      <c r="AG20" s="757">
        <f>SUM(AG12:AG17)+AG19</f>
        <v>4</v>
      </c>
      <c r="AH20" s="588">
        <f t="shared" si="3"/>
        <v>-89.7</v>
      </c>
      <c r="AI20" s="756">
        <f>SUM(AI12:AI17)+AI19</f>
        <v>-33</v>
      </c>
      <c r="AJ20" s="757">
        <f>SUM(AJ12:AJ17)+AJ19</f>
        <v>9.7999999999999989</v>
      </c>
      <c r="AK20" s="588">
        <f>IF(AI20=0, "    ---- ", IF(ABS(ROUND(100/AI20*AJ20-100,1))&lt;999,ROUND(100/AI20*AJ20-100,1),IF(ROUND(100/AI20*AJ20-100,1)&gt;999,999,-999)))</f>
        <v>-129.69999999999999</v>
      </c>
      <c r="AL20" s="756"/>
      <c r="AM20" s="757"/>
      <c r="AN20" s="588"/>
      <c r="AO20" s="587">
        <f t="shared" si="9"/>
        <v>266.04664404025334</v>
      </c>
      <c r="AP20" s="587">
        <f t="shared" si="9"/>
        <v>142.46829491999995</v>
      </c>
      <c r="AQ20" s="588">
        <f t="shared" si="4"/>
        <v>-46.4</v>
      </c>
      <c r="AR20" s="552">
        <f t="shared" si="5"/>
        <v>265.88304740497017</v>
      </c>
      <c r="AS20" s="552">
        <f t="shared" si="6"/>
        <v>142.72629491999996</v>
      </c>
      <c r="AT20" s="588">
        <f t="shared" si="7"/>
        <v>-46.3</v>
      </c>
      <c r="AU20" s="592"/>
    </row>
    <row r="21" spans="1:47" s="591" customFormat="1" ht="18.75" customHeight="1" x14ac:dyDescent="0.3">
      <c r="A21" s="542" t="s">
        <v>360</v>
      </c>
      <c r="B21" s="758"/>
      <c r="C21" s="759"/>
      <c r="D21" s="589"/>
      <c r="E21" s="758"/>
      <c r="F21" s="759"/>
      <c r="G21" s="590"/>
      <c r="H21" s="758"/>
      <c r="I21" s="759"/>
      <c r="J21" s="590"/>
      <c r="K21" s="758"/>
      <c r="L21" s="759"/>
      <c r="M21" s="590"/>
      <c r="N21" s="758"/>
      <c r="O21" s="759"/>
      <c r="P21" s="589"/>
      <c r="Q21" s="758"/>
      <c r="R21" s="759"/>
      <c r="S21" s="590"/>
      <c r="T21" s="758"/>
      <c r="U21" s="759"/>
      <c r="V21" s="590"/>
      <c r="W21" s="758"/>
      <c r="X21" s="759"/>
      <c r="Y21" s="590"/>
      <c r="Z21" s="758"/>
      <c r="AA21" s="759"/>
      <c r="AB21" s="590"/>
      <c r="AC21" s="758"/>
      <c r="AD21" s="759"/>
      <c r="AE21" s="590"/>
      <c r="AF21" s="758"/>
      <c r="AG21" s="759"/>
      <c r="AH21" s="590"/>
      <c r="AI21" s="758"/>
      <c r="AJ21" s="759"/>
      <c r="AK21" s="590"/>
      <c r="AL21" s="758"/>
      <c r="AM21" s="759"/>
      <c r="AN21" s="590"/>
      <c r="AO21" s="589"/>
      <c r="AP21" s="589"/>
      <c r="AQ21" s="590"/>
      <c r="AR21" s="550"/>
      <c r="AS21" s="550"/>
      <c r="AT21" s="590"/>
      <c r="AU21" s="568"/>
    </row>
    <row r="22" spans="1:47" s="591" customFormat="1" ht="18.75" customHeight="1" x14ac:dyDescent="0.3">
      <c r="A22" s="542" t="s">
        <v>361</v>
      </c>
      <c r="B22" s="758">
        <v>1.9359999999999999</v>
      </c>
      <c r="C22" s="759">
        <v>-0.57499999999999996</v>
      </c>
      <c r="D22" s="589">
        <f>IF(B22=0, "    ---- ", IF(ABS(ROUND(100/B22*C22-100,1))&lt;999,ROUND(100/B22*C22-100,1),IF(ROUND(100/B22*C22-100,1)&gt;999,999,-999)))</f>
        <v>-129.69999999999999</v>
      </c>
      <c r="E22" s="758">
        <v>131.46399579025336</v>
      </c>
      <c r="F22" s="759">
        <v>50</v>
      </c>
      <c r="G22" s="590">
        <f>IF(E22=0, "    ---- ", IF(ABS(ROUND(100/E22*F22-100,1))&lt;999,ROUND(100/E22*F22-100,1),IF(ROUND(100/E22*F22-100,1)&gt;999,999,-999)))</f>
        <v>-62</v>
      </c>
      <c r="H22" s="758">
        <v>111.05664824999999</v>
      </c>
      <c r="I22" s="759">
        <f>+I20</f>
        <v>105.06929491999995</v>
      </c>
      <c r="J22" s="590">
        <f t="shared" ref="J22" si="13">IF(H22=0, "    ---- ", IF(ABS(ROUND(100/H22*I22-100,1))&lt;999,ROUND(100/H22*I22-100,1),IF(ROUND(100/H22*I22-100,1)&gt;999,999,-999)))</f>
        <v>-5.4</v>
      </c>
      <c r="K22" s="758">
        <v>15.097</v>
      </c>
      <c r="L22" s="759">
        <v>-26.239000000000001</v>
      </c>
      <c r="M22" s="590">
        <f t="shared" si="1"/>
        <v>-273.8</v>
      </c>
      <c r="N22" s="758"/>
      <c r="O22" s="759"/>
      <c r="P22" s="589"/>
      <c r="Q22" s="758">
        <v>-0.16359663528316393</v>
      </c>
      <c r="R22" s="759"/>
      <c r="S22" s="590">
        <f t="shared" si="2"/>
        <v>-100</v>
      </c>
      <c r="T22" s="758">
        <v>0.5</v>
      </c>
      <c r="U22" s="759">
        <v>0.5</v>
      </c>
      <c r="V22" s="590">
        <f t="shared" si="11"/>
        <v>0</v>
      </c>
      <c r="W22" s="758"/>
      <c r="X22" s="759"/>
      <c r="Y22" s="590"/>
      <c r="Z22" s="758"/>
      <c r="AA22" s="759"/>
      <c r="AB22" s="590"/>
      <c r="AC22" s="758"/>
      <c r="AD22" s="759"/>
      <c r="AE22" s="590"/>
      <c r="AF22" s="758">
        <v>39</v>
      </c>
      <c r="AG22" s="759">
        <v>4</v>
      </c>
      <c r="AH22" s="590">
        <f t="shared" si="3"/>
        <v>-89.7</v>
      </c>
      <c r="AI22" s="758">
        <v>-33</v>
      </c>
      <c r="AJ22" s="759">
        <v>10</v>
      </c>
      <c r="AK22" s="590">
        <f>IF(AI22=0, "    ---- ", IF(ABS(ROUND(100/AI22*AJ22-100,1))&lt;999,ROUND(100/AI22*AJ22-100,1),IF(ROUND(100/AI22*AJ22-100,1)&gt;999,999,-999)))</f>
        <v>-130.30000000000001</v>
      </c>
      <c r="AL22" s="758"/>
      <c r="AM22" s="759"/>
      <c r="AN22" s="590"/>
      <c r="AO22" s="589">
        <f t="shared" si="9"/>
        <v>266.05364404025335</v>
      </c>
      <c r="AP22" s="589">
        <f t="shared" si="9"/>
        <v>142.75529491999995</v>
      </c>
      <c r="AQ22" s="590">
        <f t="shared" si="4"/>
        <v>-46.3</v>
      </c>
      <c r="AR22" s="550">
        <f t="shared" si="5"/>
        <v>265.89004740497018</v>
      </c>
      <c r="AS22" s="550">
        <f t="shared" si="6"/>
        <v>142.75529491999995</v>
      </c>
      <c r="AT22" s="590">
        <f t="shared" si="7"/>
        <v>-46.3</v>
      </c>
      <c r="AU22" s="568"/>
    </row>
    <row r="23" spans="1:47" s="591" customFormat="1" ht="18.75" customHeight="1" x14ac:dyDescent="0.3">
      <c r="A23" s="537" t="s">
        <v>385</v>
      </c>
      <c r="B23" s="766"/>
      <c r="C23" s="767"/>
      <c r="D23" s="589"/>
      <c r="E23" s="766"/>
      <c r="F23" s="767"/>
      <c r="G23" s="590"/>
      <c r="H23" s="766"/>
      <c r="I23" s="767"/>
      <c r="J23" s="590"/>
      <c r="K23" s="766"/>
      <c r="L23" s="767"/>
      <c r="M23" s="590"/>
      <c r="N23" s="766"/>
      <c r="O23" s="767"/>
      <c r="P23" s="589"/>
      <c r="Q23" s="766"/>
      <c r="R23" s="767"/>
      <c r="S23" s="590"/>
      <c r="T23" s="766"/>
      <c r="U23" s="767"/>
      <c r="V23" s="590"/>
      <c r="W23" s="766"/>
      <c r="X23" s="767"/>
      <c r="Y23" s="590"/>
      <c r="Z23" s="766"/>
      <c r="AA23" s="767"/>
      <c r="AB23" s="590"/>
      <c r="AC23" s="766"/>
      <c r="AD23" s="767"/>
      <c r="AE23" s="590"/>
      <c r="AF23" s="766"/>
      <c r="AG23" s="767"/>
      <c r="AH23" s="590"/>
      <c r="AI23" s="766"/>
      <c r="AJ23" s="767"/>
      <c r="AK23" s="590"/>
      <c r="AL23" s="766"/>
      <c r="AM23" s="767"/>
      <c r="AN23" s="590"/>
      <c r="AO23" s="589"/>
      <c r="AP23" s="589"/>
      <c r="AQ23" s="590"/>
      <c r="AR23" s="550"/>
      <c r="AS23" s="550"/>
      <c r="AT23" s="590"/>
      <c r="AU23" s="568"/>
    </row>
    <row r="24" spans="1:47" s="591" customFormat="1" ht="18.75" customHeight="1" x14ac:dyDescent="0.3">
      <c r="A24" s="542" t="s">
        <v>351</v>
      </c>
      <c r="B24" s="764">
        <v>0.90200000000000002</v>
      </c>
      <c r="C24" s="765">
        <v>-1.71</v>
      </c>
      <c r="D24" s="589"/>
      <c r="E24" s="764">
        <v>20.861618205591409</v>
      </c>
      <c r="F24" s="765">
        <v>14</v>
      </c>
      <c r="G24" s="590">
        <f>IF(E24=0, "    ---- ", IF(ABS(ROUND(100/E24*F24-100,1))&lt;999,ROUND(100/E24*F24-100,1),IF(ROUND(100/E24*F24-100,1)&gt;999,999,-999)))</f>
        <v>-32.9</v>
      </c>
      <c r="H24" s="764">
        <v>11.28898905</v>
      </c>
      <c r="I24" s="765">
        <v>-3.4716625200000011</v>
      </c>
      <c r="J24" s="590">
        <f t="shared" ref="J24" si="14">IF(H24=0, "    ---- ", IF(ABS(ROUND(100/H24*I24-100,1))&lt;999,ROUND(100/H24*I24-100,1),IF(ROUND(100/H24*I24-100,1)&gt;999,999,-999)))</f>
        <v>-130.80000000000001</v>
      </c>
      <c r="K24" s="764">
        <v>14.927</v>
      </c>
      <c r="L24" s="765">
        <v>-5.734</v>
      </c>
      <c r="M24" s="590">
        <f t="shared" si="1"/>
        <v>-138.4</v>
      </c>
      <c r="N24" s="764"/>
      <c r="O24" s="765"/>
      <c r="P24" s="590"/>
      <c r="Q24" s="764"/>
      <c r="R24" s="765"/>
      <c r="S24" s="590"/>
      <c r="T24" s="764"/>
      <c r="U24" s="765"/>
      <c r="V24" s="590"/>
      <c r="W24" s="764">
        <v>2.27</v>
      </c>
      <c r="X24" s="765">
        <v>1.1434123069621016</v>
      </c>
      <c r="Y24" s="590">
        <f t="shared" ref="Y24:Y34" si="15">IF(W24=0, "    ---- ", IF(ABS(ROUND(100/W24*X24-100,1))&lt;999,ROUND(100/W24*X24-100,1),IF(ROUND(100/W24*X24-100,1)&gt;999,999,-999)))</f>
        <v>-49.6</v>
      </c>
      <c r="Z24" s="764"/>
      <c r="AA24" s="765"/>
      <c r="AB24" s="590"/>
      <c r="AC24" s="764"/>
      <c r="AD24" s="765"/>
      <c r="AE24" s="590"/>
      <c r="AF24" s="764"/>
      <c r="AG24" s="765"/>
      <c r="AH24" s="590"/>
      <c r="AI24" s="764">
        <v>13.5</v>
      </c>
      <c r="AJ24" s="765">
        <v>4</v>
      </c>
      <c r="AK24" s="590">
        <f>IF(AI24=0, "    ---- ", IF(ABS(ROUND(100/AI24*AJ24-100,1))&lt;999,ROUND(100/AI24*AJ24-100,1),IF(ROUND(100/AI24*AJ24-100,1)&gt;999,999,-999)))</f>
        <v>-70.400000000000006</v>
      </c>
      <c r="AL24" s="764"/>
      <c r="AM24" s="765"/>
      <c r="AN24" s="590"/>
      <c r="AO24" s="589">
        <f t="shared" ref="AO24:AP34" si="16">B24+E24+H24+K24+N24+T24+W24+Z24+AF24+AI24</f>
        <v>63.749607255591414</v>
      </c>
      <c r="AP24" s="589">
        <f t="shared" si="16"/>
        <v>8.2277497869621001</v>
      </c>
      <c r="AQ24" s="590">
        <f>IF(AO24=0, "    ---- ", IF(ABS(ROUND(100/AO24*AP24-100,1))&lt;999,ROUND(100/AO24*AP24-100,1),IF(ROUND(100/AO24*AP24-100,1)&gt;999,999,-999)))</f>
        <v>-87.1</v>
      </c>
      <c r="AR24" s="550">
        <f t="shared" ref="AR24:AR34" si="17">+B24+E24+H24+K24+N24+Q24+T24+AL24+W24+Z24+AC24+AF24+AI24</f>
        <v>63.749607255591414</v>
      </c>
      <c r="AS24" s="550">
        <f t="shared" ref="AS24:AS34" si="18">+C24+F24+I24+L24+O24+R24+U24+AM24+X24+AA24+AD24+AG24+AJ24</f>
        <v>8.2277497869621001</v>
      </c>
      <c r="AT24" s="590">
        <f>IF(AR24=0, "    ---- ", IF(ABS(ROUND(100/AR24*AS24-100,1))&lt;999,ROUND(100/AR24*AS24-100,1),IF(ROUND(100/AR24*AS24-100,1)&gt;999,999,-999)))</f>
        <v>-87.1</v>
      </c>
      <c r="AU24" s="568"/>
    </row>
    <row r="25" spans="1:47" s="591" customFormat="1" ht="18.75" customHeight="1" x14ac:dyDescent="0.3">
      <c r="A25" s="542" t="s">
        <v>352</v>
      </c>
      <c r="B25" s="764"/>
      <c r="C25" s="765"/>
      <c r="D25" s="589"/>
      <c r="E25" s="764"/>
      <c r="F25" s="765"/>
      <c r="G25" s="590"/>
      <c r="H25" s="764"/>
      <c r="I25" s="765"/>
      <c r="J25" s="590"/>
      <c r="K25" s="764"/>
      <c r="L25" s="765"/>
      <c r="M25" s="590"/>
      <c r="N25" s="764"/>
      <c r="O25" s="765"/>
      <c r="P25" s="589"/>
      <c r="Q25" s="764"/>
      <c r="R25" s="765"/>
      <c r="S25" s="590"/>
      <c r="T25" s="764"/>
      <c r="U25" s="765"/>
      <c r="V25" s="590"/>
      <c r="W25" s="764"/>
      <c r="X25" s="765"/>
      <c r="Y25" s="590"/>
      <c r="Z25" s="764"/>
      <c r="AA25" s="765"/>
      <c r="AB25" s="590"/>
      <c r="AC25" s="764"/>
      <c r="AD25" s="765"/>
      <c r="AE25" s="590"/>
      <c r="AF25" s="764"/>
      <c r="AG25" s="765"/>
      <c r="AH25" s="590"/>
      <c r="AI25" s="764"/>
      <c r="AJ25" s="765"/>
      <c r="AK25" s="590"/>
      <c r="AL25" s="764"/>
      <c r="AM25" s="765"/>
      <c r="AN25" s="590"/>
      <c r="AO25" s="589"/>
      <c r="AP25" s="589"/>
      <c r="AQ25" s="590"/>
      <c r="AR25" s="550"/>
      <c r="AS25" s="550"/>
      <c r="AT25" s="590"/>
      <c r="AU25" s="568"/>
    </row>
    <row r="26" spans="1:47" s="591" customFormat="1" ht="18.75" customHeight="1" x14ac:dyDescent="0.3">
      <c r="A26" s="542" t="s">
        <v>353</v>
      </c>
      <c r="B26" s="764">
        <v>-0.93300000000000005</v>
      </c>
      <c r="C26" s="765">
        <v>-15.726000000000001</v>
      </c>
      <c r="D26" s="589">
        <f>IF(B26=0, "    ---- ", IF(ABS(ROUND(100/B26*C26-100,1))&lt;999,ROUND(100/B26*C26-100,1),IF(ROUND(100/B26*C26-100,1)&gt;999,999,-999)))</f>
        <v>999</v>
      </c>
      <c r="E26" s="764">
        <v>16.628838873528494</v>
      </c>
      <c r="F26" s="765">
        <v>-4</v>
      </c>
      <c r="G26" s="590">
        <f>IF(E26=0, "    ---- ", IF(ABS(ROUND(100/E26*F26-100,1))&lt;999,ROUND(100/E26*F26-100,1),IF(ROUND(100/E26*F26-100,1)&gt;999,999,-999)))</f>
        <v>-124.1</v>
      </c>
      <c r="H26" s="764">
        <v>-8.5397760199999802</v>
      </c>
      <c r="I26" s="765">
        <v>-1.2744488499999977</v>
      </c>
      <c r="J26" s="590">
        <f t="shared" ref="J26" si="19">IF(H26=0, "    ---- ", IF(ABS(ROUND(100/H26*I26-100,1))&lt;999,ROUND(100/H26*I26-100,1),IF(ROUND(100/H26*I26-100,1)&gt;999,999,-999)))</f>
        <v>-85.1</v>
      </c>
      <c r="K26" s="764">
        <v>-3.6560000000000001</v>
      </c>
      <c r="L26" s="765">
        <v>-1.04</v>
      </c>
      <c r="M26" s="590">
        <f t="shared" si="1"/>
        <v>-71.599999999999994</v>
      </c>
      <c r="N26" s="764"/>
      <c r="O26" s="765"/>
      <c r="P26" s="589"/>
      <c r="Q26" s="764"/>
      <c r="R26" s="765"/>
      <c r="S26" s="590"/>
      <c r="T26" s="764"/>
      <c r="U26" s="765"/>
      <c r="V26" s="590"/>
      <c r="W26" s="764">
        <v>28.38</v>
      </c>
      <c r="X26" s="765">
        <v>28.936276650036056</v>
      </c>
      <c r="Y26" s="590">
        <f t="shared" si="15"/>
        <v>2</v>
      </c>
      <c r="Z26" s="764"/>
      <c r="AA26" s="765"/>
      <c r="AB26" s="590"/>
      <c r="AC26" s="764"/>
      <c r="AD26" s="765"/>
      <c r="AE26" s="590"/>
      <c r="AF26" s="764"/>
      <c r="AG26" s="765"/>
      <c r="AH26" s="590"/>
      <c r="AI26" s="764">
        <v>4</v>
      </c>
      <c r="AJ26" s="765">
        <v>20.5</v>
      </c>
      <c r="AK26" s="590">
        <f>IF(AI26=0, "    ---- ", IF(ABS(ROUND(100/AI26*AJ26-100,1))&lt;999,ROUND(100/AI26*AJ26-100,1),IF(ROUND(100/AI26*AJ26-100,1)&gt;999,999,-999)))</f>
        <v>412.5</v>
      </c>
      <c r="AL26" s="764"/>
      <c r="AM26" s="765"/>
      <c r="AN26" s="590"/>
      <c r="AO26" s="589">
        <f t="shared" si="16"/>
        <v>35.880062853528514</v>
      </c>
      <c r="AP26" s="589">
        <f t="shared" si="16"/>
        <v>27.395827800036059</v>
      </c>
      <c r="AQ26" s="590">
        <f t="shared" ref="AQ26:AQ34" si="20">IF(AO26=0, "    ---- ", IF(ABS(ROUND(100/AO26*AP26-100,1))&lt;999,ROUND(100/AO26*AP26-100,1),IF(ROUND(100/AO26*AP26-100,1)&gt;999,999,-999)))</f>
        <v>-23.6</v>
      </c>
      <c r="AR26" s="550">
        <f t="shared" si="17"/>
        <v>35.880062853528514</v>
      </c>
      <c r="AS26" s="550">
        <f t="shared" si="18"/>
        <v>27.395827800036059</v>
      </c>
      <c r="AT26" s="590">
        <f t="shared" ref="AT26:AT34" si="21">IF(AR26=0, "    ---- ", IF(ABS(ROUND(100/AR26*AS26-100,1))&lt;999,ROUND(100/AR26*AS26-100,1),IF(ROUND(100/AR26*AS26-100,1)&gt;999,999,-999)))</f>
        <v>-23.6</v>
      </c>
      <c r="AU26" s="568"/>
    </row>
    <row r="27" spans="1:47" s="591" customFormat="1" ht="18.75" customHeight="1" x14ac:dyDescent="0.3">
      <c r="A27" s="542" t="s">
        <v>354</v>
      </c>
      <c r="B27" s="764"/>
      <c r="C27" s="765"/>
      <c r="D27" s="589"/>
      <c r="E27" s="764"/>
      <c r="F27" s="765"/>
      <c r="G27" s="590"/>
      <c r="H27" s="764"/>
      <c r="I27" s="765"/>
      <c r="J27" s="590"/>
      <c r="K27" s="764"/>
      <c r="L27" s="765"/>
      <c r="M27" s="590"/>
      <c r="N27" s="764"/>
      <c r="O27" s="765"/>
      <c r="P27" s="589"/>
      <c r="Q27" s="764"/>
      <c r="R27" s="765"/>
      <c r="S27" s="590"/>
      <c r="T27" s="764"/>
      <c r="U27" s="765"/>
      <c r="V27" s="590"/>
      <c r="W27" s="764"/>
      <c r="X27" s="765"/>
      <c r="Y27" s="590"/>
      <c r="Z27" s="764"/>
      <c r="AA27" s="765"/>
      <c r="AB27" s="590"/>
      <c r="AC27" s="764"/>
      <c r="AD27" s="765"/>
      <c r="AE27" s="590"/>
      <c r="AF27" s="764"/>
      <c r="AG27" s="765"/>
      <c r="AH27" s="590"/>
      <c r="AI27" s="764"/>
      <c r="AJ27" s="765"/>
      <c r="AK27" s="590"/>
      <c r="AL27" s="764"/>
      <c r="AM27" s="765"/>
      <c r="AN27" s="590"/>
      <c r="AO27" s="589"/>
      <c r="AP27" s="589"/>
      <c r="AQ27" s="590"/>
      <c r="AR27" s="550"/>
      <c r="AS27" s="550"/>
      <c r="AT27" s="590"/>
      <c r="AU27" s="568"/>
    </row>
    <row r="28" spans="1:47" s="591" customFormat="1" ht="18.75" customHeight="1" x14ac:dyDescent="0.3">
      <c r="A28" s="542" t="s">
        <v>355</v>
      </c>
      <c r="B28" s="764"/>
      <c r="C28" s="765"/>
      <c r="D28" s="589"/>
      <c r="E28" s="764"/>
      <c r="F28" s="765"/>
      <c r="G28" s="590"/>
      <c r="H28" s="764"/>
      <c r="I28" s="765"/>
      <c r="J28" s="590"/>
      <c r="K28" s="764"/>
      <c r="L28" s="765"/>
      <c r="M28" s="590"/>
      <c r="N28" s="764"/>
      <c r="O28" s="765"/>
      <c r="P28" s="589"/>
      <c r="Q28" s="764"/>
      <c r="R28" s="765"/>
      <c r="S28" s="590"/>
      <c r="T28" s="764"/>
      <c r="U28" s="765"/>
      <c r="V28" s="590"/>
      <c r="W28" s="764"/>
      <c r="X28" s="765"/>
      <c r="Y28" s="590"/>
      <c r="Z28" s="764"/>
      <c r="AA28" s="765"/>
      <c r="AB28" s="590"/>
      <c r="AC28" s="764"/>
      <c r="AD28" s="765"/>
      <c r="AE28" s="590"/>
      <c r="AF28" s="764"/>
      <c r="AG28" s="765"/>
      <c r="AH28" s="590"/>
      <c r="AI28" s="764"/>
      <c r="AJ28" s="765"/>
      <c r="AK28" s="590"/>
      <c r="AL28" s="764"/>
      <c r="AM28" s="765"/>
      <c r="AN28" s="590"/>
      <c r="AO28" s="589"/>
      <c r="AP28" s="589"/>
      <c r="AQ28" s="590"/>
      <c r="AR28" s="550"/>
      <c r="AS28" s="550"/>
      <c r="AT28" s="590"/>
      <c r="AU28" s="568"/>
    </row>
    <row r="29" spans="1:47" s="591" customFormat="1" ht="18.75" customHeight="1" x14ac:dyDescent="0.3">
      <c r="A29" s="542" t="s">
        <v>356</v>
      </c>
      <c r="B29" s="764">
        <v>16.422999999999998</v>
      </c>
      <c r="C29" s="765">
        <v>30.538</v>
      </c>
      <c r="D29" s="589">
        <f>IF(B29=0, "    ---- ", IF(ABS(ROUND(100/B29*C29-100,1))&lt;999,ROUND(100/B29*C29-100,1),IF(ROUND(100/B29*C29-100,1)&gt;999,999,-999)))</f>
        <v>85.9</v>
      </c>
      <c r="E29" s="764">
        <v>-104.63312549502757</v>
      </c>
      <c r="F29" s="765">
        <v>-15</v>
      </c>
      <c r="G29" s="590">
        <f>IF(E29=0, "    ---- ", IF(ABS(ROUND(100/E29*F29-100,1))&lt;999,ROUND(100/E29*F29-100,1),IF(ROUND(100/E29*F29-100,1)&gt;999,999,-999)))</f>
        <v>-85.7</v>
      </c>
      <c r="H29" s="764">
        <v>50.88319225</v>
      </c>
      <c r="I29" s="765">
        <v>89.303322059999999</v>
      </c>
      <c r="J29" s="590">
        <f t="shared" ref="J29" si="22">IF(H29=0, "    ---- ", IF(ABS(ROUND(100/H29*I29-100,1))&lt;999,ROUND(100/H29*I29-100,1),IF(ROUND(100/H29*I29-100,1)&gt;999,999,-999)))</f>
        <v>75.5</v>
      </c>
      <c r="K29" s="764">
        <v>68.733999999999995</v>
      </c>
      <c r="L29" s="765">
        <v>34.688000000000002</v>
      </c>
      <c r="M29" s="590">
        <f t="shared" si="1"/>
        <v>-49.5</v>
      </c>
      <c r="N29" s="764"/>
      <c r="O29" s="765"/>
      <c r="P29" s="590"/>
      <c r="Q29" s="764"/>
      <c r="R29" s="765"/>
      <c r="S29" s="590"/>
      <c r="T29" s="764"/>
      <c r="U29" s="765"/>
      <c r="V29" s="590"/>
      <c r="W29" s="764">
        <v>44.47</v>
      </c>
      <c r="X29" s="765">
        <v>49.403861064468053</v>
      </c>
      <c r="Y29" s="590">
        <f t="shared" si="15"/>
        <v>11.1</v>
      </c>
      <c r="Z29" s="764"/>
      <c r="AA29" s="765"/>
      <c r="AB29" s="590"/>
      <c r="AC29" s="764"/>
      <c r="AD29" s="765"/>
      <c r="AE29" s="590"/>
      <c r="AF29" s="764"/>
      <c r="AG29" s="765"/>
      <c r="AH29" s="590"/>
      <c r="AI29" s="764">
        <v>33</v>
      </c>
      <c r="AJ29" s="765">
        <v>69.5</v>
      </c>
      <c r="AK29" s="590">
        <f>IF(AI29=0, "    ---- ", IF(ABS(ROUND(100/AI29*AJ29-100,1))&lt;999,ROUND(100/AI29*AJ29-100,1),IF(ROUND(100/AI29*AJ29-100,1)&gt;999,999,-999)))</f>
        <v>110.6</v>
      </c>
      <c r="AL29" s="764"/>
      <c r="AM29" s="765"/>
      <c r="AN29" s="590"/>
      <c r="AO29" s="589">
        <f t="shared" si="16"/>
        <v>108.87706675497242</v>
      </c>
      <c r="AP29" s="589">
        <f t="shared" si="16"/>
        <v>258.43318312446809</v>
      </c>
      <c r="AQ29" s="590">
        <f t="shared" si="20"/>
        <v>137.4</v>
      </c>
      <c r="AR29" s="550">
        <f t="shared" si="17"/>
        <v>108.87706675497242</v>
      </c>
      <c r="AS29" s="550">
        <f t="shared" si="18"/>
        <v>258.43318312446809</v>
      </c>
      <c r="AT29" s="590">
        <f t="shared" si="21"/>
        <v>137.4</v>
      </c>
      <c r="AU29" s="568"/>
    </row>
    <row r="30" spans="1:47" s="591" customFormat="1" ht="18.75" customHeight="1" x14ac:dyDescent="0.3">
      <c r="A30" s="542" t="s">
        <v>357</v>
      </c>
      <c r="B30" s="764"/>
      <c r="C30" s="765"/>
      <c r="D30" s="589"/>
      <c r="E30" s="764"/>
      <c r="F30" s="765"/>
      <c r="G30" s="590"/>
      <c r="H30" s="764"/>
      <c r="I30" s="765"/>
      <c r="J30" s="590"/>
      <c r="K30" s="764"/>
      <c r="L30" s="765"/>
      <c r="M30" s="590"/>
      <c r="N30" s="764"/>
      <c r="O30" s="765"/>
      <c r="P30" s="589"/>
      <c r="Q30" s="764"/>
      <c r="R30" s="765"/>
      <c r="S30" s="590"/>
      <c r="T30" s="764"/>
      <c r="U30" s="765"/>
      <c r="V30" s="590"/>
      <c r="W30" s="764"/>
      <c r="X30" s="765"/>
      <c r="Y30" s="590"/>
      <c r="Z30" s="764"/>
      <c r="AA30" s="765"/>
      <c r="AB30" s="590"/>
      <c r="AC30" s="764"/>
      <c r="AD30" s="765"/>
      <c r="AE30" s="590"/>
      <c r="AF30" s="764"/>
      <c r="AG30" s="765"/>
      <c r="AH30" s="590"/>
      <c r="AI30" s="764"/>
      <c r="AJ30" s="765"/>
      <c r="AK30" s="590"/>
      <c r="AL30" s="764"/>
      <c r="AM30" s="765"/>
      <c r="AN30" s="590"/>
      <c r="AO30" s="589"/>
      <c r="AP30" s="589"/>
      <c r="AQ30" s="590"/>
      <c r="AR30" s="550"/>
      <c r="AS30" s="550"/>
      <c r="AT30" s="590"/>
      <c r="AU30" s="568"/>
    </row>
    <row r="31" spans="1:47" s="591" customFormat="1" ht="18.75" customHeight="1" x14ac:dyDescent="0.3">
      <c r="A31" s="542" t="s">
        <v>358</v>
      </c>
      <c r="B31" s="764"/>
      <c r="C31" s="765"/>
      <c r="D31" s="589"/>
      <c r="E31" s="764"/>
      <c r="F31" s="765"/>
      <c r="G31" s="590"/>
      <c r="H31" s="764"/>
      <c r="I31" s="765"/>
      <c r="J31" s="590"/>
      <c r="K31" s="764"/>
      <c r="L31" s="765"/>
      <c r="M31" s="590"/>
      <c r="N31" s="764"/>
      <c r="O31" s="765"/>
      <c r="P31" s="589"/>
      <c r="Q31" s="764"/>
      <c r="R31" s="765"/>
      <c r="S31" s="590"/>
      <c r="T31" s="764"/>
      <c r="U31" s="765"/>
      <c r="V31" s="590"/>
      <c r="W31" s="764"/>
      <c r="X31" s="765"/>
      <c r="Y31" s="590"/>
      <c r="Z31" s="764"/>
      <c r="AA31" s="765"/>
      <c r="AB31" s="590"/>
      <c r="AC31" s="764"/>
      <c r="AD31" s="765"/>
      <c r="AE31" s="590"/>
      <c r="AF31" s="764"/>
      <c r="AG31" s="765"/>
      <c r="AH31" s="590"/>
      <c r="AI31" s="764"/>
      <c r="AJ31" s="765"/>
      <c r="AK31" s="590"/>
      <c r="AL31" s="764"/>
      <c r="AM31" s="765"/>
      <c r="AN31" s="590"/>
      <c r="AO31" s="589"/>
      <c r="AP31" s="589"/>
      <c r="AQ31" s="590"/>
      <c r="AR31" s="550"/>
      <c r="AS31" s="550"/>
      <c r="AT31" s="590"/>
      <c r="AU31" s="568"/>
    </row>
    <row r="32" spans="1:47" s="593" customFormat="1" ht="18.75" customHeight="1" x14ac:dyDescent="0.3">
      <c r="A32" s="537" t="s">
        <v>359</v>
      </c>
      <c r="B32" s="766">
        <f>SUM(B24:B29)+B31</f>
        <v>16.391999999999999</v>
      </c>
      <c r="C32" s="767">
        <f>SUM(C24:C29)+C31</f>
        <v>13.102</v>
      </c>
      <c r="D32" s="587">
        <f>IF(B32=0, "    ---- ", IF(ABS(ROUND(100/B32*C32-100,1))&lt;999,ROUND(100/B32*C32-100,1),IF(ROUND(100/B32*C32-100,1)&gt;999,999,-999)))</f>
        <v>-20.100000000000001</v>
      </c>
      <c r="E32" s="766">
        <f>SUM(E24:E29)+E31</f>
        <v>-67.142668415907664</v>
      </c>
      <c r="F32" s="767">
        <f>SUM(F24:F29)+F31</f>
        <v>-5</v>
      </c>
      <c r="G32" s="588">
        <f>IF(E32=0, "    ---- ", IF(ABS(ROUND(100/E32*F32-100,1))&lt;999,ROUND(100/E32*F32-100,1),IF(ROUND(100/E32*F32-100,1)&gt;999,999,-999)))</f>
        <v>-92.6</v>
      </c>
      <c r="H32" s="766">
        <f>SUM(H24:H29)+H31</f>
        <v>53.632405280000022</v>
      </c>
      <c r="I32" s="767">
        <f>SUM(I24:I29)+I31</f>
        <v>84.557210690000005</v>
      </c>
      <c r="J32" s="588">
        <f t="shared" ref="J32" si="23">IF(H32=0, "    ---- ", IF(ABS(ROUND(100/H32*I32-100,1))&lt;999,ROUND(100/H32*I32-100,1),IF(ROUND(100/H32*I32-100,1)&gt;999,999,-999)))</f>
        <v>57.7</v>
      </c>
      <c r="K32" s="766">
        <f>SUM(K24:K29)+K31</f>
        <v>80.004999999999995</v>
      </c>
      <c r="L32" s="767">
        <f>SUM(L24:L29)+L31</f>
        <v>27.914000000000001</v>
      </c>
      <c r="M32" s="588">
        <f t="shared" si="1"/>
        <v>-65.099999999999994</v>
      </c>
      <c r="N32" s="766"/>
      <c r="O32" s="767"/>
      <c r="P32" s="587"/>
      <c r="Q32" s="766"/>
      <c r="R32" s="767"/>
      <c r="S32" s="588"/>
      <c r="T32" s="766"/>
      <c r="U32" s="767"/>
      <c r="V32" s="588"/>
      <c r="W32" s="766">
        <f>SUM(W24:W29)+W31</f>
        <v>75.12</v>
      </c>
      <c r="X32" s="767">
        <f>SUM(X24:X29)+X31</f>
        <v>79.483550021466215</v>
      </c>
      <c r="Y32" s="588">
        <f t="shared" si="15"/>
        <v>5.8</v>
      </c>
      <c r="Z32" s="766"/>
      <c r="AA32" s="767"/>
      <c r="AB32" s="588"/>
      <c r="AC32" s="766"/>
      <c r="AD32" s="767"/>
      <c r="AE32" s="588"/>
      <c r="AF32" s="766"/>
      <c r="AG32" s="767"/>
      <c r="AH32" s="588"/>
      <c r="AI32" s="766">
        <f>SUM(AI24:AI29)+AI31</f>
        <v>50.5</v>
      </c>
      <c r="AJ32" s="767">
        <f>SUM(AJ24:AJ29)+AJ31</f>
        <v>94</v>
      </c>
      <c r="AK32" s="588">
        <f>IF(AI32=0, "    ---- ", IF(ABS(ROUND(100/AI32*AJ32-100,1))&lt;999,ROUND(100/AI32*AJ32-100,1),IF(ROUND(100/AI32*AJ32-100,1)&gt;999,999,-999)))</f>
        <v>86.1</v>
      </c>
      <c r="AL32" s="766"/>
      <c r="AM32" s="767"/>
      <c r="AN32" s="588"/>
      <c r="AO32" s="587">
        <f t="shared" si="16"/>
        <v>208.50673686409235</v>
      </c>
      <c r="AP32" s="587">
        <f t="shared" si="16"/>
        <v>294.05676071146621</v>
      </c>
      <c r="AQ32" s="588">
        <f t="shared" si="20"/>
        <v>41</v>
      </c>
      <c r="AR32" s="552">
        <f t="shared" si="17"/>
        <v>208.50673686409235</v>
      </c>
      <c r="AS32" s="552">
        <f t="shared" si="18"/>
        <v>294.05676071146621</v>
      </c>
      <c r="AT32" s="588">
        <f t="shared" si="21"/>
        <v>41</v>
      </c>
      <c r="AU32" s="592"/>
    </row>
    <row r="33" spans="1:47" s="591" customFormat="1" ht="18.75" customHeight="1" x14ac:dyDescent="0.3">
      <c r="A33" s="542" t="s">
        <v>360</v>
      </c>
      <c r="B33" s="764"/>
      <c r="C33" s="765"/>
      <c r="D33" s="589"/>
      <c r="E33" s="764"/>
      <c r="F33" s="765"/>
      <c r="G33" s="590"/>
      <c r="H33" s="764"/>
      <c r="I33" s="765"/>
      <c r="J33" s="590"/>
      <c r="K33" s="764"/>
      <c r="L33" s="765"/>
      <c r="M33" s="590"/>
      <c r="N33" s="764"/>
      <c r="O33" s="765"/>
      <c r="P33" s="589"/>
      <c r="Q33" s="764"/>
      <c r="R33" s="765"/>
      <c r="S33" s="590"/>
      <c r="T33" s="764"/>
      <c r="U33" s="765"/>
      <c r="V33" s="590"/>
      <c r="W33" s="764"/>
      <c r="X33" s="765"/>
      <c r="Y33" s="590"/>
      <c r="Z33" s="764"/>
      <c r="AA33" s="765"/>
      <c r="AB33" s="590"/>
      <c r="AC33" s="764"/>
      <c r="AD33" s="765"/>
      <c r="AE33" s="590"/>
      <c r="AF33" s="764"/>
      <c r="AG33" s="765"/>
      <c r="AH33" s="590"/>
      <c r="AI33" s="764"/>
      <c r="AJ33" s="765"/>
      <c r="AK33" s="590"/>
      <c r="AL33" s="764"/>
      <c r="AM33" s="765"/>
      <c r="AN33" s="590"/>
      <c r="AO33" s="589"/>
      <c r="AP33" s="589"/>
      <c r="AQ33" s="590"/>
      <c r="AR33" s="550"/>
      <c r="AS33" s="550"/>
      <c r="AT33" s="590"/>
      <c r="AU33" s="568"/>
    </row>
    <row r="34" spans="1:47" s="591" customFormat="1" ht="18.75" customHeight="1" x14ac:dyDescent="0.3">
      <c r="A34" s="542" t="s">
        <v>361</v>
      </c>
      <c r="B34" s="764">
        <v>16.391999999999999</v>
      </c>
      <c r="C34" s="765">
        <v>13.101000000000001</v>
      </c>
      <c r="D34" s="589">
        <f>IF(B34=0, "    ---- ", IF(ABS(ROUND(100/B34*C34-100,1))&lt;999,ROUND(100/B34*C34-100,1),IF(ROUND(100/B34*C34-100,1)&gt;999,999,-999)))</f>
        <v>-20.100000000000001</v>
      </c>
      <c r="E34" s="764">
        <v>-67.142668415907664</v>
      </c>
      <c r="F34" s="765">
        <v>-5</v>
      </c>
      <c r="G34" s="590">
        <f>IF(E34=0, "    ---- ", IF(ABS(ROUND(100/E34*F34-100,1))&lt;999,ROUND(100/E34*F34-100,1),IF(ROUND(100/E34*F34-100,1)&gt;999,999,-999)))</f>
        <v>-92.6</v>
      </c>
      <c r="H34" s="764">
        <f>+H32</f>
        <v>53.632405280000022</v>
      </c>
      <c r="I34" s="765">
        <f>+I32</f>
        <v>84.557210690000005</v>
      </c>
      <c r="J34" s="590">
        <f t="shared" ref="J34" si="24">IF(H34=0, "    ---- ", IF(ABS(ROUND(100/H34*I34-100,1))&lt;999,ROUND(100/H34*I34-100,1),IF(ROUND(100/H34*I34-100,1)&gt;999,999,-999)))</f>
        <v>57.7</v>
      </c>
      <c r="K34" s="764">
        <v>80.013000000000005</v>
      </c>
      <c r="L34" s="765">
        <v>27.991</v>
      </c>
      <c r="M34" s="590">
        <f t="shared" si="1"/>
        <v>-65</v>
      </c>
      <c r="N34" s="764"/>
      <c r="O34" s="765"/>
      <c r="P34" s="589"/>
      <c r="Q34" s="764"/>
      <c r="R34" s="765"/>
      <c r="S34" s="590"/>
      <c r="T34" s="764"/>
      <c r="U34" s="765"/>
      <c r="V34" s="590"/>
      <c r="W34" s="764">
        <v>75.13</v>
      </c>
      <c r="X34" s="765">
        <v>79.483550021466215</v>
      </c>
      <c r="Y34" s="590">
        <f t="shared" si="15"/>
        <v>5.8</v>
      </c>
      <c r="Z34" s="764"/>
      <c r="AA34" s="765"/>
      <c r="AB34" s="590"/>
      <c r="AC34" s="764"/>
      <c r="AD34" s="765"/>
      <c r="AE34" s="590"/>
      <c r="AF34" s="764"/>
      <c r="AG34" s="765"/>
      <c r="AH34" s="590"/>
      <c r="AI34" s="764">
        <v>51</v>
      </c>
      <c r="AJ34" s="765">
        <v>94</v>
      </c>
      <c r="AK34" s="590">
        <f>IF(AI34=0, "    ---- ", IF(ABS(ROUND(100/AI34*AJ34-100,1))&lt;999,ROUND(100/AI34*AJ34-100,1),IF(ROUND(100/AI34*AJ34-100,1)&gt;999,999,-999)))</f>
        <v>84.3</v>
      </c>
      <c r="AL34" s="764"/>
      <c r="AM34" s="765"/>
      <c r="AN34" s="590"/>
      <c r="AO34" s="589">
        <f t="shared" si="16"/>
        <v>209.02473686409235</v>
      </c>
      <c r="AP34" s="589">
        <f t="shared" si="16"/>
        <v>294.13276071146623</v>
      </c>
      <c r="AQ34" s="590">
        <f t="shared" si="20"/>
        <v>40.700000000000003</v>
      </c>
      <c r="AR34" s="550">
        <f t="shared" si="17"/>
        <v>209.02473686409235</v>
      </c>
      <c r="AS34" s="550">
        <f t="shared" si="18"/>
        <v>294.13276071146623</v>
      </c>
      <c r="AT34" s="590">
        <f t="shared" si="21"/>
        <v>40.700000000000003</v>
      </c>
      <c r="AU34" s="568"/>
    </row>
    <row r="35" spans="1:47" s="591" customFormat="1" ht="18.75" customHeight="1" x14ac:dyDescent="0.3">
      <c r="A35" s="554"/>
      <c r="B35" s="768"/>
      <c r="C35" s="769"/>
      <c r="D35" s="600"/>
      <c r="E35" s="768"/>
      <c r="F35" s="769"/>
      <c r="G35" s="601"/>
      <c r="H35" s="768"/>
      <c r="I35" s="769"/>
      <c r="J35" s="601"/>
      <c r="K35" s="768"/>
      <c r="L35" s="769"/>
      <c r="M35" s="601"/>
      <c r="N35" s="768"/>
      <c r="O35" s="769"/>
      <c r="P35" s="600"/>
      <c r="Q35" s="768"/>
      <c r="R35" s="769"/>
      <c r="S35" s="601"/>
      <c r="T35" s="768"/>
      <c r="U35" s="769"/>
      <c r="V35" s="601"/>
      <c r="W35" s="768"/>
      <c r="X35" s="769"/>
      <c r="Y35" s="601"/>
      <c r="Z35" s="768"/>
      <c r="AA35" s="769"/>
      <c r="AB35" s="601"/>
      <c r="AC35" s="768"/>
      <c r="AD35" s="769"/>
      <c r="AE35" s="601"/>
      <c r="AF35" s="768"/>
      <c r="AG35" s="769"/>
      <c r="AH35" s="601"/>
      <c r="AI35" s="768"/>
      <c r="AJ35" s="769"/>
      <c r="AK35" s="601"/>
      <c r="AL35" s="768"/>
      <c r="AM35" s="769"/>
      <c r="AN35" s="601"/>
      <c r="AO35" s="601"/>
      <c r="AP35" s="601"/>
      <c r="AQ35" s="601"/>
      <c r="AR35" s="557"/>
      <c r="AS35" s="557"/>
      <c r="AT35" s="601"/>
      <c r="AU35" s="568"/>
    </row>
    <row r="36" spans="1:47" s="591" customFormat="1" ht="18.75" customHeight="1" x14ac:dyDescent="0.3">
      <c r="A36" s="558"/>
      <c r="B36" s="765"/>
      <c r="C36" s="765"/>
      <c r="D36" s="589"/>
      <c r="E36" s="765"/>
      <c r="F36" s="765"/>
      <c r="G36" s="590"/>
      <c r="H36" s="765"/>
      <c r="I36" s="765"/>
      <c r="J36" s="590"/>
      <c r="K36" s="765"/>
      <c r="L36" s="765"/>
      <c r="M36" s="590"/>
      <c r="N36" s="765"/>
      <c r="O36" s="765"/>
      <c r="P36" s="589"/>
      <c r="Q36" s="765"/>
      <c r="R36" s="765"/>
      <c r="S36" s="590"/>
      <c r="T36" s="765"/>
      <c r="U36" s="765"/>
      <c r="V36" s="590"/>
      <c r="W36" s="765"/>
      <c r="X36" s="765"/>
      <c r="Y36" s="590"/>
      <c r="Z36" s="765"/>
      <c r="AA36" s="765"/>
      <c r="AB36" s="590"/>
      <c r="AC36" s="765"/>
      <c r="AD36" s="765"/>
      <c r="AE36" s="590"/>
      <c r="AF36" s="765"/>
      <c r="AG36" s="765"/>
      <c r="AH36" s="590"/>
      <c r="AI36" s="765"/>
      <c r="AJ36" s="765"/>
      <c r="AK36" s="590"/>
      <c r="AL36" s="765"/>
      <c r="AM36" s="765"/>
      <c r="AN36" s="590"/>
      <c r="AO36" s="589"/>
      <c r="AP36" s="589"/>
      <c r="AQ36" s="590"/>
      <c r="AR36" s="550"/>
      <c r="AS36" s="550"/>
      <c r="AT36" s="590"/>
      <c r="AU36" s="568"/>
    </row>
    <row r="37" spans="1:47" s="591" customFormat="1" ht="18.75" customHeight="1" x14ac:dyDescent="0.3">
      <c r="A37" s="537" t="s">
        <v>386</v>
      </c>
      <c r="B37" s="765"/>
      <c r="C37" s="765"/>
      <c r="D37" s="589"/>
      <c r="E37" s="765"/>
      <c r="F37" s="765"/>
      <c r="G37" s="590"/>
      <c r="H37" s="765"/>
      <c r="I37" s="765"/>
      <c r="J37" s="590"/>
      <c r="K37" s="765"/>
      <c r="L37" s="765"/>
      <c r="M37" s="590"/>
      <c r="N37" s="765"/>
      <c r="O37" s="765"/>
      <c r="P37" s="589"/>
      <c r="Q37" s="765"/>
      <c r="R37" s="765"/>
      <c r="S37" s="590"/>
      <c r="T37" s="765"/>
      <c r="U37" s="765"/>
      <c r="V37" s="590"/>
      <c r="W37" s="765"/>
      <c r="X37" s="765"/>
      <c r="Y37" s="590"/>
      <c r="Z37" s="765"/>
      <c r="AA37" s="765"/>
      <c r="AB37" s="590"/>
      <c r="AC37" s="765"/>
      <c r="AD37" s="765"/>
      <c r="AE37" s="590"/>
      <c r="AF37" s="765"/>
      <c r="AG37" s="765"/>
      <c r="AH37" s="590"/>
      <c r="AI37" s="765"/>
      <c r="AJ37" s="765"/>
      <c r="AK37" s="590"/>
      <c r="AL37" s="765"/>
      <c r="AM37" s="765"/>
      <c r="AN37" s="590"/>
      <c r="AO37" s="589"/>
      <c r="AP37" s="589"/>
      <c r="AQ37" s="590"/>
      <c r="AR37" s="550"/>
      <c r="AS37" s="550"/>
      <c r="AT37" s="590"/>
      <c r="AU37" s="568"/>
    </row>
    <row r="38" spans="1:47" s="591" customFormat="1" ht="18.75" customHeight="1" x14ac:dyDescent="0.3">
      <c r="A38" s="542" t="s">
        <v>351</v>
      </c>
      <c r="B38" s="589">
        <f>'Tabell 5.1'!B12+'Tabell 5.1'!B24+'Tabell 5.1'!B36+'Tabell 5.1'!B48+'Tabell 5.1'!B62+'Tabell 5.1'!B74+'Tabell 5.1'!B86+'Tabell 5.1'!B98+'Tabell 5.2'!B12+'Tabell 5.2'!B24+'Tabell 5.2'!B36+'Tabell 5.2'!B48+'Tabell 5.2'!B84+'Tabell 5.2'!B96+'Tabell 5.2'!B122+'Tabell 5.2'!B134+B12+B24+'Tabell 5.2'!B60+'Tabell 5.2'!B72+'Tabell 5.2'!B108</f>
        <v>16.282999999999998</v>
      </c>
      <c r="C38" s="589">
        <f>'Tabell 5.1'!C12+'Tabell 5.1'!C24+'Tabell 5.1'!C36+'Tabell 5.1'!C48+'Tabell 5.1'!C62+'Tabell 5.1'!C74+'Tabell 5.1'!C86+'Tabell 5.1'!C98+'Tabell 5.2'!C12+'Tabell 5.2'!C24+'Tabell 5.2'!C36+'Tabell 5.2'!C48+'Tabell 5.2'!C84+'Tabell 5.2'!C96+'Tabell 5.2'!C122+'Tabell 5.2'!C134+C12+C24+'Tabell 5.2'!C60+'Tabell 5.2'!C72+'Tabell 5.2'!C108</f>
        <v>-44.213999999999999</v>
      </c>
      <c r="D38" s="589">
        <f t="shared" ref="D38:D48" si="25">IF(B38=0, "    ---- ", IF(ABS(ROUND(100/B38*C38-100,1))&lt;999,ROUND(100/B38*C38-100,1),IF(ROUND(100/B38*C38-100,1)&gt;999,999,-999)))</f>
        <v>-371.5</v>
      </c>
      <c r="E38" s="589">
        <f>'Tabell 5.1'!E12+'Tabell 5.1'!E24+'Tabell 5.1'!E36+'Tabell 5.1'!E48+'Tabell 5.1'!E62+'Tabell 5.1'!E74+'Tabell 5.1'!E86+'Tabell 5.1'!E98+'Tabell 5.2'!E12+'Tabell 5.2'!E24+'Tabell 5.2'!E36+'Tabell 5.2'!E48+'Tabell 5.2'!E84+'Tabell 5.2'!E96+'Tabell 5.2'!E122+'Tabell 5.2'!E134+E12+E24+'Tabell 5.2'!E60+'Tabell 5.2'!E72+'Tabell 5.2'!E108</f>
        <v>16951.725697407426</v>
      </c>
      <c r="F38" s="589">
        <f>'Tabell 5.1'!F12+'Tabell 5.1'!F24+'Tabell 5.1'!F36+'Tabell 5.1'!F48+'Tabell 5.1'!F62+'Tabell 5.1'!F74+'Tabell 5.1'!F86+'Tabell 5.1'!F98+'Tabell 5.2'!F12+'Tabell 5.2'!F24+'Tabell 5.2'!F36+'Tabell 5.2'!F48+'Tabell 5.2'!F84+'Tabell 5.2'!F96+'Tabell 5.2'!F122+'Tabell 5.2'!F134+F12+F24+'Tabell 5.2'!F60+'Tabell 5.2'!F72+'Tabell 5.2'!F108</f>
        <v>-13858.061031998188</v>
      </c>
      <c r="G38" s="589">
        <f t="shared" ref="G38:G48" si="26">IF(E38=0, "    ---- ", IF(ABS(ROUND(100/E38*F38-100,1))&lt;999,ROUND(100/E38*F38-100,1),IF(ROUND(100/E38*F38-100,1)&gt;999,999,-999)))</f>
        <v>-181.8</v>
      </c>
      <c r="H38" s="589">
        <f>'Tabell 5.1'!H12+'Tabell 5.1'!H24+'Tabell 5.1'!H36+'Tabell 5.1'!H48+'Tabell 5.1'!H62+'Tabell 5.1'!H74+'Tabell 5.1'!H86+'Tabell 5.1'!H98+'Tabell 5.2'!H12+'Tabell 5.2'!H24+'Tabell 5.2'!H36+'Tabell 5.2'!H48+'Tabell 5.2'!H84+'Tabell 5.2'!H96+'Tabell 5.2'!H122+'Tabell 5.2'!H134+H12+H24+'Tabell 5.2'!H60+'Tabell 5.2'!H72+'Tabell 5.2'!H108</f>
        <v>70.621201429999999</v>
      </c>
      <c r="I38" s="589">
        <f>'Tabell 5.1'!I12+'Tabell 5.1'!I24+'Tabell 5.1'!I36+'Tabell 5.1'!I48+'Tabell 5.1'!I62+'Tabell 5.1'!I74+'Tabell 5.1'!I86+'Tabell 5.1'!I98+'Tabell 5.2'!I12+'Tabell 5.2'!I24+'Tabell 5.2'!I36+'Tabell 5.2'!I48+'Tabell 5.2'!I84+'Tabell 5.2'!I96+'Tabell 5.2'!I122+'Tabell 5.2'!I134+I12+I24+'Tabell 5.2'!I60+'Tabell 5.2'!I72+'Tabell 5.2'!I108</f>
        <v>-21.706709880000005</v>
      </c>
      <c r="J38" s="589">
        <f t="shared" ref="J38:J48" si="27">IF(H38=0, "    ---- ", IF(ABS(ROUND(100/H38*I38-100,1))&lt;999,ROUND(100/H38*I38-100,1),IF(ROUND(100/H38*I38-100,1)&gt;999,999,-999)))</f>
        <v>-130.69999999999999</v>
      </c>
      <c r="K38" s="589">
        <f>'Tabell 5.1'!K12+'Tabell 5.1'!K24+'Tabell 5.1'!K36+'Tabell 5.1'!K48+'Tabell 5.1'!K62+'Tabell 5.1'!K74+'Tabell 5.1'!K86+'Tabell 5.1'!K98+'Tabell 5.2'!K12+'Tabell 5.2'!K24+'Tabell 5.2'!K36+'Tabell 5.2'!K48+'Tabell 5.2'!K84+'Tabell 5.2'!K96+'Tabell 5.2'!K122+'Tabell 5.2'!K134+K12+K24+'Tabell 5.2'!K60+'Tabell 5.2'!K72+'Tabell 5.2'!K108</f>
        <v>92.216000000000008</v>
      </c>
      <c r="L38" s="589">
        <f>'Tabell 5.1'!L12+'Tabell 5.1'!L24+'Tabell 5.1'!L36+'Tabell 5.1'!L48+'Tabell 5.1'!L62+'Tabell 5.1'!L74+'Tabell 5.1'!L86+'Tabell 5.1'!L98+'Tabell 5.2'!L12+'Tabell 5.2'!L24+'Tabell 5.2'!L36+'Tabell 5.2'!L48+'Tabell 5.2'!L84+'Tabell 5.2'!L96+'Tabell 5.2'!L122+'Tabell 5.2'!L134+L12+L24+'Tabell 5.2'!L60+'Tabell 5.2'!L72+'Tabell 5.2'!L108</f>
        <v>-38.11</v>
      </c>
      <c r="M38" s="589">
        <f t="shared" ref="M38:M48" si="28">IF(K38=0, "    ---- ", IF(ABS(ROUND(100/K38*L38-100,1))&lt;999,ROUND(100/K38*L38-100,1),IF(ROUND(100/K38*L38-100,1)&gt;999,999,-999)))</f>
        <v>-141.30000000000001</v>
      </c>
      <c r="N38" s="589">
        <f>'Tabell 5.1'!N12+'Tabell 5.1'!N24+'Tabell 5.1'!N36+'Tabell 5.1'!N48+'Tabell 5.1'!N62+'Tabell 5.1'!N74+'Tabell 5.1'!N86+'Tabell 5.1'!N98+'Tabell 5.2'!N12+'Tabell 5.2'!N24+'Tabell 5.2'!N36+'Tabell 5.2'!N48+'Tabell 5.2'!N84+'Tabell 5.2'!N96+'Tabell 5.2'!N122+'Tabell 5.2'!N134+N12+N24+'Tabell 5.2'!N60+'Tabell 5.2'!N72+'Tabell 5.2'!N108</f>
        <v>89.5</v>
      </c>
      <c r="O38" s="589">
        <f>'Tabell 5.1'!O12+'Tabell 5.1'!O24+'Tabell 5.1'!O36+'Tabell 5.1'!O48+'Tabell 5.1'!O62+'Tabell 5.1'!O74+'Tabell 5.1'!O86+'Tabell 5.1'!O98+'Tabell 5.2'!O12+'Tabell 5.2'!O24+'Tabell 5.2'!O36+'Tabell 5.2'!O48+'Tabell 5.2'!O84+'Tabell 5.2'!O96+'Tabell 5.2'!O122+'Tabell 5.2'!O134+O12+O24+'Tabell 5.2'!O60+'Tabell 5.2'!O72+'Tabell 5.2'!O108</f>
        <v>-28.9</v>
      </c>
      <c r="P38" s="589">
        <f t="shared" ref="P38:P48" si="29">IF(N38=0, "    ---- ", IF(ABS(ROUND(100/N38*O38-100,1))&lt;999,ROUND(100/N38*O38-100,1),IF(ROUND(100/N38*O38-100,1)&gt;999,999,-999)))</f>
        <v>-132.30000000000001</v>
      </c>
      <c r="Q38" s="589">
        <f>'Tabell 5.1'!Q12+'Tabell 5.1'!Q24+'Tabell 5.1'!Q36+'Tabell 5.1'!Q48+'Tabell 5.1'!Q62+'Tabell 5.1'!Q74+'Tabell 5.1'!Q86+'Tabell 5.1'!Q98+'Tabell 5.2'!Q12+'Tabell 5.2'!Q24+'Tabell 5.2'!Q36+'Tabell 5.2'!Q48+'Tabell 5.2'!Q84+'Tabell 5.2'!Q96+'Tabell 5.2'!Q122+'Tabell 5.2'!Q134+Q12+Q24+'Tabell 5.2'!Q60+'Tabell 5.2'!Q72+'Tabell 5.2'!Q108</f>
        <v>0.71923140657968698</v>
      </c>
      <c r="R38" s="589">
        <f>'Tabell 5.1'!R12+'Tabell 5.1'!R24+'Tabell 5.1'!R36+'Tabell 5.1'!R48+'Tabell 5.1'!R62+'Tabell 5.1'!R74+'Tabell 5.1'!R86+'Tabell 5.1'!R98+'Tabell 5.2'!R12+'Tabell 5.2'!R24+'Tabell 5.2'!R36+'Tabell 5.2'!R48+'Tabell 5.2'!R84+'Tabell 5.2'!R96+'Tabell 5.2'!R122+'Tabell 5.2'!R134+R12+R24+'Tabell 5.2'!R60+'Tabell 5.2'!R72+'Tabell 5.2'!R108</f>
        <v>0</v>
      </c>
      <c r="S38" s="589">
        <f t="shared" ref="S38:S48" si="30">IF(Q38=0, "    ---- ", IF(ABS(ROUND(100/Q38*R38-100,1))&lt;999,ROUND(100/Q38*R38-100,1),IF(ROUND(100/Q38*R38-100,1)&gt;999,999,-999)))</f>
        <v>-100</v>
      </c>
      <c r="T38" s="589">
        <f>'Tabell 5.1'!T12+'Tabell 5.1'!T24+'Tabell 5.1'!T36+'Tabell 5.1'!T48+'Tabell 5.1'!T62+'Tabell 5.1'!T74+'Tabell 5.1'!T86+'Tabell 5.1'!T98+'Tabell 5.2'!T12+'Tabell 5.2'!T24+'Tabell 5.2'!T36+'Tabell 5.2'!T48+'Tabell 5.2'!T84+'Tabell 5.2'!T96+'Tabell 5.2'!T122+'Tabell 5.2'!T134+T12+T24+'Tabell 5.2'!T60+'Tabell 5.2'!T72+'Tabell 5.2'!T108</f>
        <v>14856.596270627975</v>
      </c>
      <c r="U38" s="589">
        <f>'Tabell 5.1'!U12+'Tabell 5.1'!U24+'Tabell 5.1'!U36+'Tabell 5.1'!U48+'Tabell 5.1'!U62+'Tabell 5.1'!U74+'Tabell 5.1'!U86+'Tabell 5.1'!U98+'Tabell 5.2'!U12+'Tabell 5.2'!U24+'Tabell 5.2'!U36+'Tabell 5.2'!U48+'Tabell 5.2'!U84+'Tabell 5.2'!U96+'Tabell 5.2'!U122+'Tabell 5.2'!U134+U12+U24+'Tabell 5.2'!U60+'Tabell 5.2'!U72+'Tabell 5.2'!U108</f>
        <v>-20098.724214406902</v>
      </c>
      <c r="V38" s="589">
        <f t="shared" ref="V38:V48" si="31">IF(T38=0, "    ---- ", IF(ABS(ROUND(100/T38*U38-100,1))&lt;999,ROUND(100/T38*U38-100,1),IF(ROUND(100/T38*U38-100,1)&gt;999,999,-999)))</f>
        <v>-235.3</v>
      </c>
      <c r="W38" s="589">
        <f>'Tabell 5.1'!W12+'Tabell 5.1'!W24+'Tabell 5.1'!W36+'Tabell 5.1'!W48+'Tabell 5.1'!W62+'Tabell 5.1'!W74+'Tabell 5.1'!W86+'Tabell 5.1'!W98+'Tabell 5.2'!W12+'Tabell 5.2'!W24+'Tabell 5.2'!W36+'Tabell 5.2'!W48+'Tabell 5.2'!W84+'Tabell 5.2'!W96+'Tabell 5.2'!W122+'Tabell 5.2'!W134+W12+W24+'Tabell 5.2'!W60+'Tabell 5.2'!W72+'Tabell 5.2'!W108</f>
        <v>1814.63</v>
      </c>
      <c r="X38" s="589">
        <f>'Tabell 5.1'!X12+'Tabell 5.1'!X24+'Tabell 5.1'!X36+'Tabell 5.1'!X48+'Tabell 5.1'!X62+'Tabell 5.1'!X74+'Tabell 5.1'!X86+'Tabell 5.1'!X98+'Tabell 5.2'!X12+'Tabell 5.2'!X24+'Tabell 5.2'!X36+'Tabell 5.2'!X48+'Tabell 5.2'!X84+'Tabell 5.2'!X96+'Tabell 5.2'!X122+'Tabell 5.2'!X134+X12+X24+'Tabell 5.2'!X60+'Tabell 5.2'!X72+'Tabell 5.2'!X108</f>
        <v>291.98468906477342</v>
      </c>
      <c r="Y38" s="589">
        <f t="shared" ref="Y38:Y48" si="32">IF(W38=0, "    ---- ", IF(ABS(ROUND(100/W38*X38-100,1))&lt;999,ROUND(100/W38*X38-100,1),IF(ROUND(100/W38*X38-100,1)&gt;999,999,-999)))</f>
        <v>-83.9</v>
      </c>
      <c r="Z38" s="589">
        <f>'Tabell 5.1'!Z12+'Tabell 5.1'!Z24+'Tabell 5.1'!Z36+'Tabell 5.1'!Z48+'Tabell 5.1'!Z62+'Tabell 5.1'!Z74+'Tabell 5.1'!Z86+'Tabell 5.1'!Z98+'Tabell 5.2'!Z12+'Tabell 5.2'!Z24+'Tabell 5.2'!Z36+'Tabell 5.2'!Z48+'Tabell 5.2'!Z84+'Tabell 5.2'!Z96+'Tabell 5.2'!Z122+'Tabell 5.2'!Z134+Z12+Z24+'Tabell 5.2'!Z60+'Tabell 5.2'!Z72+'Tabell 5.2'!Z108</f>
        <v>5440</v>
      </c>
      <c r="AA38" s="589">
        <f>'Tabell 5.1'!AA12+'Tabell 5.1'!AA24+'Tabell 5.1'!AA36+'Tabell 5.1'!AA48+'Tabell 5.1'!AA62+'Tabell 5.1'!AA74+'Tabell 5.1'!AA86+'Tabell 5.1'!AA98+'Tabell 5.2'!AA12+'Tabell 5.2'!AA24+'Tabell 5.2'!AA36+'Tabell 5.2'!AA48+'Tabell 5.2'!AA84+'Tabell 5.2'!AA96+'Tabell 5.2'!AA122+'Tabell 5.2'!AA134+AA12+AA24+'Tabell 5.2'!AA60+'Tabell 5.2'!AA72+'Tabell 5.2'!AA108</f>
        <v>-114</v>
      </c>
      <c r="AB38" s="589">
        <f t="shared" ref="AB38:AB48" si="33">IF(Z38=0, "    ---- ", IF(ABS(ROUND(100/Z38*AA38-100,1))&lt;999,ROUND(100/Z38*AA38-100,1),IF(ROUND(100/Z38*AA38-100,1)&gt;999,999,-999)))</f>
        <v>-102.1</v>
      </c>
      <c r="AC38" s="589">
        <f>'Tabell 5.1'!AC12+'Tabell 5.1'!AC24+'Tabell 5.1'!AC36+'Tabell 5.1'!AC48+'Tabell 5.1'!AC62+'Tabell 5.1'!AC74+'Tabell 5.1'!AC86+'Tabell 5.1'!AC98+'Tabell 5.2'!AC12+'Tabell 5.2'!AC24+'Tabell 5.2'!AC36+'Tabell 5.2'!AC48+'Tabell 5.2'!AC84+'Tabell 5.2'!AC96+'Tabell 5.2'!AC122+'Tabell 5.2'!AC134+AC12+AC24+'Tabell 5.2'!AC60+'Tabell 5.2'!AC72+'Tabell 5.2'!AC108</f>
        <v>0.32838050000000019</v>
      </c>
      <c r="AD38" s="589">
        <f>'Tabell 5.1'!AD12+'Tabell 5.1'!AD24+'Tabell 5.1'!AD36+'Tabell 5.1'!AD48+'Tabell 5.1'!AD62+'Tabell 5.1'!AD74+'Tabell 5.1'!AD86+'Tabell 5.1'!AD98+'Tabell 5.2'!AD12+'Tabell 5.2'!AD24+'Tabell 5.2'!AD36+'Tabell 5.2'!AD48+'Tabell 5.2'!AD84+'Tabell 5.2'!AD96+'Tabell 5.2'!AD122+'Tabell 5.2'!AD134+AD12+AD24+'Tabell 5.2'!AD60+'Tabell 5.2'!AD72+'Tabell 5.2'!AD108</f>
        <v>0</v>
      </c>
      <c r="AE38" s="589">
        <f t="shared" ref="AE38:AE48" si="34">IF(AC38=0, "    ---- ", IF(ABS(ROUND(100/AC38*AD38-100,1))&lt;999,ROUND(100/AC38*AD38-100,1),IF(ROUND(100/AC38*AD38-100,1)&gt;999,999,-999)))</f>
        <v>-100</v>
      </c>
      <c r="AF38" s="589">
        <f>'Tabell 5.1'!AF12+'Tabell 5.1'!AF24+'Tabell 5.1'!AF36+'Tabell 5.1'!AF48+'Tabell 5.1'!AF62+'Tabell 5.1'!AF74+'Tabell 5.1'!AF86+'Tabell 5.1'!AF98+'Tabell 5.2'!AF12+'Tabell 5.2'!AF24+'Tabell 5.2'!AF36+'Tabell 5.2'!AF48+'Tabell 5.2'!AF84+'Tabell 5.2'!AF96+'Tabell 5.2'!AF122+'Tabell 5.2'!AF134+AF12+AF24+'Tabell 5.2'!AF60+'Tabell 5.2'!AF72+'Tabell 5.2'!AF108</f>
        <v>1547</v>
      </c>
      <c r="AG38" s="589">
        <f>'Tabell 5.1'!AG12+'Tabell 5.1'!AG24+'Tabell 5.1'!AG36+'Tabell 5.1'!AG48+'Tabell 5.1'!AG62+'Tabell 5.1'!AG74+'Tabell 5.1'!AG86+'Tabell 5.1'!AG98+'Tabell 5.2'!AG12+'Tabell 5.2'!AG24+'Tabell 5.2'!AG36+'Tabell 5.2'!AG48+'Tabell 5.2'!AG84+'Tabell 5.2'!AG96+'Tabell 5.2'!AG122+'Tabell 5.2'!AG134+AG12+AG24+'Tabell 5.2'!AG60+'Tabell 5.2'!AG72+'Tabell 5.2'!AG108</f>
        <v>-365</v>
      </c>
      <c r="AH38" s="589">
        <f t="shared" ref="AH38:AH48" si="35">IF(AF38=0, "    ---- ", IF(ABS(ROUND(100/AF38*AG38-100,1))&lt;999,ROUND(100/AF38*AG38-100,1),IF(ROUND(100/AF38*AG38-100,1)&gt;999,999,-999)))</f>
        <v>-123.6</v>
      </c>
      <c r="AI38" s="589">
        <f>'Tabell 5.1'!AI12+'Tabell 5.1'!AI24+'Tabell 5.1'!AI36+'Tabell 5.1'!AI48+'Tabell 5.1'!AI62+'Tabell 5.1'!AI74+'Tabell 5.1'!AI86+'Tabell 5.1'!AI98+'Tabell 5.2'!AI12+'Tabell 5.2'!AI24+'Tabell 5.2'!AI36+'Tabell 5.2'!AI48+'Tabell 5.2'!AI84+'Tabell 5.2'!AI96+'Tabell 5.2'!AI122+'Tabell 5.2'!AI134+AI12+AI24+'Tabell 5.2'!AI60+'Tabell 5.2'!AI72+'Tabell 5.2'!AI108</f>
        <v>3078.5</v>
      </c>
      <c r="AJ38" s="589">
        <f>'Tabell 5.1'!AJ12+'Tabell 5.1'!AJ24+'Tabell 5.1'!AJ36+'Tabell 5.1'!AJ48+'Tabell 5.1'!AJ62+'Tabell 5.1'!AJ74+'Tabell 5.1'!AJ86+'Tabell 5.1'!AJ98+'Tabell 5.2'!AJ12+'Tabell 5.2'!AJ24+'Tabell 5.2'!AJ36+'Tabell 5.2'!AJ48+'Tabell 5.2'!AJ84+'Tabell 5.2'!AJ96+'Tabell 5.2'!AJ122+'Tabell 5.2'!AJ134+AJ12+AJ24+'Tabell 5.2'!AJ60+'Tabell 5.2'!AJ72+'Tabell 5.2'!AJ108</f>
        <v>-3402.7</v>
      </c>
      <c r="AK38" s="589">
        <f t="shared" ref="AK38:AK48" si="36">IF(AI38=0, "    ---- ", IF(ABS(ROUND(100/AI38*AJ38-100,1))&lt;999,ROUND(100/AI38*AJ38-100,1),IF(ROUND(100/AI38*AJ38-100,1)&gt;999,999,-999)))</f>
        <v>-210.5</v>
      </c>
      <c r="AL38" s="589">
        <f>'Tabell 5.1'!AL12+'Tabell 5.1'!AL24+'Tabell 5.1'!AL36+'Tabell 5.1'!AL48+'Tabell 5.1'!AL62+'Tabell 5.1'!AL74+'Tabell 5.1'!AL86+'Tabell 5.1'!AL98+'Tabell 5.2'!AL12+'Tabell 5.2'!AL24+'Tabell 5.2'!AL36+'Tabell 5.2'!AL48+'Tabell 5.2'!AL84+'Tabell 5.2'!AL96+'Tabell 5.2'!AL122+'Tabell 5.2'!AL134+AL12+AL24+'Tabell 5.2'!AL60+'Tabell 5.2'!AL72+'Tabell 5.2'!AL108</f>
        <v>0</v>
      </c>
      <c r="AM38" s="589">
        <f>'Tabell 5.1'!AM12+'Tabell 5.1'!AM24+'Tabell 5.1'!AM36+'Tabell 5.1'!AM48+'Tabell 5.1'!AM62+'Tabell 5.1'!AM74+'Tabell 5.1'!AM86+'Tabell 5.1'!AM98+'Tabell 5.2'!AM12+'Tabell 5.2'!AM24+'Tabell 5.2'!AM36+'Tabell 5.2'!AM48+'Tabell 5.2'!AM84+'Tabell 5.2'!AM96+'Tabell 5.2'!AM122+'Tabell 5.2'!AM134+AM12+AM24+'Tabell 5.2'!AM60+'Tabell 5.2'!AM72+'Tabell 5.2'!AM108</f>
        <v>0</v>
      </c>
      <c r="AN38" s="589" t="str">
        <f t="shared" ref="AN38:AN48" si="37">IF(AL38=0, "    ---- ", IF(ABS(ROUND(100/AL38*AM38-100,1))&lt;999,ROUND(100/AL38*AM38-100,1),IF(ROUND(100/AL38*AM38-100,1)&gt;999,999,-999)))</f>
        <v xml:space="preserve">    ---- </v>
      </c>
      <c r="AO38" s="589">
        <f t="shared" ref="AO38:AP48" si="38">B38+E38+H38+K38+N38+T38+W38+Z38+AF38+AI38</f>
        <v>43957.072169465398</v>
      </c>
      <c r="AP38" s="589">
        <f t="shared" si="38"/>
        <v>-37679.431267220309</v>
      </c>
      <c r="AQ38" s="589">
        <f t="shared" ref="AQ38:AQ48" si="39">IF(AO38=0, "    ---- ", IF(ABS(ROUND(100/AO38*AP38-100,1))&lt;999,ROUND(100/AO38*AP38-100,1),IF(ROUND(100/AO38*AP38-100,1)&gt;999,999,-999)))</f>
        <v>-185.7</v>
      </c>
      <c r="AR38" s="550">
        <f t="shared" ref="AR38:AR48" si="40">+B38+E38+H38+K38+N38+Q38+T38+AL38+W38+Z38+AC38+AF38+AI38</f>
        <v>43958.119781371985</v>
      </c>
      <c r="AS38" s="550">
        <f t="shared" ref="AS38:AS48" si="41">+C38+F38+I38+L38+O38+R38+U38+AM38+X38+AA38+AD38+AG38+AJ38</f>
        <v>-37679.431267220309</v>
      </c>
      <c r="AT38" s="590">
        <f t="shared" ref="AT38:AT48" si="42">IF(AR38=0, "    ---- ", IF(ABS(ROUND(100/AR38*AS38-100,1))&lt;999,ROUND(100/AR38*AS38-100,1),IF(ROUND(100/AR38*AS38-100,1)&gt;999,999,-999)))</f>
        <v>-185.7</v>
      </c>
      <c r="AU38" s="568"/>
    </row>
    <row r="39" spans="1:47" s="591" customFormat="1" ht="18.75" customHeight="1" x14ac:dyDescent="0.3">
      <c r="A39" s="542" t="s">
        <v>352</v>
      </c>
      <c r="B39" s="589">
        <f>'Tabell 5.1'!B13+'Tabell 5.1'!B25+'Tabell 5.1'!B37+'Tabell 5.1'!B49+'Tabell 5.1'!B63+'Tabell 5.1'!B75+'Tabell 5.1'!B87+'Tabell 5.1'!B99+'Tabell 5.2'!B13+'Tabell 5.2'!B25+'Tabell 5.2'!B37+'Tabell 5.2'!B49+'Tabell 5.2'!B85+'Tabell 5.2'!B97+'Tabell 5.2'!B123+'Tabell 5.2'!B135+B13+B25+'Tabell 5.2'!B61+'Tabell 5.2'!B73+'Tabell 5.2'!B109</f>
        <v>0</v>
      </c>
      <c r="C39" s="589">
        <f>'Tabell 5.1'!C13+'Tabell 5.1'!C25+'Tabell 5.1'!C37+'Tabell 5.1'!C49+'Tabell 5.1'!C63+'Tabell 5.1'!C75+'Tabell 5.1'!C87+'Tabell 5.1'!C99+'Tabell 5.2'!C13+'Tabell 5.2'!C25+'Tabell 5.2'!C37+'Tabell 5.2'!C49+'Tabell 5.2'!C85+'Tabell 5.2'!C97+'Tabell 5.2'!C123+'Tabell 5.2'!C135+C13+C25+'Tabell 5.2'!C61+'Tabell 5.2'!C73+'Tabell 5.2'!C109</f>
        <v>8.2349999999999994</v>
      </c>
      <c r="D39" s="589" t="str">
        <f t="shared" si="25"/>
        <v xml:space="preserve">    ---- </v>
      </c>
      <c r="E39" s="589">
        <f>'Tabell 5.1'!E13+'Tabell 5.1'!E25+'Tabell 5.1'!E37+'Tabell 5.1'!E49+'Tabell 5.1'!E63+'Tabell 5.1'!E75+'Tabell 5.1'!E87+'Tabell 5.1'!E99+'Tabell 5.2'!E13+'Tabell 5.2'!E25+'Tabell 5.2'!E37+'Tabell 5.2'!E49+'Tabell 5.2'!E85+'Tabell 5.2'!E97+'Tabell 5.2'!E123+'Tabell 5.2'!E135+E13+E25+'Tabell 5.2'!E61+'Tabell 5.2'!E73+'Tabell 5.2'!E109</f>
        <v>-1220.6913694289465</v>
      </c>
      <c r="F39" s="589">
        <f>'Tabell 5.1'!F13+'Tabell 5.1'!F25+'Tabell 5.1'!F37+'Tabell 5.1'!F49+'Tabell 5.1'!F63+'Tabell 5.1'!F75+'Tabell 5.1'!F87+'Tabell 5.1'!F99+'Tabell 5.2'!F13+'Tabell 5.2'!F25+'Tabell 5.2'!F37+'Tabell 5.2'!F49+'Tabell 5.2'!F85+'Tabell 5.2'!F97+'Tabell 5.2'!F123+'Tabell 5.2'!F135+F13+F25+'Tabell 5.2'!F61+'Tabell 5.2'!F73+'Tabell 5.2'!F109</f>
        <v>1587.1884787359209</v>
      </c>
      <c r="G39" s="589">
        <f t="shared" si="26"/>
        <v>-230</v>
      </c>
      <c r="H39" s="589">
        <f>'Tabell 5.1'!H13+'Tabell 5.1'!H25+'Tabell 5.1'!H37+'Tabell 5.1'!H49+'Tabell 5.1'!H63+'Tabell 5.1'!H75+'Tabell 5.1'!H87+'Tabell 5.1'!H99+'Tabell 5.2'!H13+'Tabell 5.2'!H25+'Tabell 5.2'!H37+'Tabell 5.2'!H49+'Tabell 5.2'!H85+'Tabell 5.2'!H97+'Tabell 5.2'!H123+'Tabell 5.2'!H135+H13+H25+'Tabell 5.2'!H61+'Tabell 5.2'!H73+'Tabell 5.2'!H109</f>
        <v>0</v>
      </c>
      <c r="I39" s="589">
        <f>'Tabell 5.1'!I13+'Tabell 5.1'!I25+'Tabell 5.1'!I37+'Tabell 5.1'!I49+'Tabell 5.1'!I63+'Tabell 5.1'!I75+'Tabell 5.1'!I87+'Tabell 5.1'!I99+'Tabell 5.2'!I13+'Tabell 5.2'!I25+'Tabell 5.2'!I37+'Tabell 5.2'!I49+'Tabell 5.2'!I85+'Tabell 5.2'!I97+'Tabell 5.2'!I123+'Tabell 5.2'!I135+I13+I25+'Tabell 5.2'!I61+'Tabell 5.2'!I73+'Tabell 5.2'!I109</f>
        <v>0</v>
      </c>
      <c r="J39" s="589" t="str">
        <f t="shared" si="27"/>
        <v xml:space="preserve">    ---- </v>
      </c>
      <c r="K39" s="589">
        <f>'Tabell 5.1'!K13+'Tabell 5.1'!K25+'Tabell 5.1'!K37+'Tabell 5.1'!K49+'Tabell 5.1'!K63+'Tabell 5.1'!K75+'Tabell 5.1'!K87+'Tabell 5.1'!K99+'Tabell 5.2'!K13+'Tabell 5.2'!K25+'Tabell 5.2'!K37+'Tabell 5.2'!K49+'Tabell 5.2'!K85+'Tabell 5.2'!K97+'Tabell 5.2'!K123+'Tabell 5.2'!K135+K13+K25+'Tabell 5.2'!K61+'Tabell 5.2'!K73+'Tabell 5.2'!K109</f>
        <v>0</v>
      </c>
      <c r="L39" s="589">
        <f>'Tabell 5.1'!L13+'Tabell 5.1'!L25+'Tabell 5.1'!L37+'Tabell 5.1'!L49+'Tabell 5.1'!L63+'Tabell 5.1'!L75+'Tabell 5.1'!L87+'Tabell 5.1'!L99+'Tabell 5.2'!L13+'Tabell 5.2'!L25+'Tabell 5.2'!L37+'Tabell 5.2'!L49+'Tabell 5.2'!L85+'Tabell 5.2'!L97+'Tabell 5.2'!L123+'Tabell 5.2'!L135+L13+L25+'Tabell 5.2'!L61+'Tabell 5.2'!L73+'Tabell 5.2'!L109</f>
        <v>0</v>
      </c>
      <c r="M39" s="589" t="str">
        <f t="shared" si="28"/>
        <v xml:space="preserve">    ---- </v>
      </c>
      <c r="N39" s="589">
        <f>'Tabell 5.1'!N13+'Tabell 5.1'!N25+'Tabell 5.1'!N37+'Tabell 5.1'!N49+'Tabell 5.1'!N63+'Tabell 5.1'!N75+'Tabell 5.1'!N87+'Tabell 5.1'!N99+'Tabell 5.2'!N13+'Tabell 5.2'!N25+'Tabell 5.2'!N37+'Tabell 5.2'!N49+'Tabell 5.2'!N85+'Tabell 5.2'!N97+'Tabell 5.2'!N123+'Tabell 5.2'!N135+N13+N25+'Tabell 5.2'!N61+'Tabell 5.2'!N73+'Tabell 5.2'!N109</f>
        <v>0</v>
      </c>
      <c r="O39" s="589">
        <f>'Tabell 5.1'!O13+'Tabell 5.1'!O25+'Tabell 5.1'!O37+'Tabell 5.1'!O49+'Tabell 5.1'!O63+'Tabell 5.1'!O75+'Tabell 5.1'!O87+'Tabell 5.1'!O99+'Tabell 5.2'!O13+'Tabell 5.2'!O25+'Tabell 5.2'!O37+'Tabell 5.2'!O49+'Tabell 5.2'!O85+'Tabell 5.2'!O97+'Tabell 5.2'!O123+'Tabell 5.2'!O135+O13+O25+'Tabell 5.2'!O61+'Tabell 5.2'!O73+'Tabell 5.2'!O109</f>
        <v>0</v>
      </c>
      <c r="P39" s="589" t="str">
        <f t="shared" si="29"/>
        <v xml:space="preserve">    ---- </v>
      </c>
      <c r="Q39" s="589">
        <f>'Tabell 5.1'!Q13+'Tabell 5.1'!Q25+'Tabell 5.1'!Q37+'Tabell 5.1'!Q49+'Tabell 5.1'!Q63+'Tabell 5.1'!Q75+'Tabell 5.1'!Q87+'Tabell 5.1'!Q99+'Tabell 5.2'!Q13+'Tabell 5.2'!Q25+'Tabell 5.2'!Q37+'Tabell 5.2'!Q49+'Tabell 5.2'!Q85+'Tabell 5.2'!Q97+'Tabell 5.2'!Q123+'Tabell 5.2'!Q135+Q13+Q25+'Tabell 5.2'!Q61+'Tabell 5.2'!Q73+'Tabell 5.2'!Q109</f>
        <v>0</v>
      </c>
      <c r="R39" s="589">
        <f>'Tabell 5.1'!R13+'Tabell 5.1'!R25+'Tabell 5.1'!R37+'Tabell 5.1'!R49+'Tabell 5.1'!R63+'Tabell 5.1'!R75+'Tabell 5.1'!R87+'Tabell 5.1'!R99+'Tabell 5.2'!R13+'Tabell 5.2'!R25+'Tabell 5.2'!R37+'Tabell 5.2'!R49+'Tabell 5.2'!R85+'Tabell 5.2'!R97+'Tabell 5.2'!R123+'Tabell 5.2'!R135+R13+R25+'Tabell 5.2'!R61+'Tabell 5.2'!R73+'Tabell 5.2'!R109</f>
        <v>0</v>
      </c>
      <c r="S39" s="589" t="str">
        <f t="shared" si="30"/>
        <v xml:space="preserve">    ---- </v>
      </c>
      <c r="T39" s="589">
        <f>'Tabell 5.1'!T13+'Tabell 5.1'!T25+'Tabell 5.1'!T37+'Tabell 5.1'!T49+'Tabell 5.1'!T63+'Tabell 5.1'!T75+'Tabell 5.1'!T87+'Tabell 5.1'!T99+'Tabell 5.2'!T13+'Tabell 5.2'!T25+'Tabell 5.2'!T37+'Tabell 5.2'!T49+'Tabell 5.2'!T85+'Tabell 5.2'!T97+'Tabell 5.2'!T123+'Tabell 5.2'!T135+T13+T25+'Tabell 5.2'!T61+'Tabell 5.2'!T73+'Tabell 5.2'!T109</f>
        <v>276.70562864422538</v>
      </c>
      <c r="U39" s="589">
        <f>'Tabell 5.1'!U13+'Tabell 5.1'!U25+'Tabell 5.1'!U37+'Tabell 5.1'!U49+'Tabell 5.1'!U63+'Tabell 5.1'!U75+'Tabell 5.1'!U87+'Tabell 5.1'!U99+'Tabell 5.2'!U13+'Tabell 5.2'!U25+'Tabell 5.2'!U37+'Tabell 5.2'!U49+'Tabell 5.2'!U85+'Tabell 5.2'!U97+'Tabell 5.2'!U123+'Tabell 5.2'!U135+U13+U25+'Tabell 5.2'!U61+'Tabell 5.2'!U73+'Tabell 5.2'!U109</f>
        <v>0</v>
      </c>
      <c r="V39" s="589">
        <f t="shared" si="31"/>
        <v>-100</v>
      </c>
      <c r="W39" s="589">
        <f>'Tabell 5.1'!W13+'Tabell 5.1'!W25+'Tabell 5.1'!W37+'Tabell 5.1'!W49+'Tabell 5.1'!W63+'Tabell 5.1'!W75+'Tabell 5.1'!W87+'Tabell 5.1'!W99+'Tabell 5.2'!W13+'Tabell 5.2'!W25+'Tabell 5.2'!W37+'Tabell 5.2'!W49+'Tabell 5.2'!W85+'Tabell 5.2'!W97+'Tabell 5.2'!W123+'Tabell 5.2'!W135+W13+W25+'Tabell 5.2'!W61+'Tabell 5.2'!W73+'Tabell 5.2'!W109</f>
        <v>-1341.73</v>
      </c>
      <c r="X39" s="589">
        <f>'Tabell 5.1'!X13+'Tabell 5.1'!X25+'Tabell 5.1'!X37+'Tabell 5.1'!X49+'Tabell 5.1'!X63+'Tabell 5.1'!X75+'Tabell 5.1'!X87+'Tabell 5.1'!X99+'Tabell 5.2'!X13+'Tabell 5.2'!X25+'Tabell 5.2'!X37+'Tabell 5.2'!X49+'Tabell 5.2'!X85+'Tabell 5.2'!X97+'Tabell 5.2'!X123+'Tabell 5.2'!X135+X13+X25+'Tabell 5.2'!X61+'Tabell 5.2'!X73+'Tabell 5.2'!X109</f>
        <v>-177.17063131630482</v>
      </c>
      <c r="Y39" s="589">
        <f t="shared" si="32"/>
        <v>-86.8</v>
      </c>
      <c r="Z39" s="589">
        <f>'Tabell 5.1'!Z13+'Tabell 5.1'!Z25+'Tabell 5.1'!Z37+'Tabell 5.1'!Z49+'Tabell 5.1'!Z63+'Tabell 5.1'!Z75+'Tabell 5.1'!Z87+'Tabell 5.1'!Z99+'Tabell 5.2'!Z13+'Tabell 5.2'!Z25+'Tabell 5.2'!Z37+'Tabell 5.2'!Z49+'Tabell 5.2'!Z85+'Tabell 5.2'!Z97+'Tabell 5.2'!Z123+'Tabell 5.2'!Z135+Z13+Z25+'Tabell 5.2'!Z61+'Tabell 5.2'!Z73+'Tabell 5.2'!Z109</f>
        <v>-658</v>
      </c>
      <c r="AA39" s="589">
        <f>'Tabell 5.1'!AA13+'Tabell 5.1'!AA25+'Tabell 5.1'!AA37+'Tabell 5.1'!AA49+'Tabell 5.1'!AA63+'Tabell 5.1'!AA75+'Tabell 5.1'!AA87+'Tabell 5.1'!AA99+'Tabell 5.2'!AA13+'Tabell 5.2'!AA25+'Tabell 5.2'!AA37+'Tabell 5.2'!AA49+'Tabell 5.2'!AA85+'Tabell 5.2'!AA97+'Tabell 5.2'!AA123+'Tabell 5.2'!AA135+AA13+AA25+'Tabell 5.2'!AA61+'Tabell 5.2'!AA73+'Tabell 5.2'!AA109</f>
        <v>0</v>
      </c>
      <c r="AB39" s="589">
        <f t="shared" si="33"/>
        <v>-100</v>
      </c>
      <c r="AC39" s="589">
        <f>'Tabell 5.1'!AC13+'Tabell 5.1'!AC25+'Tabell 5.1'!AC37+'Tabell 5.1'!AC49+'Tabell 5.1'!AC63+'Tabell 5.1'!AC75+'Tabell 5.1'!AC87+'Tabell 5.1'!AC99+'Tabell 5.2'!AC13+'Tabell 5.2'!AC25+'Tabell 5.2'!AC37+'Tabell 5.2'!AC49+'Tabell 5.2'!AC85+'Tabell 5.2'!AC97+'Tabell 5.2'!AC123+'Tabell 5.2'!AC135+AC13+AC25+'Tabell 5.2'!AC61+'Tabell 5.2'!AC73+'Tabell 5.2'!AC109</f>
        <v>0</v>
      </c>
      <c r="AD39" s="589">
        <f>'Tabell 5.1'!AD13+'Tabell 5.1'!AD25+'Tabell 5.1'!AD37+'Tabell 5.1'!AD49+'Tabell 5.1'!AD63+'Tabell 5.1'!AD75+'Tabell 5.1'!AD87+'Tabell 5.1'!AD99+'Tabell 5.2'!AD13+'Tabell 5.2'!AD25+'Tabell 5.2'!AD37+'Tabell 5.2'!AD49+'Tabell 5.2'!AD85+'Tabell 5.2'!AD97+'Tabell 5.2'!AD123+'Tabell 5.2'!AD135+AD13+AD25+'Tabell 5.2'!AD61+'Tabell 5.2'!AD73+'Tabell 5.2'!AD109</f>
        <v>0</v>
      </c>
      <c r="AE39" s="589" t="str">
        <f t="shared" si="34"/>
        <v xml:space="preserve">    ---- </v>
      </c>
      <c r="AF39" s="589">
        <f>'Tabell 5.1'!AF13+'Tabell 5.1'!AF25+'Tabell 5.1'!AF37+'Tabell 5.1'!AF49+'Tabell 5.1'!AF63+'Tabell 5.1'!AF75+'Tabell 5.1'!AF87+'Tabell 5.1'!AF99+'Tabell 5.2'!AF13+'Tabell 5.2'!AF25+'Tabell 5.2'!AF37+'Tabell 5.2'!AF49+'Tabell 5.2'!AF85+'Tabell 5.2'!AF97+'Tabell 5.2'!AF123+'Tabell 5.2'!AF135+AF13+AF25+'Tabell 5.2'!AF61+'Tabell 5.2'!AF73+'Tabell 5.2'!AF109</f>
        <v>-299</v>
      </c>
      <c r="AG39" s="589">
        <f>'Tabell 5.1'!AG13+'Tabell 5.1'!AG25+'Tabell 5.1'!AG37+'Tabell 5.1'!AG49+'Tabell 5.1'!AG63+'Tabell 5.1'!AG75+'Tabell 5.1'!AG87+'Tabell 5.1'!AG99+'Tabell 5.2'!AG13+'Tabell 5.2'!AG25+'Tabell 5.2'!AG37+'Tabell 5.2'!AG49+'Tabell 5.2'!AG85+'Tabell 5.2'!AG97+'Tabell 5.2'!AG123+'Tabell 5.2'!AG135+AG13+AG25+'Tabell 5.2'!AG61+'Tabell 5.2'!AG73+'Tabell 5.2'!AG109</f>
        <v>352</v>
      </c>
      <c r="AH39" s="589">
        <f t="shared" si="35"/>
        <v>-217.7</v>
      </c>
      <c r="AI39" s="589">
        <f>'Tabell 5.1'!AI13+'Tabell 5.1'!AI25+'Tabell 5.1'!AI37+'Tabell 5.1'!AI49+'Tabell 5.1'!AI63+'Tabell 5.1'!AI75+'Tabell 5.1'!AI87+'Tabell 5.1'!AI99+'Tabell 5.2'!AI13+'Tabell 5.2'!AI25+'Tabell 5.2'!AI37+'Tabell 5.2'!AI49+'Tabell 5.2'!AI85+'Tabell 5.2'!AI97+'Tabell 5.2'!AI123+'Tabell 5.2'!AI135+AI13+AI25+'Tabell 5.2'!AI61+'Tabell 5.2'!AI73+'Tabell 5.2'!AI109</f>
        <v>-1645</v>
      </c>
      <c r="AJ39" s="589">
        <f>'Tabell 5.1'!AJ13+'Tabell 5.1'!AJ25+'Tabell 5.1'!AJ37+'Tabell 5.1'!AJ49+'Tabell 5.1'!AJ63+'Tabell 5.1'!AJ75+'Tabell 5.1'!AJ87+'Tabell 5.1'!AJ99+'Tabell 5.2'!AJ13+'Tabell 5.2'!AJ25+'Tabell 5.2'!AJ37+'Tabell 5.2'!AJ49+'Tabell 5.2'!AJ85+'Tabell 5.2'!AJ97+'Tabell 5.2'!AJ123+'Tabell 5.2'!AJ135+AJ13+AJ25+'Tabell 5.2'!AJ61+'Tabell 5.2'!AJ73+'Tabell 5.2'!AJ109</f>
        <v>3446</v>
      </c>
      <c r="AK39" s="589">
        <f t="shared" si="36"/>
        <v>-309.5</v>
      </c>
      <c r="AL39" s="589">
        <f>'Tabell 5.1'!AL13+'Tabell 5.1'!AL25+'Tabell 5.1'!AL37+'Tabell 5.1'!AL49+'Tabell 5.1'!AL63+'Tabell 5.1'!AL75+'Tabell 5.1'!AL87+'Tabell 5.1'!AL99+'Tabell 5.2'!AL13+'Tabell 5.2'!AL25+'Tabell 5.2'!AL37+'Tabell 5.2'!AL49+'Tabell 5.2'!AL85+'Tabell 5.2'!AL97+'Tabell 5.2'!AL123+'Tabell 5.2'!AL135+AL13+AL25+'Tabell 5.2'!AL61+'Tabell 5.2'!AL73+'Tabell 5.2'!AL109</f>
        <v>0</v>
      </c>
      <c r="AM39" s="589">
        <f>'Tabell 5.1'!AM13+'Tabell 5.1'!AM25+'Tabell 5.1'!AM37+'Tabell 5.1'!AM49+'Tabell 5.1'!AM63+'Tabell 5.1'!AM75+'Tabell 5.1'!AM87+'Tabell 5.1'!AM99+'Tabell 5.2'!AM13+'Tabell 5.2'!AM25+'Tabell 5.2'!AM37+'Tabell 5.2'!AM49+'Tabell 5.2'!AM85+'Tabell 5.2'!AM97+'Tabell 5.2'!AM123+'Tabell 5.2'!AM135+AM13+AM25+'Tabell 5.2'!AM61+'Tabell 5.2'!AM73+'Tabell 5.2'!AM109</f>
        <v>0</v>
      </c>
      <c r="AN39" s="589" t="str">
        <f t="shared" si="37"/>
        <v xml:space="preserve">    ---- </v>
      </c>
      <c r="AO39" s="589">
        <f t="shared" si="38"/>
        <v>-4887.7157407847208</v>
      </c>
      <c r="AP39" s="589">
        <f t="shared" si="38"/>
        <v>5216.252847419616</v>
      </c>
      <c r="AQ39" s="589">
        <f t="shared" si="39"/>
        <v>-206.7</v>
      </c>
      <c r="AR39" s="550">
        <f t="shared" si="40"/>
        <v>-4887.7157407847208</v>
      </c>
      <c r="AS39" s="550">
        <f t="shared" si="41"/>
        <v>5216.252847419616</v>
      </c>
      <c r="AT39" s="590">
        <f t="shared" si="42"/>
        <v>-206.7</v>
      </c>
      <c r="AU39" s="568"/>
    </row>
    <row r="40" spans="1:47" s="591" customFormat="1" ht="18.75" customHeight="1" x14ac:dyDescent="0.3">
      <c r="A40" s="542" t="s">
        <v>353</v>
      </c>
      <c r="B40" s="589">
        <f>'Tabell 5.1'!B14+'Tabell 5.1'!B26+'Tabell 5.1'!B38+'Tabell 5.1'!B50+'Tabell 5.1'!B64+'Tabell 5.1'!B76+'Tabell 5.1'!B88+'Tabell 5.1'!B100+'Tabell 5.2'!B14+'Tabell 5.2'!B26+'Tabell 5.2'!B38+'Tabell 5.2'!B50+'Tabell 5.2'!B86+'Tabell 5.2'!B98+'Tabell 5.2'!B124+'Tabell 5.2'!B136+B14+B26+'Tabell 5.2'!B62+'Tabell 5.2'!B74+'Tabell 5.2'!B110</f>
        <v>43.757000000000005</v>
      </c>
      <c r="C40" s="589">
        <f>'Tabell 5.1'!C14+'Tabell 5.1'!C26+'Tabell 5.1'!C38+'Tabell 5.1'!C50+'Tabell 5.1'!C64+'Tabell 5.1'!C76+'Tabell 5.1'!C88+'Tabell 5.1'!C100+'Tabell 5.2'!C14+'Tabell 5.2'!C26+'Tabell 5.2'!C38+'Tabell 5.2'!C50+'Tabell 5.2'!C86+'Tabell 5.2'!C98+'Tabell 5.2'!C124+'Tabell 5.2'!C136+C14+C26+'Tabell 5.2'!C62+'Tabell 5.2'!C74+'Tabell 5.2'!C110</f>
        <v>-10.33</v>
      </c>
      <c r="D40" s="589">
        <f t="shared" si="25"/>
        <v>-123.6</v>
      </c>
      <c r="E40" s="589">
        <f>'Tabell 5.1'!E14+'Tabell 5.1'!E26+'Tabell 5.1'!E38+'Tabell 5.1'!E50+'Tabell 5.1'!E64+'Tabell 5.1'!E76+'Tabell 5.1'!E88+'Tabell 5.1'!E100+'Tabell 5.2'!E14+'Tabell 5.2'!E26+'Tabell 5.2'!E38+'Tabell 5.2'!E50+'Tabell 5.2'!E86+'Tabell 5.2'!E98+'Tabell 5.2'!E124+'Tabell 5.2'!E136+E14+E26+'Tabell 5.2'!E62+'Tabell 5.2'!E74+'Tabell 5.2'!E110</f>
        <v>706.13634817673835</v>
      </c>
      <c r="F40" s="589">
        <f>'Tabell 5.1'!F14+'Tabell 5.1'!F26+'Tabell 5.1'!F38+'Tabell 5.1'!F50+'Tabell 5.1'!F64+'Tabell 5.1'!F76+'Tabell 5.1'!F88+'Tabell 5.1'!F100+'Tabell 5.2'!F14+'Tabell 5.2'!F26+'Tabell 5.2'!F38+'Tabell 5.2'!F50+'Tabell 5.2'!F86+'Tabell 5.2'!F98+'Tabell 5.2'!F124+'Tabell 5.2'!F136+F14+F26+'Tabell 5.2'!F62+'Tabell 5.2'!F74+'Tabell 5.2'!F110</f>
        <v>599.35722275152693</v>
      </c>
      <c r="G40" s="589">
        <f t="shared" si="26"/>
        <v>-15.1</v>
      </c>
      <c r="H40" s="589">
        <f>'Tabell 5.1'!H14+'Tabell 5.1'!H26+'Tabell 5.1'!H38+'Tabell 5.1'!H50+'Tabell 5.1'!H64+'Tabell 5.1'!H76+'Tabell 5.1'!H88+'Tabell 5.1'!H100+'Tabell 5.2'!H14+'Tabell 5.2'!H26+'Tabell 5.2'!H38+'Tabell 5.2'!H50+'Tabell 5.2'!H86+'Tabell 5.2'!H98+'Tabell 5.2'!H124+'Tabell 5.2'!H136+H14+H26+'Tabell 5.2'!H62+'Tabell 5.2'!H74+'Tabell 5.2'!H110</f>
        <v>25.898588959999923</v>
      </c>
      <c r="I40" s="589">
        <f>'Tabell 5.1'!I14+'Tabell 5.1'!I26+'Tabell 5.1'!I38+'Tabell 5.1'!I50+'Tabell 5.1'!I64+'Tabell 5.1'!I76+'Tabell 5.1'!I88+'Tabell 5.1'!I100+'Tabell 5.2'!I14+'Tabell 5.2'!I26+'Tabell 5.2'!I38+'Tabell 5.2'!I50+'Tabell 5.2'!I86+'Tabell 5.2'!I98+'Tabell 5.2'!I124+'Tabell 5.2'!I136+I14+I26+'Tabell 5.2'!I62+'Tabell 5.2'!I74+'Tabell 5.2'!I110</f>
        <v>64.979319140000115</v>
      </c>
      <c r="J40" s="589">
        <f t="shared" si="27"/>
        <v>150.9</v>
      </c>
      <c r="K40" s="589">
        <f>'Tabell 5.1'!K14+'Tabell 5.1'!K26+'Tabell 5.1'!K38+'Tabell 5.1'!K50+'Tabell 5.1'!K64+'Tabell 5.1'!K76+'Tabell 5.1'!K88+'Tabell 5.1'!K100+'Tabell 5.2'!K14+'Tabell 5.2'!K26+'Tabell 5.2'!K38+'Tabell 5.2'!K50+'Tabell 5.2'!K86+'Tabell 5.2'!K98+'Tabell 5.2'!K124+'Tabell 5.2'!K136+K14+K26+'Tabell 5.2'!K62+'Tabell 5.2'!K74+'Tabell 5.2'!K110</f>
        <v>-50.362000000000002</v>
      </c>
      <c r="L40" s="589">
        <f>'Tabell 5.1'!L14+'Tabell 5.1'!L26+'Tabell 5.1'!L38+'Tabell 5.1'!L50+'Tabell 5.1'!L64+'Tabell 5.1'!L76+'Tabell 5.1'!L88+'Tabell 5.1'!L100+'Tabell 5.2'!L14+'Tabell 5.2'!L26+'Tabell 5.2'!L38+'Tabell 5.2'!L50+'Tabell 5.2'!L86+'Tabell 5.2'!L98+'Tabell 5.2'!L124+'Tabell 5.2'!L136+L14+L26+'Tabell 5.2'!L62+'Tabell 5.2'!L74+'Tabell 5.2'!L110</f>
        <v>-55.677</v>
      </c>
      <c r="M40" s="589">
        <f t="shared" si="28"/>
        <v>10.6</v>
      </c>
      <c r="N40" s="589">
        <f>'Tabell 5.1'!N14+'Tabell 5.1'!N26+'Tabell 5.1'!N38+'Tabell 5.1'!N50+'Tabell 5.1'!N64+'Tabell 5.1'!N76+'Tabell 5.1'!N88+'Tabell 5.1'!N100+'Tabell 5.2'!N14+'Tabell 5.2'!N26+'Tabell 5.2'!N38+'Tabell 5.2'!N50+'Tabell 5.2'!N86+'Tabell 5.2'!N98+'Tabell 5.2'!N124+'Tabell 5.2'!N136+N14+N26+'Tabell 5.2'!N62+'Tabell 5.2'!N74+'Tabell 5.2'!N110</f>
        <v>169.7</v>
      </c>
      <c r="O40" s="589">
        <f>'Tabell 5.1'!O14+'Tabell 5.1'!O26+'Tabell 5.1'!O38+'Tabell 5.1'!O50+'Tabell 5.1'!O64+'Tabell 5.1'!O76+'Tabell 5.1'!O88+'Tabell 5.1'!O100+'Tabell 5.2'!O14+'Tabell 5.2'!O26+'Tabell 5.2'!O38+'Tabell 5.2'!O50+'Tabell 5.2'!O86+'Tabell 5.2'!O98+'Tabell 5.2'!O124+'Tabell 5.2'!O136+O14+O26+'Tabell 5.2'!O62+'Tabell 5.2'!O74+'Tabell 5.2'!O110</f>
        <v>154.19999999999999</v>
      </c>
      <c r="P40" s="589">
        <f t="shared" si="29"/>
        <v>-9.1</v>
      </c>
      <c r="Q40" s="589">
        <f>'Tabell 5.1'!Q14+'Tabell 5.1'!Q26+'Tabell 5.1'!Q38+'Tabell 5.1'!Q50+'Tabell 5.1'!Q64+'Tabell 5.1'!Q76+'Tabell 5.1'!Q88+'Tabell 5.1'!Q100+'Tabell 5.2'!Q14+'Tabell 5.2'!Q26+'Tabell 5.2'!Q38+'Tabell 5.2'!Q50+'Tabell 5.2'!Q86+'Tabell 5.2'!Q98+'Tabell 5.2'!Q124+'Tabell 5.2'!Q136+Q14+Q26+'Tabell 5.2'!Q62+'Tabell 5.2'!Q74+'Tabell 5.2'!Q110</f>
        <v>1.853691</v>
      </c>
      <c r="R40" s="589">
        <f>'Tabell 5.1'!R14+'Tabell 5.1'!R26+'Tabell 5.1'!R38+'Tabell 5.1'!R50+'Tabell 5.1'!R64+'Tabell 5.1'!R76+'Tabell 5.1'!R88+'Tabell 5.1'!R100+'Tabell 5.2'!R14+'Tabell 5.2'!R26+'Tabell 5.2'!R38+'Tabell 5.2'!R50+'Tabell 5.2'!R86+'Tabell 5.2'!R98+'Tabell 5.2'!R124+'Tabell 5.2'!R136+R14+R26+'Tabell 5.2'!R62+'Tabell 5.2'!R74+'Tabell 5.2'!R110</f>
        <v>-3.1507000000000001</v>
      </c>
      <c r="S40" s="589">
        <f t="shared" si="30"/>
        <v>-270</v>
      </c>
      <c r="T40" s="589">
        <f>'Tabell 5.1'!T14+'Tabell 5.1'!T26+'Tabell 5.1'!T38+'Tabell 5.1'!T50+'Tabell 5.1'!T64+'Tabell 5.1'!T76+'Tabell 5.1'!T88+'Tabell 5.1'!T100+'Tabell 5.2'!T14+'Tabell 5.2'!T26+'Tabell 5.2'!T38+'Tabell 5.2'!T50+'Tabell 5.2'!T86+'Tabell 5.2'!T98+'Tabell 5.2'!T124+'Tabell 5.2'!T136+T14+T26+'Tabell 5.2'!T62+'Tabell 5.2'!T74+'Tabell 5.2'!T110</f>
        <v>34.718065211536633</v>
      </c>
      <c r="U40" s="589">
        <f>'Tabell 5.1'!U14+'Tabell 5.1'!U26+'Tabell 5.1'!U38+'Tabell 5.1'!U50+'Tabell 5.1'!U64+'Tabell 5.1'!U76+'Tabell 5.1'!U88+'Tabell 5.1'!U100+'Tabell 5.2'!U14+'Tabell 5.2'!U26+'Tabell 5.2'!U38+'Tabell 5.2'!U50+'Tabell 5.2'!U86+'Tabell 5.2'!U98+'Tabell 5.2'!U124+'Tabell 5.2'!U136+U14+U26+'Tabell 5.2'!U62+'Tabell 5.2'!U74+'Tabell 5.2'!U110</f>
        <v>-16.801771732366706</v>
      </c>
      <c r="V40" s="589">
        <f t="shared" si="31"/>
        <v>-148.4</v>
      </c>
      <c r="W40" s="589">
        <f>'Tabell 5.1'!W14+'Tabell 5.1'!W26+'Tabell 5.1'!W38+'Tabell 5.1'!W50+'Tabell 5.1'!W64+'Tabell 5.1'!W76+'Tabell 5.1'!W88+'Tabell 5.1'!W100+'Tabell 5.2'!W14+'Tabell 5.2'!W26+'Tabell 5.2'!W38+'Tabell 5.2'!W50+'Tabell 5.2'!W86+'Tabell 5.2'!W98+'Tabell 5.2'!W124+'Tabell 5.2'!W136+W14+W26+'Tabell 5.2'!W62+'Tabell 5.2'!W74+'Tabell 5.2'!W110</f>
        <v>613.81999999999994</v>
      </c>
      <c r="X40" s="589">
        <f>'Tabell 5.1'!X14+'Tabell 5.1'!X26+'Tabell 5.1'!X38+'Tabell 5.1'!X50+'Tabell 5.1'!X64+'Tabell 5.1'!X76+'Tabell 5.1'!X88+'Tabell 5.1'!X100+'Tabell 5.2'!X14+'Tabell 5.2'!X26+'Tabell 5.2'!X38+'Tabell 5.2'!X50+'Tabell 5.2'!X86+'Tabell 5.2'!X98+'Tabell 5.2'!X124+'Tabell 5.2'!X136+X14+X26+'Tabell 5.2'!X62+'Tabell 5.2'!X74+'Tabell 5.2'!X110</f>
        <v>575.10519329071155</v>
      </c>
      <c r="Y40" s="589">
        <f t="shared" si="32"/>
        <v>-6.3</v>
      </c>
      <c r="Z40" s="589">
        <f>'Tabell 5.1'!Z14+'Tabell 5.1'!Z26+'Tabell 5.1'!Z38+'Tabell 5.1'!Z50+'Tabell 5.1'!Z64+'Tabell 5.1'!Z76+'Tabell 5.1'!Z88+'Tabell 5.1'!Z100+'Tabell 5.2'!Z14+'Tabell 5.2'!Z26+'Tabell 5.2'!Z38+'Tabell 5.2'!Z50+'Tabell 5.2'!Z86+'Tabell 5.2'!Z98+'Tabell 5.2'!Z124+'Tabell 5.2'!Z136+Z14+Z26+'Tabell 5.2'!Z62+'Tabell 5.2'!Z74+'Tabell 5.2'!Z110</f>
        <v>2</v>
      </c>
      <c r="AA40" s="589">
        <f>'Tabell 5.1'!AA14+'Tabell 5.1'!AA26+'Tabell 5.1'!AA38+'Tabell 5.1'!AA50+'Tabell 5.1'!AA64+'Tabell 5.1'!AA76+'Tabell 5.1'!AA88+'Tabell 5.1'!AA100+'Tabell 5.2'!AA14+'Tabell 5.2'!AA26+'Tabell 5.2'!AA38+'Tabell 5.2'!AA50+'Tabell 5.2'!AA86+'Tabell 5.2'!AA98+'Tabell 5.2'!AA124+'Tabell 5.2'!AA136+AA14+AA26+'Tabell 5.2'!AA62+'Tabell 5.2'!AA74+'Tabell 5.2'!AA110</f>
        <v>3</v>
      </c>
      <c r="AB40" s="589">
        <f t="shared" si="33"/>
        <v>50</v>
      </c>
      <c r="AC40" s="589">
        <f>'Tabell 5.1'!AC14+'Tabell 5.1'!AC26+'Tabell 5.1'!AC38+'Tabell 5.1'!AC50+'Tabell 5.1'!AC64+'Tabell 5.1'!AC76+'Tabell 5.1'!AC88+'Tabell 5.1'!AC100+'Tabell 5.2'!AC14+'Tabell 5.2'!AC26+'Tabell 5.2'!AC38+'Tabell 5.2'!AC50+'Tabell 5.2'!AC86+'Tabell 5.2'!AC98+'Tabell 5.2'!AC124+'Tabell 5.2'!AC136+AC14+AC26+'Tabell 5.2'!AC62+'Tabell 5.2'!AC74+'Tabell 5.2'!AC110</f>
        <v>16.876636399999963</v>
      </c>
      <c r="AD40" s="589">
        <f>'Tabell 5.1'!AD14+'Tabell 5.1'!AD26+'Tabell 5.1'!AD38+'Tabell 5.1'!AD50+'Tabell 5.1'!AD64+'Tabell 5.1'!AD76+'Tabell 5.1'!AD88+'Tabell 5.1'!AD100+'Tabell 5.2'!AD14+'Tabell 5.2'!AD26+'Tabell 5.2'!AD38+'Tabell 5.2'!AD50+'Tabell 5.2'!AD86+'Tabell 5.2'!AD98+'Tabell 5.2'!AD124+'Tabell 5.2'!AD136+AD14+AD26+'Tabell 5.2'!AD62+'Tabell 5.2'!AD74+'Tabell 5.2'!AD110</f>
        <v>21.618000000000002</v>
      </c>
      <c r="AE40" s="589">
        <f t="shared" si="34"/>
        <v>28.1</v>
      </c>
      <c r="AF40" s="589">
        <f>'Tabell 5.1'!AF14+'Tabell 5.1'!AF26+'Tabell 5.1'!AF38+'Tabell 5.1'!AF50+'Tabell 5.1'!AF64+'Tabell 5.1'!AF76+'Tabell 5.1'!AF88+'Tabell 5.1'!AF100+'Tabell 5.2'!AF14+'Tabell 5.2'!AF26+'Tabell 5.2'!AF38+'Tabell 5.2'!AF50+'Tabell 5.2'!AF86+'Tabell 5.2'!AF98+'Tabell 5.2'!AF124+'Tabell 5.2'!AF136+AF14+AF26+'Tabell 5.2'!AF62+'Tabell 5.2'!AF74+'Tabell 5.2'!AF110</f>
        <v>205</v>
      </c>
      <c r="AG40" s="589">
        <f>'Tabell 5.1'!AG14+'Tabell 5.1'!AG26+'Tabell 5.1'!AG38+'Tabell 5.1'!AG50+'Tabell 5.1'!AG64+'Tabell 5.1'!AG76+'Tabell 5.1'!AG88+'Tabell 5.1'!AG100+'Tabell 5.2'!AG14+'Tabell 5.2'!AG26+'Tabell 5.2'!AG38+'Tabell 5.2'!AG50+'Tabell 5.2'!AG86+'Tabell 5.2'!AG98+'Tabell 5.2'!AG124+'Tabell 5.2'!AG136+AG14+AG26+'Tabell 5.2'!AG62+'Tabell 5.2'!AG74+'Tabell 5.2'!AG110</f>
        <v>-135</v>
      </c>
      <c r="AH40" s="589">
        <f t="shared" si="35"/>
        <v>-165.9</v>
      </c>
      <c r="AI40" s="589">
        <f>'Tabell 5.1'!AI14+'Tabell 5.1'!AI26+'Tabell 5.1'!AI38+'Tabell 5.1'!AI50+'Tabell 5.1'!AI64+'Tabell 5.1'!AI76+'Tabell 5.1'!AI88+'Tabell 5.1'!AI100+'Tabell 5.2'!AI14+'Tabell 5.2'!AI26+'Tabell 5.2'!AI38+'Tabell 5.2'!AI50+'Tabell 5.2'!AI86+'Tabell 5.2'!AI98+'Tabell 5.2'!AI124+'Tabell 5.2'!AI136+AI14+AI26+'Tabell 5.2'!AI62+'Tabell 5.2'!AI74+'Tabell 5.2'!AI110</f>
        <v>570</v>
      </c>
      <c r="AJ40" s="589">
        <f>'Tabell 5.1'!AJ14+'Tabell 5.1'!AJ26+'Tabell 5.1'!AJ38+'Tabell 5.1'!AJ50+'Tabell 5.1'!AJ64+'Tabell 5.1'!AJ76+'Tabell 5.1'!AJ88+'Tabell 5.1'!AJ100+'Tabell 5.2'!AJ14+'Tabell 5.2'!AJ26+'Tabell 5.2'!AJ38+'Tabell 5.2'!AJ50+'Tabell 5.2'!AJ86+'Tabell 5.2'!AJ98+'Tabell 5.2'!AJ124+'Tabell 5.2'!AJ136+AJ14+AJ26+'Tabell 5.2'!AJ62+'Tabell 5.2'!AJ74+'Tabell 5.2'!AJ110</f>
        <v>461.4</v>
      </c>
      <c r="AK40" s="589">
        <f t="shared" si="36"/>
        <v>-19.100000000000001</v>
      </c>
      <c r="AL40" s="589">
        <f>'Tabell 5.1'!AL14+'Tabell 5.1'!AL26+'Tabell 5.1'!AL38+'Tabell 5.1'!AL50+'Tabell 5.1'!AL64+'Tabell 5.1'!AL76+'Tabell 5.1'!AL88+'Tabell 5.1'!AL100+'Tabell 5.2'!AL14+'Tabell 5.2'!AL26+'Tabell 5.2'!AL38+'Tabell 5.2'!AL50+'Tabell 5.2'!AL86+'Tabell 5.2'!AL98+'Tabell 5.2'!AL124+'Tabell 5.2'!AL136+AL14+AL26+'Tabell 5.2'!AL62+'Tabell 5.2'!AL74+'Tabell 5.2'!AL110</f>
        <v>0</v>
      </c>
      <c r="AM40" s="589">
        <f>'Tabell 5.1'!AM14+'Tabell 5.1'!AM26+'Tabell 5.1'!AM38+'Tabell 5.1'!AM50+'Tabell 5.1'!AM64+'Tabell 5.1'!AM76+'Tabell 5.1'!AM88+'Tabell 5.1'!AM100+'Tabell 5.2'!AM14+'Tabell 5.2'!AM26+'Tabell 5.2'!AM38+'Tabell 5.2'!AM50+'Tabell 5.2'!AM86+'Tabell 5.2'!AM98+'Tabell 5.2'!AM124+'Tabell 5.2'!AM136+AM14+AM26+'Tabell 5.2'!AM62+'Tabell 5.2'!AM74+'Tabell 5.2'!AM110</f>
        <v>0</v>
      </c>
      <c r="AN40" s="589" t="str">
        <f t="shared" si="37"/>
        <v xml:space="preserve">    ---- </v>
      </c>
      <c r="AO40" s="589">
        <f t="shared" si="38"/>
        <v>2320.668002348275</v>
      </c>
      <c r="AP40" s="589">
        <f t="shared" si="38"/>
        <v>1640.2329634498719</v>
      </c>
      <c r="AQ40" s="589">
        <f t="shared" si="39"/>
        <v>-29.3</v>
      </c>
      <c r="AR40" s="550">
        <f t="shared" si="40"/>
        <v>2339.3983297482746</v>
      </c>
      <c r="AS40" s="550">
        <f t="shared" si="41"/>
        <v>1658.7002634498717</v>
      </c>
      <c r="AT40" s="590">
        <f t="shared" si="42"/>
        <v>-29.1</v>
      </c>
      <c r="AU40" s="568"/>
    </row>
    <row r="41" spans="1:47" s="591" customFormat="1" ht="18.75" customHeight="1" x14ac:dyDescent="0.3">
      <c r="A41" s="542" t="s">
        <v>354</v>
      </c>
      <c r="B41" s="589">
        <f>'Tabell 5.1'!B15+'Tabell 5.1'!B27+'Tabell 5.1'!B39+'Tabell 5.1'!B51+'Tabell 5.1'!B65+'Tabell 5.1'!B77+'Tabell 5.1'!B89+'Tabell 5.1'!B101+'Tabell 5.2'!B15+'Tabell 5.2'!B27+'Tabell 5.2'!B39+'Tabell 5.2'!B51+'Tabell 5.2'!B87+'Tabell 5.2'!B99+'Tabell 5.2'!B125+'Tabell 5.2'!B137+B15+B27+'Tabell 5.2'!B63+'Tabell 5.2'!B75+'Tabell 5.2'!B111</f>
        <v>0</v>
      </c>
      <c r="C41" s="589">
        <f>'Tabell 5.1'!C15+'Tabell 5.1'!C27+'Tabell 5.1'!C39+'Tabell 5.1'!C51+'Tabell 5.1'!C65+'Tabell 5.1'!C77+'Tabell 5.1'!C89+'Tabell 5.1'!C101+'Tabell 5.2'!C15+'Tabell 5.2'!C27+'Tabell 5.2'!C39+'Tabell 5.2'!C51+'Tabell 5.2'!C87+'Tabell 5.2'!C99+'Tabell 5.2'!C125+'Tabell 5.2'!C137+C15+C27+'Tabell 5.2'!C63+'Tabell 5.2'!C75+'Tabell 5.2'!C111</f>
        <v>0</v>
      </c>
      <c r="D41" s="589" t="str">
        <f t="shared" si="25"/>
        <v xml:space="preserve">    ---- </v>
      </c>
      <c r="E41" s="589">
        <f>'Tabell 5.1'!E15+'Tabell 5.1'!E27+'Tabell 5.1'!E39+'Tabell 5.1'!E51+'Tabell 5.1'!E65+'Tabell 5.1'!E77+'Tabell 5.1'!E89+'Tabell 5.1'!E101+'Tabell 5.2'!E15+'Tabell 5.2'!E27+'Tabell 5.2'!E39+'Tabell 5.2'!E51+'Tabell 5.2'!E87+'Tabell 5.2'!E99+'Tabell 5.2'!E125+'Tabell 5.2'!E137+E15+E27+'Tabell 5.2'!E63+'Tabell 5.2'!E75+'Tabell 5.2'!E111</f>
        <v>20.533519330000001</v>
      </c>
      <c r="F41" s="589">
        <f>'Tabell 5.1'!F15+'Tabell 5.1'!F27+'Tabell 5.1'!F39+'Tabell 5.1'!F51+'Tabell 5.1'!F65+'Tabell 5.1'!F77+'Tabell 5.1'!F89+'Tabell 5.1'!F101+'Tabell 5.2'!F15+'Tabell 5.2'!F27+'Tabell 5.2'!F39+'Tabell 5.2'!F51+'Tabell 5.2'!F87+'Tabell 5.2'!F99+'Tabell 5.2'!F125+'Tabell 5.2'!F137+F15+F27+'Tabell 5.2'!F63+'Tabell 5.2'!F75+'Tabell 5.2'!F111</f>
        <v>20.959</v>
      </c>
      <c r="G41" s="589">
        <f t="shared" si="26"/>
        <v>2.1</v>
      </c>
      <c r="H41" s="589">
        <f>'Tabell 5.1'!H15+'Tabell 5.1'!H27+'Tabell 5.1'!H39+'Tabell 5.1'!H51+'Tabell 5.1'!H65+'Tabell 5.1'!H77+'Tabell 5.1'!H89+'Tabell 5.1'!H101+'Tabell 5.2'!H15+'Tabell 5.2'!H27+'Tabell 5.2'!H39+'Tabell 5.2'!H51+'Tabell 5.2'!H87+'Tabell 5.2'!H99+'Tabell 5.2'!H125+'Tabell 5.2'!H137+H15+H27+'Tabell 5.2'!H63+'Tabell 5.2'!H75+'Tabell 5.2'!H111</f>
        <v>0</v>
      </c>
      <c r="I41" s="589">
        <f>'Tabell 5.1'!I15+'Tabell 5.1'!I27+'Tabell 5.1'!I39+'Tabell 5.1'!I51+'Tabell 5.1'!I65+'Tabell 5.1'!I77+'Tabell 5.1'!I89+'Tabell 5.1'!I101+'Tabell 5.2'!I15+'Tabell 5.2'!I27+'Tabell 5.2'!I39+'Tabell 5.2'!I51+'Tabell 5.2'!I87+'Tabell 5.2'!I99+'Tabell 5.2'!I125+'Tabell 5.2'!I137+I15+I27+'Tabell 5.2'!I63+'Tabell 5.2'!I75+'Tabell 5.2'!I111</f>
        <v>0</v>
      </c>
      <c r="J41" s="589" t="str">
        <f t="shared" si="27"/>
        <v xml:space="preserve">    ---- </v>
      </c>
      <c r="K41" s="589">
        <f>'Tabell 5.1'!K15+'Tabell 5.1'!K27+'Tabell 5.1'!K39+'Tabell 5.1'!K51+'Tabell 5.1'!K65+'Tabell 5.1'!K77+'Tabell 5.1'!K89+'Tabell 5.1'!K101+'Tabell 5.2'!K15+'Tabell 5.2'!K27+'Tabell 5.2'!K39+'Tabell 5.2'!K51+'Tabell 5.2'!K87+'Tabell 5.2'!K99+'Tabell 5.2'!K125+'Tabell 5.2'!K137+K15+K27+'Tabell 5.2'!K63+'Tabell 5.2'!K75+'Tabell 5.2'!K111</f>
        <v>0</v>
      </c>
      <c r="L41" s="589">
        <f>'Tabell 5.1'!L15+'Tabell 5.1'!L27+'Tabell 5.1'!L39+'Tabell 5.1'!L51+'Tabell 5.1'!L65+'Tabell 5.1'!L77+'Tabell 5.1'!L89+'Tabell 5.1'!L101+'Tabell 5.2'!L15+'Tabell 5.2'!L27+'Tabell 5.2'!L39+'Tabell 5.2'!L51+'Tabell 5.2'!L87+'Tabell 5.2'!L99+'Tabell 5.2'!L125+'Tabell 5.2'!L137+L15+L27+'Tabell 5.2'!L63+'Tabell 5.2'!L75+'Tabell 5.2'!L111</f>
        <v>0</v>
      </c>
      <c r="M41" s="589" t="str">
        <f t="shared" si="28"/>
        <v xml:space="preserve">    ---- </v>
      </c>
      <c r="N41" s="589">
        <f>'Tabell 5.1'!N15+'Tabell 5.1'!N27+'Tabell 5.1'!N39+'Tabell 5.1'!N51+'Tabell 5.1'!N65+'Tabell 5.1'!N77+'Tabell 5.1'!N89+'Tabell 5.1'!N101+'Tabell 5.2'!N15+'Tabell 5.2'!N27+'Tabell 5.2'!N39+'Tabell 5.2'!N51+'Tabell 5.2'!N87+'Tabell 5.2'!N99+'Tabell 5.2'!N125+'Tabell 5.2'!N137+N15+N27+'Tabell 5.2'!N63+'Tabell 5.2'!N75+'Tabell 5.2'!N111</f>
        <v>2.4</v>
      </c>
      <c r="O41" s="589">
        <f>'Tabell 5.1'!O15+'Tabell 5.1'!O27+'Tabell 5.1'!O39+'Tabell 5.1'!O51+'Tabell 5.1'!O65+'Tabell 5.1'!O77+'Tabell 5.1'!O89+'Tabell 5.1'!O101+'Tabell 5.2'!O15+'Tabell 5.2'!O27+'Tabell 5.2'!O39+'Tabell 5.2'!O51+'Tabell 5.2'!O87+'Tabell 5.2'!O99+'Tabell 5.2'!O125+'Tabell 5.2'!O137+O15+O27+'Tabell 5.2'!O63+'Tabell 5.2'!O75+'Tabell 5.2'!O111</f>
        <v>2.9</v>
      </c>
      <c r="P41" s="589">
        <f t="shared" si="29"/>
        <v>20.8</v>
      </c>
      <c r="Q41" s="589">
        <f>'Tabell 5.1'!Q15+'Tabell 5.1'!Q27+'Tabell 5.1'!Q39+'Tabell 5.1'!Q51+'Tabell 5.1'!Q65+'Tabell 5.1'!Q77+'Tabell 5.1'!Q89+'Tabell 5.1'!Q101+'Tabell 5.2'!Q15+'Tabell 5.2'!Q27+'Tabell 5.2'!Q39+'Tabell 5.2'!Q51+'Tabell 5.2'!Q87+'Tabell 5.2'!Q99+'Tabell 5.2'!Q125+'Tabell 5.2'!Q137+Q15+Q27+'Tabell 5.2'!Q63+'Tabell 5.2'!Q75+'Tabell 5.2'!Q111</f>
        <v>0</v>
      </c>
      <c r="R41" s="589">
        <f>'Tabell 5.1'!R15+'Tabell 5.1'!R27+'Tabell 5.1'!R39+'Tabell 5.1'!R51+'Tabell 5.1'!R65+'Tabell 5.1'!R77+'Tabell 5.1'!R89+'Tabell 5.1'!R101+'Tabell 5.2'!R15+'Tabell 5.2'!R27+'Tabell 5.2'!R39+'Tabell 5.2'!R51+'Tabell 5.2'!R87+'Tabell 5.2'!R99+'Tabell 5.2'!R125+'Tabell 5.2'!R137+R15+R27+'Tabell 5.2'!R63+'Tabell 5.2'!R75+'Tabell 5.2'!R111</f>
        <v>0</v>
      </c>
      <c r="S41" s="589" t="str">
        <f t="shared" si="30"/>
        <v xml:space="preserve">    ---- </v>
      </c>
      <c r="T41" s="589">
        <f>'Tabell 5.1'!T15+'Tabell 5.1'!T27+'Tabell 5.1'!T39+'Tabell 5.1'!T51+'Tabell 5.1'!T65+'Tabell 5.1'!T77+'Tabell 5.1'!T89+'Tabell 5.1'!T101+'Tabell 5.2'!T15+'Tabell 5.2'!T27+'Tabell 5.2'!T39+'Tabell 5.2'!T51+'Tabell 5.2'!T87+'Tabell 5.2'!T99+'Tabell 5.2'!T125+'Tabell 5.2'!T137+T15+T27+'Tabell 5.2'!T63+'Tabell 5.2'!T75+'Tabell 5.2'!T111</f>
        <v>0</v>
      </c>
      <c r="U41" s="589">
        <f>'Tabell 5.1'!U15+'Tabell 5.1'!U27+'Tabell 5.1'!U39+'Tabell 5.1'!U51+'Tabell 5.1'!U65+'Tabell 5.1'!U77+'Tabell 5.1'!U89+'Tabell 5.1'!U101+'Tabell 5.2'!U15+'Tabell 5.2'!U27+'Tabell 5.2'!U39+'Tabell 5.2'!U51+'Tabell 5.2'!U87+'Tabell 5.2'!U99+'Tabell 5.2'!U125+'Tabell 5.2'!U137+U15+U27+'Tabell 5.2'!U63+'Tabell 5.2'!U75+'Tabell 5.2'!U111</f>
        <v>0</v>
      </c>
      <c r="V41" s="589" t="str">
        <f t="shared" si="31"/>
        <v xml:space="preserve">    ---- </v>
      </c>
      <c r="W41" s="589">
        <f>'Tabell 5.1'!W15+'Tabell 5.1'!W27+'Tabell 5.1'!W39+'Tabell 5.1'!W51+'Tabell 5.1'!W65+'Tabell 5.1'!W77+'Tabell 5.1'!W89+'Tabell 5.1'!W101+'Tabell 5.2'!W15+'Tabell 5.2'!W27+'Tabell 5.2'!W39+'Tabell 5.2'!W51+'Tabell 5.2'!W87+'Tabell 5.2'!W99+'Tabell 5.2'!W125+'Tabell 5.2'!W137+W15+W27+'Tabell 5.2'!W63+'Tabell 5.2'!W75+'Tabell 5.2'!W111</f>
        <v>0.56999999999999995</v>
      </c>
      <c r="X41" s="589">
        <f>'Tabell 5.1'!X15+'Tabell 5.1'!X27+'Tabell 5.1'!X39+'Tabell 5.1'!X51+'Tabell 5.1'!X65+'Tabell 5.1'!X77+'Tabell 5.1'!X89+'Tabell 5.1'!X101+'Tabell 5.2'!X15+'Tabell 5.2'!X27+'Tabell 5.2'!X39+'Tabell 5.2'!X51+'Tabell 5.2'!X87+'Tabell 5.2'!X99+'Tabell 5.2'!X125+'Tabell 5.2'!X137+X15+X27+'Tabell 5.2'!X63+'Tabell 5.2'!X75+'Tabell 5.2'!X111</f>
        <v>0.51189530000000005</v>
      </c>
      <c r="Y41" s="589">
        <f t="shared" si="32"/>
        <v>-10.199999999999999</v>
      </c>
      <c r="Z41" s="589">
        <f>'Tabell 5.1'!Z15+'Tabell 5.1'!Z27+'Tabell 5.1'!Z39+'Tabell 5.1'!Z51+'Tabell 5.1'!Z65+'Tabell 5.1'!Z77+'Tabell 5.1'!Z89+'Tabell 5.1'!Z101+'Tabell 5.2'!Z15+'Tabell 5.2'!Z27+'Tabell 5.2'!Z39+'Tabell 5.2'!Z51+'Tabell 5.2'!Z87+'Tabell 5.2'!Z99+'Tabell 5.2'!Z125+'Tabell 5.2'!Z137+Z15+Z27+'Tabell 5.2'!Z63+'Tabell 5.2'!Z75+'Tabell 5.2'!Z111</f>
        <v>0</v>
      </c>
      <c r="AA41" s="589">
        <f>'Tabell 5.1'!AA15+'Tabell 5.1'!AA27+'Tabell 5.1'!AA39+'Tabell 5.1'!AA51+'Tabell 5.1'!AA65+'Tabell 5.1'!AA77+'Tabell 5.1'!AA89+'Tabell 5.1'!AA101+'Tabell 5.2'!AA15+'Tabell 5.2'!AA27+'Tabell 5.2'!AA39+'Tabell 5.2'!AA51+'Tabell 5.2'!AA87+'Tabell 5.2'!AA99+'Tabell 5.2'!AA125+'Tabell 5.2'!AA137+AA15+AA27+'Tabell 5.2'!AA63+'Tabell 5.2'!AA75+'Tabell 5.2'!AA111</f>
        <v>0</v>
      </c>
      <c r="AB41" s="589" t="str">
        <f t="shared" si="33"/>
        <v xml:space="preserve">    ---- </v>
      </c>
      <c r="AC41" s="589">
        <f>'Tabell 5.1'!AC15+'Tabell 5.1'!AC27+'Tabell 5.1'!AC39+'Tabell 5.1'!AC51+'Tabell 5.1'!AC65+'Tabell 5.1'!AC77+'Tabell 5.1'!AC89+'Tabell 5.1'!AC101+'Tabell 5.2'!AC15+'Tabell 5.2'!AC27+'Tabell 5.2'!AC39+'Tabell 5.2'!AC51+'Tabell 5.2'!AC87+'Tabell 5.2'!AC99+'Tabell 5.2'!AC125+'Tabell 5.2'!AC137+AC15+AC27+'Tabell 5.2'!AC63+'Tabell 5.2'!AC75+'Tabell 5.2'!AC111</f>
        <v>0</v>
      </c>
      <c r="AD41" s="589">
        <f>'Tabell 5.1'!AD15+'Tabell 5.1'!AD27+'Tabell 5.1'!AD39+'Tabell 5.1'!AD51+'Tabell 5.1'!AD65+'Tabell 5.1'!AD77+'Tabell 5.1'!AD89+'Tabell 5.1'!AD101+'Tabell 5.2'!AD15+'Tabell 5.2'!AD27+'Tabell 5.2'!AD39+'Tabell 5.2'!AD51+'Tabell 5.2'!AD87+'Tabell 5.2'!AD99+'Tabell 5.2'!AD125+'Tabell 5.2'!AD137+AD15+AD27+'Tabell 5.2'!AD63+'Tabell 5.2'!AD75+'Tabell 5.2'!AD111</f>
        <v>0</v>
      </c>
      <c r="AE41" s="589" t="str">
        <f t="shared" si="34"/>
        <v xml:space="preserve">    ---- </v>
      </c>
      <c r="AF41" s="589">
        <f>'Tabell 5.1'!AF15+'Tabell 5.1'!AF27+'Tabell 5.1'!AF39+'Tabell 5.1'!AF51+'Tabell 5.1'!AF65+'Tabell 5.1'!AF77+'Tabell 5.1'!AF89+'Tabell 5.1'!AF101+'Tabell 5.2'!AF15+'Tabell 5.2'!AF27+'Tabell 5.2'!AF39+'Tabell 5.2'!AF51+'Tabell 5.2'!AF87+'Tabell 5.2'!AF99+'Tabell 5.2'!AF125+'Tabell 5.2'!AF137+AF15+AF27+'Tabell 5.2'!AF63+'Tabell 5.2'!AF75+'Tabell 5.2'!AF111</f>
        <v>0</v>
      </c>
      <c r="AG41" s="589">
        <f>'Tabell 5.1'!AG15+'Tabell 5.1'!AG27+'Tabell 5.1'!AG39+'Tabell 5.1'!AG51+'Tabell 5.1'!AG65+'Tabell 5.1'!AG77+'Tabell 5.1'!AG89+'Tabell 5.1'!AG101+'Tabell 5.2'!AG15+'Tabell 5.2'!AG27+'Tabell 5.2'!AG39+'Tabell 5.2'!AG51+'Tabell 5.2'!AG87+'Tabell 5.2'!AG99+'Tabell 5.2'!AG125+'Tabell 5.2'!AG137+AG15+AG27+'Tabell 5.2'!AG63+'Tabell 5.2'!AG75+'Tabell 5.2'!AG111</f>
        <v>0</v>
      </c>
      <c r="AH41" s="589" t="str">
        <f t="shared" si="35"/>
        <v xml:space="preserve">    ---- </v>
      </c>
      <c r="AI41" s="589">
        <f>'Tabell 5.1'!AI15+'Tabell 5.1'!AI27+'Tabell 5.1'!AI39+'Tabell 5.1'!AI51+'Tabell 5.1'!AI65+'Tabell 5.1'!AI77+'Tabell 5.1'!AI89+'Tabell 5.1'!AI101+'Tabell 5.2'!AI15+'Tabell 5.2'!AI27+'Tabell 5.2'!AI39+'Tabell 5.2'!AI51+'Tabell 5.2'!AI87+'Tabell 5.2'!AI99+'Tabell 5.2'!AI125+'Tabell 5.2'!AI137+AI15+AI27+'Tabell 5.2'!AI63+'Tabell 5.2'!AI75+'Tabell 5.2'!AI111</f>
        <v>41</v>
      </c>
      <c r="AJ41" s="589">
        <f>'Tabell 5.1'!AJ15+'Tabell 5.1'!AJ27+'Tabell 5.1'!AJ39+'Tabell 5.1'!AJ51+'Tabell 5.1'!AJ65+'Tabell 5.1'!AJ77+'Tabell 5.1'!AJ89+'Tabell 5.1'!AJ101+'Tabell 5.2'!AJ15+'Tabell 5.2'!AJ27+'Tabell 5.2'!AJ39+'Tabell 5.2'!AJ51+'Tabell 5.2'!AJ87+'Tabell 5.2'!AJ99+'Tabell 5.2'!AJ125+'Tabell 5.2'!AJ137+AJ15+AJ27+'Tabell 5.2'!AJ63+'Tabell 5.2'!AJ75+'Tabell 5.2'!AJ111</f>
        <v>45.5</v>
      </c>
      <c r="AK41" s="589">
        <f t="shared" si="36"/>
        <v>11</v>
      </c>
      <c r="AL41" s="589">
        <f>'Tabell 5.1'!AL15+'Tabell 5.1'!AL27+'Tabell 5.1'!AL39+'Tabell 5.1'!AL51+'Tabell 5.1'!AL65+'Tabell 5.1'!AL77+'Tabell 5.1'!AL89+'Tabell 5.1'!AL101+'Tabell 5.2'!AL15+'Tabell 5.2'!AL27+'Tabell 5.2'!AL39+'Tabell 5.2'!AL51+'Tabell 5.2'!AL87+'Tabell 5.2'!AL99+'Tabell 5.2'!AL125+'Tabell 5.2'!AL137+AL15+AL27+'Tabell 5.2'!AL63+'Tabell 5.2'!AL75+'Tabell 5.2'!AL111</f>
        <v>0</v>
      </c>
      <c r="AM41" s="589">
        <f>'Tabell 5.1'!AM15+'Tabell 5.1'!AM27+'Tabell 5.1'!AM39+'Tabell 5.1'!AM51+'Tabell 5.1'!AM65+'Tabell 5.1'!AM77+'Tabell 5.1'!AM89+'Tabell 5.1'!AM101+'Tabell 5.2'!AM15+'Tabell 5.2'!AM27+'Tabell 5.2'!AM39+'Tabell 5.2'!AM51+'Tabell 5.2'!AM87+'Tabell 5.2'!AM99+'Tabell 5.2'!AM125+'Tabell 5.2'!AM137+AM15+AM27+'Tabell 5.2'!AM63+'Tabell 5.2'!AM75+'Tabell 5.2'!AM111</f>
        <v>0</v>
      </c>
      <c r="AN41" s="589" t="str">
        <f t="shared" si="37"/>
        <v xml:space="preserve">    ---- </v>
      </c>
      <c r="AO41" s="589">
        <f t="shared" si="38"/>
        <v>64.503519330000003</v>
      </c>
      <c r="AP41" s="589">
        <f t="shared" si="38"/>
        <v>69.870895300000001</v>
      </c>
      <c r="AQ41" s="589">
        <f t="shared" si="39"/>
        <v>8.3000000000000007</v>
      </c>
      <c r="AR41" s="550">
        <f t="shared" si="40"/>
        <v>64.503519330000003</v>
      </c>
      <c r="AS41" s="550">
        <f t="shared" si="41"/>
        <v>69.870895300000001</v>
      </c>
      <c r="AT41" s="590">
        <f t="shared" si="42"/>
        <v>8.3000000000000007</v>
      </c>
      <c r="AU41" s="568"/>
    </row>
    <row r="42" spans="1:47" s="591" customFormat="1" ht="18.75" customHeight="1" x14ac:dyDescent="0.3">
      <c r="A42" s="542" t="s">
        <v>355</v>
      </c>
      <c r="B42" s="589">
        <f>'Tabell 5.1'!B16+'Tabell 5.1'!B28+'Tabell 5.1'!B40+'Tabell 5.1'!B52+'Tabell 5.1'!B66+'Tabell 5.1'!B78+'Tabell 5.1'!B90+'Tabell 5.1'!B102+'Tabell 5.2'!B16+'Tabell 5.2'!B28+'Tabell 5.2'!B40+'Tabell 5.2'!B52+'Tabell 5.2'!B88+'Tabell 5.2'!B100+'Tabell 5.2'!B126+'Tabell 5.2'!B138+B16+B28+'Tabell 5.2'!B64+'Tabell 5.2'!B76+'Tabell 5.2'!B112</f>
        <v>1.7450000000000001</v>
      </c>
      <c r="C42" s="589">
        <f>'Tabell 5.1'!C16+'Tabell 5.1'!C28+'Tabell 5.1'!C40+'Tabell 5.1'!C52+'Tabell 5.1'!C66+'Tabell 5.1'!C78+'Tabell 5.1'!C90+'Tabell 5.1'!C102+'Tabell 5.2'!C16+'Tabell 5.2'!C28+'Tabell 5.2'!C40+'Tabell 5.2'!C52+'Tabell 5.2'!C88+'Tabell 5.2'!C100+'Tabell 5.2'!C126+'Tabell 5.2'!C138+C16+C28+'Tabell 5.2'!C64+'Tabell 5.2'!C76+'Tabell 5.2'!C112</f>
        <v>2.359</v>
      </c>
      <c r="D42" s="589">
        <f t="shared" si="25"/>
        <v>35.200000000000003</v>
      </c>
      <c r="E42" s="589">
        <f>'Tabell 5.1'!E16+'Tabell 5.1'!E28+'Tabell 5.1'!E40+'Tabell 5.1'!E52+'Tabell 5.1'!E66+'Tabell 5.1'!E78+'Tabell 5.1'!E90+'Tabell 5.1'!E102+'Tabell 5.2'!E16+'Tabell 5.2'!E28+'Tabell 5.2'!E40+'Tabell 5.2'!E52+'Tabell 5.2'!E88+'Tabell 5.2'!E100+'Tabell 5.2'!E126+'Tabell 5.2'!E138+E16+E28+'Tabell 5.2'!E64+'Tabell 5.2'!E76+'Tabell 5.2'!E112</f>
        <v>175.97995893999996</v>
      </c>
      <c r="F42" s="589">
        <f>'Tabell 5.1'!F16+'Tabell 5.1'!F28+'Tabell 5.1'!F40+'Tabell 5.1'!F52+'Tabell 5.1'!F66+'Tabell 5.1'!F78+'Tabell 5.1'!F90+'Tabell 5.1'!F102+'Tabell 5.2'!F16+'Tabell 5.2'!F28+'Tabell 5.2'!F40+'Tabell 5.2'!F52+'Tabell 5.2'!F88+'Tabell 5.2'!F100+'Tabell 5.2'!F126+'Tabell 5.2'!F138+F16+F28+'Tabell 5.2'!F64+'Tabell 5.2'!F76+'Tabell 5.2'!F112</f>
        <v>169.63</v>
      </c>
      <c r="G42" s="589">
        <f t="shared" si="26"/>
        <v>-3.6</v>
      </c>
      <c r="H42" s="589">
        <f>'Tabell 5.1'!H16+'Tabell 5.1'!H28+'Tabell 5.1'!H40+'Tabell 5.1'!H52+'Tabell 5.1'!H66+'Tabell 5.1'!H78+'Tabell 5.1'!H90+'Tabell 5.1'!H102+'Tabell 5.2'!H16+'Tabell 5.2'!H28+'Tabell 5.2'!H40+'Tabell 5.2'!H52+'Tabell 5.2'!H88+'Tabell 5.2'!H100+'Tabell 5.2'!H126+'Tabell 5.2'!H138+H16+H28+'Tabell 5.2'!H64+'Tabell 5.2'!H76+'Tabell 5.2'!H112</f>
        <v>0</v>
      </c>
      <c r="I42" s="589">
        <f>'Tabell 5.1'!I16+'Tabell 5.1'!I28+'Tabell 5.1'!I40+'Tabell 5.1'!I52+'Tabell 5.1'!I66+'Tabell 5.1'!I78+'Tabell 5.1'!I90+'Tabell 5.1'!I102+'Tabell 5.2'!I16+'Tabell 5.2'!I28+'Tabell 5.2'!I40+'Tabell 5.2'!I52+'Tabell 5.2'!I88+'Tabell 5.2'!I100+'Tabell 5.2'!I126+'Tabell 5.2'!I138+I16+I28+'Tabell 5.2'!I64+'Tabell 5.2'!I76+'Tabell 5.2'!I112</f>
        <v>0</v>
      </c>
      <c r="J42" s="589" t="str">
        <f t="shared" si="27"/>
        <v xml:space="preserve">    ---- </v>
      </c>
      <c r="K42" s="589">
        <f>'Tabell 5.1'!K16+'Tabell 5.1'!K28+'Tabell 5.1'!K40+'Tabell 5.1'!K52+'Tabell 5.1'!K66+'Tabell 5.1'!K78+'Tabell 5.1'!K90+'Tabell 5.1'!K102+'Tabell 5.2'!K16+'Tabell 5.2'!K28+'Tabell 5.2'!K40+'Tabell 5.2'!K52+'Tabell 5.2'!K88+'Tabell 5.2'!K100+'Tabell 5.2'!K126+'Tabell 5.2'!K138+K16+K28+'Tabell 5.2'!K64+'Tabell 5.2'!K76+'Tabell 5.2'!K112</f>
        <v>0</v>
      </c>
      <c r="L42" s="589">
        <f>'Tabell 5.1'!L16+'Tabell 5.1'!L28+'Tabell 5.1'!L40+'Tabell 5.1'!L52+'Tabell 5.1'!L66+'Tabell 5.1'!L78+'Tabell 5.1'!L90+'Tabell 5.1'!L102+'Tabell 5.2'!L16+'Tabell 5.2'!L28+'Tabell 5.2'!L40+'Tabell 5.2'!L52+'Tabell 5.2'!L88+'Tabell 5.2'!L100+'Tabell 5.2'!L126+'Tabell 5.2'!L138+L16+L28+'Tabell 5.2'!L64+'Tabell 5.2'!L76+'Tabell 5.2'!L112</f>
        <v>0</v>
      </c>
      <c r="M42" s="589" t="str">
        <f t="shared" si="28"/>
        <v xml:space="preserve">    ---- </v>
      </c>
      <c r="N42" s="589">
        <f>'Tabell 5.1'!N16+'Tabell 5.1'!N28+'Tabell 5.1'!N40+'Tabell 5.1'!N52+'Tabell 5.1'!N66+'Tabell 5.1'!N78+'Tabell 5.1'!N90+'Tabell 5.1'!N102+'Tabell 5.2'!N16+'Tabell 5.2'!N28+'Tabell 5.2'!N40+'Tabell 5.2'!N52+'Tabell 5.2'!N88+'Tabell 5.2'!N100+'Tabell 5.2'!N126+'Tabell 5.2'!N138+N16+N28+'Tabell 5.2'!N64+'Tabell 5.2'!N76+'Tabell 5.2'!N112</f>
        <v>9.1999999999999993</v>
      </c>
      <c r="O42" s="589">
        <f>'Tabell 5.1'!O16+'Tabell 5.1'!O28+'Tabell 5.1'!O40+'Tabell 5.1'!O52+'Tabell 5.1'!O66+'Tabell 5.1'!O78+'Tabell 5.1'!O90+'Tabell 5.1'!O102+'Tabell 5.2'!O16+'Tabell 5.2'!O28+'Tabell 5.2'!O40+'Tabell 5.2'!O52+'Tabell 5.2'!O88+'Tabell 5.2'!O100+'Tabell 5.2'!O126+'Tabell 5.2'!O138+O16+O28+'Tabell 5.2'!O64+'Tabell 5.2'!O76+'Tabell 5.2'!O112</f>
        <v>15.5</v>
      </c>
      <c r="P42" s="589">
        <f t="shared" si="29"/>
        <v>68.5</v>
      </c>
      <c r="Q42" s="589">
        <f>'Tabell 5.1'!Q16+'Tabell 5.1'!Q28+'Tabell 5.1'!Q40+'Tabell 5.1'!Q52+'Tabell 5.1'!Q66+'Tabell 5.1'!Q78+'Tabell 5.1'!Q90+'Tabell 5.1'!Q102+'Tabell 5.2'!Q16+'Tabell 5.2'!Q28+'Tabell 5.2'!Q40+'Tabell 5.2'!Q52+'Tabell 5.2'!Q88+'Tabell 5.2'!Q100+'Tabell 5.2'!Q126+'Tabell 5.2'!Q138+Q16+Q28+'Tabell 5.2'!Q64+'Tabell 5.2'!Q76+'Tabell 5.2'!Q112</f>
        <v>0</v>
      </c>
      <c r="R42" s="589">
        <f>'Tabell 5.1'!R16+'Tabell 5.1'!R28+'Tabell 5.1'!R40+'Tabell 5.1'!R52+'Tabell 5.1'!R66+'Tabell 5.1'!R78+'Tabell 5.1'!R90+'Tabell 5.1'!R102+'Tabell 5.2'!R16+'Tabell 5.2'!R28+'Tabell 5.2'!R40+'Tabell 5.2'!R52+'Tabell 5.2'!R88+'Tabell 5.2'!R100+'Tabell 5.2'!R126+'Tabell 5.2'!R138+R16+R28+'Tabell 5.2'!R64+'Tabell 5.2'!R76+'Tabell 5.2'!R112</f>
        <v>0</v>
      </c>
      <c r="S42" s="589" t="str">
        <f t="shared" si="30"/>
        <v xml:space="preserve">    ---- </v>
      </c>
      <c r="T42" s="589">
        <f>'Tabell 5.1'!T16+'Tabell 5.1'!T28+'Tabell 5.1'!T40+'Tabell 5.1'!T52+'Tabell 5.1'!T66+'Tabell 5.1'!T78+'Tabell 5.1'!T90+'Tabell 5.1'!T102+'Tabell 5.2'!T16+'Tabell 5.2'!T28+'Tabell 5.2'!T40+'Tabell 5.2'!T52+'Tabell 5.2'!T88+'Tabell 5.2'!T100+'Tabell 5.2'!T126+'Tabell 5.2'!T138+T16+T28+'Tabell 5.2'!T64+'Tabell 5.2'!T76+'Tabell 5.2'!T112</f>
        <v>251.12122299999999</v>
      </c>
      <c r="U42" s="589">
        <f>'Tabell 5.1'!U16+'Tabell 5.1'!U28+'Tabell 5.1'!U40+'Tabell 5.1'!U52+'Tabell 5.1'!U66+'Tabell 5.1'!U78+'Tabell 5.1'!U90+'Tabell 5.1'!U102+'Tabell 5.2'!U16+'Tabell 5.2'!U28+'Tabell 5.2'!U40+'Tabell 5.2'!U52+'Tabell 5.2'!U88+'Tabell 5.2'!U100+'Tabell 5.2'!U126+'Tabell 5.2'!U138+U16+U28+'Tabell 5.2'!U64+'Tabell 5.2'!U76+'Tabell 5.2'!U112</f>
        <v>266.35121500000002</v>
      </c>
      <c r="V42" s="589">
        <f t="shared" si="31"/>
        <v>6.1</v>
      </c>
      <c r="W42" s="589">
        <f>'Tabell 5.1'!W16+'Tabell 5.1'!W28+'Tabell 5.1'!W40+'Tabell 5.1'!W52+'Tabell 5.1'!W66+'Tabell 5.1'!W78+'Tabell 5.1'!W90+'Tabell 5.1'!W102+'Tabell 5.2'!W16+'Tabell 5.2'!W28+'Tabell 5.2'!W40+'Tabell 5.2'!W52+'Tabell 5.2'!W88+'Tabell 5.2'!W100+'Tabell 5.2'!W126+'Tabell 5.2'!W138+W16+W28+'Tabell 5.2'!W64+'Tabell 5.2'!W76+'Tabell 5.2'!W112</f>
        <v>69.23</v>
      </c>
      <c r="X42" s="589">
        <f>'Tabell 5.1'!X16+'Tabell 5.1'!X28+'Tabell 5.1'!X40+'Tabell 5.1'!X52+'Tabell 5.1'!X66+'Tabell 5.1'!X78+'Tabell 5.1'!X90+'Tabell 5.1'!X102+'Tabell 5.2'!X16+'Tabell 5.2'!X28+'Tabell 5.2'!X40+'Tabell 5.2'!X52+'Tabell 5.2'!X88+'Tabell 5.2'!X100+'Tabell 5.2'!X126+'Tabell 5.2'!X138+X16+X28+'Tabell 5.2'!X64+'Tabell 5.2'!X76+'Tabell 5.2'!X112</f>
        <v>66.639876700000002</v>
      </c>
      <c r="Y42" s="589">
        <f t="shared" si="32"/>
        <v>-3.7</v>
      </c>
      <c r="Z42" s="589">
        <f>'Tabell 5.1'!Z16+'Tabell 5.1'!Z28+'Tabell 5.1'!Z40+'Tabell 5.1'!Z52+'Tabell 5.1'!Z66+'Tabell 5.1'!Z78+'Tabell 5.1'!Z90+'Tabell 5.1'!Z102+'Tabell 5.2'!Z16+'Tabell 5.2'!Z28+'Tabell 5.2'!Z40+'Tabell 5.2'!Z52+'Tabell 5.2'!Z88+'Tabell 5.2'!Z100+'Tabell 5.2'!Z126+'Tabell 5.2'!Z138+Z16+Z28+'Tabell 5.2'!Z64+'Tabell 5.2'!Z76+'Tabell 5.2'!Z112</f>
        <v>479</v>
      </c>
      <c r="AA42" s="589">
        <f>'Tabell 5.1'!AA16+'Tabell 5.1'!AA28+'Tabell 5.1'!AA40+'Tabell 5.1'!AA52+'Tabell 5.1'!AA66+'Tabell 5.1'!AA78+'Tabell 5.1'!AA90+'Tabell 5.1'!AA102+'Tabell 5.2'!AA16+'Tabell 5.2'!AA28+'Tabell 5.2'!AA40+'Tabell 5.2'!AA52+'Tabell 5.2'!AA88+'Tabell 5.2'!AA100+'Tabell 5.2'!AA126+'Tabell 5.2'!AA138+AA16+AA28+'Tabell 5.2'!AA64+'Tabell 5.2'!AA76+'Tabell 5.2'!AA112</f>
        <v>402</v>
      </c>
      <c r="AB42" s="589">
        <f t="shared" si="33"/>
        <v>-16.100000000000001</v>
      </c>
      <c r="AC42" s="589">
        <f>'Tabell 5.1'!AC16+'Tabell 5.1'!AC28+'Tabell 5.1'!AC40+'Tabell 5.1'!AC52+'Tabell 5.1'!AC66+'Tabell 5.1'!AC78+'Tabell 5.1'!AC90+'Tabell 5.1'!AC102+'Tabell 5.2'!AC16+'Tabell 5.2'!AC28+'Tabell 5.2'!AC40+'Tabell 5.2'!AC52+'Tabell 5.2'!AC88+'Tabell 5.2'!AC100+'Tabell 5.2'!AC126+'Tabell 5.2'!AC138+AC16+AC28+'Tabell 5.2'!AC64+'Tabell 5.2'!AC76+'Tabell 5.2'!AC112</f>
        <v>0</v>
      </c>
      <c r="AD42" s="589">
        <f>'Tabell 5.1'!AD16+'Tabell 5.1'!AD28+'Tabell 5.1'!AD40+'Tabell 5.1'!AD52+'Tabell 5.1'!AD66+'Tabell 5.1'!AD78+'Tabell 5.1'!AD90+'Tabell 5.1'!AD102+'Tabell 5.2'!AD16+'Tabell 5.2'!AD28+'Tabell 5.2'!AD40+'Tabell 5.2'!AD52+'Tabell 5.2'!AD88+'Tabell 5.2'!AD100+'Tabell 5.2'!AD126+'Tabell 5.2'!AD138+AD16+AD28+'Tabell 5.2'!AD64+'Tabell 5.2'!AD76+'Tabell 5.2'!AD112</f>
        <v>0</v>
      </c>
      <c r="AE42" s="589" t="str">
        <f t="shared" si="34"/>
        <v xml:space="preserve">    ---- </v>
      </c>
      <c r="AF42" s="589">
        <f>'Tabell 5.1'!AF16+'Tabell 5.1'!AF28+'Tabell 5.1'!AF40+'Tabell 5.1'!AF52+'Tabell 5.1'!AF66+'Tabell 5.1'!AF78+'Tabell 5.1'!AF90+'Tabell 5.1'!AF102+'Tabell 5.2'!AF16+'Tabell 5.2'!AF28+'Tabell 5.2'!AF40+'Tabell 5.2'!AF52+'Tabell 5.2'!AF88+'Tabell 5.2'!AF100+'Tabell 5.2'!AF126+'Tabell 5.2'!AF138+AF16+AF28+'Tabell 5.2'!AF64+'Tabell 5.2'!AF76+'Tabell 5.2'!AF112</f>
        <v>44</v>
      </c>
      <c r="AG42" s="589">
        <f>'Tabell 5.1'!AG16+'Tabell 5.1'!AG28+'Tabell 5.1'!AG40+'Tabell 5.1'!AG52+'Tabell 5.1'!AG66+'Tabell 5.1'!AG78+'Tabell 5.1'!AG90+'Tabell 5.1'!AG102+'Tabell 5.2'!AG16+'Tabell 5.2'!AG28+'Tabell 5.2'!AG40+'Tabell 5.2'!AG52+'Tabell 5.2'!AG88+'Tabell 5.2'!AG100+'Tabell 5.2'!AG126+'Tabell 5.2'!AG138+AG16+AG28+'Tabell 5.2'!AG64+'Tabell 5.2'!AG76+'Tabell 5.2'!AG112</f>
        <v>49</v>
      </c>
      <c r="AH42" s="589">
        <f t="shared" si="35"/>
        <v>11.4</v>
      </c>
      <c r="AI42" s="589">
        <f>'Tabell 5.1'!AI16+'Tabell 5.1'!AI28+'Tabell 5.1'!AI40+'Tabell 5.1'!AI52+'Tabell 5.1'!AI66+'Tabell 5.1'!AI78+'Tabell 5.1'!AI90+'Tabell 5.1'!AI102+'Tabell 5.2'!AI16+'Tabell 5.2'!AI28+'Tabell 5.2'!AI40+'Tabell 5.2'!AI52+'Tabell 5.2'!AI88+'Tabell 5.2'!AI100+'Tabell 5.2'!AI126+'Tabell 5.2'!AI138+AI16+AI28+'Tabell 5.2'!AI64+'Tabell 5.2'!AI76+'Tabell 5.2'!AI112</f>
        <v>268</v>
      </c>
      <c r="AJ42" s="589">
        <f>'Tabell 5.1'!AJ16+'Tabell 5.1'!AJ28+'Tabell 5.1'!AJ40+'Tabell 5.1'!AJ52+'Tabell 5.1'!AJ66+'Tabell 5.1'!AJ78+'Tabell 5.1'!AJ90+'Tabell 5.1'!AJ102+'Tabell 5.2'!AJ16+'Tabell 5.2'!AJ28+'Tabell 5.2'!AJ40+'Tabell 5.2'!AJ52+'Tabell 5.2'!AJ88+'Tabell 5.2'!AJ100+'Tabell 5.2'!AJ126+'Tabell 5.2'!AJ138+AJ16+AJ28+'Tabell 5.2'!AJ64+'Tabell 5.2'!AJ76+'Tabell 5.2'!AJ112</f>
        <v>282.8</v>
      </c>
      <c r="AK42" s="589">
        <f t="shared" si="36"/>
        <v>5.5</v>
      </c>
      <c r="AL42" s="589">
        <f>'Tabell 5.1'!AL16+'Tabell 5.1'!AL28+'Tabell 5.1'!AL40+'Tabell 5.1'!AL52+'Tabell 5.1'!AL66+'Tabell 5.1'!AL78+'Tabell 5.1'!AL90+'Tabell 5.1'!AL102+'Tabell 5.2'!AL16+'Tabell 5.2'!AL28+'Tabell 5.2'!AL40+'Tabell 5.2'!AL52+'Tabell 5.2'!AL88+'Tabell 5.2'!AL100+'Tabell 5.2'!AL126+'Tabell 5.2'!AL138+AL16+AL28+'Tabell 5.2'!AL64+'Tabell 5.2'!AL76+'Tabell 5.2'!AL112</f>
        <v>0</v>
      </c>
      <c r="AM42" s="589">
        <f>'Tabell 5.1'!AM16+'Tabell 5.1'!AM28+'Tabell 5.1'!AM40+'Tabell 5.1'!AM52+'Tabell 5.1'!AM66+'Tabell 5.1'!AM78+'Tabell 5.1'!AM90+'Tabell 5.1'!AM102+'Tabell 5.2'!AM16+'Tabell 5.2'!AM28+'Tabell 5.2'!AM40+'Tabell 5.2'!AM52+'Tabell 5.2'!AM88+'Tabell 5.2'!AM100+'Tabell 5.2'!AM126+'Tabell 5.2'!AM138+AM16+AM28+'Tabell 5.2'!AM64+'Tabell 5.2'!AM76+'Tabell 5.2'!AM112</f>
        <v>0</v>
      </c>
      <c r="AN42" s="589" t="str">
        <f t="shared" si="37"/>
        <v xml:space="preserve">    ---- </v>
      </c>
      <c r="AO42" s="589">
        <f t="shared" si="38"/>
        <v>1298.27618194</v>
      </c>
      <c r="AP42" s="589">
        <f t="shared" si="38"/>
        <v>1254.2800917</v>
      </c>
      <c r="AQ42" s="589">
        <f t="shared" si="39"/>
        <v>-3.4</v>
      </c>
      <c r="AR42" s="550">
        <f t="shared" si="40"/>
        <v>1298.27618194</v>
      </c>
      <c r="AS42" s="550">
        <f t="shared" si="41"/>
        <v>1254.2800917</v>
      </c>
      <c r="AT42" s="590">
        <f t="shared" si="42"/>
        <v>-3.4</v>
      </c>
      <c r="AU42" s="568"/>
    </row>
    <row r="43" spans="1:47" s="591" customFormat="1" ht="18.75" customHeight="1" x14ac:dyDescent="0.3">
      <c r="A43" s="542" t="s">
        <v>356</v>
      </c>
      <c r="B43" s="589">
        <f>'Tabell 5.1'!B17+'Tabell 5.1'!B29+'Tabell 5.1'!B41+'Tabell 5.1'!B53+'Tabell 5.1'!B67+'Tabell 5.1'!B79+'Tabell 5.1'!B91+'Tabell 5.1'!B103+'Tabell 5.2'!B17+'Tabell 5.2'!B29+'Tabell 5.2'!B41+'Tabell 5.2'!B53+'Tabell 5.2'!B89+'Tabell 5.2'!B101+'Tabell 5.2'!B127+'Tabell 5.2'!B139+B17+B29+'Tabell 5.2'!B65+'Tabell 5.2'!B77+'Tabell 5.2'!B113</f>
        <v>91.334999999999994</v>
      </c>
      <c r="C43" s="589">
        <f>'Tabell 5.1'!C17+'Tabell 5.1'!C29+'Tabell 5.1'!C41+'Tabell 5.1'!C53+'Tabell 5.1'!C67+'Tabell 5.1'!C79+'Tabell 5.1'!C91+'Tabell 5.1'!C103+'Tabell 5.2'!C17+'Tabell 5.2'!C29+'Tabell 5.2'!C41+'Tabell 5.2'!C53+'Tabell 5.2'!C89+'Tabell 5.2'!C101+'Tabell 5.2'!C127+'Tabell 5.2'!C139+C17+C29+'Tabell 5.2'!C65+'Tabell 5.2'!C77+'Tabell 5.2'!C113</f>
        <v>57.519999999999996</v>
      </c>
      <c r="D43" s="589">
        <f t="shared" si="25"/>
        <v>-37</v>
      </c>
      <c r="E43" s="589">
        <f>'Tabell 5.1'!E17+'Tabell 5.1'!E29+'Tabell 5.1'!E41+'Tabell 5.1'!E53+'Tabell 5.1'!E67+'Tabell 5.1'!E79+'Tabell 5.1'!E91+'Tabell 5.1'!E103+'Tabell 5.2'!E17+'Tabell 5.2'!E29+'Tabell 5.2'!E41+'Tabell 5.2'!E53+'Tabell 5.2'!E89+'Tabell 5.2'!E101+'Tabell 5.2'!E127+'Tabell 5.2'!E139+E17+E29+'Tabell 5.2'!E65+'Tabell 5.2'!E77+'Tabell 5.2'!E113</f>
        <v>210.03652449145329</v>
      </c>
      <c r="F43" s="589">
        <f>'Tabell 5.1'!F17+'Tabell 5.1'!F29+'Tabell 5.1'!F41+'Tabell 5.1'!F53+'Tabell 5.1'!F67+'Tabell 5.1'!F79+'Tabell 5.1'!F91+'Tabell 5.1'!F103+'Tabell 5.2'!F17+'Tabell 5.2'!F29+'Tabell 5.2'!F41+'Tabell 5.2'!F53+'Tabell 5.2'!F89+'Tabell 5.2'!F101+'Tabell 5.2'!F127+'Tabell 5.2'!F139+F17+F29+'Tabell 5.2'!F65+'Tabell 5.2'!F77+'Tabell 5.2'!F113</f>
        <v>485.37208628064599</v>
      </c>
      <c r="G43" s="589">
        <f t="shared" si="26"/>
        <v>131.1</v>
      </c>
      <c r="H43" s="589">
        <f>'Tabell 5.1'!H17+'Tabell 5.1'!H29+'Tabell 5.1'!H41+'Tabell 5.1'!H53+'Tabell 5.1'!H67+'Tabell 5.1'!H79+'Tabell 5.1'!H91+'Tabell 5.1'!H103+'Tabell 5.2'!H17+'Tabell 5.2'!H29+'Tabell 5.2'!H41+'Tabell 5.2'!H53+'Tabell 5.2'!H89+'Tabell 5.2'!H101+'Tabell 5.2'!H127+'Tabell 5.2'!H139+H17+H29+'Tabell 5.2'!H65+'Tabell 5.2'!H77+'Tabell 5.2'!H113</f>
        <v>567.78023787999996</v>
      </c>
      <c r="I43" s="589">
        <f>'Tabell 5.1'!I17+'Tabell 5.1'!I29+'Tabell 5.1'!I41+'Tabell 5.1'!I53+'Tabell 5.1'!I67+'Tabell 5.1'!I79+'Tabell 5.1'!I91+'Tabell 5.1'!I103+'Tabell 5.2'!I17+'Tabell 5.2'!I29+'Tabell 5.2'!I41+'Tabell 5.2'!I53+'Tabell 5.2'!I89+'Tabell 5.2'!I101+'Tabell 5.2'!I127+'Tabell 5.2'!I139+I17+I29+'Tabell 5.2'!I65+'Tabell 5.2'!I77+'Tabell 5.2'!I113</f>
        <v>669.19503982000003</v>
      </c>
      <c r="J43" s="589">
        <f t="shared" si="27"/>
        <v>17.899999999999999</v>
      </c>
      <c r="K43" s="589">
        <f>'Tabell 5.1'!K17+'Tabell 5.1'!K29+'Tabell 5.1'!K41+'Tabell 5.1'!K53+'Tabell 5.1'!K67+'Tabell 5.1'!K79+'Tabell 5.1'!K91+'Tabell 5.1'!K103+'Tabell 5.2'!K17+'Tabell 5.2'!K29+'Tabell 5.2'!K41+'Tabell 5.2'!K53+'Tabell 5.2'!K89+'Tabell 5.2'!K101+'Tabell 5.2'!K127+'Tabell 5.2'!K139+K17+K29+'Tabell 5.2'!K65+'Tabell 5.2'!K77+'Tabell 5.2'!K113</f>
        <v>63.47499999999998</v>
      </c>
      <c r="L43" s="589">
        <f>'Tabell 5.1'!L17+'Tabell 5.1'!L29+'Tabell 5.1'!L41+'Tabell 5.1'!L53+'Tabell 5.1'!L67+'Tabell 5.1'!L79+'Tabell 5.1'!L91+'Tabell 5.1'!L103+'Tabell 5.2'!L17+'Tabell 5.2'!L29+'Tabell 5.2'!L41+'Tabell 5.2'!L53+'Tabell 5.2'!L89+'Tabell 5.2'!L101+'Tabell 5.2'!L127+'Tabell 5.2'!L139+L17+L29+'Tabell 5.2'!L65+'Tabell 5.2'!L77+'Tabell 5.2'!L113</f>
        <v>37.561999999999998</v>
      </c>
      <c r="M43" s="589">
        <f t="shared" si="28"/>
        <v>-40.799999999999997</v>
      </c>
      <c r="N43" s="589">
        <f>'Tabell 5.1'!N17+'Tabell 5.1'!N29+'Tabell 5.1'!N41+'Tabell 5.1'!N53+'Tabell 5.1'!N67+'Tabell 5.1'!N79+'Tabell 5.1'!N91+'Tabell 5.1'!N103+'Tabell 5.2'!N17+'Tabell 5.2'!N29+'Tabell 5.2'!N41+'Tabell 5.2'!N53+'Tabell 5.2'!N89+'Tabell 5.2'!N101+'Tabell 5.2'!N127+'Tabell 5.2'!N139+N17+N29+'Tabell 5.2'!N65+'Tabell 5.2'!N77+'Tabell 5.2'!N113</f>
        <v>2.2999999999999998</v>
      </c>
      <c r="O43" s="589">
        <f>'Tabell 5.1'!O17+'Tabell 5.1'!O29+'Tabell 5.1'!O41+'Tabell 5.1'!O53+'Tabell 5.1'!O67+'Tabell 5.1'!O79+'Tabell 5.1'!O91+'Tabell 5.1'!O103+'Tabell 5.2'!O17+'Tabell 5.2'!O29+'Tabell 5.2'!O41+'Tabell 5.2'!O53+'Tabell 5.2'!O89+'Tabell 5.2'!O101+'Tabell 5.2'!O127+'Tabell 5.2'!O139+O17+O29+'Tabell 5.2'!O65+'Tabell 5.2'!O77+'Tabell 5.2'!O113</f>
        <v>6.7000000000000011</v>
      </c>
      <c r="P43" s="589">
        <f t="shared" si="29"/>
        <v>191.3</v>
      </c>
      <c r="Q43" s="589">
        <f>'Tabell 5.1'!Q17+'Tabell 5.1'!Q29+'Tabell 5.1'!Q41+'Tabell 5.1'!Q53+'Tabell 5.1'!Q67+'Tabell 5.1'!Q79+'Tabell 5.1'!Q91+'Tabell 5.1'!Q103+'Tabell 5.2'!Q17+'Tabell 5.2'!Q29+'Tabell 5.2'!Q41+'Tabell 5.2'!Q53+'Tabell 5.2'!Q89+'Tabell 5.2'!Q101+'Tabell 5.2'!Q127+'Tabell 5.2'!Q139+Q17+Q29+'Tabell 5.2'!Q65+'Tabell 5.2'!Q77+'Tabell 5.2'!Q113</f>
        <v>10.616985000000001</v>
      </c>
      <c r="R43" s="589">
        <f>'Tabell 5.1'!R17+'Tabell 5.1'!R29+'Tabell 5.1'!R41+'Tabell 5.1'!R53+'Tabell 5.1'!R67+'Tabell 5.1'!R79+'Tabell 5.1'!R91+'Tabell 5.1'!R103+'Tabell 5.2'!R17+'Tabell 5.2'!R29+'Tabell 5.2'!R41+'Tabell 5.2'!R53+'Tabell 5.2'!R89+'Tabell 5.2'!R101+'Tabell 5.2'!R127+'Tabell 5.2'!R139+R17+R29+'Tabell 5.2'!R65+'Tabell 5.2'!R77+'Tabell 5.2'!R113</f>
        <v>21.513000000000002</v>
      </c>
      <c r="S43" s="589">
        <f t="shared" si="30"/>
        <v>102.6</v>
      </c>
      <c r="T43" s="589">
        <f>'Tabell 5.1'!T17+'Tabell 5.1'!T29+'Tabell 5.1'!T41+'Tabell 5.1'!T53+'Tabell 5.1'!T67+'Tabell 5.1'!T79+'Tabell 5.1'!T91+'Tabell 5.1'!T103+'Tabell 5.2'!T17+'Tabell 5.2'!T29+'Tabell 5.2'!T41+'Tabell 5.2'!T53+'Tabell 5.2'!T89+'Tabell 5.2'!T101+'Tabell 5.2'!T127+'Tabell 5.2'!T139+T17+T29+'Tabell 5.2'!T65+'Tabell 5.2'!T77+'Tabell 5.2'!T113</f>
        <v>589.7707980543538</v>
      </c>
      <c r="U43" s="589">
        <f>'Tabell 5.1'!U17+'Tabell 5.1'!U29+'Tabell 5.1'!U41+'Tabell 5.1'!U53+'Tabell 5.1'!U67+'Tabell 5.1'!U79+'Tabell 5.1'!U91+'Tabell 5.1'!U103+'Tabell 5.2'!U17+'Tabell 5.2'!U29+'Tabell 5.2'!U41+'Tabell 5.2'!U53+'Tabell 5.2'!U89+'Tabell 5.2'!U101+'Tabell 5.2'!U127+'Tabell 5.2'!U139+U17+U29+'Tabell 5.2'!U65+'Tabell 5.2'!U77+'Tabell 5.2'!U113</f>
        <v>558.38894575137931</v>
      </c>
      <c r="V43" s="589">
        <f t="shared" si="31"/>
        <v>-5.3</v>
      </c>
      <c r="W43" s="589">
        <f>'Tabell 5.1'!W17+'Tabell 5.1'!W29+'Tabell 5.1'!W41+'Tabell 5.1'!W53+'Tabell 5.1'!W67+'Tabell 5.1'!W79+'Tabell 5.1'!W91+'Tabell 5.1'!W103+'Tabell 5.2'!W17+'Tabell 5.2'!W29+'Tabell 5.2'!W41+'Tabell 5.2'!W53+'Tabell 5.2'!W89+'Tabell 5.2'!W101+'Tabell 5.2'!W127+'Tabell 5.2'!W139+W17+W29+'Tabell 5.2'!W65+'Tabell 5.2'!W77+'Tabell 5.2'!W113</f>
        <v>241.45999999999998</v>
      </c>
      <c r="X43" s="589">
        <f>'Tabell 5.1'!X17+'Tabell 5.1'!X29+'Tabell 5.1'!X41+'Tabell 5.1'!X53+'Tabell 5.1'!X67+'Tabell 5.1'!X79+'Tabell 5.1'!X91+'Tabell 5.1'!X103+'Tabell 5.2'!X17+'Tabell 5.2'!X29+'Tabell 5.2'!X41+'Tabell 5.2'!X53+'Tabell 5.2'!X89+'Tabell 5.2'!X101+'Tabell 5.2'!X127+'Tabell 5.2'!X139+X17+X29+'Tabell 5.2'!X65+'Tabell 5.2'!X77+'Tabell 5.2'!X113</f>
        <v>345.24957261878666</v>
      </c>
      <c r="Y43" s="589">
        <f t="shared" si="32"/>
        <v>43</v>
      </c>
      <c r="Z43" s="589">
        <f>'Tabell 5.1'!Z17+'Tabell 5.1'!Z29+'Tabell 5.1'!Z41+'Tabell 5.1'!Z53+'Tabell 5.1'!Z67+'Tabell 5.1'!Z79+'Tabell 5.1'!Z91+'Tabell 5.1'!Z103+'Tabell 5.2'!Z17+'Tabell 5.2'!Z29+'Tabell 5.2'!Z41+'Tabell 5.2'!Z53+'Tabell 5.2'!Z89+'Tabell 5.2'!Z101+'Tabell 5.2'!Z127+'Tabell 5.2'!Z139+Z17+Z29+'Tabell 5.2'!Z65+'Tabell 5.2'!Z77+'Tabell 5.2'!Z113</f>
        <v>111</v>
      </c>
      <c r="AA43" s="589">
        <f>'Tabell 5.1'!AA17+'Tabell 5.1'!AA29+'Tabell 5.1'!AA41+'Tabell 5.1'!AA53+'Tabell 5.1'!AA67+'Tabell 5.1'!AA79+'Tabell 5.1'!AA91+'Tabell 5.1'!AA103+'Tabell 5.2'!AA17+'Tabell 5.2'!AA29+'Tabell 5.2'!AA41+'Tabell 5.2'!AA53+'Tabell 5.2'!AA89+'Tabell 5.2'!AA101+'Tabell 5.2'!AA127+'Tabell 5.2'!AA139+AA17+AA29+'Tabell 5.2'!AA65+'Tabell 5.2'!AA77+'Tabell 5.2'!AA113</f>
        <v>149</v>
      </c>
      <c r="AB43" s="589">
        <f t="shared" si="33"/>
        <v>34.200000000000003</v>
      </c>
      <c r="AC43" s="589">
        <f>'Tabell 5.1'!AC17+'Tabell 5.1'!AC29+'Tabell 5.1'!AC41+'Tabell 5.1'!AC53+'Tabell 5.1'!AC67+'Tabell 5.1'!AC79+'Tabell 5.1'!AC91+'Tabell 5.1'!AC103+'Tabell 5.2'!AC17+'Tabell 5.2'!AC29+'Tabell 5.2'!AC41+'Tabell 5.2'!AC53+'Tabell 5.2'!AC89+'Tabell 5.2'!AC101+'Tabell 5.2'!AC127+'Tabell 5.2'!AC139+AC17+AC29+'Tabell 5.2'!AC65+'Tabell 5.2'!AC77+'Tabell 5.2'!AC113</f>
        <v>1.83709899999977E-2</v>
      </c>
      <c r="AD43" s="589">
        <f>'Tabell 5.1'!AD17+'Tabell 5.1'!AD29+'Tabell 5.1'!AD41+'Tabell 5.1'!AD53+'Tabell 5.1'!AD67+'Tabell 5.1'!AD79+'Tabell 5.1'!AD91+'Tabell 5.1'!AD103+'Tabell 5.2'!AD17+'Tabell 5.2'!AD29+'Tabell 5.2'!AD41+'Tabell 5.2'!AD53+'Tabell 5.2'!AD89+'Tabell 5.2'!AD101+'Tabell 5.2'!AD127+'Tabell 5.2'!AD139+AD17+AD29+'Tabell 5.2'!AD65+'Tabell 5.2'!AD77+'Tabell 5.2'!AD113</f>
        <v>0</v>
      </c>
      <c r="AE43" s="589">
        <f t="shared" si="34"/>
        <v>-100</v>
      </c>
      <c r="AF43" s="589">
        <f>'Tabell 5.1'!AF17+'Tabell 5.1'!AF29+'Tabell 5.1'!AF41+'Tabell 5.1'!AF53+'Tabell 5.1'!AF67+'Tabell 5.1'!AF79+'Tabell 5.1'!AF91+'Tabell 5.1'!AF103+'Tabell 5.2'!AF17+'Tabell 5.2'!AF29+'Tabell 5.2'!AF41+'Tabell 5.2'!AF53+'Tabell 5.2'!AF89+'Tabell 5.2'!AF101+'Tabell 5.2'!AF127+'Tabell 5.2'!AF139+AF17+AF29+'Tabell 5.2'!AF65+'Tabell 5.2'!AF77+'Tabell 5.2'!AF113</f>
        <v>142</v>
      </c>
      <c r="AG43" s="589">
        <f>'Tabell 5.1'!AG17+'Tabell 5.1'!AG29+'Tabell 5.1'!AG41+'Tabell 5.1'!AG53+'Tabell 5.1'!AG67+'Tabell 5.1'!AG79+'Tabell 5.1'!AG91+'Tabell 5.1'!AG103+'Tabell 5.2'!AG17+'Tabell 5.2'!AG29+'Tabell 5.2'!AG41+'Tabell 5.2'!AG53+'Tabell 5.2'!AG89+'Tabell 5.2'!AG101+'Tabell 5.2'!AG127+'Tabell 5.2'!AG139+AG17+AG29+'Tabell 5.2'!AG65+'Tabell 5.2'!AG77+'Tabell 5.2'!AG113</f>
        <v>220</v>
      </c>
      <c r="AH43" s="589">
        <f t="shared" si="35"/>
        <v>54.9</v>
      </c>
      <c r="AI43" s="589">
        <f>'Tabell 5.1'!AI17+'Tabell 5.1'!AI29+'Tabell 5.1'!AI41+'Tabell 5.1'!AI53+'Tabell 5.1'!AI67+'Tabell 5.1'!AI79+'Tabell 5.1'!AI91+'Tabell 5.1'!AI103+'Tabell 5.2'!AI17+'Tabell 5.2'!AI29+'Tabell 5.2'!AI41+'Tabell 5.2'!AI53+'Tabell 5.2'!AI89+'Tabell 5.2'!AI101+'Tabell 5.2'!AI127+'Tabell 5.2'!AI139+AI17+AI29+'Tabell 5.2'!AI65+'Tabell 5.2'!AI77+'Tabell 5.2'!AI113</f>
        <v>447.00000000000011</v>
      </c>
      <c r="AJ43" s="589">
        <f>'Tabell 5.1'!AJ17+'Tabell 5.1'!AJ29+'Tabell 5.1'!AJ41+'Tabell 5.1'!AJ53+'Tabell 5.1'!AJ67+'Tabell 5.1'!AJ79+'Tabell 5.1'!AJ91+'Tabell 5.1'!AJ103+'Tabell 5.2'!AJ17+'Tabell 5.2'!AJ29+'Tabell 5.2'!AJ41+'Tabell 5.2'!AJ53+'Tabell 5.2'!AJ89+'Tabell 5.2'!AJ101+'Tabell 5.2'!AJ127+'Tabell 5.2'!AJ139+AJ17+AJ29+'Tabell 5.2'!AJ65+'Tabell 5.2'!AJ77+'Tabell 5.2'!AJ113</f>
        <v>932.3</v>
      </c>
      <c r="AK43" s="589">
        <f t="shared" si="36"/>
        <v>108.6</v>
      </c>
      <c r="AL43" s="589">
        <f>'Tabell 5.1'!AL17+'Tabell 5.1'!AL29+'Tabell 5.1'!AL41+'Tabell 5.1'!AL53+'Tabell 5.1'!AL67+'Tabell 5.1'!AL79+'Tabell 5.1'!AL91+'Tabell 5.1'!AL103+'Tabell 5.2'!AL17+'Tabell 5.2'!AL29+'Tabell 5.2'!AL41+'Tabell 5.2'!AL53+'Tabell 5.2'!AL89+'Tabell 5.2'!AL101+'Tabell 5.2'!AL127+'Tabell 5.2'!AL139+AL17+AL29+'Tabell 5.2'!AL65+'Tabell 5.2'!AL77+'Tabell 5.2'!AL113</f>
        <v>0</v>
      </c>
      <c r="AM43" s="589">
        <f>'Tabell 5.1'!AM17+'Tabell 5.1'!AM29+'Tabell 5.1'!AM41+'Tabell 5.1'!AM53+'Tabell 5.1'!AM67+'Tabell 5.1'!AM79+'Tabell 5.1'!AM91+'Tabell 5.1'!AM103+'Tabell 5.2'!AM17+'Tabell 5.2'!AM29+'Tabell 5.2'!AM41+'Tabell 5.2'!AM53+'Tabell 5.2'!AM89+'Tabell 5.2'!AM101+'Tabell 5.2'!AM127+'Tabell 5.2'!AM139+AM17+AM29+'Tabell 5.2'!AM65+'Tabell 5.2'!AM77+'Tabell 5.2'!AM113</f>
        <v>0</v>
      </c>
      <c r="AN43" s="589" t="str">
        <f t="shared" si="37"/>
        <v xml:space="preserve">    ---- </v>
      </c>
      <c r="AO43" s="589">
        <f t="shared" si="38"/>
        <v>2466.1575604258073</v>
      </c>
      <c r="AP43" s="589">
        <f t="shared" si="38"/>
        <v>3461.2876444708118</v>
      </c>
      <c r="AQ43" s="589">
        <f t="shared" si="39"/>
        <v>40.4</v>
      </c>
      <c r="AR43" s="550">
        <f t="shared" si="40"/>
        <v>2476.7929164158072</v>
      </c>
      <c r="AS43" s="550">
        <f t="shared" si="41"/>
        <v>3482.8006444708117</v>
      </c>
      <c r="AT43" s="590">
        <f t="shared" si="42"/>
        <v>40.6</v>
      </c>
      <c r="AU43" s="568"/>
    </row>
    <row r="44" spans="1:47" s="591" customFormat="1" ht="18.75" customHeight="1" x14ac:dyDescent="0.3">
      <c r="A44" s="542" t="s">
        <v>357</v>
      </c>
      <c r="B44" s="589">
        <f>'Tabell 5.1'!B18+'Tabell 5.1'!B30+'Tabell 5.1'!B42+'Tabell 5.1'!B54+'Tabell 5.1'!B68+'Tabell 5.1'!B80+'Tabell 5.1'!B92+'Tabell 5.1'!B104+'Tabell 5.2'!B18+'Tabell 5.2'!B30+'Tabell 5.2'!B42+'Tabell 5.2'!B54+'Tabell 5.2'!B90+'Tabell 5.2'!B102+'Tabell 5.2'!B128+'Tabell 5.2'!B140+B18+B30+'Tabell 5.2'!B66+'Tabell 5.2'!B78+'Tabell 5.2'!B114</f>
        <v>0.81499999999999995</v>
      </c>
      <c r="C44" s="589">
        <f>'Tabell 5.1'!C18+'Tabell 5.1'!C30+'Tabell 5.1'!C42+'Tabell 5.1'!C54+'Tabell 5.1'!C68+'Tabell 5.1'!C80+'Tabell 5.1'!C92+'Tabell 5.1'!C104+'Tabell 5.2'!C18+'Tabell 5.2'!C30+'Tabell 5.2'!C42+'Tabell 5.2'!C54+'Tabell 5.2'!C90+'Tabell 5.2'!C102+'Tabell 5.2'!C128+'Tabell 5.2'!C140+C18+C30+'Tabell 5.2'!C66+'Tabell 5.2'!C78+'Tabell 5.2'!C114</f>
        <v>0</v>
      </c>
      <c r="D44" s="589">
        <f t="shared" si="25"/>
        <v>-100</v>
      </c>
      <c r="E44" s="589">
        <f>'Tabell 5.1'!E18+'Tabell 5.1'!E30+'Tabell 5.1'!E42+'Tabell 5.1'!E54+'Tabell 5.1'!E68+'Tabell 5.1'!E80+'Tabell 5.1'!E92+'Tabell 5.1'!E104+'Tabell 5.2'!E18+'Tabell 5.2'!E30+'Tabell 5.2'!E42+'Tabell 5.2'!E54+'Tabell 5.2'!E90+'Tabell 5.2'!E102+'Tabell 5.2'!E128+'Tabell 5.2'!E140+E18+E30+'Tabell 5.2'!E66+'Tabell 5.2'!E78+'Tabell 5.2'!E114</f>
        <v>0</v>
      </c>
      <c r="F44" s="589">
        <f>'Tabell 5.1'!F18+'Tabell 5.1'!F30+'Tabell 5.1'!F42+'Tabell 5.1'!F54+'Tabell 5.1'!F68+'Tabell 5.1'!F80+'Tabell 5.1'!F92+'Tabell 5.1'!F104+'Tabell 5.2'!F18+'Tabell 5.2'!F30+'Tabell 5.2'!F42+'Tabell 5.2'!F54+'Tabell 5.2'!F90+'Tabell 5.2'!F102+'Tabell 5.2'!F128+'Tabell 5.2'!F140+F18+F30+'Tabell 5.2'!F66+'Tabell 5.2'!F78+'Tabell 5.2'!F114</f>
        <v>0</v>
      </c>
      <c r="G44" s="589" t="str">
        <f t="shared" si="26"/>
        <v xml:space="preserve">    ---- </v>
      </c>
      <c r="H44" s="589">
        <f>'Tabell 5.1'!H18+'Tabell 5.1'!H30+'Tabell 5.1'!H42+'Tabell 5.1'!H54+'Tabell 5.1'!H68+'Tabell 5.1'!H80+'Tabell 5.1'!H92+'Tabell 5.1'!H104+'Tabell 5.2'!H18+'Tabell 5.2'!H30+'Tabell 5.2'!H42+'Tabell 5.2'!H54+'Tabell 5.2'!H90+'Tabell 5.2'!H102+'Tabell 5.2'!H128+'Tabell 5.2'!H140+H18+H30+'Tabell 5.2'!H66+'Tabell 5.2'!H78+'Tabell 5.2'!H114</f>
        <v>0</v>
      </c>
      <c r="I44" s="589">
        <f>'Tabell 5.1'!I18+'Tabell 5.1'!I30+'Tabell 5.1'!I42+'Tabell 5.1'!I54+'Tabell 5.1'!I68+'Tabell 5.1'!I80+'Tabell 5.1'!I92+'Tabell 5.1'!I104+'Tabell 5.2'!I18+'Tabell 5.2'!I30+'Tabell 5.2'!I42+'Tabell 5.2'!I54+'Tabell 5.2'!I90+'Tabell 5.2'!I102+'Tabell 5.2'!I128+'Tabell 5.2'!I140+I18+I30+'Tabell 5.2'!I66+'Tabell 5.2'!I78+'Tabell 5.2'!I114</f>
        <v>0</v>
      </c>
      <c r="J44" s="589" t="str">
        <f t="shared" si="27"/>
        <v xml:space="preserve">    ---- </v>
      </c>
      <c r="K44" s="589">
        <f>'Tabell 5.1'!K18+'Tabell 5.1'!K30+'Tabell 5.1'!K42+'Tabell 5.1'!K54+'Tabell 5.1'!K68+'Tabell 5.1'!K80+'Tabell 5.1'!K92+'Tabell 5.1'!K104+'Tabell 5.2'!K18+'Tabell 5.2'!K30+'Tabell 5.2'!K42+'Tabell 5.2'!K54+'Tabell 5.2'!K90+'Tabell 5.2'!K102+'Tabell 5.2'!K128+'Tabell 5.2'!K140+K18+K30+'Tabell 5.2'!K66+'Tabell 5.2'!K78+'Tabell 5.2'!K114</f>
        <v>0</v>
      </c>
      <c r="L44" s="589">
        <f>'Tabell 5.1'!L18+'Tabell 5.1'!L30+'Tabell 5.1'!L42+'Tabell 5.1'!L54+'Tabell 5.1'!L68+'Tabell 5.1'!L80+'Tabell 5.1'!L92+'Tabell 5.1'!L104+'Tabell 5.2'!L18+'Tabell 5.2'!L30+'Tabell 5.2'!L42+'Tabell 5.2'!L54+'Tabell 5.2'!L90+'Tabell 5.2'!L102+'Tabell 5.2'!L128+'Tabell 5.2'!L140+L18+L30+'Tabell 5.2'!L66+'Tabell 5.2'!L78+'Tabell 5.2'!L114</f>
        <v>0</v>
      </c>
      <c r="M44" s="589" t="str">
        <f t="shared" si="28"/>
        <v xml:space="preserve">    ---- </v>
      </c>
      <c r="N44" s="589">
        <f>'Tabell 5.1'!N18+'Tabell 5.1'!N30+'Tabell 5.1'!N42+'Tabell 5.1'!N54+'Tabell 5.1'!N68+'Tabell 5.1'!N80+'Tabell 5.1'!N92+'Tabell 5.1'!N104+'Tabell 5.2'!N18+'Tabell 5.2'!N30+'Tabell 5.2'!N42+'Tabell 5.2'!N54+'Tabell 5.2'!N90+'Tabell 5.2'!N102+'Tabell 5.2'!N128+'Tabell 5.2'!N140+N18+N30+'Tabell 5.2'!N66+'Tabell 5.2'!N78+'Tabell 5.2'!N114</f>
        <v>2.7</v>
      </c>
      <c r="O44" s="589">
        <f>'Tabell 5.1'!O18+'Tabell 5.1'!O30+'Tabell 5.1'!O42+'Tabell 5.1'!O54+'Tabell 5.1'!O68+'Tabell 5.1'!O80+'Tabell 5.1'!O92+'Tabell 5.1'!O104+'Tabell 5.2'!O18+'Tabell 5.2'!O30+'Tabell 5.2'!O42+'Tabell 5.2'!O54+'Tabell 5.2'!O90+'Tabell 5.2'!O102+'Tabell 5.2'!O128+'Tabell 5.2'!O140+O18+O30+'Tabell 5.2'!O66+'Tabell 5.2'!O78+'Tabell 5.2'!O114</f>
        <v>5.6</v>
      </c>
      <c r="P44" s="589">
        <f t="shared" si="29"/>
        <v>107.4</v>
      </c>
      <c r="Q44" s="589">
        <f>'Tabell 5.1'!Q18+'Tabell 5.1'!Q30+'Tabell 5.1'!Q42+'Tabell 5.1'!Q54+'Tabell 5.1'!Q68+'Tabell 5.1'!Q80+'Tabell 5.1'!Q92+'Tabell 5.1'!Q104+'Tabell 5.2'!Q18+'Tabell 5.2'!Q30+'Tabell 5.2'!Q42+'Tabell 5.2'!Q54+'Tabell 5.2'!Q90+'Tabell 5.2'!Q102+'Tabell 5.2'!Q128+'Tabell 5.2'!Q140+Q18+Q30+'Tabell 5.2'!Q66+'Tabell 5.2'!Q78+'Tabell 5.2'!Q114</f>
        <v>0</v>
      </c>
      <c r="R44" s="589">
        <f>'Tabell 5.1'!R18+'Tabell 5.1'!R30+'Tabell 5.1'!R42+'Tabell 5.1'!R54+'Tabell 5.1'!R68+'Tabell 5.1'!R80+'Tabell 5.1'!R92+'Tabell 5.1'!R104+'Tabell 5.2'!R18+'Tabell 5.2'!R30+'Tabell 5.2'!R42+'Tabell 5.2'!R54+'Tabell 5.2'!R90+'Tabell 5.2'!R102+'Tabell 5.2'!R128+'Tabell 5.2'!R140+R18+R30+'Tabell 5.2'!R66+'Tabell 5.2'!R78+'Tabell 5.2'!R114</f>
        <v>0</v>
      </c>
      <c r="S44" s="589" t="str">
        <f t="shared" si="30"/>
        <v xml:space="preserve">    ---- </v>
      </c>
      <c r="T44" s="589">
        <f>'Tabell 5.1'!T18+'Tabell 5.1'!T30+'Tabell 5.1'!T42+'Tabell 5.1'!T54+'Tabell 5.1'!T68+'Tabell 5.1'!T80+'Tabell 5.1'!T92+'Tabell 5.1'!T104+'Tabell 5.2'!T18+'Tabell 5.2'!T30+'Tabell 5.2'!T42+'Tabell 5.2'!T54+'Tabell 5.2'!T90+'Tabell 5.2'!T102+'Tabell 5.2'!T128+'Tabell 5.2'!T140+T18+T30+'Tabell 5.2'!T66+'Tabell 5.2'!T78+'Tabell 5.2'!T114</f>
        <v>0</v>
      </c>
      <c r="U44" s="589">
        <f>'Tabell 5.1'!U18+'Tabell 5.1'!U30+'Tabell 5.1'!U42+'Tabell 5.1'!U54+'Tabell 5.1'!U68+'Tabell 5.1'!U80+'Tabell 5.1'!U92+'Tabell 5.1'!U104+'Tabell 5.2'!U18+'Tabell 5.2'!U30+'Tabell 5.2'!U42+'Tabell 5.2'!U54+'Tabell 5.2'!U90+'Tabell 5.2'!U102+'Tabell 5.2'!U128+'Tabell 5.2'!U140+U18+U30+'Tabell 5.2'!U66+'Tabell 5.2'!U78+'Tabell 5.2'!U114</f>
        <v>0</v>
      </c>
      <c r="V44" s="589" t="str">
        <f t="shared" si="31"/>
        <v xml:space="preserve">    ---- </v>
      </c>
      <c r="W44" s="589">
        <f>'Tabell 5.1'!W18+'Tabell 5.1'!W30+'Tabell 5.1'!W42+'Tabell 5.1'!W54+'Tabell 5.1'!W68+'Tabell 5.1'!W80+'Tabell 5.1'!W92+'Tabell 5.1'!W104+'Tabell 5.2'!W18+'Tabell 5.2'!W30+'Tabell 5.2'!W42+'Tabell 5.2'!W54+'Tabell 5.2'!W90+'Tabell 5.2'!W102+'Tabell 5.2'!W128+'Tabell 5.2'!W140+W18+W30+'Tabell 5.2'!W66+'Tabell 5.2'!W78+'Tabell 5.2'!W114</f>
        <v>106.77</v>
      </c>
      <c r="X44" s="589">
        <f>'Tabell 5.1'!X18+'Tabell 5.1'!X30+'Tabell 5.1'!X42+'Tabell 5.1'!X54+'Tabell 5.1'!X68+'Tabell 5.1'!X80+'Tabell 5.1'!X92+'Tabell 5.1'!X104+'Tabell 5.2'!X18+'Tabell 5.2'!X30+'Tabell 5.2'!X42+'Tabell 5.2'!X54+'Tabell 5.2'!X90+'Tabell 5.2'!X102+'Tabell 5.2'!X128+'Tabell 5.2'!X140+X18+X30+'Tabell 5.2'!X66+'Tabell 5.2'!X78+'Tabell 5.2'!X114</f>
        <v>161.31545037235026</v>
      </c>
      <c r="Y44" s="589">
        <f t="shared" si="32"/>
        <v>51.1</v>
      </c>
      <c r="Z44" s="589">
        <f>'Tabell 5.1'!Z18+'Tabell 5.1'!Z30+'Tabell 5.1'!Z42+'Tabell 5.1'!Z54+'Tabell 5.1'!Z68+'Tabell 5.1'!Z80+'Tabell 5.1'!Z92+'Tabell 5.1'!Z104+'Tabell 5.2'!Z18+'Tabell 5.2'!Z30+'Tabell 5.2'!Z42+'Tabell 5.2'!Z54+'Tabell 5.2'!Z90+'Tabell 5.2'!Z102+'Tabell 5.2'!Z128+'Tabell 5.2'!Z140+Z18+Z30+'Tabell 5.2'!Z66+'Tabell 5.2'!Z78+'Tabell 5.2'!Z114</f>
        <v>0</v>
      </c>
      <c r="AA44" s="589">
        <f>'Tabell 5.1'!AA18+'Tabell 5.1'!AA30+'Tabell 5.1'!AA42+'Tabell 5.1'!AA54+'Tabell 5.1'!AA68+'Tabell 5.1'!AA80+'Tabell 5.1'!AA92+'Tabell 5.1'!AA104+'Tabell 5.2'!AA18+'Tabell 5.2'!AA30+'Tabell 5.2'!AA42+'Tabell 5.2'!AA54+'Tabell 5.2'!AA90+'Tabell 5.2'!AA102+'Tabell 5.2'!AA128+'Tabell 5.2'!AA140+AA18+AA30+'Tabell 5.2'!AA66+'Tabell 5.2'!AA78+'Tabell 5.2'!AA114</f>
        <v>0</v>
      </c>
      <c r="AB44" s="589" t="str">
        <f t="shared" si="33"/>
        <v xml:space="preserve">    ---- </v>
      </c>
      <c r="AC44" s="589">
        <f>'Tabell 5.1'!AC18+'Tabell 5.1'!AC30+'Tabell 5.1'!AC42+'Tabell 5.1'!AC54+'Tabell 5.1'!AC68+'Tabell 5.1'!AC80+'Tabell 5.1'!AC92+'Tabell 5.1'!AC104+'Tabell 5.2'!AC18+'Tabell 5.2'!AC30+'Tabell 5.2'!AC42+'Tabell 5.2'!AC54+'Tabell 5.2'!AC90+'Tabell 5.2'!AC102+'Tabell 5.2'!AC128+'Tabell 5.2'!AC140+AC18+AC30+'Tabell 5.2'!AC66+'Tabell 5.2'!AC78+'Tabell 5.2'!AC114</f>
        <v>0</v>
      </c>
      <c r="AD44" s="589">
        <f>'Tabell 5.1'!AD18+'Tabell 5.1'!AD30+'Tabell 5.1'!AD42+'Tabell 5.1'!AD54+'Tabell 5.1'!AD68+'Tabell 5.1'!AD80+'Tabell 5.1'!AD92+'Tabell 5.1'!AD104+'Tabell 5.2'!AD18+'Tabell 5.2'!AD30+'Tabell 5.2'!AD42+'Tabell 5.2'!AD54+'Tabell 5.2'!AD90+'Tabell 5.2'!AD102+'Tabell 5.2'!AD128+'Tabell 5.2'!AD140+AD18+AD30+'Tabell 5.2'!AD66+'Tabell 5.2'!AD78+'Tabell 5.2'!AD114</f>
        <v>0</v>
      </c>
      <c r="AE44" s="589" t="str">
        <f t="shared" si="34"/>
        <v xml:space="preserve">    ---- </v>
      </c>
      <c r="AF44" s="589">
        <f>'Tabell 5.1'!AF18+'Tabell 5.1'!AF30+'Tabell 5.1'!AF42+'Tabell 5.1'!AF54+'Tabell 5.1'!AF68+'Tabell 5.1'!AF80+'Tabell 5.1'!AF92+'Tabell 5.1'!AF104+'Tabell 5.2'!AF18+'Tabell 5.2'!AF30+'Tabell 5.2'!AF42+'Tabell 5.2'!AF54+'Tabell 5.2'!AF90+'Tabell 5.2'!AF102+'Tabell 5.2'!AF128+'Tabell 5.2'!AF140+AF18+AF30+'Tabell 5.2'!AF66+'Tabell 5.2'!AF78+'Tabell 5.2'!AF114</f>
        <v>0</v>
      </c>
      <c r="AG44" s="589">
        <f>'Tabell 5.1'!AG18+'Tabell 5.1'!AG30+'Tabell 5.1'!AG42+'Tabell 5.1'!AG54+'Tabell 5.1'!AG68+'Tabell 5.1'!AG80+'Tabell 5.1'!AG92+'Tabell 5.1'!AG104+'Tabell 5.2'!AG18+'Tabell 5.2'!AG30+'Tabell 5.2'!AG42+'Tabell 5.2'!AG54+'Tabell 5.2'!AG90+'Tabell 5.2'!AG102+'Tabell 5.2'!AG128+'Tabell 5.2'!AG140+AG18+AG30+'Tabell 5.2'!AG66+'Tabell 5.2'!AG78+'Tabell 5.2'!AG114</f>
        <v>0</v>
      </c>
      <c r="AH44" s="589" t="str">
        <f t="shared" si="35"/>
        <v xml:space="preserve">    ---- </v>
      </c>
      <c r="AI44" s="589">
        <f>'Tabell 5.1'!AI18+'Tabell 5.1'!AI30+'Tabell 5.1'!AI42+'Tabell 5.1'!AI54+'Tabell 5.1'!AI68+'Tabell 5.1'!AI80+'Tabell 5.1'!AI92+'Tabell 5.1'!AI104+'Tabell 5.2'!AI18+'Tabell 5.2'!AI30+'Tabell 5.2'!AI42+'Tabell 5.2'!AI54+'Tabell 5.2'!AI90+'Tabell 5.2'!AI102+'Tabell 5.2'!AI128+'Tabell 5.2'!AI140+AI18+AI30+'Tabell 5.2'!AI66+'Tabell 5.2'!AI78+'Tabell 5.2'!AI114</f>
        <v>108.6</v>
      </c>
      <c r="AJ44" s="589">
        <f>'Tabell 5.1'!AJ18+'Tabell 5.1'!AJ30+'Tabell 5.1'!AJ42+'Tabell 5.1'!AJ54+'Tabell 5.1'!AJ68+'Tabell 5.1'!AJ80+'Tabell 5.1'!AJ92+'Tabell 5.1'!AJ104+'Tabell 5.2'!AJ18+'Tabell 5.2'!AJ30+'Tabell 5.2'!AJ42+'Tabell 5.2'!AJ54+'Tabell 5.2'!AJ90+'Tabell 5.2'!AJ102+'Tabell 5.2'!AJ128+'Tabell 5.2'!AJ140+AJ18+AJ30+'Tabell 5.2'!AJ66+'Tabell 5.2'!AJ78+'Tabell 5.2'!AJ114</f>
        <v>262</v>
      </c>
      <c r="AK44" s="589">
        <f t="shared" si="36"/>
        <v>141.30000000000001</v>
      </c>
      <c r="AL44" s="589">
        <f>'Tabell 5.1'!AL18+'Tabell 5.1'!AL30+'Tabell 5.1'!AL42+'Tabell 5.1'!AL54+'Tabell 5.1'!AL68+'Tabell 5.1'!AL80+'Tabell 5.1'!AL92+'Tabell 5.1'!AL104+'Tabell 5.2'!AL18+'Tabell 5.2'!AL30+'Tabell 5.2'!AL42+'Tabell 5.2'!AL54+'Tabell 5.2'!AL90+'Tabell 5.2'!AL102+'Tabell 5.2'!AL128+'Tabell 5.2'!AL140+AL18+AL30+'Tabell 5.2'!AL66+'Tabell 5.2'!AL78+'Tabell 5.2'!AL114</f>
        <v>0</v>
      </c>
      <c r="AM44" s="589">
        <f>'Tabell 5.1'!AM18+'Tabell 5.1'!AM30+'Tabell 5.1'!AM42+'Tabell 5.1'!AM54+'Tabell 5.1'!AM68+'Tabell 5.1'!AM80+'Tabell 5.1'!AM92+'Tabell 5.1'!AM104+'Tabell 5.2'!AM18+'Tabell 5.2'!AM30+'Tabell 5.2'!AM42+'Tabell 5.2'!AM54+'Tabell 5.2'!AM90+'Tabell 5.2'!AM102+'Tabell 5.2'!AM128+'Tabell 5.2'!AM140+AM18+AM30+'Tabell 5.2'!AM66+'Tabell 5.2'!AM78+'Tabell 5.2'!AM114</f>
        <v>0</v>
      </c>
      <c r="AN44" s="589" t="str">
        <f t="shared" si="37"/>
        <v xml:space="preserve">    ---- </v>
      </c>
      <c r="AO44" s="589">
        <f t="shared" si="38"/>
        <v>218.88499999999999</v>
      </c>
      <c r="AP44" s="589">
        <f t="shared" si="38"/>
        <v>428.91545037235028</v>
      </c>
      <c r="AQ44" s="589">
        <f t="shared" si="39"/>
        <v>96</v>
      </c>
      <c r="AR44" s="550">
        <f t="shared" si="40"/>
        <v>218.88499999999999</v>
      </c>
      <c r="AS44" s="550">
        <f t="shared" si="41"/>
        <v>428.91545037235028</v>
      </c>
      <c r="AT44" s="590">
        <f t="shared" si="42"/>
        <v>96</v>
      </c>
      <c r="AU44" s="568"/>
    </row>
    <row r="45" spans="1:47" s="591" customFormat="1" ht="18.75" customHeight="1" x14ac:dyDescent="0.3">
      <c r="A45" s="542" t="s">
        <v>358</v>
      </c>
      <c r="B45" s="589">
        <f>'Tabell 5.1'!B19+'Tabell 5.1'!B31+'Tabell 5.1'!B43+'Tabell 5.1'!B55+'Tabell 5.1'!B69+'Tabell 5.1'!B81+'Tabell 5.1'!B93+'Tabell 5.1'!B105+'Tabell 5.2'!B19+'Tabell 5.2'!B31+'Tabell 5.2'!B43+'Tabell 5.2'!B55+'Tabell 5.2'!B91+'Tabell 5.2'!B103+'Tabell 5.2'!B129+'Tabell 5.2'!B141+B19+B31+'Tabell 5.2'!B67+'Tabell 5.2'!B79+'Tabell 5.2'!B115</f>
        <v>0</v>
      </c>
      <c r="C45" s="589">
        <f>'Tabell 5.1'!C19+'Tabell 5.1'!C31+'Tabell 5.1'!C43+'Tabell 5.1'!C55+'Tabell 5.1'!C69+'Tabell 5.1'!C81+'Tabell 5.1'!C93+'Tabell 5.1'!C105+'Tabell 5.2'!C19+'Tabell 5.2'!C31+'Tabell 5.2'!C43+'Tabell 5.2'!C55+'Tabell 5.2'!C91+'Tabell 5.2'!C103+'Tabell 5.2'!C129+'Tabell 5.2'!C141+C19+C31+'Tabell 5.2'!C67+'Tabell 5.2'!C79+'Tabell 5.2'!C115</f>
        <v>0</v>
      </c>
      <c r="D45" s="589" t="str">
        <f t="shared" si="25"/>
        <v xml:space="preserve">    ---- </v>
      </c>
      <c r="E45" s="589">
        <f>'Tabell 5.1'!E19+'Tabell 5.1'!E31+'Tabell 5.1'!E43+'Tabell 5.1'!E55+'Tabell 5.1'!E69+'Tabell 5.1'!E81+'Tabell 5.1'!E93+'Tabell 5.1'!E105+'Tabell 5.2'!E19+'Tabell 5.2'!E31+'Tabell 5.2'!E43+'Tabell 5.2'!E55+'Tabell 5.2'!E91+'Tabell 5.2'!E103+'Tabell 5.2'!E129+'Tabell 5.2'!E141+E19+E31+'Tabell 5.2'!E67+'Tabell 5.2'!E79+'Tabell 5.2'!E115</f>
        <v>0</v>
      </c>
      <c r="F45" s="589">
        <f>'Tabell 5.1'!F19+'Tabell 5.1'!F31+'Tabell 5.1'!F43+'Tabell 5.1'!F55+'Tabell 5.1'!F69+'Tabell 5.1'!F81+'Tabell 5.1'!F93+'Tabell 5.1'!F105+'Tabell 5.2'!F19+'Tabell 5.2'!F31+'Tabell 5.2'!F43+'Tabell 5.2'!F55+'Tabell 5.2'!F91+'Tabell 5.2'!F103+'Tabell 5.2'!F129+'Tabell 5.2'!F141+F19+F31+'Tabell 5.2'!F67+'Tabell 5.2'!F79+'Tabell 5.2'!F115</f>
        <v>0</v>
      </c>
      <c r="G45" s="589" t="str">
        <f t="shared" si="26"/>
        <v xml:space="preserve">    ---- </v>
      </c>
      <c r="H45" s="589">
        <f>'Tabell 5.1'!H19+'Tabell 5.1'!H31+'Tabell 5.1'!H43+'Tabell 5.1'!H55+'Tabell 5.1'!H69+'Tabell 5.1'!H81+'Tabell 5.1'!H93+'Tabell 5.1'!H105+'Tabell 5.2'!H19+'Tabell 5.2'!H31+'Tabell 5.2'!H43+'Tabell 5.2'!H55+'Tabell 5.2'!H91+'Tabell 5.2'!H103+'Tabell 5.2'!H129+'Tabell 5.2'!H141+H19+H31+'Tabell 5.2'!H67+'Tabell 5.2'!H79+'Tabell 5.2'!H115</f>
        <v>0</v>
      </c>
      <c r="I45" s="589">
        <f>'Tabell 5.1'!I19+'Tabell 5.1'!I31+'Tabell 5.1'!I43+'Tabell 5.1'!I55+'Tabell 5.1'!I69+'Tabell 5.1'!I81+'Tabell 5.1'!I93+'Tabell 5.1'!I105+'Tabell 5.2'!I19+'Tabell 5.2'!I31+'Tabell 5.2'!I43+'Tabell 5.2'!I55+'Tabell 5.2'!I91+'Tabell 5.2'!I103+'Tabell 5.2'!I129+'Tabell 5.2'!I141+I19+I31+'Tabell 5.2'!I67+'Tabell 5.2'!I79+'Tabell 5.2'!I115</f>
        <v>0</v>
      </c>
      <c r="J45" s="589" t="str">
        <f t="shared" si="27"/>
        <v xml:space="preserve">    ---- </v>
      </c>
      <c r="K45" s="589">
        <f>'Tabell 5.1'!K19+'Tabell 5.1'!K31+'Tabell 5.1'!K43+'Tabell 5.1'!K55+'Tabell 5.1'!K69+'Tabell 5.1'!K81+'Tabell 5.1'!K93+'Tabell 5.1'!K105+'Tabell 5.2'!K19+'Tabell 5.2'!K31+'Tabell 5.2'!K43+'Tabell 5.2'!K55+'Tabell 5.2'!K91+'Tabell 5.2'!K103+'Tabell 5.2'!K129+'Tabell 5.2'!K141+K19+K31+'Tabell 5.2'!K67+'Tabell 5.2'!K79+'Tabell 5.2'!K115</f>
        <v>0</v>
      </c>
      <c r="L45" s="589">
        <f>'Tabell 5.1'!L19+'Tabell 5.1'!L31+'Tabell 5.1'!L43+'Tabell 5.1'!L55+'Tabell 5.1'!L69+'Tabell 5.1'!L81+'Tabell 5.1'!L93+'Tabell 5.1'!L105+'Tabell 5.2'!L19+'Tabell 5.2'!L31+'Tabell 5.2'!L43+'Tabell 5.2'!L55+'Tabell 5.2'!L91+'Tabell 5.2'!L103+'Tabell 5.2'!L129+'Tabell 5.2'!L141+L19+L31+'Tabell 5.2'!L67+'Tabell 5.2'!L79+'Tabell 5.2'!L115</f>
        <v>0</v>
      </c>
      <c r="M45" s="589" t="str">
        <f t="shared" si="28"/>
        <v xml:space="preserve">    ---- </v>
      </c>
      <c r="N45" s="589">
        <f>'Tabell 5.1'!N19+'Tabell 5.1'!N31+'Tabell 5.1'!N43+'Tabell 5.1'!N55+'Tabell 5.1'!N69+'Tabell 5.1'!N81+'Tabell 5.1'!N93+'Tabell 5.1'!N105+'Tabell 5.2'!N19+'Tabell 5.2'!N31+'Tabell 5.2'!N43+'Tabell 5.2'!N55+'Tabell 5.2'!N91+'Tabell 5.2'!N103+'Tabell 5.2'!N129+'Tabell 5.2'!N141+N19+N31+'Tabell 5.2'!N67+'Tabell 5.2'!N79+'Tabell 5.2'!N115</f>
        <v>0</v>
      </c>
      <c r="O45" s="589">
        <f>'Tabell 5.1'!O19+'Tabell 5.1'!O31+'Tabell 5.1'!O43+'Tabell 5.1'!O55+'Tabell 5.1'!O69+'Tabell 5.1'!O81+'Tabell 5.1'!O93+'Tabell 5.1'!O105+'Tabell 5.2'!O19+'Tabell 5.2'!O31+'Tabell 5.2'!O43+'Tabell 5.2'!O55+'Tabell 5.2'!O91+'Tabell 5.2'!O103+'Tabell 5.2'!O129+'Tabell 5.2'!O141+O19+O31+'Tabell 5.2'!O67+'Tabell 5.2'!O79+'Tabell 5.2'!O115</f>
        <v>0</v>
      </c>
      <c r="P45" s="589" t="str">
        <f t="shared" si="29"/>
        <v xml:space="preserve">    ---- </v>
      </c>
      <c r="Q45" s="589">
        <f>'Tabell 5.1'!Q19+'Tabell 5.1'!Q31+'Tabell 5.1'!Q43+'Tabell 5.1'!Q55+'Tabell 5.1'!Q69+'Tabell 5.1'!Q81+'Tabell 5.1'!Q93+'Tabell 5.1'!Q105+'Tabell 5.2'!Q19+'Tabell 5.2'!Q31+'Tabell 5.2'!Q43+'Tabell 5.2'!Q55+'Tabell 5.2'!Q91+'Tabell 5.2'!Q103+'Tabell 5.2'!Q129+'Tabell 5.2'!Q141+Q19+Q31+'Tabell 5.2'!Q67+'Tabell 5.2'!Q79+'Tabell 5.2'!Q115</f>
        <v>0</v>
      </c>
      <c r="R45" s="589">
        <f>'Tabell 5.1'!R19+'Tabell 5.1'!R31+'Tabell 5.1'!R43+'Tabell 5.1'!R55+'Tabell 5.1'!R69+'Tabell 5.1'!R81+'Tabell 5.1'!R93+'Tabell 5.1'!R105+'Tabell 5.2'!R19+'Tabell 5.2'!R31+'Tabell 5.2'!R43+'Tabell 5.2'!R55+'Tabell 5.2'!R91+'Tabell 5.2'!R103+'Tabell 5.2'!R129+'Tabell 5.2'!R141+R19+R31+'Tabell 5.2'!R67+'Tabell 5.2'!R79+'Tabell 5.2'!R115</f>
        <v>0</v>
      </c>
      <c r="S45" s="589" t="str">
        <f t="shared" si="30"/>
        <v xml:space="preserve">    ---- </v>
      </c>
      <c r="T45" s="589">
        <f>'Tabell 5.1'!T19+'Tabell 5.1'!T31+'Tabell 5.1'!T43+'Tabell 5.1'!T55+'Tabell 5.1'!T69+'Tabell 5.1'!T81+'Tabell 5.1'!T93+'Tabell 5.1'!T105+'Tabell 5.2'!T19+'Tabell 5.2'!T31+'Tabell 5.2'!T43+'Tabell 5.2'!T55+'Tabell 5.2'!T91+'Tabell 5.2'!T103+'Tabell 5.2'!T129+'Tabell 5.2'!T141+T19+T31+'Tabell 5.2'!T67+'Tabell 5.2'!T79+'Tabell 5.2'!T115</f>
        <v>0</v>
      </c>
      <c r="U45" s="589">
        <f>'Tabell 5.1'!U19+'Tabell 5.1'!U31+'Tabell 5.1'!U43+'Tabell 5.1'!U55+'Tabell 5.1'!U69+'Tabell 5.1'!U81+'Tabell 5.1'!U93+'Tabell 5.1'!U105+'Tabell 5.2'!U19+'Tabell 5.2'!U31+'Tabell 5.2'!U43+'Tabell 5.2'!U55+'Tabell 5.2'!U91+'Tabell 5.2'!U103+'Tabell 5.2'!U129+'Tabell 5.2'!U141+U19+U31+'Tabell 5.2'!U67+'Tabell 5.2'!U79+'Tabell 5.2'!U115</f>
        <v>0</v>
      </c>
      <c r="V45" s="589" t="str">
        <f t="shared" si="31"/>
        <v xml:space="preserve">    ---- </v>
      </c>
      <c r="W45" s="589">
        <f>'Tabell 5.1'!W19+'Tabell 5.1'!W31+'Tabell 5.1'!W43+'Tabell 5.1'!W55+'Tabell 5.1'!W69+'Tabell 5.1'!W81+'Tabell 5.1'!W93+'Tabell 5.1'!W105+'Tabell 5.2'!W19+'Tabell 5.2'!W31+'Tabell 5.2'!W43+'Tabell 5.2'!W55+'Tabell 5.2'!W91+'Tabell 5.2'!W103+'Tabell 5.2'!W129+'Tabell 5.2'!W141+W19+W31+'Tabell 5.2'!W67+'Tabell 5.2'!W79+'Tabell 5.2'!W115</f>
        <v>-14.04</v>
      </c>
      <c r="X45" s="589">
        <f>'Tabell 5.1'!X19+'Tabell 5.1'!X31+'Tabell 5.1'!X43+'Tabell 5.1'!X55+'Tabell 5.1'!X69+'Tabell 5.1'!X81+'Tabell 5.1'!X93+'Tabell 5.1'!X105+'Tabell 5.2'!X19+'Tabell 5.2'!X31+'Tabell 5.2'!X43+'Tabell 5.2'!X55+'Tabell 5.2'!X91+'Tabell 5.2'!X103+'Tabell 5.2'!X129+'Tabell 5.2'!X141+X19+X31+'Tabell 5.2'!X67+'Tabell 5.2'!X79+'Tabell 5.2'!X115</f>
        <v>-14.039808000000001</v>
      </c>
      <c r="Y45" s="589">
        <f t="shared" si="32"/>
        <v>0</v>
      </c>
      <c r="Z45" s="589">
        <f>'Tabell 5.1'!Z19+'Tabell 5.1'!Z31+'Tabell 5.1'!Z43+'Tabell 5.1'!Z55+'Tabell 5.1'!Z69+'Tabell 5.1'!Z81+'Tabell 5.1'!Z93+'Tabell 5.1'!Z105+'Tabell 5.2'!Z19+'Tabell 5.2'!Z31+'Tabell 5.2'!Z43+'Tabell 5.2'!Z55+'Tabell 5.2'!Z91+'Tabell 5.2'!Z103+'Tabell 5.2'!Z129+'Tabell 5.2'!Z141+Z19+Z31+'Tabell 5.2'!Z67+'Tabell 5.2'!Z79+'Tabell 5.2'!Z115</f>
        <v>0</v>
      </c>
      <c r="AA45" s="589">
        <f>'Tabell 5.1'!AA19+'Tabell 5.1'!AA31+'Tabell 5.1'!AA43+'Tabell 5.1'!AA55+'Tabell 5.1'!AA69+'Tabell 5.1'!AA81+'Tabell 5.1'!AA93+'Tabell 5.1'!AA105+'Tabell 5.2'!AA19+'Tabell 5.2'!AA31+'Tabell 5.2'!AA43+'Tabell 5.2'!AA55+'Tabell 5.2'!AA91+'Tabell 5.2'!AA103+'Tabell 5.2'!AA129+'Tabell 5.2'!AA141+AA19+AA31+'Tabell 5.2'!AA67+'Tabell 5.2'!AA79+'Tabell 5.2'!AA115</f>
        <v>0</v>
      </c>
      <c r="AB45" s="589" t="str">
        <f t="shared" si="33"/>
        <v xml:space="preserve">    ---- </v>
      </c>
      <c r="AC45" s="589">
        <f>'Tabell 5.1'!AC19+'Tabell 5.1'!AC31+'Tabell 5.1'!AC43+'Tabell 5.1'!AC55+'Tabell 5.1'!AC69+'Tabell 5.1'!AC81+'Tabell 5.1'!AC93+'Tabell 5.1'!AC105+'Tabell 5.2'!AC19+'Tabell 5.2'!AC31+'Tabell 5.2'!AC43+'Tabell 5.2'!AC55+'Tabell 5.2'!AC91+'Tabell 5.2'!AC103+'Tabell 5.2'!AC129+'Tabell 5.2'!AC141+AC19+AC31+'Tabell 5.2'!AC67+'Tabell 5.2'!AC79+'Tabell 5.2'!AC115</f>
        <v>0</v>
      </c>
      <c r="AD45" s="589">
        <f>'Tabell 5.1'!AD19+'Tabell 5.1'!AD31+'Tabell 5.1'!AD43+'Tabell 5.1'!AD55+'Tabell 5.1'!AD69+'Tabell 5.1'!AD81+'Tabell 5.1'!AD93+'Tabell 5.1'!AD105+'Tabell 5.2'!AD19+'Tabell 5.2'!AD31+'Tabell 5.2'!AD43+'Tabell 5.2'!AD55+'Tabell 5.2'!AD91+'Tabell 5.2'!AD103+'Tabell 5.2'!AD129+'Tabell 5.2'!AD141+AD19+AD31+'Tabell 5.2'!AD67+'Tabell 5.2'!AD79+'Tabell 5.2'!AD115</f>
        <v>0</v>
      </c>
      <c r="AE45" s="589" t="str">
        <f t="shared" si="34"/>
        <v xml:space="preserve">    ---- </v>
      </c>
      <c r="AF45" s="589">
        <f>'Tabell 5.1'!AF19+'Tabell 5.1'!AF31+'Tabell 5.1'!AF43+'Tabell 5.1'!AF55+'Tabell 5.1'!AF69+'Tabell 5.1'!AF81+'Tabell 5.1'!AF93+'Tabell 5.1'!AF105+'Tabell 5.2'!AF19+'Tabell 5.2'!AF31+'Tabell 5.2'!AF43+'Tabell 5.2'!AF55+'Tabell 5.2'!AF91+'Tabell 5.2'!AF103+'Tabell 5.2'!AF129+'Tabell 5.2'!AF141+AF19+AF31+'Tabell 5.2'!AF67+'Tabell 5.2'!AF79+'Tabell 5.2'!AF115</f>
        <v>0</v>
      </c>
      <c r="AG45" s="589">
        <f>'Tabell 5.1'!AG19+'Tabell 5.1'!AG31+'Tabell 5.1'!AG43+'Tabell 5.1'!AG55+'Tabell 5.1'!AG69+'Tabell 5.1'!AG81+'Tabell 5.1'!AG93+'Tabell 5.1'!AG105+'Tabell 5.2'!AG19+'Tabell 5.2'!AG31+'Tabell 5.2'!AG43+'Tabell 5.2'!AG55+'Tabell 5.2'!AG91+'Tabell 5.2'!AG103+'Tabell 5.2'!AG129+'Tabell 5.2'!AG141+AG19+AG31+'Tabell 5.2'!AG67+'Tabell 5.2'!AG79+'Tabell 5.2'!AG115</f>
        <v>0</v>
      </c>
      <c r="AH45" s="589" t="str">
        <f t="shared" si="35"/>
        <v xml:space="preserve">    ---- </v>
      </c>
      <c r="AI45" s="589">
        <f>'Tabell 5.1'!AI19+'Tabell 5.1'!AI31+'Tabell 5.1'!AI43+'Tabell 5.1'!AI55+'Tabell 5.1'!AI69+'Tabell 5.1'!AI81+'Tabell 5.1'!AI93+'Tabell 5.1'!AI105+'Tabell 5.2'!AI19+'Tabell 5.2'!AI31+'Tabell 5.2'!AI43+'Tabell 5.2'!AI55+'Tabell 5.2'!AI91+'Tabell 5.2'!AI103+'Tabell 5.2'!AI129+'Tabell 5.2'!AI141+AI19+AI31+'Tabell 5.2'!AI67+'Tabell 5.2'!AI79+'Tabell 5.2'!AI115</f>
        <v>51</v>
      </c>
      <c r="AJ45" s="589">
        <f>'Tabell 5.1'!AJ19+'Tabell 5.1'!AJ31+'Tabell 5.1'!AJ43+'Tabell 5.1'!AJ55+'Tabell 5.1'!AJ69+'Tabell 5.1'!AJ81+'Tabell 5.1'!AJ93+'Tabell 5.1'!AJ105+'Tabell 5.2'!AJ19+'Tabell 5.2'!AJ31+'Tabell 5.2'!AJ43+'Tabell 5.2'!AJ55+'Tabell 5.2'!AJ91+'Tabell 5.2'!AJ103+'Tabell 5.2'!AJ129+'Tabell 5.2'!AJ141+AJ19+AJ31+'Tabell 5.2'!AJ67+'Tabell 5.2'!AJ79+'Tabell 5.2'!AJ115</f>
        <v>19</v>
      </c>
      <c r="AK45" s="589">
        <f t="shared" si="36"/>
        <v>-62.7</v>
      </c>
      <c r="AL45" s="589">
        <f>'Tabell 5.1'!AL19+'Tabell 5.1'!AL31+'Tabell 5.1'!AL43+'Tabell 5.1'!AL55+'Tabell 5.1'!AL69+'Tabell 5.1'!AL81+'Tabell 5.1'!AL93+'Tabell 5.1'!AL105+'Tabell 5.2'!AL19+'Tabell 5.2'!AL31+'Tabell 5.2'!AL43+'Tabell 5.2'!AL55+'Tabell 5.2'!AL91+'Tabell 5.2'!AL103+'Tabell 5.2'!AL129+'Tabell 5.2'!AL141+AL19+AL31+'Tabell 5.2'!AL67+'Tabell 5.2'!AL79+'Tabell 5.2'!AL115</f>
        <v>0</v>
      </c>
      <c r="AM45" s="589">
        <f>'Tabell 5.1'!AM19+'Tabell 5.1'!AM31+'Tabell 5.1'!AM43+'Tabell 5.1'!AM55+'Tabell 5.1'!AM69+'Tabell 5.1'!AM81+'Tabell 5.1'!AM93+'Tabell 5.1'!AM105+'Tabell 5.2'!AM19+'Tabell 5.2'!AM31+'Tabell 5.2'!AM43+'Tabell 5.2'!AM55+'Tabell 5.2'!AM91+'Tabell 5.2'!AM103+'Tabell 5.2'!AM129+'Tabell 5.2'!AM141+AM19+AM31+'Tabell 5.2'!AM67+'Tabell 5.2'!AM79+'Tabell 5.2'!AM115</f>
        <v>0</v>
      </c>
      <c r="AN45" s="589" t="str">
        <f t="shared" si="37"/>
        <v xml:space="preserve">    ---- </v>
      </c>
      <c r="AO45" s="589">
        <f t="shared" si="38"/>
        <v>36.96</v>
      </c>
      <c r="AP45" s="589">
        <f t="shared" si="38"/>
        <v>4.9601919999999993</v>
      </c>
      <c r="AQ45" s="589">
        <f t="shared" si="39"/>
        <v>-86.6</v>
      </c>
      <c r="AR45" s="550">
        <f t="shared" si="40"/>
        <v>36.96</v>
      </c>
      <c r="AS45" s="550">
        <f t="shared" si="41"/>
        <v>4.9601919999999993</v>
      </c>
      <c r="AT45" s="590">
        <f t="shared" si="42"/>
        <v>-86.6</v>
      </c>
      <c r="AU45" s="568"/>
    </row>
    <row r="46" spans="1:47" s="593" customFormat="1" ht="18.75" customHeight="1" x14ac:dyDescent="0.3">
      <c r="A46" s="537" t="s">
        <v>359</v>
      </c>
      <c r="B46" s="587">
        <f>'Tabell 5.1'!B20+'Tabell 5.1'!B32+'Tabell 5.1'!B44+'Tabell 5.1'!B56+'Tabell 5.1'!B70+'Tabell 5.1'!B82+'Tabell 5.1'!B94+'Tabell 5.1'!B106+'Tabell 5.2'!B20+'Tabell 5.2'!B32+'Tabell 5.2'!B44+'Tabell 5.2'!B56+'Tabell 5.2'!B92+'Tabell 5.2'!B104+'Tabell 5.2'!B130+'Tabell 5.2'!B142+B20+B32+'Tabell 5.2'!B68+'Tabell 5.2'!B80+'Tabell 5.2'!B116</f>
        <v>153.12</v>
      </c>
      <c r="C46" s="587">
        <f>'Tabell 5.1'!C20+'Tabell 5.1'!C32+'Tabell 5.1'!C44+'Tabell 5.1'!C56+'Tabell 5.1'!C70+'Tabell 5.1'!C82+'Tabell 5.1'!C94+'Tabell 5.1'!C106+'Tabell 5.2'!C20+'Tabell 5.2'!C32+'Tabell 5.2'!C44+'Tabell 5.2'!C56+'Tabell 5.2'!C92+'Tabell 5.2'!C104+'Tabell 5.2'!C130+'Tabell 5.2'!C142+C20+C32+'Tabell 5.2'!C68+'Tabell 5.2'!C80+'Tabell 5.2'!C116</f>
        <v>13.570000000000002</v>
      </c>
      <c r="D46" s="587">
        <f t="shared" si="25"/>
        <v>-91.1</v>
      </c>
      <c r="E46" s="587">
        <f>'Tabell 5.1'!E20+'Tabell 5.1'!E32+'Tabell 5.1'!E44+'Tabell 5.1'!E56+'Tabell 5.1'!E70+'Tabell 5.1'!E82+'Tabell 5.1'!E94+'Tabell 5.1'!E106+'Tabell 5.2'!E20+'Tabell 5.2'!E32+'Tabell 5.2'!E44+'Tabell 5.2'!E56+'Tabell 5.2'!E92+'Tabell 5.2'!E104+'Tabell 5.2'!E130+'Tabell 5.2'!E142+E20+E32+'Tabell 5.2'!E68+'Tabell 5.2'!E80+'Tabell 5.2'!E116</f>
        <v>16843.72067891667</v>
      </c>
      <c r="F46" s="587">
        <f>'Tabell 5.1'!F20+'Tabell 5.1'!F32+'Tabell 5.1'!F44+'Tabell 5.1'!F56+'Tabell 5.1'!F70+'Tabell 5.1'!F82+'Tabell 5.1'!F94+'Tabell 5.1'!F106+'Tabell 5.2'!F20+'Tabell 5.2'!F32+'Tabell 5.2'!F44+'Tabell 5.2'!F56+'Tabell 5.2'!F92+'Tabell 5.2'!F104+'Tabell 5.2'!F130+'Tabell 5.2'!F142+F20+F32+'Tabell 5.2'!F68+'Tabell 5.2'!F80+'Tabell 5.2'!F116</f>
        <v>-10995.554244230094</v>
      </c>
      <c r="G46" s="587">
        <f t="shared" si="26"/>
        <v>-165.3</v>
      </c>
      <c r="H46" s="587">
        <f>'Tabell 5.1'!H20+'Tabell 5.1'!H32+'Tabell 5.1'!H44+'Tabell 5.1'!H56+'Tabell 5.1'!H70+'Tabell 5.1'!H82+'Tabell 5.1'!H94+'Tabell 5.1'!H106+'Tabell 5.2'!H20+'Tabell 5.2'!H32+'Tabell 5.2'!H44+'Tabell 5.2'!H56+'Tabell 5.2'!H92+'Tabell 5.2'!H104+'Tabell 5.2'!H130+'Tabell 5.2'!H142+H20+H32+'Tabell 5.2'!H68+'Tabell 5.2'!H80+'Tabell 5.2'!H116</f>
        <v>664.30002826999998</v>
      </c>
      <c r="I46" s="587">
        <f>'Tabell 5.1'!I20+'Tabell 5.1'!I32+'Tabell 5.1'!I44+'Tabell 5.1'!I56+'Tabell 5.1'!I70+'Tabell 5.1'!I82+'Tabell 5.1'!I94+'Tabell 5.1'!I106+'Tabell 5.2'!I20+'Tabell 5.2'!I32+'Tabell 5.2'!I44+'Tabell 5.2'!I56+'Tabell 5.2'!I92+'Tabell 5.2'!I104+'Tabell 5.2'!I130+'Tabell 5.2'!I142+I20+I32+'Tabell 5.2'!I68+'Tabell 5.2'!I80+'Tabell 5.2'!I116</f>
        <v>712.46764908000011</v>
      </c>
      <c r="J46" s="587">
        <f t="shared" si="27"/>
        <v>7.3</v>
      </c>
      <c r="K46" s="587">
        <f>'Tabell 5.1'!K20+'Tabell 5.1'!K32+'Tabell 5.1'!K44+'Tabell 5.1'!K56+'Tabell 5.1'!K70+'Tabell 5.1'!K82+'Tabell 5.1'!K94+'Tabell 5.1'!K106+'Tabell 5.2'!K20+'Tabell 5.2'!K32+'Tabell 5.2'!K44+'Tabell 5.2'!K56+'Tabell 5.2'!K92+'Tabell 5.2'!K104+'Tabell 5.2'!K130+'Tabell 5.2'!K142+K20+K32+'Tabell 5.2'!K68+'Tabell 5.2'!K80+'Tabell 5.2'!K116</f>
        <v>105.32899999999998</v>
      </c>
      <c r="L46" s="587">
        <f>'Tabell 5.1'!L20+'Tabell 5.1'!L32+'Tabell 5.1'!L44+'Tabell 5.1'!L56+'Tabell 5.1'!L70+'Tabell 5.1'!L82+'Tabell 5.1'!L94+'Tabell 5.1'!L106+'Tabell 5.2'!L20+'Tabell 5.2'!L32+'Tabell 5.2'!L44+'Tabell 5.2'!L56+'Tabell 5.2'!L92+'Tabell 5.2'!L104+'Tabell 5.2'!L130+'Tabell 5.2'!L142+L20+L32+'Tabell 5.2'!L68+'Tabell 5.2'!L80+'Tabell 5.2'!L116</f>
        <v>-56.224999999999994</v>
      </c>
      <c r="M46" s="587">
        <f t="shared" si="28"/>
        <v>-153.4</v>
      </c>
      <c r="N46" s="587">
        <f>'Tabell 5.1'!N20+'Tabell 5.1'!N32+'Tabell 5.1'!N44+'Tabell 5.1'!N56+'Tabell 5.1'!N70+'Tabell 5.1'!N82+'Tabell 5.1'!N94+'Tabell 5.1'!N106+'Tabell 5.2'!N20+'Tabell 5.2'!N32+'Tabell 5.2'!N44+'Tabell 5.2'!N56+'Tabell 5.2'!N92+'Tabell 5.2'!N104+'Tabell 5.2'!N130+'Tabell 5.2'!N142+N20+N32+'Tabell 5.2'!N68+'Tabell 5.2'!N80+'Tabell 5.2'!N116</f>
        <v>273.09999999999997</v>
      </c>
      <c r="O46" s="587">
        <f>'Tabell 5.1'!O20+'Tabell 5.1'!O32+'Tabell 5.1'!O44+'Tabell 5.1'!O56+'Tabell 5.1'!O70+'Tabell 5.1'!O82+'Tabell 5.1'!O94+'Tabell 5.1'!O106+'Tabell 5.2'!O20+'Tabell 5.2'!O32+'Tabell 5.2'!O44+'Tabell 5.2'!O56+'Tabell 5.2'!O92+'Tabell 5.2'!O104+'Tabell 5.2'!O130+'Tabell 5.2'!O142+O20+O32+'Tabell 5.2'!O68+'Tabell 5.2'!O80+'Tabell 5.2'!O116</f>
        <v>150.40000000000003</v>
      </c>
      <c r="P46" s="587">
        <f t="shared" si="29"/>
        <v>-44.9</v>
      </c>
      <c r="Q46" s="587">
        <f>'Tabell 5.1'!Q20+'Tabell 5.1'!Q32+'Tabell 5.1'!Q44+'Tabell 5.1'!Q56+'Tabell 5.1'!Q70+'Tabell 5.1'!Q82+'Tabell 5.1'!Q94+'Tabell 5.1'!Q106+'Tabell 5.2'!Q20+'Tabell 5.2'!Q32+'Tabell 5.2'!Q44+'Tabell 5.2'!Q56+'Tabell 5.2'!Q92+'Tabell 5.2'!Q104+'Tabell 5.2'!Q130+'Tabell 5.2'!Q142+Q20+Q32+'Tabell 5.2'!Q68+'Tabell 5.2'!Q80+'Tabell 5.2'!Q116</f>
        <v>13.189907406579689</v>
      </c>
      <c r="R46" s="587">
        <f>'Tabell 5.1'!R20+'Tabell 5.1'!R32+'Tabell 5.1'!R44+'Tabell 5.1'!R56+'Tabell 5.1'!R70+'Tabell 5.1'!R82+'Tabell 5.1'!R94+'Tabell 5.1'!R106+'Tabell 5.2'!R20+'Tabell 5.2'!R32+'Tabell 5.2'!R44+'Tabell 5.2'!R56+'Tabell 5.2'!R92+'Tabell 5.2'!R104+'Tabell 5.2'!R130+'Tabell 5.2'!R142+R20+R32+'Tabell 5.2'!R68+'Tabell 5.2'!R80+'Tabell 5.2'!R116</f>
        <v>18.362300000000001</v>
      </c>
      <c r="S46" s="587">
        <f t="shared" si="30"/>
        <v>39.200000000000003</v>
      </c>
      <c r="T46" s="587">
        <f>'Tabell 5.1'!T20+'Tabell 5.1'!T32+'Tabell 5.1'!T44+'Tabell 5.1'!T56+'Tabell 5.1'!T70+'Tabell 5.1'!T82+'Tabell 5.1'!T94+'Tabell 5.1'!T106+'Tabell 5.2'!T20+'Tabell 5.2'!T32+'Tabell 5.2'!T44+'Tabell 5.2'!T56+'Tabell 5.2'!T92+'Tabell 5.2'!T104+'Tabell 5.2'!T130+'Tabell 5.2'!T142+T20+T32+'Tabell 5.2'!T68+'Tabell 5.2'!T80+'Tabell 5.2'!T116</f>
        <v>16008.91198553809</v>
      </c>
      <c r="U46" s="587">
        <f>'Tabell 5.1'!U20+'Tabell 5.1'!U32+'Tabell 5.1'!U44+'Tabell 5.1'!U56+'Tabell 5.1'!U70+'Tabell 5.1'!U82+'Tabell 5.1'!U94+'Tabell 5.1'!U106+'Tabell 5.2'!U20+'Tabell 5.2'!U32+'Tabell 5.2'!U44+'Tabell 5.2'!U56+'Tabell 5.2'!U92+'Tabell 5.2'!U104+'Tabell 5.2'!U130+'Tabell 5.2'!U142+U20+U32+'Tabell 5.2'!U68+'Tabell 5.2'!U80+'Tabell 5.2'!U116</f>
        <v>-19290.785825387891</v>
      </c>
      <c r="V46" s="587">
        <f t="shared" si="31"/>
        <v>-220.5</v>
      </c>
      <c r="W46" s="587">
        <f>'Tabell 5.1'!W20+'Tabell 5.1'!W32+'Tabell 5.1'!W44+'Tabell 5.1'!W56+'Tabell 5.1'!W70+'Tabell 5.1'!W82+'Tabell 5.1'!W94+'Tabell 5.1'!W106+'Tabell 5.2'!W20+'Tabell 5.2'!W32+'Tabell 5.2'!W44+'Tabell 5.2'!W56+'Tabell 5.2'!W92+'Tabell 5.2'!W104+'Tabell 5.2'!W130+'Tabell 5.2'!W142+W20+W32+'Tabell 5.2'!W68+'Tabell 5.2'!W80+'Tabell 5.2'!W116</f>
        <v>1383.94</v>
      </c>
      <c r="X46" s="587">
        <f>'Tabell 5.1'!X20+'Tabell 5.1'!X32+'Tabell 5.1'!X44+'Tabell 5.1'!X56+'Tabell 5.1'!X70+'Tabell 5.1'!X82+'Tabell 5.1'!X94+'Tabell 5.1'!X106+'Tabell 5.2'!X20+'Tabell 5.2'!X32+'Tabell 5.2'!X44+'Tabell 5.2'!X56+'Tabell 5.2'!X92+'Tabell 5.2'!X104+'Tabell 5.2'!X130+'Tabell 5.2'!X142+X20+X32+'Tabell 5.2'!X68+'Tabell 5.2'!X80+'Tabell 5.2'!X116</f>
        <v>1088.280787657967</v>
      </c>
      <c r="Y46" s="587">
        <f t="shared" si="32"/>
        <v>-21.4</v>
      </c>
      <c r="Z46" s="587">
        <f>'Tabell 5.1'!Z20+'Tabell 5.1'!Z32+'Tabell 5.1'!Z44+'Tabell 5.1'!Z56+'Tabell 5.1'!Z70+'Tabell 5.1'!Z82+'Tabell 5.1'!Z94+'Tabell 5.1'!Z106+'Tabell 5.2'!Z20+'Tabell 5.2'!Z32+'Tabell 5.2'!Z44+'Tabell 5.2'!Z56+'Tabell 5.2'!Z92+'Tabell 5.2'!Z104+'Tabell 5.2'!Z130+'Tabell 5.2'!Z142+Z20+Z32+'Tabell 5.2'!Z68+'Tabell 5.2'!Z80+'Tabell 5.2'!Z116</f>
        <v>5374</v>
      </c>
      <c r="AA46" s="587">
        <f>'Tabell 5.1'!AA20+'Tabell 5.1'!AA32+'Tabell 5.1'!AA44+'Tabell 5.1'!AA56+'Tabell 5.1'!AA70+'Tabell 5.1'!AA82+'Tabell 5.1'!AA94+'Tabell 5.1'!AA106+'Tabell 5.2'!AA20+'Tabell 5.2'!AA32+'Tabell 5.2'!AA44+'Tabell 5.2'!AA56+'Tabell 5.2'!AA92+'Tabell 5.2'!AA104+'Tabell 5.2'!AA130+'Tabell 5.2'!AA142+AA20+AA32+'Tabell 5.2'!AA68+'Tabell 5.2'!AA80+'Tabell 5.2'!AA116</f>
        <v>440</v>
      </c>
      <c r="AB46" s="587">
        <f t="shared" si="33"/>
        <v>-91.8</v>
      </c>
      <c r="AC46" s="587">
        <f>'Tabell 5.1'!AC20+'Tabell 5.1'!AC32+'Tabell 5.1'!AC44+'Tabell 5.1'!AC56+'Tabell 5.1'!AC70+'Tabell 5.1'!AC82+'Tabell 5.1'!AC94+'Tabell 5.1'!AC106+'Tabell 5.2'!AC20+'Tabell 5.2'!AC32+'Tabell 5.2'!AC44+'Tabell 5.2'!AC56+'Tabell 5.2'!AC92+'Tabell 5.2'!AC104+'Tabell 5.2'!AC130+'Tabell 5.2'!AC142+AC20+AC32+'Tabell 5.2'!AC68+'Tabell 5.2'!AC80+'Tabell 5.2'!AC116</f>
        <v>17.223387889999959</v>
      </c>
      <c r="AD46" s="587">
        <f>'Tabell 5.1'!AD20+'Tabell 5.1'!AD32+'Tabell 5.1'!AD44+'Tabell 5.1'!AD56+'Tabell 5.1'!AD70+'Tabell 5.1'!AD82+'Tabell 5.1'!AD94+'Tabell 5.1'!AD106+'Tabell 5.2'!AD20+'Tabell 5.2'!AD32+'Tabell 5.2'!AD44+'Tabell 5.2'!AD56+'Tabell 5.2'!AD92+'Tabell 5.2'!AD104+'Tabell 5.2'!AD130+'Tabell 5.2'!AD142+AD20+AD32+'Tabell 5.2'!AD68+'Tabell 5.2'!AD80+'Tabell 5.2'!AD116</f>
        <v>21.618000000000002</v>
      </c>
      <c r="AE46" s="587">
        <f t="shared" si="34"/>
        <v>25.5</v>
      </c>
      <c r="AF46" s="587">
        <f>'Tabell 5.1'!AF20+'Tabell 5.1'!AF32+'Tabell 5.1'!AF44+'Tabell 5.1'!AF56+'Tabell 5.1'!AF70+'Tabell 5.1'!AF82+'Tabell 5.1'!AF94+'Tabell 5.1'!AF106+'Tabell 5.2'!AF20+'Tabell 5.2'!AF32+'Tabell 5.2'!AF44+'Tabell 5.2'!AF56+'Tabell 5.2'!AF92+'Tabell 5.2'!AF104+'Tabell 5.2'!AF130+'Tabell 5.2'!AF142+AF20+AF32+'Tabell 5.2'!AF68+'Tabell 5.2'!AF80+'Tabell 5.2'!AF116</f>
        <v>1639</v>
      </c>
      <c r="AG46" s="587">
        <f>'Tabell 5.1'!AG20+'Tabell 5.1'!AG32+'Tabell 5.1'!AG44+'Tabell 5.1'!AG56+'Tabell 5.1'!AG70+'Tabell 5.1'!AG82+'Tabell 5.1'!AG94+'Tabell 5.1'!AG106+'Tabell 5.2'!AG20+'Tabell 5.2'!AG32+'Tabell 5.2'!AG44+'Tabell 5.2'!AG56+'Tabell 5.2'!AG92+'Tabell 5.2'!AG104+'Tabell 5.2'!AG130+'Tabell 5.2'!AG142+AG20+AG32+'Tabell 5.2'!AG68+'Tabell 5.2'!AG80+'Tabell 5.2'!AG116</f>
        <v>121</v>
      </c>
      <c r="AH46" s="587">
        <f t="shared" si="35"/>
        <v>-92.6</v>
      </c>
      <c r="AI46" s="587">
        <f>'Tabell 5.1'!AI20+'Tabell 5.1'!AI32+'Tabell 5.1'!AI44+'Tabell 5.1'!AI56+'Tabell 5.1'!AI70+'Tabell 5.1'!AI82+'Tabell 5.1'!AI94+'Tabell 5.1'!AI106+'Tabell 5.2'!AI20+'Tabell 5.2'!AI32+'Tabell 5.2'!AI44+'Tabell 5.2'!AI56+'Tabell 5.2'!AI92+'Tabell 5.2'!AI104+'Tabell 5.2'!AI130+'Tabell 5.2'!AI142+AI20+AI32+'Tabell 5.2'!AI68+'Tabell 5.2'!AI80+'Tabell 5.2'!AI116</f>
        <v>2810.5</v>
      </c>
      <c r="AJ46" s="587">
        <f>'Tabell 5.1'!AJ20+'Tabell 5.1'!AJ32+'Tabell 5.1'!AJ44+'Tabell 5.1'!AJ56+'Tabell 5.1'!AJ70+'Tabell 5.1'!AJ82+'Tabell 5.1'!AJ94+'Tabell 5.1'!AJ106+'Tabell 5.2'!AJ20+'Tabell 5.2'!AJ32+'Tabell 5.2'!AJ44+'Tabell 5.2'!AJ56+'Tabell 5.2'!AJ92+'Tabell 5.2'!AJ104+'Tabell 5.2'!AJ130+'Tabell 5.2'!AJ142+AJ20+AJ32+'Tabell 5.2'!AJ68+'Tabell 5.2'!AJ80+'Tabell 5.2'!AJ116</f>
        <v>1784.3</v>
      </c>
      <c r="AK46" s="587">
        <f t="shared" si="36"/>
        <v>-36.5</v>
      </c>
      <c r="AL46" s="587">
        <f>'Tabell 5.1'!AL20+'Tabell 5.1'!AL32+'Tabell 5.1'!AL44+'Tabell 5.1'!AL56+'Tabell 5.1'!AL70+'Tabell 5.1'!AL82+'Tabell 5.1'!AL94+'Tabell 5.1'!AL106+'Tabell 5.2'!AL20+'Tabell 5.2'!AL32+'Tabell 5.2'!AL44+'Tabell 5.2'!AL56+'Tabell 5.2'!AL92+'Tabell 5.2'!AL104+'Tabell 5.2'!AL130+'Tabell 5.2'!AL142+AL20+AL32+'Tabell 5.2'!AL68+'Tabell 5.2'!AL80+'Tabell 5.2'!AL116</f>
        <v>0</v>
      </c>
      <c r="AM46" s="587">
        <f>'Tabell 5.1'!AM20+'Tabell 5.1'!AM32+'Tabell 5.1'!AM44+'Tabell 5.1'!AM56+'Tabell 5.1'!AM70+'Tabell 5.1'!AM82+'Tabell 5.1'!AM94+'Tabell 5.1'!AM106+'Tabell 5.2'!AM20+'Tabell 5.2'!AM32+'Tabell 5.2'!AM44+'Tabell 5.2'!AM56+'Tabell 5.2'!AM92+'Tabell 5.2'!AM104+'Tabell 5.2'!AM130+'Tabell 5.2'!AM142+AM20+AM32+'Tabell 5.2'!AM68+'Tabell 5.2'!AM80+'Tabell 5.2'!AM116</f>
        <v>0</v>
      </c>
      <c r="AN46" s="587" t="str">
        <f t="shared" si="37"/>
        <v xml:space="preserve">    ---- </v>
      </c>
      <c r="AO46" s="587">
        <f t="shared" si="38"/>
        <v>45255.921692724762</v>
      </c>
      <c r="AP46" s="587">
        <f t="shared" si="38"/>
        <v>-26032.546632880021</v>
      </c>
      <c r="AQ46" s="587">
        <f t="shared" si="39"/>
        <v>-157.5</v>
      </c>
      <c r="AR46" s="552">
        <f t="shared" si="40"/>
        <v>45286.334988021343</v>
      </c>
      <c r="AS46" s="552">
        <f t="shared" si="41"/>
        <v>-25992.566332880022</v>
      </c>
      <c r="AT46" s="588">
        <f t="shared" si="42"/>
        <v>-157.4</v>
      </c>
      <c r="AU46" s="592"/>
    </row>
    <row r="47" spans="1:47" s="591" customFormat="1" ht="18.75" customHeight="1" x14ac:dyDescent="0.3">
      <c r="A47" s="542" t="s">
        <v>360</v>
      </c>
      <c r="B47" s="589">
        <f>'Tabell 5.1'!B21+'Tabell 5.1'!B33+'Tabell 5.1'!B45+'Tabell 5.1'!B57+'Tabell 5.1'!B71+'Tabell 5.1'!B83+'Tabell 5.1'!B95+'Tabell 5.1'!B107+'Tabell 5.2'!B21+'Tabell 5.2'!B33+'Tabell 5.2'!B45+'Tabell 5.2'!B57+'Tabell 5.2'!B93+'Tabell 5.2'!B105+'Tabell 5.2'!B131+'Tabell 5.2'!B143+B21+B33+'Tabell 5.2'!B69+'Tabell 5.2'!B81+'Tabell 5.2'!B117</f>
        <v>8.161999999999999</v>
      </c>
      <c r="C47" s="589">
        <f>'Tabell 5.1'!C21+'Tabell 5.1'!C33+'Tabell 5.1'!C45+'Tabell 5.1'!C57+'Tabell 5.1'!C71+'Tabell 5.1'!C83+'Tabell 5.1'!C95+'Tabell 5.1'!C107+'Tabell 5.2'!C21+'Tabell 5.2'!C33+'Tabell 5.2'!C45+'Tabell 5.2'!C57+'Tabell 5.2'!C93+'Tabell 5.2'!C105+'Tabell 5.2'!C131+'Tabell 5.2'!C143+C21+C33+'Tabell 5.2'!C69+'Tabell 5.2'!C81+'Tabell 5.2'!C117</f>
        <v>0</v>
      </c>
      <c r="D47" s="589">
        <f t="shared" si="25"/>
        <v>-100</v>
      </c>
      <c r="E47" s="589">
        <f>'Tabell 5.1'!E21+'Tabell 5.1'!E33+'Tabell 5.1'!E45+'Tabell 5.1'!E57+'Tabell 5.1'!E71+'Tabell 5.1'!E83+'Tabell 5.1'!E95+'Tabell 5.1'!E107+'Tabell 5.2'!E21+'Tabell 5.2'!E33+'Tabell 5.2'!E45+'Tabell 5.2'!E57+'Tabell 5.2'!E93+'Tabell 5.2'!E105+'Tabell 5.2'!E131+'Tabell 5.2'!E143+E21+E33+'Tabell 5.2'!E69+'Tabell 5.2'!E81+'Tabell 5.2'!E117</f>
        <v>15830.408393537022</v>
      </c>
      <c r="F47" s="589">
        <f>'Tabell 5.1'!F21+'Tabell 5.1'!F33+'Tabell 5.1'!F45+'Tabell 5.1'!F57+'Tabell 5.1'!F71+'Tabell 5.1'!F83+'Tabell 5.1'!F95+'Tabell 5.1'!F107+'Tabell 5.2'!F21+'Tabell 5.2'!F33+'Tabell 5.2'!F45+'Tabell 5.2'!F57+'Tabell 5.2'!F93+'Tabell 5.2'!F105+'Tabell 5.2'!F131+'Tabell 5.2'!F143+F21+F33+'Tabell 5.2'!F69+'Tabell 5.2'!F81+'Tabell 5.2'!F117</f>
        <v>-11937.037871384528</v>
      </c>
      <c r="G47" s="589">
        <f t="shared" si="26"/>
        <v>-175.4</v>
      </c>
      <c r="H47" s="589">
        <f>'Tabell 5.1'!H21+'Tabell 5.1'!H33+'Tabell 5.1'!H45+'Tabell 5.1'!H57+'Tabell 5.1'!H71+'Tabell 5.1'!H83+'Tabell 5.1'!H95+'Tabell 5.1'!H107+'Tabell 5.2'!H21+'Tabell 5.2'!H33+'Tabell 5.2'!H45+'Tabell 5.2'!H57+'Tabell 5.2'!H93+'Tabell 5.2'!H105+'Tabell 5.2'!H131+'Tabell 5.2'!H143+H21+H33+'Tabell 5.2'!H69+'Tabell 5.2'!H81+'Tabell 5.2'!H117</f>
        <v>0</v>
      </c>
      <c r="I47" s="589">
        <f>'Tabell 5.1'!I21+'Tabell 5.1'!I33+'Tabell 5.1'!I45+'Tabell 5.1'!I57+'Tabell 5.1'!I71+'Tabell 5.1'!I83+'Tabell 5.1'!I95+'Tabell 5.1'!I107+'Tabell 5.2'!I21+'Tabell 5.2'!I33+'Tabell 5.2'!I45+'Tabell 5.2'!I57+'Tabell 5.2'!I93+'Tabell 5.2'!I105+'Tabell 5.2'!I131+'Tabell 5.2'!I143+I21+I33+'Tabell 5.2'!I69+'Tabell 5.2'!I81+'Tabell 5.2'!I117</f>
        <v>0</v>
      </c>
      <c r="J47" s="589" t="str">
        <f t="shared" si="27"/>
        <v xml:space="preserve">    ---- </v>
      </c>
      <c r="K47" s="589">
        <f>'Tabell 5.1'!K21+'Tabell 5.1'!K33+'Tabell 5.1'!K45+'Tabell 5.1'!K57+'Tabell 5.1'!K71+'Tabell 5.1'!K83+'Tabell 5.1'!K95+'Tabell 5.1'!K107+'Tabell 5.2'!K21+'Tabell 5.2'!K33+'Tabell 5.2'!K45+'Tabell 5.2'!K57+'Tabell 5.2'!K93+'Tabell 5.2'!K105+'Tabell 5.2'!K131+'Tabell 5.2'!K143+K21+K33+'Tabell 5.2'!K69+'Tabell 5.2'!K81+'Tabell 5.2'!K117</f>
        <v>0</v>
      </c>
      <c r="L47" s="589">
        <f>'Tabell 5.1'!L21+'Tabell 5.1'!L33+'Tabell 5.1'!L45+'Tabell 5.1'!L57+'Tabell 5.1'!L71+'Tabell 5.1'!L83+'Tabell 5.1'!L95+'Tabell 5.1'!L107+'Tabell 5.2'!L21+'Tabell 5.2'!L33+'Tabell 5.2'!L45+'Tabell 5.2'!L57+'Tabell 5.2'!L93+'Tabell 5.2'!L105+'Tabell 5.2'!L131+'Tabell 5.2'!L143+L21+L33+'Tabell 5.2'!L69+'Tabell 5.2'!L81+'Tabell 5.2'!L117</f>
        <v>0</v>
      </c>
      <c r="M47" s="589" t="str">
        <f t="shared" si="28"/>
        <v xml:space="preserve">    ---- </v>
      </c>
      <c r="N47" s="589">
        <f>'Tabell 5.1'!N21+'Tabell 5.1'!N33+'Tabell 5.1'!N45+'Tabell 5.1'!N57+'Tabell 5.1'!N71+'Tabell 5.1'!N83+'Tabell 5.1'!N95+'Tabell 5.1'!N107+'Tabell 5.2'!N21+'Tabell 5.2'!N33+'Tabell 5.2'!N45+'Tabell 5.2'!N57+'Tabell 5.2'!N93+'Tabell 5.2'!N105+'Tabell 5.2'!N131+'Tabell 5.2'!N143+N21+N33+'Tabell 5.2'!N69+'Tabell 5.2'!N81+'Tabell 5.2'!N117</f>
        <v>59.900000000000006</v>
      </c>
      <c r="O47" s="589">
        <f>'Tabell 5.1'!O21+'Tabell 5.1'!O33+'Tabell 5.1'!O45+'Tabell 5.1'!O57+'Tabell 5.1'!O71+'Tabell 5.1'!O83+'Tabell 5.1'!O95+'Tabell 5.1'!O107+'Tabell 5.2'!O21+'Tabell 5.2'!O33+'Tabell 5.2'!O45+'Tabell 5.2'!O57+'Tabell 5.2'!O93+'Tabell 5.2'!O105+'Tabell 5.2'!O131+'Tabell 5.2'!O143+O21+O33+'Tabell 5.2'!O69+'Tabell 5.2'!O81+'Tabell 5.2'!O117</f>
        <v>-48.3</v>
      </c>
      <c r="P47" s="589">
        <f t="shared" si="29"/>
        <v>-180.6</v>
      </c>
      <c r="Q47" s="589">
        <f>'Tabell 5.1'!Q21+'Tabell 5.1'!Q33+'Tabell 5.1'!Q45+'Tabell 5.1'!Q57+'Tabell 5.1'!Q71+'Tabell 5.1'!Q83+'Tabell 5.1'!Q95+'Tabell 5.1'!Q107+'Tabell 5.2'!Q21+'Tabell 5.2'!Q33+'Tabell 5.2'!Q45+'Tabell 5.2'!Q57+'Tabell 5.2'!Q93+'Tabell 5.2'!Q105+'Tabell 5.2'!Q131+'Tabell 5.2'!Q143+Q21+Q33+'Tabell 5.2'!Q69+'Tabell 5.2'!Q81+'Tabell 5.2'!Q117</f>
        <v>0</v>
      </c>
      <c r="R47" s="589">
        <f>'Tabell 5.1'!R21+'Tabell 5.1'!R33+'Tabell 5.1'!R45+'Tabell 5.1'!R57+'Tabell 5.1'!R71+'Tabell 5.1'!R83+'Tabell 5.1'!R95+'Tabell 5.1'!R107+'Tabell 5.2'!R21+'Tabell 5.2'!R33+'Tabell 5.2'!R45+'Tabell 5.2'!R57+'Tabell 5.2'!R93+'Tabell 5.2'!R105+'Tabell 5.2'!R131+'Tabell 5.2'!R143+R21+R33+'Tabell 5.2'!R69+'Tabell 5.2'!R81+'Tabell 5.2'!R117</f>
        <v>0</v>
      </c>
      <c r="S47" s="589" t="str">
        <f t="shared" si="30"/>
        <v xml:space="preserve">    ---- </v>
      </c>
      <c r="T47" s="589">
        <f>'Tabell 5.1'!T21+'Tabell 5.1'!T33+'Tabell 5.1'!T45+'Tabell 5.1'!T57+'Tabell 5.1'!T71+'Tabell 5.1'!T83+'Tabell 5.1'!T95+'Tabell 5.1'!T107+'Tabell 5.2'!T21+'Tabell 5.2'!T33+'Tabell 5.2'!T45+'Tabell 5.2'!T57+'Tabell 5.2'!T93+'Tabell 5.2'!T105+'Tabell 5.2'!T131+'Tabell 5.2'!T143+T21+T33+'Tabell 5.2'!T69+'Tabell 5.2'!T81+'Tabell 5.2'!T117</f>
        <v>16796.005419137167</v>
      </c>
      <c r="U47" s="589">
        <f>'Tabell 5.1'!U21+'Tabell 5.1'!U33+'Tabell 5.1'!U45+'Tabell 5.1'!U57+'Tabell 5.1'!U71+'Tabell 5.1'!U83+'Tabell 5.1'!U95+'Tabell 5.1'!U107+'Tabell 5.2'!U21+'Tabell 5.2'!U33+'Tabell 5.2'!U45+'Tabell 5.2'!U57+'Tabell 5.2'!U93+'Tabell 5.2'!U105+'Tabell 5.2'!U131+'Tabell 5.2'!U143+U21+U33+'Tabell 5.2'!U69+'Tabell 5.2'!U81+'Tabell 5.2'!U117</f>
        <v>-19398.510466477888</v>
      </c>
      <c r="V47" s="589">
        <f t="shared" si="31"/>
        <v>-215.5</v>
      </c>
      <c r="W47" s="589">
        <f>'Tabell 5.1'!W21+'Tabell 5.1'!W33+'Tabell 5.1'!W45+'Tabell 5.1'!W57+'Tabell 5.1'!W71+'Tabell 5.1'!W83+'Tabell 5.1'!W95+'Tabell 5.1'!W107+'Tabell 5.2'!W21+'Tabell 5.2'!W33+'Tabell 5.2'!W45+'Tabell 5.2'!W57+'Tabell 5.2'!W93+'Tabell 5.2'!W105+'Tabell 5.2'!W131+'Tabell 5.2'!W143+W21+W33+'Tabell 5.2'!W69+'Tabell 5.2'!W81+'Tabell 5.2'!W117</f>
        <v>370.14</v>
      </c>
      <c r="X47" s="589">
        <f>'Tabell 5.1'!X21+'Tabell 5.1'!X33+'Tabell 5.1'!X45+'Tabell 5.1'!X57+'Tabell 5.1'!X71+'Tabell 5.1'!X83+'Tabell 5.1'!X95+'Tabell 5.1'!X107+'Tabell 5.2'!X21+'Tabell 5.2'!X33+'Tabell 5.2'!X45+'Tabell 5.2'!X57+'Tabell 5.2'!X93+'Tabell 5.2'!X105+'Tabell 5.2'!X131+'Tabell 5.2'!X143+X21+X33+'Tabell 5.2'!X69+'Tabell 5.2'!X81+'Tabell 5.2'!X117</f>
        <v>116.27977025135026</v>
      </c>
      <c r="Y47" s="589">
        <f t="shared" si="32"/>
        <v>-68.599999999999994</v>
      </c>
      <c r="Z47" s="589">
        <f>'Tabell 5.1'!Z21+'Tabell 5.1'!Z33+'Tabell 5.1'!Z45+'Tabell 5.1'!Z57+'Tabell 5.1'!Z71+'Tabell 5.1'!Z83+'Tabell 5.1'!Z95+'Tabell 5.1'!Z107+'Tabell 5.2'!Z21+'Tabell 5.2'!Z33+'Tabell 5.2'!Z45+'Tabell 5.2'!Z57+'Tabell 5.2'!Z93+'Tabell 5.2'!Z105+'Tabell 5.2'!Z131+'Tabell 5.2'!Z143+Z21+Z33+'Tabell 5.2'!Z69+'Tabell 5.2'!Z81+'Tabell 5.2'!Z117</f>
        <v>4163</v>
      </c>
      <c r="AA47" s="589">
        <f>'Tabell 5.1'!AA21+'Tabell 5.1'!AA33+'Tabell 5.1'!AA45+'Tabell 5.1'!AA57+'Tabell 5.1'!AA71+'Tabell 5.1'!AA83+'Tabell 5.1'!AA95+'Tabell 5.1'!AA107+'Tabell 5.2'!AA21+'Tabell 5.2'!AA33+'Tabell 5.2'!AA45+'Tabell 5.2'!AA57+'Tabell 5.2'!AA93+'Tabell 5.2'!AA105+'Tabell 5.2'!AA131+'Tabell 5.2'!AA143+AA21+AA33+'Tabell 5.2'!AA69+'Tabell 5.2'!AA81+'Tabell 5.2'!AA117</f>
        <v>149</v>
      </c>
      <c r="AB47" s="589">
        <f t="shared" si="33"/>
        <v>-96.4</v>
      </c>
      <c r="AC47" s="589">
        <f>'Tabell 5.1'!AC21+'Tabell 5.1'!AC33+'Tabell 5.1'!AC45+'Tabell 5.1'!AC57+'Tabell 5.1'!AC71+'Tabell 5.1'!AC83+'Tabell 5.1'!AC95+'Tabell 5.1'!AC107+'Tabell 5.2'!AC21+'Tabell 5.2'!AC33+'Tabell 5.2'!AC45+'Tabell 5.2'!AC57+'Tabell 5.2'!AC93+'Tabell 5.2'!AC105+'Tabell 5.2'!AC131+'Tabell 5.2'!AC143+AC21+AC33+'Tabell 5.2'!AC69+'Tabell 5.2'!AC81+'Tabell 5.2'!AC117</f>
        <v>0</v>
      </c>
      <c r="AD47" s="589">
        <f>'Tabell 5.1'!AD21+'Tabell 5.1'!AD33+'Tabell 5.1'!AD45+'Tabell 5.1'!AD57+'Tabell 5.1'!AD71+'Tabell 5.1'!AD83+'Tabell 5.1'!AD95+'Tabell 5.1'!AD107+'Tabell 5.2'!AD21+'Tabell 5.2'!AD33+'Tabell 5.2'!AD45+'Tabell 5.2'!AD57+'Tabell 5.2'!AD93+'Tabell 5.2'!AD105+'Tabell 5.2'!AD131+'Tabell 5.2'!AD143+AD21+AD33+'Tabell 5.2'!AD69+'Tabell 5.2'!AD81+'Tabell 5.2'!AD117</f>
        <v>0</v>
      </c>
      <c r="AE47" s="589" t="str">
        <f t="shared" si="34"/>
        <v xml:space="preserve">    ---- </v>
      </c>
      <c r="AF47" s="589">
        <f>'Tabell 5.1'!AF21+'Tabell 5.1'!AF33+'Tabell 5.1'!AF45+'Tabell 5.1'!AF57+'Tabell 5.1'!AF71+'Tabell 5.1'!AF83+'Tabell 5.1'!AF95+'Tabell 5.1'!AF107+'Tabell 5.2'!AF21+'Tabell 5.2'!AF33+'Tabell 5.2'!AF45+'Tabell 5.2'!AF57+'Tabell 5.2'!AF93+'Tabell 5.2'!AF105+'Tabell 5.2'!AF131+'Tabell 5.2'!AF143+AF21+AF33+'Tabell 5.2'!AF69+'Tabell 5.2'!AF81+'Tabell 5.2'!AF117</f>
        <v>1104</v>
      </c>
      <c r="AG47" s="589">
        <f>'Tabell 5.1'!AG21+'Tabell 5.1'!AG33+'Tabell 5.1'!AG45+'Tabell 5.1'!AG57+'Tabell 5.1'!AG71+'Tabell 5.1'!AG83+'Tabell 5.1'!AG95+'Tabell 5.1'!AG107+'Tabell 5.2'!AG21+'Tabell 5.2'!AG33+'Tabell 5.2'!AG45+'Tabell 5.2'!AG57+'Tabell 5.2'!AG93+'Tabell 5.2'!AG105+'Tabell 5.2'!AG131+'Tabell 5.2'!AG143+AG21+AG33+'Tabell 5.2'!AG69+'Tabell 5.2'!AG81+'Tabell 5.2'!AG117</f>
        <v>59</v>
      </c>
      <c r="AH47" s="589">
        <f t="shared" si="35"/>
        <v>-94.7</v>
      </c>
      <c r="AI47" s="589">
        <f>'Tabell 5.1'!AI21+'Tabell 5.1'!AI33+'Tabell 5.1'!AI45+'Tabell 5.1'!AI57+'Tabell 5.1'!AI71+'Tabell 5.1'!AI83+'Tabell 5.1'!AI95+'Tabell 5.1'!AI107+'Tabell 5.2'!AI21+'Tabell 5.2'!AI33+'Tabell 5.2'!AI45+'Tabell 5.2'!AI57+'Tabell 5.2'!AI93+'Tabell 5.2'!AI105+'Tabell 5.2'!AI131+'Tabell 5.2'!AI143+AI21+AI33+'Tabell 5.2'!AI69+'Tabell 5.2'!AI81+'Tabell 5.2'!AI117</f>
        <v>1394</v>
      </c>
      <c r="AJ47" s="589">
        <f>'Tabell 5.1'!AJ21+'Tabell 5.1'!AJ33+'Tabell 5.1'!AJ45+'Tabell 5.1'!AJ57+'Tabell 5.1'!AJ71+'Tabell 5.1'!AJ83+'Tabell 5.1'!AJ95+'Tabell 5.1'!AJ107+'Tabell 5.2'!AJ21+'Tabell 5.2'!AJ33+'Tabell 5.2'!AJ45+'Tabell 5.2'!AJ57+'Tabell 5.2'!AJ93+'Tabell 5.2'!AJ105+'Tabell 5.2'!AJ131+'Tabell 5.2'!AJ143+AJ21+AJ33+'Tabell 5.2'!AJ69+'Tabell 5.2'!AJ81+'Tabell 5.2'!AJ117</f>
        <v>387.5</v>
      </c>
      <c r="AK47" s="589">
        <f t="shared" si="36"/>
        <v>-72.2</v>
      </c>
      <c r="AL47" s="589">
        <f>'Tabell 5.1'!AL21+'Tabell 5.1'!AL33+'Tabell 5.1'!AL45+'Tabell 5.1'!AL57+'Tabell 5.1'!AL71+'Tabell 5.1'!AL83+'Tabell 5.1'!AL95+'Tabell 5.1'!AL107+'Tabell 5.2'!AL21+'Tabell 5.2'!AL33+'Tabell 5.2'!AL45+'Tabell 5.2'!AL57+'Tabell 5.2'!AL93+'Tabell 5.2'!AL105+'Tabell 5.2'!AL131+'Tabell 5.2'!AL143+AL21+AL33+'Tabell 5.2'!AL69+'Tabell 5.2'!AL81+'Tabell 5.2'!AL117</f>
        <v>0</v>
      </c>
      <c r="AM47" s="589">
        <f>'Tabell 5.1'!AM21+'Tabell 5.1'!AM33+'Tabell 5.1'!AM45+'Tabell 5.1'!AM57+'Tabell 5.1'!AM71+'Tabell 5.1'!AM83+'Tabell 5.1'!AM95+'Tabell 5.1'!AM107+'Tabell 5.2'!AM21+'Tabell 5.2'!AM33+'Tabell 5.2'!AM45+'Tabell 5.2'!AM57+'Tabell 5.2'!AM93+'Tabell 5.2'!AM105+'Tabell 5.2'!AM131+'Tabell 5.2'!AM143+AM21+AM33+'Tabell 5.2'!AM69+'Tabell 5.2'!AM81+'Tabell 5.2'!AM117</f>
        <v>0</v>
      </c>
      <c r="AN47" s="589" t="str">
        <f t="shared" si="37"/>
        <v xml:space="preserve">    ---- </v>
      </c>
      <c r="AO47" s="589">
        <f t="shared" si="38"/>
        <v>39725.615812674187</v>
      </c>
      <c r="AP47" s="589">
        <f t="shared" si="38"/>
        <v>-30672.068567611066</v>
      </c>
      <c r="AQ47" s="589">
        <f t="shared" si="39"/>
        <v>-177.2</v>
      </c>
      <c r="AR47" s="550">
        <f t="shared" si="40"/>
        <v>39725.615812674187</v>
      </c>
      <c r="AS47" s="550">
        <f t="shared" si="41"/>
        <v>-30672.068567611066</v>
      </c>
      <c r="AT47" s="590">
        <f t="shared" si="42"/>
        <v>-177.2</v>
      </c>
      <c r="AU47" s="568"/>
    </row>
    <row r="48" spans="1:47" s="591" customFormat="1" ht="18.75" customHeight="1" x14ac:dyDescent="0.3">
      <c r="A48" s="554" t="s">
        <v>361</v>
      </c>
      <c r="B48" s="601">
        <f>'Tabell 5.1'!B22+'Tabell 5.1'!B34+'Tabell 5.1'!B46+'Tabell 5.1'!B58+'Tabell 5.1'!B72+'Tabell 5.1'!B84+'Tabell 5.1'!B96+'Tabell 5.1'!B108+'Tabell 5.2'!B22+'Tabell 5.2'!B34+'Tabell 5.2'!B46+'Tabell 5.2'!B58+'Tabell 5.2'!B94+'Tabell 5.2'!B106+'Tabell 5.2'!B132+'Tabell 5.2'!B144+B22+B34+'Tabell 5.2'!B70+'Tabell 5.2'!B82+'Tabell 5.2'!B118</f>
        <v>144.95699999999999</v>
      </c>
      <c r="C48" s="601">
        <f>'Tabell 5.1'!C22+'Tabell 5.1'!C34+'Tabell 5.1'!C46+'Tabell 5.1'!C58+'Tabell 5.1'!C72+'Tabell 5.1'!C84+'Tabell 5.1'!C96+'Tabell 5.1'!C108+'Tabell 5.2'!C22+'Tabell 5.2'!C34+'Tabell 5.2'!C46+'Tabell 5.2'!C58+'Tabell 5.2'!C94+'Tabell 5.2'!C106+'Tabell 5.2'!C132+'Tabell 5.2'!C144+C22+C34+'Tabell 5.2'!C70+'Tabell 5.2'!C82+'Tabell 5.2'!C118</f>
        <v>13.569000000000011</v>
      </c>
      <c r="D48" s="600">
        <f t="shared" si="25"/>
        <v>-90.6</v>
      </c>
      <c r="E48" s="601">
        <f>'Tabell 5.1'!E22+'Tabell 5.1'!E34+'Tabell 5.1'!E46+'Tabell 5.1'!E58+'Tabell 5.1'!E72+'Tabell 5.1'!E84+'Tabell 5.1'!E96+'Tabell 5.1'!E108+'Tabell 5.2'!E22+'Tabell 5.2'!E34+'Tabell 5.2'!E46+'Tabell 5.2'!E58+'Tabell 5.2'!E94+'Tabell 5.2'!E106+'Tabell 5.2'!E132+'Tabell 5.2'!E144+E22+E34+'Tabell 5.2'!E70+'Tabell 5.2'!E82+'Tabell 5.2'!E118</f>
        <v>1013.2399573796528</v>
      </c>
      <c r="F48" s="601">
        <f>'Tabell 5.1'!F22+'Tabell 5.1'!F34+'Tabell 5.1'!F46+'Tabell 5.1'!F58+'Tabell 5.1'!F72+'Tabell 5.1'!F84+'Tabell 5.1'!F96+'Tabell 5.1'!F108+'Tabell 5.2'!F22+'Tabell 5.2'!F34+'Tabell 5.2'!F46+'Tabell 5.2'!F58+'Tabell 5.2'!F94+'Tabell 5.2'!F106+'Tabell 5.2'!F132+'Tabell 5.2'!F144+F22+F34+'Tabell 5.2'!F70+'Tabell 5.2'!F82+'Tabell 5.2'!F118</f>
        <v>941.48252101109074</v>
      </c>
      <c r="G48" s="600">
        <f t="shared" si="26"/>
        <v>-7.1</v>
      </c>
      <c r="H48" s="601">
        <f>'Tabell 5.1'!H22+'Tabell 5.1'!H34+'Tabell 5.1'!H46+'Tabell 5.1'!H58+'Tabell 5.1'!H72+'Tabell 5.1'!H84+'Tabell 5.1'!H96+'Tabell 5.1'!H108+'Tabell 5.2'!H22+'Tabell 5.2'!H34+'Tabell 5.2'!H46+'Tabell 5.2'!H58+'Tabell 5.2'!H94+'Tabell 5.2'!H106+'Tabell 5.2'!H132+'Tabell 5.2'!H144+H22+H34+'Tabell 5.2'!H70+'Tabell 5.2'!H82+'Tabell 5.2'!H118</f>
        <v>664.30002826999998</v>
      </c>
      <c r="I48" s="601">
        <f>'Tabell 5.1'!I22+'Tabell 5.1'!I34+'Tabell 5.1'!I46+'Tabell 5.1'!I58+'Tabell 5.1'!I72+'Tabell 5.1'!I84+'Tabell 5.1'!I96+'Tabell 5.1'!I108+'Tabell 5.2'!I22+'Tabell 5.2'!I34+'Tabell 5.2'!I46+'Tabell 5.2'!I58+'Tabell 5.2'!I94+'Tabell 5.2'!I106+'Tabell 5.2'!I132+'Tabell 5.2'!I144+I22+I34+'Tabell 5.2'!I70+'Tabell 5.2'!I82+'Tabell 5.2'!I118</f>
        <v>712.46764908000011</v>
      </c>
      <c r="J48" s="600">
        <f t="shared" si="27"/>
        <v>7.3</v>
      </c>
      <c r="K48" s="601">
        <f>'Tabell 5.1'!K22+'Tabell 5.1'!K34+'Tabell 5.1'!K46+'Tabell 5.1'!K58+'Tabell 5.1'!K72+'Tabell 5.1'!K84+'Tabell 5.1'!K96+'Tabell 5.1'!K108+'Tabell 5.2'!K22+'Tabell 5.2'!K34+'Tabell 5.2'!K46+'Tabell 5.2'!K58+'Tabell 5.2'!K94+'Tabell 5.2'!K106+'Tabell 5.2'!K132+'Tabell 5.2'!K144+K22+K34+'Tabell 5.2'!K70+'Tabell 5.2'!K82+'Tabell 5.2'!K118</f>
        <v>105.37700000000001</v>
      </c>
      <c r="L48" s="601">
        <f>'Tabell 5.1'!L22+'Tabell 5.1'!L34+'Tabell 5.1'!L46+'Tabell 5.1'!L58+'Tabell 5.1'!L72+'Tabell 5.1'!L84+'Tabell 5.1'!L96+'Tabell 5.1'!L108+'Tabell 5.2'!L22+'Tabell 5.2'!L34+'Tabell 5.2'!L46+'Tabell 5.2'!L58+'Tabell 5.2'!L94+'Tabell 5.2'!L106+'Tabell 5.2'!L132+'Tabell 5.2'!L144+L22+L34+'Tabell 5.2'!L70+'Tabell 5.2'!L82+'Tabell 5.2'!L118</f>
        <v>-55.710999999999999</v>
      </c>
      <c r="M48" s="600">
        <f t="shared" si="28"/>
        <v>-152.9</v>
      </c>
      <c r="N48" s="601">
        <f>'Tabell 5.1'!N22+'Tabell 5.1'!N34+'Tabell 5.1'!N46+'Tabell 5.1'!N58+'Tabell 5.1'!N72+'Tabell 5.1'!N84+'Tabell 5.1'!N96+'Tabell 5.1'!N108+'Tabell 5.2'!N22+'Tabell 5.2'!N34+'Tabell 5.2'!N46+'Tabell 5.2'!N58+'Tabell 5.2'!N94+'Tabell 5.2'!N106+'Tabell 5.2'!N132+'Tabell 5.2'!N144+N22+N34+'Tabell 5.2'!N70+'Tabell 5.2'!N82+'Tabell 5.2'!N118</f>
        <v>213.1</v>
      </c>
      <c r="O48" s="601">
        <f>'Tabell 5.1'!O22+'Tabell 5.1'!O34+'Tabell 5.1'!O46+'Tabell 5.1'!O58+'Tabell 5.1'!O72+'Tabell 5.1'!O84+'Tabell 5.1'!O96+'Tabell 5.1'!O108+'Tabell 5.2'!O22+'Tabell 5.2'!O34+'Tabell 5.2'!O46+'Tabell 5.2'!O58+'Tabell 5.2'!O94+'Tabell 5.2'!O106+'Tabell 5.2'!O132+'Tabell 5.2'!O144+O22+O34+'Tabell 5.2'!O70+'Tabell 5.2'!O82+'Tabell 5.2'!O118</f>
        <v>198.5</v>
      </c>
      <c r="P48" s="600">
        <f t="shared" si="29"/>
        <v>-6.9</v>
      </c>
      <c r="Q48" s="601">
        <f>'Tabell 5.1'!Q22+'Tabell 5.1'!Q34+'Tabell 5.1'!Q46+'Tabell 5.1'!Q58+'Tabell 5.1'!Q72+'Tabell 5.1'!Q84+'Tabell 5.1'!Q96+'Tabell 5.1'!Q108+'Tabell 5.2'!Q22+'Tabell 5.2'!Q34+'Tabell 5.2'!Q46+'Tabell 5.2'!Q58+'Tabell 5.2'!Q94+'Tabell 5.2'!Q106+'Tabell 5.2'!Q132+'Tabell 5.2'!Q144+Q22+Q34+'Tabell 5.2'!Q70+'Tabell 5.2'!Q82+'Tabell 5.2'!Q118</f>
        <v>12.679747364716835</v>
      </c>
      <c r="R48" s="601">
        <f>'Tabell 5.1'!R22+'Tabell 5.1'!R34+'Tabell 5.1'!R46+'Tabell 5.1'!R58+'Tabell 5.1'!R72+'Tabell 5.1'!R84+'Tabell 5.1'!R96+'Tabell 5.1'!R108+'Tabell 5.2'!R22+'Tabell 5.2'!R34+'Tabell 5.2'!R46+'Tabell 5.2'!R58+'Tabell 5.2'!R94+'Tabell 5.2'!R106+'Tabell 5.2'!R132+'Tabell 5.2'!R144+R22+R34+'Tabell 5.2'!R70+'Tabell 5.2'!R82+'Tabell 5.2'!R118</f>
        <v>18.073</v>
      </c>
      <c r="S48" s="600">
        <f t="shared" si="30"/>
        <v>42.5</v>
      </c>
      <c r="T48" s="601">
        <f>'Tabell 5.1'!T22+'Tabell 5.1'!T34+'Tabell 5.1'!T46+'Tabell 5.1'!T58+'Tabell 5.1'!T72+'Tabell 5.1'!T84+'Tabell 5.1'!T96+'Tabell 5.1'!T108+'Tabell 5.2'!T22+'Tabell 5.2'!T34+'Tabell 5.2'!T46+'Tabell 5.2'!T58+'Tabell 5.2'!T94+'Tabell 5.2'!T106+'Tabell 5.2'!T132+'Tabell 5.2'!T144+T22+T34+'Tabell 5.2'!T70+'Tabell 5.2'!T82+'Tabell 5.2'!T118</f>
        <v>-787.0934335990745</v>
      </c>
      <c r="U48" s="601">
        <f>'Tabell 5.1'!U22+'Tabell 5.1'!U34+'Tabell 5.1'!U46+'Tabell 5.1'!U58+'Tabell 5.1'!U72+'Tabell 5.1'!U84+'Tabell 5.1'!U96+'Tabell 5.1'!U108+'Tabell 5.2'!U22+'Tabell 5.2'!U34+'Tabell 5.2'!U46+'Tabell 5.2'!U58+'Tabell 5.2'!U94+'Tabell 5.2'!U106+'Tabell 5.2'!U132+'Tabell 5.2'!U144+U22+U34+'Tabell 5.2'!U70+'Tabell 5.2'!U82+'Tabell 5.2'!U118</f>
        <v>107.72464108999878</v>
      </c>
      <c r="V48" s="600">
        <f t="shared" si="31"/>
        <v>-113.7</v>
      </c>
      <c r="W48" s="601">
        <f>'Tabell 5.1'!W22+'Tabell 5.1'!W34+'Tabell 5.1'!W46+'Tabell 5.1'!W58+'Tabell 5.1'!W72+'Tabell 5.1'!W84+'Tabell 5.1'!W96+'Tabell 5.1'!W108+'Tabell 5.2'!W22+'Tabell 5.2'!W34+'Tabell 5.2'!W46+'Tabell 5.2'!W58+'Tabell 5.2'!W94+'Tabell 5.2'!W106+'Tabell 5.2'!W132+'Tabell 5.2'!W144+W22+W34+'Tabell 5.2'!W70+'Tabell 5.2'!W82+'Tabell 5.2'!W118</f>
        <v>1014.4899999999999</v>
      </c>
      <c r="X48" s="601">
        <f>'Tabell 5.1'!X22+'Tabell 5.1'!X34+'Tabell 5.1'!X46+'Tabell 5.1'!X58+'Tabell 5.1'!X72+'Tabell 5.1'!X84+'Tabell 5.1'!X96+'Tabell 5.1'!X108+'Tabell 5.2'!X22+'Tabell 5.2'!X34+'Tabell 5.2'!X46+'Tabell 5.2'!X58+'Tabell 5.2'!X94+'Tabell 5.2'!X106+'Tabell 5.2'!X132+'Tabell 5.2'!X144+X22+X34+'Tabell 5.2'!X70+'Tabell 5.2'!X82+'Tabell 5.2'!X118</f>
        <v>972.00101740661694</v>
      </c>
      <c r="Y48" s="600">
        <f t="shared" si="32"/>
        <v>-4.2</v>
      </c>
      <c r="Z48" s="601">
        <f>'Tabell 5.1'!Z22+'Tabell 5.1'!Z34+'Tabell 5.1'!Z46+'Tabell 5.1'!Z58+'Tabell 5.1'!Z72+'Tabell 5.1'!Z84+'Tabell 5.1'!Z96+'Tabell 5.1'!Z108+'Tabell 5.2'!Z22+'Tabell 5.2'!Z34+'Tabell 5.2'!Z46+'Tabell 5.2'!Z58+'Tabell 5.2'!Z94+'Tabell 5.2'!Z106+'Tabell 5.2'!Z132+'Tabell 5.2'!Z144+Z22+Z34+'Tabell 5.2'!Z70+'Tabell 5.2'!Z82+'Tabell 5.2'!Z118</f>
        <v>1211</v>
      </c>
      <c r="AA48" s="601">
        <f>'Tabell 5.1'!AA22+'Tabell 5.1'!AA34+'Tabell 5.1'!AA46+'Tabell 5.1'!AA58+'Tabell 5.1'!AA72+'Tabell 5.1'!AA84+'Tabell 5.1'!AA96+'Tabell 5.1'!AA108+'Tabell 5.2'!AA22+'Tabell 5.2'!AA34+'Tabell 5.2'!AA46+'Tabell 5.2'!AA58+'Tabell 5.2'!AA94+'Tabell 5.2'!AA106+'Tabell 5.2'!AA132+'Tabell 5.2'!AA144+AA22+AA34+'Tabell 5.2'!AA70+'Tabell 5.2'!AA82+'Tabell 5.2'!AA118</f>
        <v>291</v>
      </c>
      <c r="AB48" s="600">
        <f t="shared" si="33"/>
        <v>-76</v>
      </c>
      <c r="AC48" s="601">
        <f>'Tabell 5.1'!AC22+'Tabell 5.1'!AC34+'Tabell 5.1'!AC46+'Tabell 5.1'!AC58+'Tabell 5.1'!AC72+'Tabell 5.1'!AC84+'Tabell 5.1'!AC96+'Tabell 5.1'!AC108+'Tabell 5.2'!AC22+'Tabell 5.2'!AC34+'Tabell 5.2'!AC46+'Tabell 5.2'!AC58+'Tabell 5.2'!AC94+'Tabell 5.2'!AC106+'Tabell 5.2'!AC132+'Tabell 5.2'!AC144+AC22+AC34+'Tabell 5.2'!AC70+'Tabell 5.2'!AC82+'Tabell 5.2'!AC118</f>
        <v>17.223387889999959</v>
      </c>
      <c r="AD48" s="601">
        <f>'Tabell 5.1'!AD22+'Tabell 5.1'!AD34+'Tabell 5.1'!AD46+'Tabell 5.1'!AD58+'Tabell 5.1'!AD72+'Tabell 5.1'!AD84+'Tabell 5.1'!AD96+'Tabell 5.1'!AD108+'Tabell 5.2'!AD22+'Tabell 5.2'!AD34+'Tabell 5.2'!AD46+'Tabell 5.2'!AD58+'Tabell 5.2'!AD94+'Tabell 5.2'!AD106+'Tabell 5.2'!AD132+'Tabell 5.2'!AD144+AD22+AD34+'Tabell 5.2'!AD70+'Tabell 5.2'!AD82+'Tabell 5.2'!AD118</f>
        <v>18.603000000000002</v>
      </c>
      <c r="AE48" s="600">
        <f t="shared" si="34"/>
        <v>8</v>
      </c>
      <c r="AF48" s="601">
        <f>'Tabell 5.1'!AF22+'Tabell 5.1'!AF34+'Tabell 5.1'!AF46+'Tabell 5.1'!AF58+'Tabell 5.1'!AF72+'Tabell 5.1'!AF84+'Tabell 5.1'!AF96+'Tabell 5.1'!AF108+'Tabell 5.2'!AF22+'Tabell 5.2'!AF34+'Tabell 5.2'!AF46+'Tabell 5.2'!AF58+'Tabell 5.2'!AF94+'Tabell 5.2'!AF106+'Tabell 5.2'!AF132+'Tabell 5.2'!AF144+AF22+AF34+'Tabell 5.2'!AF70+'Tabell 5.2'!AF82+'Tabell 5.2'!AF118</f>
        <v>535</v>
      </c>
      <c r="AG48" s="601">
        <f>'Tabell 5.1'!AG22+'Tabell 5.1'!AG34+'Tabell 5.1'!AG46+'Tabell 5.1'!AG58+'Tabell 5.1'!AG72+'Tabell 5.1'!AG84+'Tabell 5.1'!AG96+'Tabell 5.1'!AG108+'Tabell 5.2'!AG22+'Tabell 5.2'!AG34+'Tabell 5.2'!AG46+'Tabell 5.2'!AG58+'Tabell 5.2'!AG94+'Tabell 5.2'!AG106+'Tabell 5.2'!AG132+'Tabell 5.2'!AG144+AG22+AG34+'Tabell 5.2'!AG70+'Tabell 5.2'!AG82+'Tabell 5.2'!AG118</f>
        <v>62</v>
      </c>
      <c r="AH48" s="600">
        <f t="shared" si="35"/>
        <v>-88.4</v>
      </c>
      <c r="AI48" s="601">
        <f>'Tabell 5.1'!AI22+'Tabell 5.1'!AI34+'Tabell 5.1'!AI46+'Tabell 5.1'!AI58+'Tabell 5.1'!AI72+'Tabell 5.1'!AI84+'Tabell 5.1'!AI96+'Tabell 5.1'!AI108+'Tabell 5.2'!AI22+'Tabell 5.2'!AI34+'Tabell 5.2'!AI46+'Tabell 5.2'!AI58+'Tabell 5.2'!AI94+'Tabell 5.2'!AI106+'Tabell 5.2'!AI132+'Tabell 5.2'!AI144+AI22+AI34+'Tabell 5.2'!AI70+'Tabell 5.2'!AI82+'Tabell 5.2'!AI118</f>
        <v>1416.9999999999998</v>
      </c>
      <c r="AJ48" s="601">
        <f>'Tabell 5.1'!AJ22+'Tabell 5.1'!AJ34+'Tabell 5.1'!AJ46+'Tabell 5.1'!AJ58+'Tabell 5.1'!AJ72+'Tabell 5.1'!AJ84+'Tabell 5.1'!AJ96+'Tabell 5.1'!AJ108+'Tabell 5.2'!AJ22+'Tabell 5.2'!AJ34+'Tabell 5.2'!AJ46+'Tabell 5.2'!AJ58+'Tabell 5.2'!AJ94+'Tabell 5.2'!AJ106+'Tabell 5.2'!AJ132+'Tabell 5.2'!AJ144+AJ22+AJ34+'Tabell 5.2'!AJ70+'Tabell 5.2'!AJ82+'Tabell 5.2'!AJ118</f>
        <v>1397.5</v>
      </c>
      <c r="AK48" s="600">
        <f t="shared" si="36"/>
        <v>-1.4</v>
      </c>
      <c r="AL48" s="601">
        <f>'Tabell 5.1'!AL22+'Tabell 5.1'!AL34+'Tabell 5.1'!AL46+'Tabell 5.1'!AL58+'Tabell 5.1'!AL72+'Tabell 5.1'!AL84+'Tabell 5.1'!AL96+'Tabell 5.1'!AL108+'Tabell 5.2'!AL22+'Tabell 5.2'!AL34+'Tabell 5.2'!AL46+'Tabell 5.2'!AL58+'Tabell 5.2'!AL94+'Tabell 5.2'!AL106+'Tabell 5.2'!AL132+'Tabell 5.2'!AL144+AL22+AL34+'Tabell 5.2'!AL70+'Tabell 5.2'!AL82+'Tabell 5.2'!AL118</f>
        <v>0</v>
      </c>
      <c r="AM48" s="601">
        <f>'Tabell 5.1'!AM22+'Tabell 5.1'!AM34+'Tabell 5.1'!AM46+'Tabell 5.1'!AM58+'Tabell 5.1'!AM72+'Tabell 5.1'!AM84+'Tabell 5.1'!AM96+'Tabell 5.1'!AM108+'Tabell 5.2'!AM22+'Tabell 5.2'!AM34+'Tabell 5.2'!AM46+'Tabell 5.2'!AM58+'Tabell 5.2'!AM94+'Tabell 5.2'!AM106+'Tabell 5.2'!AM132+'Tabell 5.2'!AM144+AM22+AM34+'Tabell 5.2'!AM70+'Tabell 5.2'!AM82+'Tabell 5.2'!AM118</f>
        <v>0</v>
      </c>
      <c r="AN48" s="600" t="str">
        <f t="shared" si="37"/>
        <v xml:space="preserve">    ---- </v>
      </c>
      <c r="AO48" s="601">
        <f t="shared" si="38"/>
        <v>5531.3705520505773</v>
      </c>
      <c r="AP48" s="601">
        <f t="shared" si="38"/>
        <v>4640.5338285877069</v>
      </c>
      <c r="AQ48" s="600">
        <f t="shared" si="39"/>
        <v>-16.100000000000001</v>
      </c>
      <c r="AR48" s="557">
        <f t="shared" si="40"/>
        <v>5561.2736873052945</v>
      </c>
      <c r="AS48" s="557">
        <f t="shared" si="41"/>
        <v>4677.2098285877073</v>
      </c>
      <c r="AT48" s="601">
        <f t="shared" si="42"/>
        <v>-15.9</v>
      </c>
      <c r="AU48" s="568"/>
    </row>
    <row r="49" spans="1:47" s="603" customFormat="1" ht="18.75" customHeight="1" x14ac:dyDescent="0.3">
      <c r="A49" s="568" t="s">
        <v>245</v>
      </c>
      <c r="B49" s="517"/>
      <c r="C49" s="602"/>
      <c r="D49" s="602"/>
      <c r="E49" s="602"/>
      <c r="F49" s="602"/>
      <c r="G49" s="602"/>
      <c r="H49" s="573"/>
      <c r="I49" s="568"/>
      <c r="J49" s="568"/>
      <c r="K49" s="573"/>
      <c r="L49" s="568"/>
      <c r="M49" s="568"/>
      <c r="O49" s="568"/>
      <c r="P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73"/>
      <c r="AS49" s="573"/>
      <c r="AT49" s="573"/>
      <c r="AU49" s="604"/>
    </row>
    <row r="50" spans="1:47" s="603" customFormat="1" ht="18.75" customHeight="1" x14ac:dyDescent="0.3">
      <c r="A50" s="568"/>
      <c r="C50" s="602"/>
      <c r="D50" s="602"/>
      <c r="E50" s="602"/>
      <c r="F50" s="602"/>
      <c r="G50" s="602"/>
      <c r="H50" s="573"/>
      <c r="I50" s="568"/>
      <c r="J50" s="568"/>
      <c r="K50" s="573"/>
      <c r="L50" s="568"/>
      <c r="M50" s="568"/>
      <c r="N50" s="568"/>
      <c r="O50" s="568"/>
      <c r="P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73"/>
      <c r="AS50" s="573"/>
      <c r="AT50" s="573"/>
      <c r="AU50" s="604"/>
    </row>
    <row r="51" spans="1:47" s="603" customFormat="1" ht="18.75" x14ac:dyDescent="0.3">
      <c r="A51" s="604"/>
      <c r="B51" s="602"/>
      <c r="C51" s="602"/>
      <c r="D51" s="602"/>
      <c r="E51" s="602"/>
      <c r="F51" s="602"/>
      <c r="G51" s="602"/>
      <c r="H51" s="605"/>
      <c r="I51" s="604"/>
      <c r="J51" s="604"/>
      <c r="K51" s="605"/>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row>
    <row r="52" spans="1:47" s="603" customFormat="1" ht="18.75" x14ac:dyDescent="0.3">
      <c r="A52" s="604"/>
      <c r="B52" s="616"/>
      <c r="C52" s="602"/>
      <c r="D52" s="602"/>
      <c r="E52" s="602"/>
      <c r="F52" s="602"/>
      <c r="G52" s="602"/>
      <c r="H52" s="605"/>
      <c r="I52" s="604"/>
      <c r="J52" s="604"/>
      <c r="K52" s="605"/>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row>
    <row r="53" spans="1:47" s="603" customFormat="1" ht="18.75" x14ac:dyDescent="0.3">
      <c r="A53" s="604"/>
      <c r="B53" s="602"/>
      <c r="C53" s="602"/>
      <c r="D53" s="602"/>
      <c r="E53" s="602"/>
      <c r="F53" s="602"/>
      <c r="G53" s="602"/>
      <c r="H53" s="608"/>
      <c r="K53" s="608"/>
    </row>
    <row r="54" spans="1:47" s="603" customFormat="1" ht="18.75" x14ac:dyDescent="0.3">
      <c r="A54" s="604"/>
      <c r="T54" s="617"/>
      <c r="U54" s="617"/>
    </row>
    <row r="55" spans="1:47" s="603" customFormat="1" ht="18.75" x14ac:dyDescent="0.3">
      <c r="A55" s="604"/>
      <c r="T55" s="617"/>
      <c r="U55" s="617"/>
    </row>
    <row r="56" spans="1:47" s="603" customFormat="1" ht="18.75" x14ac:dyDescent="0.3">
      <c r="A56" s="604"/>
      <c r="T56" s="617"/>
      <c r="U56" s="617"/>
    </row>
    <row r="57" spans="1:47" ht="18.75" x14ac:dyDescent="0.3">
      <c r="A57" s="568"/>
      <c r="T57" s="591"/>
      <c r="U57" s="591"/>
    </row>
    <row r="58" spans="1:47" ht="18.75" x14ac:dyDescent="0.3">
      <c r="A58" s="568"/>
      <c r="T58" s="591"/>
      <c r="U58" s="591"/>
    </row>
    <row r="59" spans="1:47" ht="18.75" x14ac:dyDescent="0.3">
      <c r="A59" s="568"/>
      <c r="T59" s="591"/>
      <c r="U59" s="591"/>
    </row>
    <row r="60" spans="1:47" ht="18.75" x14ac:dyDescent="0.3">
      <c r="A60" s="568"/>
      <c r="T60" s="591"/>
      <c r="U60" s="591"/>
    </row>
    <row r="61" spans="1:47" ht="18.75" x14ac:dyDescent="0.3">
      <c r="A61" s="568"/>
      <c r="T61" s="591"/>
      <c r="U61" s="591"/>
    </row>
    <row r="62" spans="1:47" ht="18.75" x14ac:dyDescent="0.3">
      <c r="A62" s="568"/>
      <c r="T62" s="591"/>
      <c r="U62" s="591"/>
    </row>
    <row r="63" spans="1:47" ht="18.75" x14ac:dyDescent="0.3">
      <c r="A63" s="568"/>
      <c r="T63" s="591"/>
      <c r="U63" s="591"/>
    </row>
    <row r="64" spans="1:47" ht="18.75" x14ac:dyDescent="0.3">
      <c r="A64" s="568"/>
      <c r="T64" s="591"/>
      <c r="U64" s="591"/>
    </row>
    <row r="65" spans="1:21" ht="18.75" x14ac:dyDescent="0.3">
      <c r="A65" s="568"/>
      <c r="T65" s="591"/>
      <c r="U65" s="591"/>
    </row>
    <row r="66" spans="1:21" ht="18.75" x14ac:dyDescent="0.3">
      <c r="A66" s="568"/>
      <c r="T66" s="591"/>
      <c r="U66" s="591"/>
    </row>
    <row r="67" spans="1:21" ht="18.75" x14ac:dyDescent="0.3">
      <c r="A67" s="568"/>
      <c r="T67" s="591"/>
      <c r="U67" s="591"/>
    </row>
    <row r="68" spans="1:21" ht="18.75" x14ac:dyDescent="0.3">
      <c r="A68" s="568"/>
      <c r="T68" s="591"/>
      <c r="U68" s="591"/>
    </row>
    <row r="69" spans="1:21" ht="18.75" x14ac:dyDescent="0.3">
      <c r="A69" s="568"/>
      <c r="T69" s="591"/>
      <c r="U69" s="591"/>
    </row>
    <row r="70" spans="1:21" ht="18.75" x14ac:dyDescent="0.3">
      <c r="A70" s="568"/>
      <c r="T70" s="591"/>
      <c r="U70" s="591"/>
    </row>
    <row r="71" spans="1:21" ht="18.75" x14ac:dyDescent="0.3">
      <c r="A71" s="568"/>
      <c r="T71" s="591"/>
      <c r="U71" s="591"/>
    </row>
    <row r="72" spans="1:21" ht="18.75" x14ac:dyDescent="0.3">
      <c r="A72" s="568"/>
      <c r="T72" s="591"/>
      <c r="U72" s="591"/>
    </row>
    <row r="73" spans="1:21" ht="18.75" x14ac:dyDescent="0.3">
      <c r="A73" s="568"/>
      <c r="T73" s="591"/>
      <c r="U73" s="591"/>
    </row>
    <row r="74" spans="1:21" ht="18.75" x14ac:dyDescent="0.3">
      <c r="A74" s="568"/>
      <c r="T74" s="591"/>
      <c r="U74" s="591"/>
    </row>
    <row r="75" spans="1:21" ht="18.75" x14ac:dyDescent="0.3">
      <c r="A75" s="568"/>
      <c r="T75" s="591"/>
      <c r="U75" s="591"/>
    </row>
    <row r="76" spans="1:21" ht="18.75" x14ac:dyDescent="0.3">
      <c r="A76" s="568"/>
      <c r="T76" s="591"/>
      <c r="U76" s="591"/>
    </row>
    <row r="77" spans="1:21" ht="18.75" x14ac:dyDescent="0.3">
      <c r="A77" s="568"/>
      <c r="T77" s="591"/>
      <c r="U77" s="591"/>
    </row>
    <row r="78" spans="1:21" ht="18.75" x14ac:dyDescent="0.3">
      <c r="A78" s="568"/>
      <c r="T78" s="591"/>
      <c r="U78" s="591"/>
    </row>
    <row r="79" spans="1:21" ht="18.75" x14ac:dyDescent="0.3">
      <c r="A79" s="568"/>
      <c r="T79" s="591"/>
      <c r="U79" s="591"/>
    </row>
    <row r="80" spans="1:21" ht="18.75" x14ac:dyDescent="0.3">
      <c r="A80" s="568"/>
      <c r="T80" s="591"/>
      <c r="U80" s="591"/>
    </row>
    <row r="81" spans="1:21" ht="18.75" x14ac:dyDescent="0.3">
      <c r="A81" s="568"/>
      <c r="T81" s="591"/>
      <c r="U81" s="591"/>
    </row>
    <row r="82" spans="1:21" ht="18.75" x14ac:dyDescent="0.3">
      <c r="A82" s="568"/>
      <c r="T82" s="591"/>
      <c r="U82" s="591"/>
    </row>
    <row r="83" spans="1:21" ht="18.75" x14ac:dyDescent="0.3">
      <c r="A83" s="568"/>
      <c r="T83" s="591"/>
      <c r="U83" s="591"/>
    </row>
    <row r="84" spans="1:21" ht="18.75" x14ac:dyDescent="0.3">
      <c r="A84" s="568"/>
      <c r="T84" s="591"/>
      <c r="U84" s="591"/>
    </row>
    <row r="85" spans="1:21" ht="18.75" x14ac:dyDescent="0.3">
      <c r="A85" s="568"/>
      <c r="T85" s="591"/>
      <c r="U85" s="591"/>
    </row>
    <row r="86" spans="1:21" ht="18.75" x14ac:dyDescent="0.3">
      <c r="A86" s="568"/>
      <c r="T86" s="591"/>
      <c r="U86" s="591"/>
    </row>
    <row r="87" spans="1:21" ht="18.75" x14ac:dyDescent="0.3">
      <c r="A87" s="568"/>
      <c r="T87" s="591"/>
      <c r="U87" s="591"/>
    </row>
    <row r="88" spans="1:21" ht="18.75" x14ac:dyDescent="0.3">
      <c r="A88" s="568"/>
      <c r="T88" s="591"/>
      <c r="U88" s="591"/>
    </row>
    <row r="89" spans="1:21" ht="18.75" x14ac:dyDescent="0.3">
      <c r="A89" s="568"/>
      <c r="T89" s="591"/>
      <c r="U89" s="591"/>
    </row>
    <row r="90" spans="1:21" ht="18.75" x14ac:dyDescent="0.3">
      <c r="A90" s="568"/>
      <c r="T90" s="591"/>
      <c r="U90" s="591"/>
    </row>
    <row r="91" spans="1:21" ht="18.75" x14ac:dyDescent="0.3">
      <c r="A91" s="568"/>
      <c r="T91" s="591"/>
      <c r="U91" s="591"/>
    </row>
    <row r="92" spans="1:21" ht="18.75" x14ac:dyDescent="0.3">
      <c r="A92" s="568"/>
      <c r="T92" s="591"/>
      <c r="U92" s="591"/>
    </row>
    <row r="93" spans="1:21" ht="18.75" x14ac:dyDescent="0.3">
      <c r="A93" s="568"/>
      <c r="T93" s="591"/>
      <c r="U93" s="591"/>
    </row>
    <row r="94" spans="1:21" ht="18.75" x14ac:dyDescent="0.3">
      <c r="A94" s="568"/>
      <c r="T94" s="591"/>
      <c r="U94" s="591"/>
    </row>
    <row r="95" spans="1:21" ht="18.75" x14ac:dyDescent="0.3">
      <c r="A95" s="568"/>
      <c r="T95" s="591"/>
      <c r="U95" s="591"/>
    </row>
    <row r="96" spans="1:21" ht="18.75" x14ac:dyDescent="0.3">
      <c r="A96" s="568"/>
      <c r="T96" s="591"/>
      <c r="U96" s="591"/>
    </row>
    <row r="97" spans="1:21" ht="18.75" x14ac:dyDescent="0.3">
      <c r="A97" s="568"/>
      <c r="T97" s="591"/>
      <c r="U97" s="591"/>
    </row>
    <row r="98" spans="1:21" ht="18.75" x14ac:dyDescent="0.3">
      <c r="A98" s="568"/>
      <c r="T98" s="591"/>
      <c r="U98" s="591"/>
    </row>
    <row r="99" spans="1:21" ht="18.75" x14ac:dyDescent="0.3">
      <c r="A99" s="568"/>
      <c r="T99" s="591"/>
      <c r="U99" s="591"/>
    </row>
    <row r="100" spans="1:21" ht="18.75" x14ac:dyDescent="0.3">
      <c r="A100" s="568"/>
      <c r="T100" s="591"/>
      <c r="U100" s="591"/>
    </row>
    <row r="101" spans="1:21" ht="18.75" x14ac:dyDescent="0.3">
      <c r="A101" s="568"/>
      <c r="E101" s="569">
        <v>0</v>
      </c>
      <c r="T101" s="591">
        <v>8021.1680385597992</v>
      </c>
      <c r="U101" s="591"/>
    </row>
    <row r="102" spans="1:21" ht="18.75" x14ac:dyDescent="0.3">
      <c r="A102" s="568"/>
      <c r="E102" s="569">
        <v>0</v>
      </c>
      <c r="T102" s="591">
        <v>4.3610605525112156</v>
      </c>
      <c r="U102" s="591"/>
    </row>
    <row r="103" spans="1:21" ht="18.75" x14ac:dyDescent="0.3">
      <c r="A103" s="568"/>
      <c r="E103" s="569">
        <v>-10.638999999999999</v>
      </c>
      <c r="T103" s="591">
        <v>-49.179410697877408</v>
      </c>
      <c r="U103" s="591"/>
    </row>
    <row r="104" spans="1:21" ht="18.75" x14ac:dyDescent="0.3">
      <c r="A104" s="568"/>
      <c r="E104" s="569">
        <v>0.87009999999999998</v>
      </c>
      <c r="T104" s="591"/>
      <c r="U104" s="591"/>
    </row>
    <row r="105" spans="1:21" ht="18.75" x14ac:dyDescent="0.3">
      <c r="A105" s="568"/>
      <c r="E105" s="569">
        <v>4.2350000000000003</v>
      </c>
      <c r="T105" s="591">
        <v>683.36542899999995</v>
      </c>
      <c r="U105" s="591"/>
    </row>
    <row r="106" spans="1:21" ht="18.75" x14ac:dyDescent="0.3">
      <c r="A106" s="568"/>
      <c r="E106" s="569">
        <v>27.494</v>
      </c>
      <c r="T106" s="591">
        <v>784.80863243128704</v>
      </c>
      <c r="U106" s="591"/>
    </row>
    <row r="107" spans="1:21" ht="18.75" x14ac:dyDescent="0.3">
      <c r="A107" s="568"/>
      <c r="T107" s="591">
        <v>392.40431699999999</v>
      </c>
      <c r="U107" s="591"/>
    </row>
    <row r="108" spans="1:21" ht="18.75" x14ac:dyDescent="0.3">
      <c r="A108" s="568"/>
      <c r="T108" s="591"/>
      <c r="U108" s="591"/>
    </row>
    <row r="109" spans="1:21" ht="18.75" x14ac:dyDescent="0.3">
      <c r="A109" s="568"/>
      <c r="E109" s="569">
        <v>21.960100000000001</v>
      </c>
      <c r="T109" s="591">
        <v>9444.5237498457191</v>
      </c>
      <c r="U109" s="591"/>
    </row>
    <row r="110" spans="1:21" ht="18.75" x14ac:dyDescent="0.3">
      <c r="A110" s="568"/>
      <c r="E110" s="569">
        <v>13.747</v>
      </c>
      <c r="T110" s="591">
        <v>8266.1340353077503</v>
      </c>
      <c r="U110" s="591"/>
    </row>
    <row r="111" spans="1:21" ht="18.75" x14ac:dyDescent="0.3">
      <c r="A111" s="568"/>
      <c r="E111" s="569">
        <v>8.2140000000000004</v>
      </c>
      <c r="T111" s="591">
        <v>1178.3897145379706</v>
      </c>
      <c r="U111" s="591"/>
    </row>
    <row r="112" spans="1:21" ht="18.75" x14ac:dyDescent="0.3">
      <c r="A112" s="568"/>
      <c r="T112" s="591"/>
      <c r="U112" s="591"/>
    </row>
    <row r="113" spans="1:21" ht="18.75" x14ac:dyDescent="0.3">
      <c r="A113" s="568"/>
      <c r="T113" s="591">
        <v>75.069982449999998</v>
      </c>
      <c r="U113" s="591"/>
    </row>
    <row r="114" spans="1:21" ht="18.75" x14ac:dyDescent="0.3">
      <c r="A114" s="568"/>
      <c r="T114" s="591">
        <v>-5.1040498539805413E-7</v>
      </c>
      <c r="U114" s="591"/>
    </row>
    <row r="115" spans="1:21" ht="18.75" x14ac:dyDescent="0.3">
      <c r="A115" s="568"/>
      <c r="T115" s="591">
        <v>0.52398130088905714</v>
      </c>
      <c r="U115" s="591"/>
    </row>
    <row r="116" spans="1:21" ht="18.75" x14ac:dyDescent="0.3">
      <c r="A116" s="568"/>
      <c r="T116" s="591"/>
      <c r="U116" s="591"/>
    </row>
    <row r="117" spans="1:21" ht="18.75" x14ac:dyDescent="0.3">
      <c r="A117" s="568"/>
      <c r="T117" s="591">
        <v>6.8000999999999996</v>
      </c>
      <c r="U117" s="591"/>
    </row>
    <row r="118" spans="1:21" ht="18.75" x14ac:dyDescent="0.3">
      <c r="A118" s="568"/>
      <c r="T118" s="591">
        <v>3.4650685687130585</v>
      </c>
      <c r="U118" s="591"/>
    </row>
    <row r="119" spans="1:21" ht="18.75" x14ac:dyDescent="0.3">
      <c r="A119" s="568"/>
      <c r="T119" s="591">
        <v>1.732534</v>
      </c>
      <c r="U119" s="591"/>
    </row>
    <row r="120" spans="1:21" ht="18.75" x14ac:dyDescent="0.3">
      <c r="A120" s="568"/>
      <c r="T120" s="591"/>
      <c r="U120" s="591"/>
    </row>
    <row r="121" spans="1:21" ht="18.75" x14ac:dyDescent="0.3">
      <c r="A121" s="568"/>
      <c r="T121" s="591">
        <v>85.859131809197137</v>
      </c>
      <c r="U121" s="591"/>
    </row>
    <row r="122" spans="1:21" ht="18.75" x14ac:dyDescent="0.3">
      <c r="A122" s="568"/>
      <c r="T122" s="591">
        <v>76.802516734356502</v>
      </c>
      <c r="U122" s="591"/>
    </row>
    <row r="123" spans="1:21" ht="18.75" x14ac:dyDescent="0.3">
      <c r="A123" s="568"/>
      <c r="T123" s="591">
        <v>9.0566150748406198</v>
      </c>
      <c r="U123" s="591"/>
    </row>
    <row r="124" spans="1:21" ht="18.75" x14ac:dyDescent="0.3">
      <c r="A124" s="568"/>
    </row>
    <row r="125" spans="1:21" ht="18.75" x14ac:dyDescent="0.3">
      <c r="A125" s="568"/>
    </row>
    <row r="126" spans="1:21" ht="18.75" x14ac:dyDescent="0.3">
      <c r="A126" s="568"/>
    </row>
    <row r="127" spans="1:21" ht="18.75" x14ac:dyDescent="0.3">
      <c r="A127" s="568"/>
    </row>
    <row r="128" spans="1:21" ht="18.75" x14ac:dyDescent="0.3">
      <c r="A128" s="568"/>
    </row>
    <row r="129" spans="1:1" ht="18.75" x14ac:dyDescent="0.3">
      <c r="A129" s="568"/>
    </row>
    <row r="130" spans="1:1" ht="18.75" x14ac:dyDescent="0.3">
      <c r="A130" s="568"/>
    </row>
    <row r="131" spans="1:1" ht="18.75" x14ac:dyDescent="0.3">
      <c r="A131" s="568"/>
    </row>
  </sheetData>
  <mergeCells count="27">
    <mergeCell ref="AR6:AT6"/>
    <mergeCell ref="AR7:AT7"/>
    <mergeCell ref="AO7:AQ7"/>
    <mergeCell ref="AL7:AN7"/>
    <mergeCell ref="W7:Y7"/>
    <mergeCell ref="Z7:AB7"/>
    <mergeCell ref="AC7:AE7"/>
    <mergeCell ref="AF7:AH7"/>
    <mergeCell ref="AO6:AQ6"/>
    <mergeCell ref="AL6:AN6"/>
    <mergeCell ref="B7:D7"/>
    <mergeCell ref="E7:G7"/>
    <mergeCell ref="K7:M7"/>
    <mergeCell ref="N7:P7"/>
    <mergeCell ref="Q7:S7"/>
    <mergeCell ref="H7:J7"/>
    <mergeCell ref="T7:V7"/>
    <mergeCell ref="Z6:AB6"/>
    <mergeCell ref="AF6:AH6"/>
    <mergeCell ref="AI6:AK6"/>
    <mergeCell ref="AI7:AK7"/>
    <mergeCell ref="B6:D6"/>
    <mergeCell ref="E6:G6"/>
    <mergeCell ref="K6:M6"/>
    <mergeCell ref="N6:P6"/>
    <mergeCell ref="Q6:S6"/>
    <mergeCell ref="H6:J6"/>
  </mergeCells>
  <conditionalFormatting sqref="AL20">
    <cfRule type="expression" dxfId="338" priority="137">
      <formula>#REF!="20≠12+13+14+15+16+17+19"</formula>
    </cfRule>
    <cfRule type="expression" dxfId="337" priority="138">
      <formula>#REF!="20≠21+22"</formula>
    </cfRule>
  </conditionalFormatting>
  <conditionalFormatting sqref="AL32">
    <cfRule type="expression" dxfId="336" priority="139">
      <formula>#REF!="32≠24+25+26+27+28+29+31"</formula>
    </cfRule>
  </conditionalFormatting>
  <conditionalFormatting sqref="AL32">
    <cfRule type="expression" dxfId="335" priority="140">
      <formula>#REF!="32≠33+34"</formula>
    </cfRule>
  </conditionalFormatting>
  <conditionalFormatting sqref="Z32">
    <cfRule type="expression" dxfId="334" priority="105">
      <formula>#REF!="32≠24+25+26+27+28+29+31"</formula>
    </cfRule>
  </conditionalFormatting>
  <conditionalFormatting sqref="Z32">
    <cfRule type="expression" dxfId="333" priority="106">
      <formula>#REF!="32≠33+34"</formula>
    </cfRule>
  </conditionalFormatting>
  <conditionalFormatting sqref="Z20">
    <cfRule type="expression" dxfId="332" priority="107">
      <formula>#REF!="20≠12+13+14+15+16+17+19"</formula>
    </cfRule>
    <cfRule type="expression" dxfId="331" priority="108">
      <formula>#REF!="20≠21+22"</formula>
    </cfRule>
  </conditionalFormatting>
  <conditionalFormatting sqref="N20">
    <cfRule type="expression" dxfId="330" priority="81">
      <formula>#REF!="20≠12+13+14+15+16+17+19"</formula>
    </cfRule>
    <cfRule type="expression" dxfId="329" priority="82">
      <formula>#REF!="20≠21+22"</formula>
    </cfRule>
  </conditionalFormatting>
  <conditionalFormatting sqref="N32">
    <cfRule type="expression" dxfId="328" priority="83">
      <formula>#REF!="32≠24+25+26+27+28+29+31"</formula>
    </cfRule>
  </conditionalFormatting>
  <conditionalFormatting sqref="N32">
    <cfRule type="expression" dxfId="327" priority="84">
      <formula>#REF!="32≠33+34"</formula>
    </cfRule>
  </conditionalFormatting>
  <conditionalFormatting sqref="W20">
    <cfRule type="expression" dxfId="326" priority="73">
      <formula>#REF!="20≠12+13+14+15+16+17+19"</formula>
    </cfRule>
    <cfRule type="expression" dxfId="325" priority="74">
      <formula>#REF!="20≠21+22"</formula>
    </cfRule>
  </conditionalFormatting>
  <conditionalFormatting sqref="W32">
    <cfRule type="expression" dxfId="324" priority="75">
      <formula>#REF!="32≠24+25+26+27+28+29+31"</formula>
    </cfRule>
  </conditionalFormatting>
  <conditionalFormatting sqref="W32">
    <cfRule type="expression" dxfId="323" priority="76">
      <formula>#REF!="32≠33+34"</formula>
    </cfRule>
  </conditionalFormatting>
  <conditionalFormatting sqref="AI20">
    <cfRule type="expression" dxfId="322" priority="65">
      <formula>#REF!="20≠12+13+14+15+16+17+19"</formula>
    </cfRule>
    <cfRule type="expression" dxfId="321" priority="66">
      <formula>#REF!="20≠21+22"</formula>
    </cfRule>
  </conditionalFormatting>
  <conditionalFormatting sqref="AI32">
    <cfRule type="expression" dxfId="320" priority="67">
      <formula>#REF!="32≠24+25+26+27+28+29+31"</formula>
    </cfRule>
  </conditionalFormatting>
  <conditionalFormatting sqref="AI32">
    <cfRule type="expression" dxfId="319" priority="68">
      <formula>#REF!="32≠33+34"</formula>
    </cfRule>
  </conditionalFormatting>
  <conditionalFormatting sqref="Q20">
    <cfRule type="expression" dxfId="318" priority="57">
      <formula>#REF!="20≠12+13+14+15+16+17+19"</formula>
    </cfRule>
    <cfRule type="expression" dxfId="317" priority="58">
      <formula>#REF!="20≠21+22"</formula>
    </cfRule>
  </conditionalFormatting>
  <conditionalFormatting sqref="Q32">
    <cfRule type="expression" dxfId="316" priority="59">
      <formula>#REF!="32≠24+25+26+27+28+29+31"</formula>
    </cfRule>
  </conditionalFormatting>
  <conditionalFormatting sqref="Q32">
    <cfRule type="expression" dxfId="315" priority="60">
      <formula>#REF!="32≠33+34"</formula>
    </cfRule>
  </conditionalFormatting>
  <conditionalFormatting sqref="AC20">
    <cfRule type="expression" dxfId="314" priority="49">
      <formula>#REF!="20≠12+13+14+15+16+17+19"</formula>
    </cfRule>
    <cfRule type="expression" dxfId="313" priority="50">
      <formula>#REF!="20≠21+22"</formula>
    </cfRule>
  </conditionalFormatting>
  <conditionalFormatting sqref="AC32">
    <cfRule type="expression" dxfId="312" priority="51">
      <formula>#REF!="32≠24+25+26+27+28+29+31"</formula>
    </cfRule>
  </conditionalFormatting>
  <conditionalFormatting sqref="AC32">
    <cfRule type="expression" dxfId="311" priority="52">
      <formula>#REF!="32≠33+34"</formula>
    </cfRule>
  </conditionalFormatting>
  <conditionalFormatting sqref="H32">
    <cfRule type="expression" dxfId="310" priority="43">
      <formula>#REF!="32≠24+25+26+27+28+29+31"</formula>
    </cfRule>
  </conditionalFormatting>
  <conditionalFormatting sqref="H32">
    <cfRule type="expression" dxfId="309" priority="44">
      <formula>#REF!="32≠33+34"</formula>
    </cfRule>
  </conditionalFormatting>
  <conditionalFormatting sqref="AF20">
    <cfRule type="expression" dxfId="308" priority="33">
      <formula>#REF!="20≠12+13+14+15+16+17+19"</formula>
    </cfRule>
    <cfRule type="expression" dxfId="307" priority="34">
      <formula>#REF!="20≠21+22"</formula>
    </cfRule>
  </conditionalFormatting>
  <conditionalFormatting sqref="AF32">
    <cfRule type="expression" dxfId="306" priority="35">
      <formula>#REF!="32≠24+25+26+27+28+29+31"</formula>
    </cfRule>
  </conditionalFormatting>
  <conditionalFormatting sqref="AF32">
    <cfRule type="expression" dxfId="305" priority="36">
      <formula>#REF!="32≠33+34"</formula>
    </cfRule>
  </conditionalFormatting>
  <conditionalFormatting sqref="E20">
    <cfRule type="expression" dxfId="304" priority="25">
      <formula>#REF!="20≠12+13+14+15+16+17+19"</formula>
    </cfRule>
    <cfRule type="expression" dxfId="303" priority="26">
      <formula>#REF!="20≠21+22"</formula>
    </cfRule>
  </conditionalFormatting>
  <conditionalFormatting sqref="E32">
    <cfRule type="expression" dxfId="302" priority="27">
      <formula>#REF!="32≠24+25+26+27+28+29+31"</formula>
    </cfRule>
  </conditionalFormatting>
  <conditionalFormatting sqref="E32">
    <cfRule type="expression" dxfId="301" priority="28">
      <formula>#REF!="32≠33+34"</formula>
    </cfRule>
  </conditionalFormatting>
  <conditionalFormatting sqref="B20">
    <cfRule type="expression" dxfId="300" priority="17">
      <formula>#REF!="20≠12+13+14+15+16+17+19"</formula>
    </cfRule>
    <cfRule type="expression" dxfId="299" priority="18">
      <formula>#REF!="20≠21+22"</formula>
    </cfRule>
  </conditionalFormatting>
  <conditionalFormatting sqref="B32">
    <cfRule type="expression" dxfId="298" priority="19">
      <formula>#REF!="32≠24+25+26+27+28+29+31"</formula>
    </cfRule>
  </conditionalFormatting>
  <conditionalFormatting sqref="B32">
    <cfRule type="expression" dxfId="297" priority="20">
      <formula>#REF!="32≠33+34"</formula>
    </cfRule>
  </conditionalFormatting>
  <conditionalFormatting sqref="T20">
    <cfRule type="expression" dxfId="296" priority="9">
      <formula>#REF!="20≠12+13+14+15+16+17+19"</formula>
    </cfRule>
    <cfRule type="expression" dxfId="295" priority="10">
      <formula>#REF!="20≠21+22"</formula>
    </cfRule>
  </conditionalFormatting>
  <conditionalFormatting sqref="T32">
    <cfRule type="expression" dxfId="294" priority="11">
      <formula>#REF!="32≠24+25+26+27+28+29+31"</formula>
    </cfRule>
  </conditionalFormatting>
  <conditionalFormatting sqref="T32">
    <cfRule type="expression" dxfId="293" priority="12">
      <formula>#REF!="32≠33+34"</formula>
    </cfRule>
  </conditionalFormatting>
  <conditionalFormatting sqref="K20">
    <cfRule type="expression" dxfId="292" priority="1">
      <formula>#REF!="20≠12+13+14+15+16+17+19"</formula>
    </cfRule>
    <cfRule type="expression" dxfId="291" priority="2">
      <formula>#REF!="20≠21+22"</formula>
    </cfRule>
  </conditionalFormatting>
  <conditionalFormatting sqref="K32">
    <cfRule type="expression" dxfId="290" priority="3">
      <formula>#REF!="32≠24+25+26+27+28+29+31"</formula>
    </cfRule>
  </conditionalFormatting>
  <conditionalFormatting sqref="K32">
    <cfRule type="expression" dxfId="289" priority="4">
      <formula>#REF!="32≠33+34"</formula>
    </cfRule>
  </conditionalFormatting>
  <conditionalFormatting sqref="AM20 AA20 O20 X20 AJ20 R20 AD20 H20:I20 AG20 F20 C20 U20 L20">
    <cfRule type="expression" dxfId="288" priority="1624">
      <formula>#REF!="20≠12+13+14+15+16+17+19"</formula>
    </cfRule>
    <cfRule type="expression" dxfId="287" priority="1625">
      <formula>#REF!="20≠21+22"</formula>
    </cfRule>
  </conditionalFormatting>
  <conditionalFormatting sqref="AM32 AA32 O32 X32 AJ32 R32 AD32 I32 AG32 F32 C32 U32 L32">
    <cfRule type="expression" dxfId="286" priority="1628">
      <formula>#REF!="32≠33+34"</formula>
    </cfRule>
  </conditionalFormatting>
  <conditionalFormatting sqref="AM32 AA32 O32 X32 AJ32 R32 AD32 I32 AG32 F32 C32 U32 L32">
    <cfRule type="expression" dxfId="285" priority="1629">
      <formula>#REF!="32≠24+25+26+27+28+29+31"</formula>
    </cfRule>
  </conditionalFormatting>
  <hyperlinks>
    <hyperlink ref="B1" location="Innhold!A1" display="Tilbake" xr:uid="{00000000-0004-0000-21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E130"/>
  <sheetViews>
    <sheetView showGridLines="0" zoomScale="60" zoomScaleNormal="60" workbookViewId="0">
      <pane xSplit="1" ySplit="8" topLeftCell="Y9" activePane="bottomRight" state="frozen"/>
      <selection activeCell="C1" sqref="C1"/>
      <selection pane="topRight" activeCell="C1" sqref="C1"/>
      <selection pane="bottomLeft" activeCell="C1" sqref="C1"/>
      <selection pane="bottomRight" activeCell="AS16" sqref="AS16"/>
    </sheetView>
  </sheetViews>
  <sheetFormatPr baseColWidth="10" defaultColWidth="11.42578125" defaultRowHeight="12.75" x14ac:dyDescent="0.2"/>
  <cols>
    <col min="1" max="1" width="106.7109375" style="452" customWidth="1"/>
    <col min="2" max="40" width="11.7109375" style="452" customWidth="1"/>
    <col min="41" max="42" width="13" style="452" customWidth="1"/>
    <col min="43" max="43" width="11.7109375" style="452" customWidth="1"/>
    <col min="44" max="44" width="13" style="452" bestFit="1" customWidth="1"/>
    <col min="45" max="45" width="17.42578125" style="452" customWidth="1"/>
    <col min="46" max="48" width="11.42578125" style="452"/>
    <col min="49" max="50" width="13" style="452" bestFit="1" customWidth="1"/>
    <col min="51" max="16384" width="11.42578125" style="452"/>
  </cols>
  <sheetData>
    <row r="1" spans="1:57" ht="20.25" customHeight="1" x14ac:dyDescent="0.3">
      <c r="A1" s="455" t="s">
        <v>167</v>
      </c>
      <c r="B1" s="456" t="s">
        <v>52</v>
      </c>
      <c r="C1" s="457"/>
      <c r="D1" s="457"/>
      <c r="E1" s="457"/>
      <c r="F1" s="457"/>
      <c r="G1" s="457"/>
      <c r="H1" s="457"/>
      <c r="I1" s="457"/>
      <c r="J1" s="457"/>
      <c r="K1" s="457"/>
      <c r="L1" s="457"/>
      <c r="M1" s="457"/>
    </row>
    <row r="2" spans="1:57" ht="20.100000000000001" customHeight="1" x14ac:dyDescent="0.3">
      <c r="A2" s="455" t="s">
        <v>168</v>
      </c>
    </row>
    <row r="3" spans="1:57" ht="20.100000000000001" customHeight="1" x14ac:dyDescent="0.3">
      <c r="A3" s="458" t="s">
        <v>169</v>
      </c>
      <c r="B3" s="459"/>
      <c r="C3" s="459"/>
      <c r="D3" s="961"/>
      <c r="E3" s="459"/>
      <c r="F3" s="459"/>
      <c r="G3" s="459"/>
      <c r="H3" s="459"/>
      <c r="I3" s="459"/>
      <c r="J3" s="459"/>
      <c r="K3" s="459"/>
      <c r="L3" s="459"/>
      <c r="M3" s="459"/>
    </row>
    <row r="4" spans="1:57" ht="18.75" customHeight="1" x14ac:dyDescent="0.25">
      <c r="A4" s="460" t="s">
        <v>347</v>
      </c>
      <c r="B4" s="461"/>
      <c r="C4" s="461"/>
      <c r="D4" s="462"/>
      <c r="E4" s="461"/>
      <c r="F4" s="461"/>
      <c r="G4" s="462"/>
      <c r="H4" s="463"/>
      <c r="I4" s="461"/>
      <c r="J4" s="462"/>
      <c r="K4" s="463"/>
      <c r="L4" s="461"/>
      <c r="M4" s="462"/>
      <c r="N4" s="464"/>
      <c r="O4" s="464"/>
      <c r="P4" s="464"/>
      <c r="Q4" s="465"/>
      <c r="R4" s="464"/>
      <c r="S4" s="466"/>
      <c r="T4" s="465"/>
      <c r="U4" s="464"/>
      <c r="V4" s="466"/>
      <c r="W4" s="465"/>
      <c r="X4" s="464"/>
      <c r="Y4" s="466"/>
      <c r="Z4" s="465"/>
      <c r="AA4" s="464"/>
      <c r="AB4" s="466"/>
      <c r="AC4" s="465"/>
      <c r="AD4" s="464"/>
      <c r="AE4" s="466"/>
      <c r="AF4" s="465"/>
      <c r="AG4" s="464"/>
      <c r="AH4" s="466"/>
      <c r="AI4" s="465"/>
      <c r="AJ4" s="464"/>
      <c r="AK4" s="466"/>
      <c r="AL4" s="465"/>
      <c r="AM4" s="464"/>
      <c r="AN4" s="466"/>
      <c r="AO4" s="861"/>
      <c r="AP4" s="862"/>
      <c r="AQ4" s="863"/>
      <c r="AR4" s="861"/>
      <c r="AS4" s="862"/>
      <c r="AT4" s="863"/>
      <c r="AU4" s="858"/>
      <c r="AV4" s="858"/>
      <c r="AW4" s="467"/>
      <c r="AX4" s="467"/>
      <c r="AY4" s="467"/>
      <c r="AZ4" s="467"/>
      <c r="BA4" s="467"/>
      <c r="BB4" s="467"/>
      <c r="BC4" s="467"/>
      <c r="BD4" s="467"/>
      <c r="BE4" s="467"/>
    </row>
    <row r="5" spans="1:57" ht="18.75" customHeight="1" x14ac:dyDescent="0.3">
      <c r="A5" s="468" t="s">
        <v>98</v>
      </c>
      <c r="B5" s="1022" t="s">
        <v>504</v>
      </c>
      <c r="C5" s="1023"/>
      <c r="D5" s="1024"/>
      <c r="E5" s="1046" t="s">
        <v>170</v>
      </c>
      <c r="F5" s="1047"/>
      <c r="G5" s="1048"/>
      <c r="H5" s="1046" t="s">
        <v>461</v>
      </c>
      <c r="I5" s="1047"/>
      <c r="J5" s="1048"/>
      <c r="K5" s="1046" t="s">
        <v>171</v>
      </c>
      <c r="L5" s="1047"/>
      <c r="M5" s="1048"/>
      <c r="N5" s="1046" t="s">
        <v>172</v>
      </c>
      <c r="O5" s="1047"/>
      <c r="P5" s="1048"/>
      <c r="Q5" s="896" t="s">
        <v>173</v>
      </c>
      <c r="R5" s="897"/>
      <c r="S5" s="898"/>
      <c r="T5" s="932" t="s">
        <v>173</v>
      </c>
      <c r="U5" s="933"/>
      <c r="V5" s="934"/>
      <c r="W5" s="870"/>
      <c r="X5" s="871"/>
      <c r="Y5" s="872"/>
      <c r="Z5" s="1046" t="s">
        <v>174</v>
      </c>
      <c r="AA5" s="1047"/>
      <c r="AB5" s="1048"/>
      <c r="AC5" s="915"/>
      <c r="AD5" s="916"/>
      <c r="AE5" s="917"/>
      <c r="AF5" s="1034" t="s">
        <v>67</v>
      </c>
      <c r="AG5" s="1035"/>
      <c r="AH5" s="1036"/>
      <c r="AI5" s="1046" t="s">
        <v>71</v>
      </c>
      <c r="AJ5" s="1047"/>
      <c r="AK5" s="1048"/>
      <c r="AL5" s="1053" t="s">
        <v>478</v>
      </c>
      <c r="AM5" s="1054"/>
      <c r="AN5" s="1055"/>
      <c r="AO5" s="1046" t="s">
        <v>2</v>
      </c>
      <c r="AP5" s="1047"/>
      <c r="AQ5" s="1048"/>
      <c r="AR5" s="1046" t="s">
        <v>2</v>
      </c>
      <c r="AS5" s="1047"/>
      <c r="AT5" s="1048"/>
      <c r="AU5" s="859"/>
      <c r="AV5" s="859"/>
      <c r="AW5" s="1049"/>
      <c r="AX5" s="1049"/>
      <c r="AY5" s="1049"/>
      <c r="AZ5" s="1049"/>
      <c r="BA5" s="1049"/>
      <c r="BB5" s="1049"/>
      <c r="BC5" s="1049"/>
      <c r="BD5" s="1049"/>
      <c r="BE5" s="1049"/>
    </row>
    <row r="6" spans="1:57" ht="21" customHeight="1" x14ac:dyDescent="0.3">
      <c r="A6" s="470"/>
      <c r="B6" s="1031" t="s">
        <v>177</v>
      </c>
      <c r="C6" s="1032"/>
      <c r="D6" s="1033"/>
      <c r="E6" s="1050" t="s">
        <v>176</v>
      </c>
      <c r="F6" s="1051"/>
      <c r="G6" s="1052"/>
      <c r="H6" s="1050" t="s">
        <v>176</v>
      </c>
      <c r="I6" s="1051"/>
      <c r="J6" s="1052"/>
      <c r="K6" s="1050" t="s">
        <v>176</v>
      </c>
      <c r="L6" s="1051"/>
      <c r="M6" s="1052"/>
      <c r="N6" s="1050" t="s">
        <v>177</v>
      </c>
      <c r="O6" s="1051"/>
      <c r="P6" s="1052"/>
      <c r="Q6" s="1050" t="s">
        <v>88</v>
      </c>
      <c r="R6" s="1051"/>
      <c r="S6" s="1052"/>
      <c r="T6" s="1050" t="s">
        <v>63</v>
      </c>
      <c r="U6" s="1051"/>
      <c r="V6" s="1052"/>
      <c r="W6" s="1050" t="s">
        <v>65</v>
      </c>
      <c r="X6" s="1051"/>
      <c r="Y6" s="1052"/>
      <c r="Z6" s="1050" t="s">
        <v>175</v>
      </c>
      <c r="AA6" s="1051"/>
      <c r="AB6" s="1052"/>
      <c r="AC6" s="1050" t="s">
        <v>70</v>
      </c>
      <c r="AD6" s="1051"/>
      <c r="AE6" s="1052"/>
      <c r="AF6" s="1043" t="s">
        <v>474</v>
      </c>
      <c r="AG6" s="1044"/>
      <c r="AH6" s="1045"/>
      <c r="AI6" s="1050" t="s">
        <v>176</v>
      </c>
      <c r="AJ6" s="1051"/>
      <c r="AK6" s="1052"/>
      <c r="AL6" s="1056" t="s">
        <v>176</v>
      </c>
      <c r="AM6" s="1057"/>
      <c r="AN6" s="1058"/>
      <c r="AO6" s="1050" t="s">
        <v>178</v>
      </c>
      <c r="AP6" s="1051"/>
      <c r="AQ6" s="1052"/>
      <c r="AR6" s="1050" t="s">
        <v>178</v>
      </c>
      <c r="AS6" s="1051"/>
      <c r="AT6" s="1052"/>
      <c r="AU6" s="859"/>
      <c r="AV6" s="859"/>
      <c r="AW6" s="1049"/>
      <c r="AX6" s="1049"/>
      <c r="AY6" s="1049"/>
      <c r="AZ6" s="1049"/>
      <c r="BA6" s="1049"/>
      <c r="BB6" s="1049"/>
      <c r="BC6" s="1049"/>
      <c r="BD6" s="1049"/>
      <c r="BE6" s="1049"/>
    </row>
    <row r="7" spans="1:57" ht="18.75" customHeight="1" x14ac:dyDescent="0.3">
      <c r="A7" s="470"/>
      <c r="B7" s="494"/>
      <c r="C7" s="494"/>
      <c r="D7" s="471" t="s">
        <v>79</v>
      </c>
      <c r="E7" s="494"/>
      <c r="F7" s="494"/>
      <c r="G7" s="471" t="s">
        <v>79</v>
      </c>
      <c r="H7" s="494"/>
      <c r="I7" s="494"/>
      <c r="J7" s="471" t="s">
        <v>79</v>
      </c>
      <c r="K7" s="494"/>
      <c r="L7" s="494"/>
      <c r="M7" s="471" t="s">
        <v>79</v>
      </c>
      <c r="N7" s="494"/>
      <c r="O7" s="494"/>
      <c r="P7" s="471" t="s">
        <v>79</v>
      </c>
      <c r="Q7" s="494"/>
      <c r="R7" s="494"/>
      <c r="S7" s="471" t="s">
        <v>79</v>
      </c>
      <c r="T7" s="494"/>
      <c r="U7" s="494"/>
      <c r="V7" s="471" t="s">
        <v>79</v>
      </c>
      <c r="W7" s="494"/>
      <c r="X7" s="494"/>
      <c r="Y7" s="471" t="s">
        <v>79</v>
      </c>
      <c r="Z7" s="494"/>
      <c r="AA7" s="494"/>
      <c r="AB7" s="471" t="s">
        <v>79</v>
      </c>
      <c r="AC7" s="494"/>
      <c r="AD7" s="494"/>
      <c r="AE7" s="471" t="s">
        <v>79</v>
      </c>
      <c r="AF7" s="494"/>
      <c r="AG7" s="494"/>
      <c r="AH7" s="471" t="s">
        <v>79</v>
      </c>
      <c r="AI7" s="494"/>
      <c r="AJ7" s="494"/>
      <c r="AK7" s="471" t="s">
        <v>79</v>
      </c>
      <c r="AL7" s="494"/>
      <c r="AM7" s="494"/>
      <c r="AN7" s="471" t="s">
        <v>79</v>
      </c>
      <c r="AO7" s="494"/>
      <c r="AP7" s="494"/>
      <c r="AQ7" s="471" t="s">
        <v>79</v>
      </c>
      <c r="AR7" s="494"/>
      <c r="AS7" s="494"/>
      <c r="AT7" s="471" t="s">
        <v>79</v>
      </c>
      <c r="AU7" s="860"/>
      <c r="AV7" s="860"/>
      <c r="AW7" s="469"/>
      <c r="AX7" s="469"/>
      <c r="AY7" s="469"/>
      <c r="AZ7" s="469"/>
      <c r="BA7" s="469"/>
      <c r="BB7" s="469"/>
      <c r="BC7" s="469"/>
      <c r="BD7" s="469"/>
      <c r="BE7" s="469"/>
    </row>
    <row r="8" spans="1:57" ht="18.75" customHeight="1" x14ac:dyDescent="0.25">
      <c r="A8" s="447" t="s">
        <v>179</v>
      </c>
      <c r="B8" s="747">
        <v>2021</v>
      </c>
      <c r="C8" s="747">
        <v>2022</v>
      </c>
      <c r="D8" s="448" t="s">
        <v>81</v>
      </c>
      <c r="E8" s="747">
        <f t="shared" ref="E8" si="0">$B$8</f>
        <v>2021</v>
      </c>
      <c r="F8" s="747">
        <f t="shared" ref="F8" si="1">$C$8</f>
        <v>2022</v>
      </c>
      <c r="G8" s="448" t="s">
        <v>81</v>
      </c>
      <c r="H8" s="747">
        <f t="shared" ref="H8" si="2">$B$8</f>
        <v>2021</v>
      </c>
      <c r="I8" s="747">
        <f t="shared" ref="I8" si="3">$C$8</f>
        <v>2022</v>
      </c>
      <c r="J8" s="448" t="s">
        <v>81</v>
      </c>
      <c r="K8" s="747">
        <f t="shared" ref="K8" si="4">$B$8</f>
        <v>2021</v>
      </c>
      <c r="L8" s="747">
        <f t="shared" ref="L8" si="5">$C$8</f>
        <v>2022</v>
      </c>
      <c r="M8" s="448" t="s">
        <v>81</v>
      </c>
      <c r="N8" s="747">
        <f t="shared" ref="N8" si="6">$B$8</f>
        <v>2021</v>
      </c>
      <c r="O8" s="747">
        <f t="shared" ref="O8" si="7">$C$8</f>
        <v>2022</v>
      </c>
      <c r="P8" s="448" t="s">
        <v>81</v>
      </c>
      <c r="Q8" s="747">
        <f t="shared" ref="Q8" si="8">$B$8</f>
        <v>2021</v>
      </c>
      <c r="R8" s="747">
        <f t="shared" ref="R8" si="9">$C$8</f>
        <v>2022</v>
      </c>
      <c r="S8" s="448" t="s">
        <v>81</v>
      </c>
      <c r="T8" s="747">
        <f t="shared" ref="T8" si="10">$B$8</f>
        <v>2021</v>
      </c>
      <c r="U8" s="747">
        <f t="shared" ref="U8" si="11">$C$8</f>
        <v>2022</v>
      </c>
      <c r="V8" s="448" t="s">
        <v>81</v>
      </c>
      <c r="W8" s="747">
        <f t="shared" ref="W8" si="12">$B$8</f>
        <v>2021</v>
      </c>
      <c r="X8" s="747">
        <f t="shared" ref="X8" si="13">$C$8</f>
        <v>2022</v>
      </c>
      <c r="Y8" s="448" t="s">
        <v>81</v>
      </c>
      <c r="Z8" s="747">
        <f t="shared" ref="Z8" si="14">$B$8</f>
        <v>2021</v>
      </c>
      <c r="AA8" s="747">
        <f t="shared" ref="AA8" si="15">$C$8</f>
        <v>2022</v>
      </c>
      <c r="AB8" s="448" t="s">
        <v>81</v>
      </c>
      <c r="AC8" s="747">
        <f t="shared" ref="AC8" si="16">$B$8</f>
        <v>2021</v>
      </c>
      <c r="AD8" s="747">
        <f t="shared" ref="AD8" si="17">$C$8</f>
        <v>2022</v>
      </c>
      <c r="AE8" s="448" t="s">
        <v>81</v>
      </c>
      <c r="AF8" s="747">
        <f t="shared" ref="AF8" si="18">$B$8</f>
        <v>2021</v>
      </c>
      <c r="AG8" s="747">
        <f t="shared" ref="AG8" si="19">$C$8</f>
        <v>2022</v>
      </c>
      <c r="AH8" s="448" t="s">
        <v>81</v>
      </c>
      <c r="AI8" s="747">
        <f t="shared" ref="AI8" si="20">$B$8</f>
        <v>2021</v>
      </c>
      <c r="AJ8" s="747">
        <f t="shared" ref="AJ8" si="21">$C$8</f>
        <v>2022</v>
      </c>
      <c r="AK8" s="448" t="s">
        <v>81</v>
      </c>
      <c r="AL8" s="747">
        <f>$B$8</f>
        <v>2021</v>
      </c>
      <c r="AM8" s="747">
        <f>$C$8</f>
        <v>2022</v>
      </c>
      <c r="AN8" s="448" t="s">
        <v>81</v>
      </c>
      <c r="AO8" s="747">
        <f t="shared" ref="AO8" si="22">$B$8</f>
        <v>2021</v>
      </c>
      <c r="AP8" s="747">
        <f t="shared" ref="AP8" si="23">$C$8</f>
        <v>2022</v>
      </c>
      <c r="AQ8" s="448" t="s">
        <v>81</v>
      </c>
      <c r="AR8" s="747">
        <f t="shared" ref="AR8" si="24">$B$8</f>
        <v>2021</v>
      </c>
      <c r="AS8" s="747">
        <f t="shared" ref="AS8" si="25">$C$8</f>
        <v>2022</v>
      </c>
      <c r="AT8" s="448" t="s">
        <v>81</v>
      </c>
      <c r="AU8" s="473"/>
      <c r="AV8" s="472"/>
      <c r="AW8" s="473"/>
      <c r="AX8" s="473"/>
      <c r="AY8" s="472"/>
      <c r="AZ8" s="473"/>
      <c r="BA8" s="473"/>
      <c r="BB8" s="472"/>
      <c r="BC8" s="473"/>
      <c r="BD8" s="473"/>
      <c r="BE8" s="472"/>
    </row>
    <row r="9" spans="1:57" ht="18.75" customHeight="1" x14ac:dyDescent="0.3">
      <c r="A9" s="449"/>
      <c r="B9" s="885"/>
      <c r="C9" s="434"/>
      <c r="D9" s="434"/>
      <c r="E9" s="885"/>
      <c r="F9" s="434"/>
      <c r="G9" s="434"/>
      <c r="H9" s="885"/>
      <c r="I9" s="434"/>
      <c r="J9" s="434"/>
      <c r="K9" s="885"/>
      <c r="L9" s="434"/>
      <c r="M9" s="434"/>
      <c r="N9" s="885"/>
      <c r="O9" s="435"/>
      <c r="P9" s="435"/>
      <c r="Q9" s="885"/>
      <c r="R9" s="436"/>
      <c r="S9" s="340"/>
      <c r="T9" s="885"/>
      <c r="U9" s="435"/>
      <c r="V9" s="340"/>
      <c r="W9" s="885"/>
      <c r="X9" s="435"/>
      <c r="Y9" s="340"/>
      <c r="Z9" s="885"/>
      <c r="AA9" s="435"/>
      <c r="AB9" s="340"/>
      <c r="AC9" s="885"/>
      <c r="AD9" s="435"/>
      <c r="AE9" s="340"/>
      <c r="AF9" s="885"/>
      <c r="AG9" s="435"/>
      <c r="AH9" s="340"/>
      <c r="AI9" s="885"/>
      <c r="AJ9" s="900"/>
      <c r="AK9" s="340"/>
      <c r="AL9" s="822"/>
      <c r="AM9" s="435"/>
      <c r="AN9" s="340"/>
      <c r="AO9" s="435"/>
      <c r="AP9" s="435"/>
      <c r="AQ9" s="340"/>
      <c r="AR9" s="435"/>
      <c r="AS9" s="435"/>
      <c r="AT9" s="340"/>
    </row>
    <row r="10" spans="1:57" s="453" customFormat="1" ht="18.75" customHeight="1" x14ac:dyDescent="0.3">
      <c r="A10" s="830" t="s">
        <v>180</v>
      </c>
      <c r="B10" s="886"/>
      <c r="C10" s="437"/>
      <c r="D10" s="437"/>
      <c r="E10" s="886"/>
      <c r="F10" s="437"/>
      <c r="G10" s="437"/>
      <c r="H10" s="886"/>
      <c r="I10" s="437"/>
      <c r="J10" s="437"/>
      <c r="K10" s="886"/>
      <c r="L10" s="437"/>
      <c r="M10" s="437"/>
      <c r="N10" s="886"/>
      <c r="O10" s="435"/>
      <c r="P10" s="435"/>
      <c r="Q10" s="886"/>
      <c r="R10" s="436"/>
      <c r="S10" s="340"/>
      <c r="T10" s="886"/>
      <c r="U10" s="435"/>
      <c r="V10" s="340"/>
      <c r="W10" s="886"/>
      <c r="X10" s="435"/>
      <c r="Y10" s="340"/>
      <c r="Z10" s="886"/>
      <c r="AA10" s="435"/>
      <c r="AB10" s="340"/>
      <c r="AC10" s="886"/>
      <c r="AD10" s="435"/>
      <c r="AE10" s="340"/>
      <c r="AF10" s="886"/>
      <c r="AG10" s="435"/>
      <c r="AH10" s="340"/>
      <c r="AI10" s="886"/>
      <c r="AJ10" s="900"/>
      <c r="AK10" s="340"/>
      <c r="AL10" s="822"/>
      <c r="AM10" s="435"/>
      <c r="AN10" s="340"/>
      <c r="AO10" s="435"/>
      <c r="AP10" s="435"/>
      <c r="AQ10" s="340"/>
      <c r="AR10" s="435"/>
      <c r="AS10" s="435"/>
      <c r="AT10" s="340"/>
    </row>
    <row r="11" spans="1:57" s="453" customFormat="1" ht="18.75" customHeight="1" x14ac:dyDescent="0.3">
      <c r="A11" s="450"/>
      <c r="B11" s="886"/>
      <c r="C11" s="437"/>
      <c r="D11" s="437"/>
      <c r="E11" s="886"/>
      <c r="F11" s="437"/>
      <c r="G11" s="437"/>
      <c r="H11" s="886"/>
      <c r="I11" s="437"/>
      <c r="J11" s="437"/>
      <c r="K11" s="886"/>
      <c r="L11" s="437"/>
      <c r="M11" s="437"/>
      <c r="N11" s="886"/>
      <c r="O11" s="435"/>
      <c r="P11" s="435"/>
      <c r="Q11" s="886"/>
      <c r="R11" s="436"/>
      <c r="S11" s="340"/>
      <c r="T11" s="886"/>
      <c r="U11" s="435"/>
      <c r="V11" s="340"/>
      <c r="W11" s="886"/>
      <c r="X11" s="435"/>
      <c r="Y11" s="340"/>
      <c r="Z11" s="886"/>
      <c r="AA11" s="435"/>
      <c r="AB11" s="340"/>
      <c r="AC11" s="886"/>
      <c r="AD11" s="435"/>
      <c r="AE11" s="340"/>
      <c r="AF11" s="886"/>
      <c r="AG11" s="435"/>
      <c r="AH11" s="340"/>
      <c r="AI11" s="886"/>
      <c r="AJ11" s="900"/>
      <c r="AK11" s="340"/>
      <c r="AL11" s="822"/>
      <c r="AM11" s="435"/>
      <c r="AN11" s="340"/>
      <c r="AO11" s="435"/>
      <c r="AP11" s="435"/>
      <c r="AQ11" s="340"/>
      <c r="AR11" s="435"/>
      <c r="AS11" s="435"/>
      <c r="AT11" s="340"/>
    </row>
    <row r="12" spans="1:57" s="453" customFormat="1" ht="20.100000000000001" customHeight="1" x14ac:dyDescent="0.3">
      <c r="A12" s="830" t="s">
        <v>181</v>
      </c>
      <c r="B12" s="887"/>
      <c r="C12" s="438"/>
      <c r="D12" s="438"/>
      <c r="E12" s="887"/>
      <c r="F12" s="438"/>
      <c r="G12" s="438"/>
      <c r="H12" s="887"/>
      <c r="I12" s="438"/>
      <c r="J12" s="438"/>
      <c r="K12" s="887"/>
      <c r="L12" s="438"/>
      <c r="M12" s="438"/>
      <c r="N12" s="887"/>
      <c r="O12" s="435"/>
      <c r="P12" s="435"/>
      <c r="Q12" s="887"/>
      <c r="R12" s="436"/>
      <c r="S12" s="340"/>
      <c r="T12" s="887"/>
      <c r="U12" s="435"/>
      <c r="V12" s="340"/>
      <c r="W12" s="887"/>
      <c r="X12" s="435"/>
      <c r="Y12" s="340"/>
      <c r="Z12" s="887"/>
      <c r="AA12" s="435"/>
      <c r="AB12" s="340"/>
      <c r="AC12" s="887"/>
      <c r="AD12" s="435"/>
      <c r="AE12" s="340"/>
      <c r="AF12" s="887"/>
      <c r="AG12" s="435"/>
      <c r="AH12" s="340"/>
      <c r="AI12" s="887"/>
      <c r="AJ12" s="900"/>
      <c r="AK12" s="340"/>
      <c r="AL12" s="822"/>
      <c r="AM12" s="435"/>
      <c r="AN12" s="340"/>
      <c r="AO12" s="435"/>
      <c r="AP12" s="435"/>
      <c r="AQ12" s="340"/>
      <c r="AR12" s="435"/>
      <c r="AS12" s="435"/>
      <c r="AT12" s="340"/>
    </row>
    <row r="13" spans="1:57" s="453" customFormat="1" ht="20.100000000000001" customHeight="1" x14ac:dyDescent="0.3">
      <c r="A13" s="830" t="s">
        <v>182</v>
      </c>
      <c r="B13" s="887"/>
      <c r="C13" s="438"/>
      <c r="D13" s="438"/>
      <c r="E13" s="887"/>
      <c r="F13" s="438"/>
      <c r="G13" s="438"/>
      <c r="H13" s="887"/>
      <c r="I13" s="438"/>
      <c r="J13" s="438"/>
      <c r="K13" s="887"/>
      <c r="L13" s="438"/>
      <c r="M13" s="438"/>
      <c r="N13" s="887"/>
      <c r="O13" s="744"/>
      <c r="P13" s="744"/>
      <c r="Q13" s="887"/>
      <c r="R13" s="753"/>
      <c r="S13" s="440"/>
      <c r="T13" s="887"/>
      <c r="U13" s="744"/>
      <c r="V13" s="440"/>
      <c r="W13" s="887"/>
      <c r="X13" s="744"/>
      <c r="Y13" s="440"/>
      <c r="Z13" s="887"/>
      <c r="AA13" s="744"/>
      <c r="AB13" s="440"/>
      <c r="AC13" s="887"/>
      <c r="AD13" s="744"/>
      <c r="AE13" s="440"/>
      <c r="AF13" s="887"/>
      <c r="AG13" s="744"/>
      <c r="AH13" s="440"/>
      <c r="AI13" s="887"/>
      <c r="AJ13" s="906"/>
      <c r="AK13" s="440"/>
      <c r="AL13" s="103"/>
      <c r="AM13" s="744"/>
      <c r="AN13" s="440"/>
      <c r="AO13" s="744"/>
      <c r="AP13" s="744"/>
      <c r="AQ13" s="440"/>
      <c r="AR13" s="744"/>
      <c r="AS13" s="744"/>
      <c r="AT13" s="440"/>
    </row>
    <row r="14" spans="1:57" s="453" customFormat="1" ht="20.100000000000001" customHeight="1" x14ac:dyDescent="0.3">
      <c r="A14" s="813" t="s">
        <v>183</v>
      </c>
      <c r="B14" s="876"/>
      <c r="C14" s="440"/>
      <c r="D14" s="440"/>
      <c r="E14" s="876"/>
      <c r="F14" s="440"/>
      <c r="G14" s="440"/>
      <c r="H14" s="876"/>
      <c r="I14" s="440"/>
      <c r="J14" s="440"/>
      <c r="K14" s="876"/>
      <c r="L14" s="440"/>
      <c r="M14" s="440"/>
      <c r="N14" s="876">
        <v>4.7</v>
      </c>
      <c r="O14" s="744">
        <v>1.9</v>
      </c>
      <c r="P14" s="744">
        <f t="shared" ref="P14" si="26">IF(N14=0, "    ---- ", IF(ABS(ROUND(100/N14*O14-100,1))&lt;999,ROUND(100/N14*O14-100,1),IF(ROUND(100/N14*O14-100,1)&gt;999,999,-999)))</f>
        <v>-59.6</v>
      </c>
      <c r="Q14" s="876"/>
      <c r="R14" s="753"/>
      <c r="S14" s="440"/>
      <c r="T14" s="876">
        <v>1004.26205975</v>
      </c>
      <c r="U14" s="744">
        <v>1398.84044675</v>
      </c>
      <c r="V14" s="440">
        <f t="shared" ref="V14:V28" si="27">IF(T14=0, "    ---- ", IF(ABS(ROUND(100/T14*U14-100,1))&lt;999,ROUND(100/T14*U14-100,1),IF(ROUND(100/T14*U14-100,1)&gt;999,999,-999)))</f>
        <v>39.299999999999997</v>
      </c>
      <c r="W14" s="876"/>
      <c r="X14" s="744"/>
      <c r="Y14" s="440"/>
      <c r="Z14" s="876"/>
      <c r="AA14" s="744"/>
      <c r="AB14" s="440"/>
      <c r="AC14" s="876"/>
      <c r="AD14" s="744"/>
      <c r="AE14" s="440"/>
      <c r="AF14" s="876"/>
      <c r="AG14" s="744"/>
      <c r="AH14" s="440"/>
      <c r="AI14" s="876"/>
      <c r="AJ14" s="906"/>
      <c r="AK14" s="440"/>
      <c r="AL14" s="103"/>
      <c r="AM14" s="744"/>
      <c r="AN14" s="440"/>
      <c r="AO14" s="744">
        <f>B14+E14+H14+K14+N14+T14+W14+Z14+AF14+AI14</f>
        <v>1008.9620597500001</v>
      </c>
      <c r="AP14" s="744">
        <f>C14+F14+I14+L14+O14+U14+X14+AA14+AG14+AJ14</f>
        <v>1400.74044675</v>
      </c>
      <c r="AQ14" s="440">
        <f t="shared" ref="AQ14:AQ28" si="28">IF(AO14=0, "    ---- ", IF(ABS(ROUND(100/AO14*AP14-100,1))&lt;999,ROUND(100/AO14*AP14-100,1),IF(ROUND(100/AO14*AP14-100,1)&gt;999,999,-999)))</f>
        <v>38.799999999999997</v>
      </c>
      <c r="AR14" s="744">
        <f>B14+E14+H14+K14+N14+Q14+T14+W14+Z14+AC14+AF14+AI14+AL14</f>
        <v>1008.9620597500001</v>
      </c>
      <c r="AS14" s="744">
        <f>C14+F14+I14+L14+O14+R14+U14+X14+AA14+AD14+AG14+AJ14+AM14</f>
        <v>1400.74044675</v>
      </c>
      <c r="AT14" s="440">
        <f t="shared" ref="AT14:AT29" si="29">IF(AR14=0, "    ---- ", IF(ABS(ROUND(100/AR14*AS14-100,1))&lt;999,ROUND(100/AR14*AS14-100,1),IF(ROUND(100/AR14*AS14-100,1)&gt;999,999,-999)))</f>
        <v>38.799999999999997</v>
      </c>
    </row>
    <row r="15" spans="1:57" s="453" customFormat="1" ht="20.100000000000001" customHeight="1" x14ac:dyDescent="0.3">
      <c r="A15" s="813" t="s">
        <v>184</v>
      </c>
      <c r="B15" s="876"/>
      <c r="C15" s="440"/>
      <c r="D15" s="440"/>
      <c r="E15" s="876">
        <v>1419.99943592</v>
      </c>
      <c r="F15" s="440">
        <v>1169.10947298</v>
      </c>
      <c r="G15" s="440">
        <f t="shared" ref="G15:G28" si="30">IF(E15=0, "    ---- ", IF(ABS(ROUND(100/E15*F15-100,1))&lt;999,ROUND(100/E15*F15-100,1),IF(ROUND(100/E15*F15-100,1)&gt;999,999,-999)))</f>
        <v>-17.7</v>
      </c>
      <c r="H15" s="876">
        <v>5.1664899999999996</v>
      </c>
      <c r="I15" s="440">
        <v>0</v>
      </c>
      <c r="J15" s="440">
        <f t="shared" ref="J15:J19" si="31">IF(H15=0, "    ---- ", IF(ABS(ROUND(100/H15*I15-100,1))&lt;999,ROUND(100/H15*I15-100,1),IF(ROUND(100/H15*I15-100,1)&gt;999,999,-999)))</f>
        <v>-100</v>
      </c>
      <c r="K15" s="876"/>
      <c r="L15" s="440"/>
      <c r="M15" s="440"/>
      <c r="N15" s="876"/>
      <c r="O15" s="744"/>
      <c r="P15" s="744"/>
      <c r="Q15" s="876"/>
      <c r="R15" s="753"/>
      <c r="S15" s="440"/>
      <c r="T15" s="876">
        <v>8684.0586703600002</v>
      </c>
      <c r="U15" s="744">
        <v>9123.9363061100012</v>
      </c>
      <c r="V15" s="440">
        <f t="shared" si="27"/>
        <v>5.0999999999999996</v>
      </c>
      <c r="W15" s="876">
        <v>2</v>
      </c>
      <c r="X15" s="744">
        <v>1</v>
      </c>
      <c r="Y15" s="440">
        <f t="shared" ref="Y15" si="32">IF(W15=0, "    ---- ", IF(ABS(ROUND(100/W15*X15-100,1))&lt;999,ROUND(100/W15*X15-100,1),IF(ROUND(100/W15*X15-100,1)&gt;999,999,-999)))</f>
        <v>-50</v>
      </c>
      <c r="Z15" s="876">
        <f>1084+364</f>
        <v>1448</v>
      </c>
      <c r="AA15" s="744">
        <v>1284</v>
      </c>
      <c r="AB15" s="440">
        <f t="shared" ref="AB15:AB28" si="33">IF(Z15=0, "    ---- ", IF(ABS(ROUND(100/Z15*AA15-100,1))&lt;999,ROUND(100/Z15*AA15-100,1),IF(ROUND(100/Z15*AA15-100,1)&gt;999,999,-999)))</f>
        <v>-11.3</v>
      </c>
      <c r="AC15" s="876"/>
      <c r="AD15" s="744"/>
      <c r="AE15" s="440"/>
      <c r="AF15" s="876">
        <v>1320.229</v>
      </c>
      <c r="AG15" s="744">
        <v>1334.7940000000001</v>
      </c>
      <c r="AH15" s="440">
        <f t="shared" ref="AH15:AH28" si="34">IF(AF15=0, "    ---- ", IF(ABS(ROUND(100/AF15*AG15-100,1))&lt;999,ROUND(100/AF15*AG15-100,1),IF(ROUND(100/AF15*AG15-100,1)&gt;999,999,-999)))</f>
        <v>1.1000000000000001</v>
      </c>
      <c r="AI15" s="876">
        <v>12478</v>
      </c>
      <c r="AJ15" s="906">
        <v>14301</v>
      </c>
      <c r="AK15" s="440">
        <f t="shared" ref="AK15:AK28" si="35">IF(AI15=0, "    ---- ", IF(ABS(ROUND(100/AI15*AJ15-100,1))&lt;999,ROUND(100/AI15*AJ15-100,1),IF(ROUND(100/AI15*AJ15-100,1)&gt;999,999,-999)))</f>
        <v>14.6</v>
      </c>
      <c r="AL15" s="103"/>
      <c r="AM15" s="744"/>
      <c r="AN15" s="440"/>
      <c r="AO15" s="744">
        <f t="shared" ref="AO15:AP29" si="36">B15+E15+H15+K15+N15+T15+W15+Z15+AF15+AI15</f>
        <v>25357.45359628</v>
      </c>
      <c r="AP15" s="744">
        <f t="shared" si="36"/>
        <v>27213.839779090002</v>
      </c>
      <c r="AQ15" s="440">
        <f t="shared" si="28"/>
        <v>7.3</v>
      </c>
      <c r="AR15" s="744">
        <f t="shared" ref="AR15:AS29" si="37">B15+E15+H15+K15+N15+Q15+T15+W15+Z15+AC15+AF15+AI15+AL15</f>
        <v>25357.45359628</v>
      </c>
      <c r="AS15" s="744">
        <f t="shared" si="37"/>
        <v>27213.839779090002</v>
      </c>
      <c r="AT15" s="440">
        <f t="shared" si="29"/>
        <v>7.3</v>
      </c>
    </row>
    <row r="16" spans="1:57" s="453" customFormat="1" ht="20.100000000000001" customHeight="1" x14ac:dyDescent="0.3">
      <c r="A16" s="813" t="s">
        <v>185</v>
      </c>
      <c r="B16" s="876"/>
      <c r="C16" s="440"/>
      <c r="D16" s="440"/>
      <c r="E16" s="876">
        <f>SUM(E17+E19)</f>
        <v>15068.26809401</v>
      </c>
      <c r="F16" s="440">
        <f>SUM(F17+F19)</f>
        <v>18449.66129864</v>
      </c>
      <c r="G16" s="440">
        <f t="shared" si="30"/>
        <v>22.4</v>
      </c>
      <c r="H16" s="876">
        <f>SUM(H17+H19)</f>
        <v>245.73140524999999</v>
      </c>
      <c r="I16" s="440">
        <f>SUM(I17+I19)</f>
        <v>476.38532345999994</v>
      </c>
      <c r="J16" s="440">
        <f t="shared" si="31"/>
        <v>93.9</v>
      </c>
      <c r="K16" s="876">
        <f>SUM(K17+K19)</f>
        <v>99.861000000000004</v>
      </c>
      <c r="L16" s="440">
        <f>SUM(L17+L19)</f>
        <v>114.059</v>
      </c>
      <c r="M16" s="440">
        <f t="shared" ref="M16:M18" si="38">IF(K16=0, "    ---- ", IF(ABS(ROUND(100/K16*L16-100,1))&lt;999,ROUND(100/K16*L16-100,1),IF(ROUND(100/K16*L16-100,1)&gt;999,999,-999)))</f>
        <v>14.2</v>
      </c>
      <c r="N16" s="876">
        <f>SUM(N17+N19)</f>
        <v>282.60000000000002</v>
      </c>
      <c r="O16" s="744">
        <f>SUM(O17+O19)</f>
        <v>229.5</v>
      </c>
      <c r="P16" s="744">
        <f t="shared" ref="P16" si="39">IF(N16=0, "    ---- ", IF(ABS(ROUND(100/N16*O16-100,1))&lt;999,ROUND(100/N16*O16-100,1),IF(ROUND(100/N16*O16-100,1)&gt;999,999,-999)))</f>
        <v>-18.8</v>
      </c>
      <c r="Q16" s="876"/>
      <c r="R16" s="753"/>
      <c r="S16" s="440"/>
      <c r="T16" s="876">
        <v>19456.377366779998</v>
      </c>
      <c r="U16" s="744">
        <v>20131.826321249999</v>
      </c>
      <c r="V16" s="440">
        <f t="shared" si="27"/>
        <v>3.5</v>
      </c>
      <c r="W16" s="876"/>
      <c r="X16" s="744"/>
      <c r="Y16" s="440"/>
      <c r="Z16" s="876">
        <f>SUM(Z17+Z19)</f>
        <v>5015</v>
      </c>
      <c r="AA16" s="744">
        <f>SUM(AA17+AA19)</f>
        <v>5338</v>
      </c>
      <c r="AB16" s="440">
        <f t="shared" si="33"/>
        <v>6.4</v>
      </c>
      <c r="AC16" s="876"/>
      <c r="AD16" s="744"/>
      <c r="AE16" s="440"/>
      <c r="AF16" s="876">
        <f>SUM(AF17+AF19)</f>
        <v>1145.0749999999998</v>
      </c>
      <c r="AG16" s="744">
        <f>SUM(AG17+AG19)</f>
        <v>1234.1759999999999</v>
      </c>
      <c r="AH16" s="440">
        <f t="shared" si="34"/>
        <v>7.8</v>
      </c>
      <c r="AI16" s="876">
        <f>SUM(AI17+AI19)</f>
        <v>10123</v>
      </c>
      <c r="AJ16" s="906">
        <f>2948+7460+530</f>
        <v>10938</v>
      </c>
      <c r="AK16" s="440">
        <f t="shared" si="35"/>
        <v>8.1</v>
      </c>
      <c r="AL16" s="103"/>
      <c r="AM16" s="744"/>
      <c r="AN16" s="440"/>
      <c r="AO16" s="744">
        <f t="shared" si="36"/>
        <v>51435.912866039995</v>
      </c>
      <c r="AP16" s="744">
        <f t="shared" si="36"/>
        <v>56911.607943349998</v>
      </c>
      <c r="AQ16" s="440">
        <f t="shared" si="28"/>
        <v>10.6</v>
      </c>
      <c r="AR16" s="744">
        <f t="shared" si="37"/>
        <v>51435.912866039995</v>
      </c>
      <c r="AS16" s="744">
        <f t="shared" si="37"/>
        <v>56911.607943349998</v>
      </c>
      <c r="AT16" s="440">
        <f t="shared" si="29"/>
        <v>10.6</v>
      </c>
    </row>
    <row r="17" spans="1:46" s="453" customFormat="1" ht="20.100000000000001" customHeight="1" x14ac:dyDescent="0.3">
      <c r="A17" s="813" t="s">
        <v>186</v>
      </c>
      <c r="B17" s="876"/>
      <c r="C17" s="440"/>
      <c r="D17" s="440"/>
      <c r="E17" s="876">
        <v>12399.642137049999</v>
      </c>
      <c r="F17" s="440">
        <v>15866.65145734</v>
      </c>
      <c r="G17" s="440">
        <f t="shared" si="30"/>
        <v>28</v>
      </c>
      <c r="H17" s="876"/>
      <c r="I17" s="440"/>
      <c r="J17" s="440"/>
      <c r="K17" s="876">
        <v>99.861000000000004</v>
      </c>
      <c r="L17" s="440">
        <v>114.059</v>
      </c>
      <c r="M17" s="440">
        <f t="shared" si="38"/>
        <v>14.2</v>
      </c>
      <c r="N17" s="876"/>
      <c r="O17" s="744"/>
      <c r="P17" s="744"/>
      <c r="Q17" s="876"/>
      <c r="R17" s="753"/>
      <c r="S17" s="440"/>
      <c r="T17" s="876">
        <v>6734.7354975299995</v>
      </c>
      <c r="U17" s="744">
        <v>7030.2458404899999</v>
      </c>
      <c r="V17" s="440">
        <f t="shared" si="27"/>
        <v>4.4000000000000004</v>
      </c>
      <c r="W17" s="876"/>
      <c r="X17" s="744"/>
      <c r="Y17" s="440"/>
      <c r="Z17" s="876">
        <v>10</v>
      </c>
      <c r="AA17" s="744">
        <v>38</v>
      </c>
      <c r="AB17" s="440">
        <f t="shared" si="33"/>
        <v>280</v>
      </c>
      <c r="AC17" s="876"/>
      <c r="AD17" s="744"/>
      <c r="AE17" s="440"/>
      <c r="AF17" s="876">
        <v>39.764000000000003</v>
      </c>
      <c r="AG17" s="744">
        <v>27.998999999999999</v>
      </c>
      <c r="AH17" s="440">
        <f t="shared" si="34"/>
        <v>-29.6</v>
      </c>
      <c r="AI17" s="876"/>
      <c r="AJ17" s="906"/>
      <c r="AK17" s="440"/>
      <c r="AL17" s="103"/>
      <c r="AM17" s="744"/>
      <c r="AN17" s="440"/>
      <c r="AO17" s="744">
        <f t="shared" si="36"/>
        <v>19284.00263458</v>
      </c>
      <c r="AP17" s="744">
        <f t="shared" si="36"/>
        <v>23076.955297829998</v>
      </c>
      <c r="AQ17" s="440">
        <f t="shared" si="28"/>
        <v>19.7</v>
      </c>
      <c r="AR17" s="744">
        <f t="shared" si="37"/>
        <v>19284.00263458</v>
      </c>
      <c r="AS17" s="744">
        <f t="shared" si="37"/>
        <v>23076.955297829998</v>
      </c>
      <c r="AT17" s="440">
        <f t="shared" si="29"/>
        <v>19.7</v>
      </c>
    </row>
    <row r="18" spans="1:46" s="453" customFormat="1" ht="20.100000000000001" customHeight="1" x14ac:dyDescent="0.3">
      <c r="A18" s="813" t="s">
        <v>187</v>
      </c>
      <c r="B18" s="876"/>
      <c r="C18" s="440"/>
      <c r="D18" s="440"/>
      <c r="E18" s="876">
        <v>12399.642137049999</v>
      </c>
      <c r="F18" s="440">
        <v>15866.65145734</v>
      </c>
      <c r="G18" s="440">
        <f t="shared" si="30"/>
        <v>28</v>
      </c>
      <c r="H18" s="876"/>
      <c r="I18" s="440"/>
      <c r="J18" s="440"/>
      <c r="K18" s="876">
        <v>99.861000000000004</v>
      </c>
      <c r="L18" s="440">
        <v>114.059</v>
      </c>
      <c r="M18" s="440">
        <f t="shared" si="38"/>
        <v>14.2</v>
      </c>
      <c r="N18" s="876"/>
      <c r="O18" s="744"/>
      <c r="P18" s="744"/>
      <c r="Q18" s="876"/>
      <c r="R18" s="753"/>
      <c r="S18" s="440"/>
      <c r="T18" s="876">
        <v>6734.7354975299995</v>
      </c>
      <c r="U18" s="744">
        <v>7030.2458404899999</v>
      </c>
      <c r="V18" s="440">
        <f t="shared" si="27"/>
        <v>4.4000000000000004</v>
      </c>
      <c r="W18" s="876"/>
      <c r="X18" s="744"/>
      <c r="Y18" s="440"/>
      <c r="Z18" s="876"/>
      <c r="AA18" s="744"/>
      <c r="AB18" s="440"/>
      <c r="AC18" s="876"/>
      <c r="AD18" s="744"/>
      <c r="AE18" s="440"/>
      <c r="AF18" s="876">
        <v>-3.2782554626464843E-13</v>
      </c>
      <c r="AG18" s="744">
        <v>-3.2782554626464843E-13</v>
      </c>
      <c r="AH18" s="440">
        <f t="shared" si="34"/>
        <v>0</v>
      </c>
      <c r="AI18" s="876"/>
      <c r="AJ18" s="906"/>
      <c r="AK18" s="440"/>
      <c r="AL18" s="103"/>
      <c r="AM18" s="744"/>
      <c r="AN18" s="440"/>
      <c r="AO18" s="744">
        <f t="shared" si="36"/>
        <v>19234.238634580001</v>
      </c>
      <c r="AP18" s="744">
        <f t="shared" si="36"/>
        <v>23010.956297829998</v>
      </c>
      <c r="AQ18" s="440">
        <f t="shared" si="28"/>
        <v>19.600000000000001</v>
      </c>
      <c r="AR18" s="744">
        <f t="shared" si="37"/>
        <v>19234.238634580001</v>
      </c>
      <c r="AS18" s="744">
        <f t="shared" si="37"/>
        <v>23010.956297829998</v>
      </c>
      <c r="AT18" s="440">
        <f t="shared" si="29"/>
        <v>19.600000000000001</v>
      </c>
    </row>
    <row r="19" spans="1:46" s="453" customFormat="1" ht="20.100000000000001" customHeight="1" x14ac:dyDescent="0.3">
      <c r="A19" s="813" t="s">
        <v>188</v>
      </c>
      <c r="B19" s="876"/>
      <c r="C19" s="440"/>
      <c r="D19" s="440"/>
      <c r="E19" s="876">
        <v>2668.6259569600002</v>
      </c>
      <c r="F19" s="440">
        <v>2583.0098413000001</v>
      </c>
      <c r="G19" s="440">
        <f t="shared" si="30"/>
        <v>-3.2</v>
      </c>
      <c r="H19" s="876">
        <v>245.73140524999999</v>
      </c>
      <c r="I19" s="440">
        <v>476.38532345999994</v>
      </c>
      <c r="J19" s="440">
        <f t="shared" si="31"/>
        <v>93.9</v>
      </c>
      <c r="K19" s="876"/>
      <c r="L19" s="440"/>
      <c r="M19" s="440"/>
      <c r="N19" s="876">
        <v>282.60000000000002</v>
      </c>
      <c r="O19" s="744">
        <v>229.5</v>
      </c>
      <c r="P19" s="744">
        <f t="shared" ref="P19:P28" si="40">IF(N19=0, "    ---- ", IF(ABS(ROUND(100/N19*O19-100,1))&lt;999,ROUND(100/N19*O19-100,1),IF(ROUND(100/N19*O19-100,1)&gt;999,999,-999)))</f>
        <v>-18.8</v>
      </c>
      <c r="Q19" s="876"/>
      <c r="R19" s="753"/>
      <c r="S19" s="440"/>
      <c r="T19" s="876">
        <v>12721.641869249999</v>
      </c>
      <c r="U19" s="744">
        <v>13101.58048076</v>
      </c>
      <c r="V19" s="440">
        <f t="shared" si="27"/>
        <v>3</v>
      </c>
      <c r="W19" s="876"/>
      <c r="X19" s="744"/>
      <c r="Y19" s="440"/>
      <c r="Z19" s="876">
        <v>5005</v>
      </c>
      <c r="AA19" s="744">
        <v>5300</v>
      </c>
      <c r="AB19" s="440">
        <f t="shared" si="33"/>
        <v>5.9</v>
      </c>
      <c r="AC19" s="876"/>
      <c r="AD19" s="744"/>
      <c r="AE19" s="440"/>
      <c r="AF19" s="876">
        <v>1105.3109999999999</v>
      </c>
      <c r="AG19" s="744">
        <v>1206.1769999999999</v>
      </c>
      <c r="AH19" s="440">
        <f t="shared" si="34"/>
        <v>9.1</v>
      </c>
      <c r="AI19" s="876">
        <f>9408.4+714.6</f>
        <v>10123</v>
      </c>
      <c r="AJ19" s="906">
        <f>2948+7460+530</f>
        <v>10938</v>
      </c>
      <c r="AK19" s="440">
        <f t="shared" si="35"/>
        <v>8.1</v>
      </c>
      <c r="AL19" s="103"/>
      <c r="AM19" s="744"/>
      <c r="AN19" s="440"/>
      <c r="AO19" s="744">
        <f t="shared" si="36"/>
        <v>32151.910231460002</v>
      </c>
      <c r="AP19" s="744">
        <f t="shared" si="36"/>
        <v>33834.65264552</v>
      </c>
      <c r="AQ19" s="440">
        <f t="shared" si="28"/>
        <v>5.2</v>
      </c>
      <c r="AR19" s="744">
        <f t="shared" si="37"/>
        <v>32151.910231460002</v>
      </c>
      <c r="AS19" s="744">
        <f t="shared" si="37"/>
        <v>33834.65264552</v>
      </c>
      <c r="AT19" s="440">
        <f t="shared" si="29"/>
        <v>5.2</v>
      </c>
    </row>
    <row r="20" spans="1:46" s="453" customFormat="1" ht="20.100000000000001" customHeight="1" x14ac:dyDescent="0.3">
      <c r="A20" s="813" t="s">
        <v>189</v>
      </c>
      <c r="B20" s="876">
        <f>SUM(B21:B25)</f>
        <v>865.11500000000001</v>
      </c>
      <c r="C20" s="440">
        <f>SUM(C21:C25)</f>
        <v>881.15481924999995</v>
      </c>
      <c r="D20" s="440">
        <f>IF(B20=0, "    ---- ", IF(ABS(ROUND(100/B20*C20-100,1))&lt;999,ROUND(100/B20*C20-100,1),IF(ROUND(100/B20*C20-100,1)&gt;999,999,-999)))</f>
        <v>1.9</v>
      </c>
      <c r="E20" s="876">
        <f>SUM(E21:E25)</f>
        <v>17490.908459779999</v>
      </c>
      <c r="F20" s="440">
        <f>SUM(F21:F25)</f>
        <v>12761.53213329</v>
      </c>
      <c r="G20" s="440">
        <f t="shared" si="30"/>
        <v>-27</v>
      </c>
      <c r="H20" s="876">
        <f>SUM(H21:H25)</f>
        <v>2379.9041106100008</v>
      </c>
      <c r="I20" s="440">
        <f>SUM(I21:I25)</f>
        <v>2190.7555156999993</v>
      </c>
      <c r="J20" s="440">
        <f>IF(H20=0, "    ---- ", IF(ABS(ROUND(100/H20*I20-100,1))&lt;999,ROUND(100/H20*I20-100,1),IF(ROUND(100/H20*I20-100,1)&gt;999,999,-999)))</f>
        <v>-7.9</v>
      </c>
      <c r="K20" s="876">
        <f>SUM(K21:K25)</f>
        <v>383.91399999999999</v>
      </c>
      <c r="L20" s="440">
        <f>SUM(L21:L25)</f>
        <v>269.26500000000004</v>
      </c>
      <c r="M20" s="440">
        <f t="shared" ref="M20:M28" si="41">IF(K20=0, "    ---- ", IF(ABS(ROUND(100/K20*L20-100,1))&lt;999,ROUND(100/K20*L20-100,1),IF(ROUND(100/K20*L20-100,1)&gt;999,999,-999)))</f>
        <v>-29.9</v>
      </c>
      <c r="N20" s="876">
        <f>SUM(N21:N25)</f>
        <v>1036.8</v>
      </c>
      <c r="O20" s="744">
        <f>SUM(O21:O25)</f>
        <v>1151.8</v>
      </c>
      <c r="P20" s="744">
        <f t="shared" si="40"/>
        <v>11.1</v>
      </c>
      <c r="Q20" s="876"/>
      <c r="R20" s="753"/>
      <c r="S20" s="440"/>
      <c r="T20" s="876">
        <v>12221.035040070001</v>
      </c>
      <c r="U20" s="744">
        <v>12489.39667079</v>
      </c>
      <c r="V20" s="440">
        <f t="shared" si="27"/>
        <v>2.2000000000000002</v>
      </c>
      <c r="W20" s="876">
        <f>SUM(W21:W25)</f>
        <v>11212.2</v>
      </c>
      <c r="X20" s="744">
        <f>SUM(X21:X25)</f>
        <v>10914.44</v>
      </c>
      <c r="Y20" s="440">
        <f t="shared" ref="Y20:Y28" si="42">IF(W20=0, "    ---- ", IF(ABS(ROUND(100/W20*X20-100,1))&lt;999,ROUND(100/W20*X20-100,1),IF(ROUND(100/W20*X20-100,1)&gt;999,999,-999)))</f>
        <v>-2.7</v>
      </c>
      <c r="Z20" s="876">
        <f>SUM(Z21:Z25)</f>
        <v>4275</v>
      </c>
      <c r="AA20" s="744">
        <f>SUM(AA21:AA25)</f>
        <v>4474</v>
      </c>
      <c r="AB20" s="440">
        <f t="shared" si="33"/>
        <v>4.7</v>
      </c>
      <c r="AC20" s="876"/>
      <c r="AD20" s="744"/>
      <c r="AE20" s="440"/>
      <c r="AF20" s="876">
        <f>SUM(AF21:AF25)</f>
        <v>3627.0680000000002</v>
      </c>
      <c r="AG20" s="744">
        <f>SUM(AG21:AG25)</f>
        <v>3443.1120000000001</v>
      </c>
      <c r="AH20" s="440">
        <f t="shared" si="34"/>
        <v>-5.0999999999999996</v>
      </c>
      <c r="AI20" s="876">
        <f>SUM(AI21:AI25)</f>
        <v>13738.8</v>
      </c>
      <c r="AJ20" s="906">
        <f>SUM(AJ21:AJ25)</f>
        <v>9694</v>
      </c>
      <c r="AK20" s="440">
        <f t="shared" si="35"/>
        <v>-29.4</v>
      </c>
      <c r="AL20" s="103"/>
      <c r="AM20" s="744">
        <f>SUM(AM21:AM25)</f>
        <v>8</v>
      </c>
      <c r="AN20" s="440" t="str">
        <f t="shared" ref="AN20:AN25" si="43">IF(AL20=0, "    ---- ", IF(ABS(ROUND(100/AL20*AM20-100,1))&lt;999,ROUND(100/AL20*AM20-100,1),IF(ROUND(100/AL20*AM20-100,1)&gt;999,999,-999)))</f>
        <v xml:space="preserve">    ---- </v>
      </c>
      <c r="AO20" s="744">
        <f t="shared" si="36"/>
        <v>67230.744610460009</v>
      </c>
      <c r="AP20" s="744">
        <f t="shared" si="36"/>
        <v>58269.45613903</v>
      </c>
      <c r="AQ20" s="440">
        <f t="shared" si="28"/>
        <v>-13.3</v>
      </c>
      <c r="AR20" s="744">
        <f t="shared" si="37"/>
        <v>67230.744610460009</v>
      </c>
      <c r="AS20" s="744">
        <f t="shared" si="37"/>
        <v>58277.45613903</v>
      </c>
      <c r="AT20" s="440">
        <f t="shared" si="29"/>
        <v>-13.3</v>
      </c>
    </row>
    <row r="21" spans="1:46" s="453" customFormat="1" ht="20.100000000000001" customHeight="1" x14ac:dyDescent="0.3">
      <c r="A21" s="813" t="s">
        <v>190</v>
      </c>
      <c r="B21" s="876">
        <v>7.42</v>
      </c>
      <c r="C21" s="440">
        <v>5.7433766400000001</v>
      </c>
      <c r="D21" s="440">
        <f>IF(B21=0, "    ---- ", IF(ABS(ROUND(100/B21*C21-100,1))&lt;999,ROUND(100/B21*C21-100,1),IF(ROUND(100/B21*C21-100,1)&gt;999,999,-999)))</f>
        <v>-22.6</v>
      </c>
      <c r="E21" s="876">
        <v>1627.7915899100001</v>
      </c>
      <c r="F21" s="440">
        <v>1266.85641646</v>
      </c>
      <c r="G21" s="440">
        <f t="shared" si="30"/>
        <v>-22.2</v>
      </c>
      <c r="H21" s="876"/>
      <c r="I21" s="440"/>
      <c r="J21" s="440"/>
      <c r="K21" s="876">
        <v>56.889000000000003</v>
      </c>
      <c r="L21" s="440">
        <v>41.531999999999996</v>
      </c>
      <c r="M21" s="440">
        <f t="shared" si="41"/>
        <v>-27</v>
      </c>
      <c r="N21" s="876">
        <v>19.399999999999999</v>
      </c>
      <c r="O21" s="744">
        <v>15.3</v>
      </c>
      <c r="P21" s="744">
        <f t="shared" si="40"/>
        <v>-21.1</v>
      </c>
      <c r="Q21" s="876"/>
      <c r="R21" s="753"/>
      <c r="S21" s="440"/>
      <c r="T21" s="876">
        <v>7.6531584500000003</v>
      </c>
      <c r="U21" s="744">
        <v>6.1438499999999996</v>
      </c>
      <c r="V21" s="440">
        <f t="shared" si="27"/>
        <v>-19.7</v>
      </c>
      <c r="W21" s="876">
        <v>10</v>
      </c>
      <c r="X21" s="744">
        <v>53.97</v>
      </c>
      <c r="Y21" s="440">
        <f t="shared" si="42"/>
        <v>439.7</v>
      </c>
      <c r="Z21" s="876">
        <v>2232</v>
      </c>
      <c r="AA21" s="744">
        <v>2156</v>
      </c>
      <c r="AB21" s="440">
        <f t="shared" si="33"/>
        <v>-3.4</v>
      </c>
      <c r="AC21" s="876"/>
      <c r="AD21" s="744"/>
      <c r="AE21" s="440"/>
      <c r="AF21" s="876">
        <v>1.355</v>
      </c>
      <c r="AG21" s="744">
        <v>1.702</v>
      </c>
      <c r="AH21" s="440">
        <f t="shared" si="34"/>
        <v>25.6</v>
      </c>
      <c r="AI21" s="876">
        <v>476</v>
      </c>
      <c r="AJ21" s="906">
        <v>339</v>
      </c>
      <c r="AK21" s="440">
        <f t="shared" si="35"/>
        <v>-28.8</v>
      </c>
      <c r="AL21" s="103"/>
      <c r="AM21" s="744"/>
      <c r="AN21" s="440"/>
      <c r="AO21" s="744">
        <f t="shared" si="36"/>
        <v>4438.50874836</v>
      </c>
      <c r="AP21" s="744">
        <f t="shared" si="36"/>
        <v>3886.2476431</v>
      </c>
      <c r="AQ21" s="440">
        <f t="shared" si="28"/>
        <v>-12.4</v>
      </c>
      <c r="AR21" s="744">
        <f t="shared" si="37"/>
        <v>4438.50874836</v>
      </c>
      <c r="AS21" s="744">
        <f t="shared" si="37"/>
        <v>3886.2476431</v>
      </c>
      <c r="AT21" s="440">
        <f t="shared" si="29"/>
        <v>-12.4</v>
      </c>
    </row>
    <row r="22" spans="1:46" s="453" customFormat="1" ht="20.100000000000001" customHeight="1" x14ac:dyDescent="0.3">
      <c r="A22" s="813" t="s">
        <v>191</v>
      </c>
      <c r="B22" s="876">
        <v>857.69500000000005</v>
      </c>
      <c r="C22" s="440">
        <v>875.41144260999999</v>
      </c>
      <c r="D22" s="440">
        <f>IF(B22=0, "    ---- ", IF(ABS(ROUND(100/B22*C22-100,1))&lt;999,ROUND(100/B22*C22-100,1),IF(ROUND(100/B22*C22-100,1)&gt;999,999,-999)))</f>
        <v>2.1</v>
      </c>
      <c r="E22" s="876">
        <v>15533.87760772</v>
      </c>
      <c r="F22" s="440">
        <v>11403.069189830001</v>
      </c>
      <c r="G22" s="440">
        <f t="shared" si="30"/>
        <v>-26.6</v>
      </c>
      <c r="H22" s="876">
        <v>2440.6706777400009</v>
      </c>
      <c r="I22" s="440">
        <v>2196.0872867999992</v>
      </c>
      <c r="J22" s="440">
        <f>IF(H22=0, "    ---- ", IF(ABS(ROUND(100/H22*I22-100,1))&lt;999,ROUND(100/H22*I22-100,1),IF(ROUND(100/H22*I22-100,1)&gt;999,999,-999)))</f>
        <v>-10</v>
      </c>
      <c r="K22" s="876">
        <v>242.55500000000001</v>
      </c>
      <c r="L22" s="440">
        <v>166.23400000000001</v>
      </c>
      <c r="M22" s="440">
        <f t="shared" si="41"/>
        <v>-31.5</v>
      </c>
      <c r="N22" s="876">
        <v>1017.4</v>
      </c>
      <c r="O22" s="744">
        <v>1136.5</v>
      </c>
      <c r="P22" s="744">
        <f t="shared" si="40"/>
        <v>11.7</v>
      </c>
      <c r="Q22" s="876"/>
      <c r="R22" s="753"/>
      <c r="S22" s="440"/>
      <c r="T22" s="876">
        <v>10280.339871780001</v>
      </c>
      <c r="U22" s="744">
        <v>10926.344463429999</v>
      </c>
      <c r="V22" s="440">
        <f t="shared" si="27"/>
        <v>6.3</v>
      </c>
      <c r="W22" s="876">
        <v>11100.51</v>
      </c>
      <c r="X22" s="744">
        <v>10859.59</v>
      </c>
      <c r="Y22" s="440">
        <f t="shared" si="42"/>
        <v>-2.2000000000000002</v>
      </c>
      <c r="Z22" s="876">
        <v>2020</v>
      </c>
      <c r="AA22" s="744">
        <v>2318</v>
      </c>
      <c r="AB22" s="440">
        <f t="shared" si="33"/>
        <v>14.8</v>
      </c>
      <c r="AC22" s="876"/>
      <c r="AD22" s="744"/>
      <c r="AE22" s="440"/>
      <c r="AF22" s="876">
        <v>2456.2220000000002</v>
      </c>
      <c r="AG22" s="744">
        <v>2994.578</v>
      </c>
      <c r="AH22" s="440">
        <f t="shared" si="34"/>
        <v>21.9</v>
      </c>
      <c r="AI22" s="876">
        <v>12419.4</v>
      </c>
      <c r="AJ22" s="906">
        <v>9092</v>
      </c>
      <c r="AK22" s="440">
        <f t="shared" si="35"/>
        <v>-26.8</v>
      </c>
      <c r="AL22" s="103"/>
      <c r="AM22" s="744"/>
      <c r="AN22" s="440"/>
      <c r="AO22" s="744">
        <f t="shared" si="36"/>
        <v>58368.670157240005</v>
      </c>
      <c r="AP22" s="744">
        <f t="shared" si="36"/>
        <v>51967.814382670003</v>
      </c>
      <c r="AQ22" s="440">
        <f t="shared" si="28"/>
        <v>-11</v>
      </c>
      <c r="AR22" s="744">
        <f t="shared" si="37"/>
        <v>58368.670157240005</v>
      </c>
      <c r="AS22" s="744">
        <f t="shared" si="37"/>
        <v>51967.814382670003</v>
      </c>
      <c r="AT22" s="440">
        <f t="shared" si="29"/>
        <v>-11</v>
      </c>
    </row>
    <row r="23" spans="1:46" s="453" customFormat="1" ht="20.100000000000001" customHeight="1" x14ac:dyDescent="0.3">
      <c r="A23" s="813" t="s">
        <v>192</v>
      </c>
      <c r="B23" s="876"/>
      <c r="C23" s="440"/>
      <c r="D23" s="440"/>
      <c r="E23" s="876">
        <v>15.857659029999999</v>
      </c>
      <c r="F23" s="440">
        <v>41.974447140000002</v>
      </c>
      <c r="G23" s="440">
        <f t="shared" si="30"/>
        <v>164.7</v>
      </c>
      <c r="H23" s="876">
        <v>-62.498121289999979</v>
      </c>
      <c r="I23" s="440">
        <v>-8.1802517800000007</v>
      </c>
      <c r="J23" s="440">
        <f t="shared" ref="J23" si="44">IF(H23=0, "    ---- ", IF(ABS(ROUND(100/H23*I23-100,1))&lt;999,ROUND(100/H23*I23-100,1),IF(ROUND(100/H23*I23-100,1)&gt;999,999,-999)))</f>
        <v>-86.9</v>
      </c>
      <c r="K23" s="876"/>
      <c r="L23" s="440"/>
      <c r="M23" s="440"/>
      <c r="N23" s="876"/>
      <c r="O23" s="744"/>
      <c r="P23" s="744"/>
      <c r="Q23" s="876"/>
      <c r="R23" s="753"/>
      <c r="S23" s="440"/>
      <c r="T23" s="876">
        <v>1286.96643849</v>
      </c>
      <c r="U23" s="744">
        <v>1101.4601117499999</v>
      </c>
      <c r="V23" s="440">
        <f t="shared" si="27"/>
        <v>-14.4</v>
      </c>
      <c r="W23" s="876">
        <v>0.11</v>
      </c>
      <c r="X23" s="744">
        <v>0.11</v>
      </c>
      <c r="Y23" s="440">
        <f t="shared" si="42"/>
        <v>0</v>
      </c>
      <c r="Z23" s="876"/>
      <c r="AA23" s="744"/>
      <c r="AB23" s="440"/>
      <c r="AC23" s="876"/>
      <c r="AD23" s="744"/>
      <c r="AE23" s="440"/>
      <c r="AF23" s="876">
        <v>470.45400000000001</v>
      </c>
      <c r="AG23" s="744">
        <v>78.207999999999998</v>
      </c>
      <c r="AH23" s="440">
        <f t="shared" si="34"/>
        <v>-83.4</v>
      </c>
      <c r="AI23" s="876"/>
      <c r="AJ23" s="906"/>
      <c r="AK23" s="440"/>
      <c r="AL23" s="103"/>
      <c r="AM23" s="744"/>
      <c r="AN23" s="440"/>
      <c r="AO23" s="744">
        <f t="shared" si="36"/>
        <v>1710.8899762299998</v>
      </c>
      <c r="AP23" s="744">
        <f t="shared" si="36"/>
        <v>1213.5723071099999</v>
      </c>
      <c r="AQ23" s="440">
        <f t="shared" si="28"/>
        <v>-29.1</v>
      </c>
      <c r="AR23" s="744">
        <f t="shared" si="37"/>
        <v>1710.8899762299998</v>
      </c>
      <c r="AS23" s="744">
        <f t="shared" si="37"/>
        <v>1213.5723071099999</v>
      </c>
      <c r="AT23" s="440">
        <f t="shared" si="29"/>
        <v>-29.1</v>
      </c>
    </row>
    <row r="24" spans="1:46" s="453" customFormat="1" ht="20.100000000000001" customHeight="1" x14ac:dyDescent="0.3">
      <c r="A24" s="813" t="s">
        <v>193</v>
      </c>
      <c r="B24" s="876"/>
      <c r="C24" s="440"/>
      <c r="D24" s="440"/>
      <c r="E24" s="876">
        <v>4.6343780000000001E-2</v>
      </c>
      <c r="F24" s="440">
        <v>0.90369570999999993</v>
      </c>
      <c r="G24" s="440">
        <f t="shared" si="30"/>
        <v>999</v>
      </c>
      <c r="H24" s="876"/>
      <c r="I24" s="440"/>
      <c r="J24" s="440"/>
      <c r="K24" s="876"/>
      <c r="L24" s="440"/>
      <c r="M24" s="440"/>
      <c r="N24" s="876"/>
      <c r="O24" s="744"/>
      <c r="P24" s="744"/>
      <c r="Q24" s="876"/>
      <c r="R24" s="753"/>
      <c r="S24" s="440"/>
      <c r="T24" s="876">
        <v>646.07557136000003</v>
      </c>
      <c r="U24" s="744">
        <v>455.44824562000002</v>
      </c>
      <c r="V24" s="440">
        <f t="shared" si="27"/>
        <v>-29.5</v>
      </c>
      <c r="W24" s="876">
        <v>0.12</v>
      </c>
      <c r="X24" s="744">
        <v>0</v>
      </c>
      <c r="Y24" s="440">
        <f t="shared" si="42"/>
        <v>-100</v>
      </c>
      <c r="Z24" s="876">
        <v>23</v>
      </c>
      <c r="AA24" s="744">
        <v>0</v>
      </c>
      <c r="AB24" s="440">
        <f t="shared" si="33"/>
        <v>-100</v>
      </c>
      <c r="AC24" s="876"/>
      <c r="AD24" s="744"/>
      <c r="AE24" s="440"/>
      <c r="AF24" s="876">
        <v>1.377</v>
      </c>
      <c r="AG24" s="744">
        <v>0.04</v>
      </c>
      <c r="AH24" s="440">
        <f t="shared" si="34"/>
        <v>-97.1</v>
      </c>
      <c r="AI24" s="876">
        <v>843.4</v>
      </c>
      <c r="AJ24" s="906">
        <v>263</v>
      </c>
      <c r="AK24" s="440">
        <f t="shared" si="35"/>
        <v>-68.8</v>
      </c>
      <c r="AL24" s="103"/>
      <c r="AM24" s="744"/>
      <c r="AN24" s="440"/>
      <c r="AO24" s="744">
        <f t="shared" si="36"/>
        <v>1514.01891514</v>
      </c>
      <c r="AP24" s="744">
        <f t="shared" si="36"/>
        <v>719.39194133000001</v>
      </c>
      <c r="AQ24" s="440">
        <f t="shared" si="28"/>
        <v>-52.5</v>
      </c>
      <c r="AR24" s="744">
        <f t="shared" si="37"/>
        <v>1514.01891514</v>
      </c>
      <c r="AS24" s="744">
        <f t="shared" si="37"/>
        <v>719.39194133000001</v>
      </c>
      <c r="AT24" s="440">
        <f t="shared" si="29"/>
        <v>-52.5</v>
      </c>
    </row>
    <row r="25" spans="1:46" s="453" customFormat="1" ht="20.100000000000001" customHeight="1" x14ac:dyDescent="0.3">
      <c r="A25" s="813" t="s">
        <v>194</v>
      </c>
      <c r="B25" s="876"/>
      <c r="C25" s="440"/>
      <c r="D25" s="440"/>
      <c r="E25" s="876">
        <v>313.33525933999999</v>
      </c>
      <c r="F25" s="440">
        <v>48.728384150000004</v>
      </c>
      <c r="G25" s="440">
        <f t="shared" si="30"/>
        <v>-84.4</v>
      </c>
      <c r="H25" s="876">
        <v>1.7315541599999982</v>
      </c>
      <c r="I25" s="440">
        <v>2.8484806799999998</v>
      </c>
      <c r="J25" s="440">
        <f>IF(H25=0, "    ---- ", IF(ABS(ROUND(100/H25*I25-100,1))&lt;999,ROUND(100/H25*I25-100,1),IF(ROUND(100/H25*I25-100,1)&gt;999,999,-999)))</f>
        <v>64.5</v>
      </c>
      <c r="K25" s="876">
        <v>84.47</v>
      </c>
      <c r="L25" s="440">
        <v>61.499000000000002</v>
      </c>
      <c r="M25" s="440">
        <f t="shared" si="41"/>
        <v>-27.2</v>
      </c>
      <c r="N25" s="876"/>
      <c r="O25" s="744"/>
      <c r="P25" s="744"/>
      <c r="Q25" s="876"/>
      <c r="R25" s="753"/>
      <c r="S25" s="440"/>
      <c r="T25" s="876">
        <v>-1E-8</v>
      </c>
      <c r="U25" s="744">
        <v>-1E-8</v>
      </c>
      <c r="V25" s="440">
        <f t="shared" si="27"/>
        <v>0</v>
      </c>
      <c r="W25" s="876">
        <v>101.46</v>
      </c>
      <c r="X25" s="744">
        <v>0.77</v>
      </c>
      <c r="Y25" s="440">
        <f t="shared" si="42"/>
        <v>-99.2</v>
      </c>
      <c r="Z25" s="876"/>
      <c r="AA25" s="744"/>
      <c r="AB25" s="440"/>
      <c r="AC25" s="876"/>
      <c r="AD25" s="744"/>
      <c r="AE25" s="440"/>
      <c r="AF25" s="876">
        <v>697.66</v>
      </c>
      <c r="AG25" s="744">
        <v>368.584</v>
      </c>
      <c r="AH25" s="440">
        <f t="shared" si="34"/>
        <v>-47.2</v>
      </c>
      <c r="AI25" s="876"/>
      <c r="AJ25" s="906"/>
      <c r="AK25" s="440"/>
      <c r="AL25" s="103"/>
      <c r="AM25" s="744">
        <v>8</v>
      </c>
      <c r="AN25" s="440" t="str">
        <f t="shared" si="43"/>
        <v xml:space="preserve">    ---- </v>
      </c>
      <c r="AO25" s="744">
        <f t="shared" si="36"/>
        <v>1198.6568134899999</v>
      </c>
      <c r="AP25" s="744">
        <f t="shared" si="36"/>
        <v>482.42986482000003</v>
      </c>
      <c r="AQ25" s="440">
        <f t="shared" si="28"/>
        <v>-59.8</v>
      </c>
      <c r="AR25" s="744">
        <f t="shared" si="37"/>
        <v>1198.6568134899999</v>
      </c>
      <c r="AS25" s="744">
        <f t="shared" si="37"/>
        <v>490.42986482000003</v>
      </c>
      <c r="AT25" s="440">
        <f t="shared" si="29"/>
        <v>-59.1</v>
      </c>
    </row>
    <row r="26" spans="1:46" s="453" customFormat="1" ht="20.100000000000001" customHeight="1" x14ac:dyDescent="0.3">
      <c r="A26" s="813" t="s">
        <v>195</v>
      </c>
      <c r="B26" s="876"/>
      <c r="C26" s="440"/>
      <c r="D26" s="440"/>
      <c r="E26" s="876"/>
      <c r="F26" s="440"/>
      <c r="G26" s="440"/>
      <c r="H26" s="876"/>
      <c r="I26" s="440"/>
      <c r="J26" s="440"/>
      <c r="K26" s="876"/>
      <c r="L26" s="440"/>
      <c r="M26" s="440"/>
      <c r="N26" s="876"/>
      <c r="O26" s="744"/>
      <c r="P26" s="744"/>
      <c r="Q26" s="876"/>
      <c r="R26" s="753"/>
      <c r="S26" s="440"/>
      <c r="T26" s="876"/>
      <c r="U26" s="744"/>
      <c r="V26" s="440"/>
      <c r="W26" s="876"/>
      <c r="X26" s="744"/>
      <c r="Y26" s="440"/>
      <c r="Z26" s="876"/>
      <c r="AA26" s="744"/>
      <c r="AB26" s="440"/>
      <c r="AC26" s="876"/>
      <c r="AD26" s="744"/>
      <c r="AE26" s="440"/>
      <c r="AF26" s="876"/>
      <c r="AG26" s="744"/>
      <c r="AH26" s="440"/>
      <c r="AI26" s="876"/>
      <c r="AJ26" s="906"/>
      <c r="AK26" s="440"/>
      <c r="AL26" s="103"/>
      <c r="AM26" s="744"/>
      <c r="AN26" s="440"/>
      <c r="AO26" s="744">
        <f t="shared" si="36"/>
        <v>0</v>
      </c>
      <c r="AP26" s="744">
        <f t="shared" si="36"/>
        <v>0</v>
      </c>
      <c r="AQ26" s="440" t="str">
        <f t="shared" si="28"/>
        <v xml:space="preserve">    ---- </v>
      </c>
      <c r="AR26" s="744">
        <f t="shared" si="37"/>
        <v>0</v>
      </c>
      <c r="AS26" s="744">
        <f t="shared" si="37"/>
        <v>0</v>
      </c>
      <c r="AT26" s="440" t="str">
        <f t="shared" si="29"/>
        <v xml:space="preserve">    ---- </v>
      </c>
    </row>
    <row r="27" spans="1:46" s="453" customFormat="1" ht="20.100000000000001" customHeight="1" x14ac:dyDescent="0.3">
      <c r="A27" s="852" t="s">
        <v>196</v>
      </c>
      <c r="B27" s="876">
        <f>SUM(B14+B15+B16+B20+B26)</f>
        <v>865.11500000000001</v>
      </c>
      <c r="C27" s="440">
        <f>SUM(C14+C15+C16+C20+C26)</f>
        <v>881.15481924999995</v>
      </c>
      <c r="D27" s="440">
        <f>IF(B27=0, "    ---- ", IF(ABS(ROUND(100/B27*C27-100,1))&lt;999,ROUND(100/B27*C27-100,1),IF(ROUND(100/B27*C27-100,1)&gt;999,999,-999)))</f>
        <v>1.9</v>
      </c>
      <c r="E27" s="876">
        <f>SUM(E14+E15+E16+E20+E26)</f>
        <v>33979.175989709998</v>
      </c>
      <c r="F27" s="440">
        <f>SUM(F14+F15+F16+F20+F26)</f>
        <v>32380.302904910001</v>
      </c>
      <c r="G27" s="440">
        <f t="shared" si="30"/>
        <v>-4.7</v>
      </c>
      <c r="H27" s="876">
        <f>SUM(H14+H15+H16+H20+H26)</f>
        <v>2630.8020058600009</v>
      </c>
      <c r="I27" s="440">
        <f>SUM(I14+I15+I16+I20+I26)</f>
        <v>2667.1408391599994</v>
      </c>
      <c r="J27" s="440">
        <f>IF(H27=0, "    ---- ", IF(ABS(ROUND(100/H27*I27-100,1))&lt;999,ROUND(100/H27*I27-100,1),IF(ROUND(100/H27*I27-100,1)&gt;999,999,-999)))</f>
        <v>1.4</v>
      </c>
      <c r="K27" s="876">
        <f>SUM(K14+K15+K16+K20+K26)</f>
        <v>483.77499999999998</v>
      </c>
      <c r="L27" s="440">
        <f>SUM(L14+L15+L16+L20+L26)</f>
        <v>383.32400000000007</v>
      </c>
      <c r="M27" s="440">
        <f t="shared" si="41"/>
        <v>-20.8</v>
      </c>
      <c r="N27" s="876">
        <f>SUM(N14+N15+N16+N20+N26)</f>
        <v>1324.1</v>
      </c>
      <c r="O27" s="744">
        <f>SUM(O14+O15+O16+O20+O26)</f>
        <v>1383.2</v>
      </c>
      <c r="P27" s="744">
        <f t="shared" si="40"/>
        <v>4.5</v>
      </c>
      <c r="Q27" s="876"/>
      <c r="R27" s="753"/>
      <c r="S27" s="440"/>
      <c r="T27" s="876">
        <v>41365.73313696</v>
      </c>
      <c r="U27" s="744">
        <v>43143.9997449</v>
      </c>
      <c r="V27" s="440">
        <f t="shared" si="27"/>
        <v>4.3</v>
      </c>
      <c r="W27" s="876">
        <f>SUM(W14+W15+W16+W20+W26)</f>
        <v>11214.2</v>
      </c>
      <c r="X27" s="744">
        <f>SUM(X14+X15+X16+X20+X26)</f>
        <v>10915.44</v>
      </c>
      <c r="Y27" s="440">
        <f t="shared" si="42"/>
        <v>-2.7</v>
      </c>
      <c r="Z27" s="876">
        <f>SUM(Z14+Z15+Z16+Z20+Z26)</f>
        <v>10738</v>
      </c>
      <c r="AA27" s="744">
        <f>SUM(AA14+AA15+AA16+AA20+AA26)</f>
        <v>11096</v>
      </c>
      <c r="AB27" s="440">
        <f t="shared" si="33"/>
        <v>3.3</v>
      </c>
      <c r="AC27" s="876"/>
      <c r="AD27" s="744"/>
      <c r="AE27" s="440"/>
      <c r="AF27" s="876">
        <f>SUM(AF14+AF15+AF16+AF20+AF26)</f>
        <v>6092.3720000000003</v>
      </c>
      <c r="AG27" s="744">
        <f>SUM(AG14+AG15+AG16+AG20+AG26)</f>
        <v>6012.0820000000003</v>
      </c>
      <c r="AH27" s="440">
        <f t="shared" si="34"/>
        <v>-1.3</v>
      </c>
      <c r="AI27" s="876">
        <f>SUM(AI14+AI15+AI16+AI20+AI26)</f>
        <v>36339.800000000003</v>
      </c>
      <c r="AJ27" s="906">
        <f>SUM(AJ14+AJ15+AJ16+AJ20+AJ26)</f>
        <v>34933</v>
      </c>
      <c r="AK27" s="440">
        <f t="shared" si="35"/>
        <v>-3.9</v>
      </c>
      <c r="AL27" s="103"/>
      <c r="AM27" s="744">
        <f>SUM(AM14+AM15+AM16+AM20+AM26)</f>
        <v>8</v>
      </c>
      <c r="AN27" s="440" t="str">
        <f t="shared" ref="AN27:AN28" si="45">IF(AL27=0, "    ---- ", IF(ABS(ROUND(100/AL27*AM27-100,1))&lt;999,ROUND(100/AL27*AM27-100,1),IF(ROUND(100/AL27*AM27-100,1)&gt;999,999,-999)))</f>
        <v xml:space="preserve">    ---- </v>
      </c>
      <c r="AO27" s="744">
        <f t="shared" si="36"/>
        <v>145033.07313253</v>
      </c>
      <c r="AP27" s="744">
        <f t="shared" si="36"/>
        <v>143795.64430821998</v>
      </c>
      <c r="AQ27" s="440">
        <f t="shared" si="28"/>
        <v>-0.9</v>
      </c>
      <c r="AR27" s="744">
        <f t="shared" si="37"/>
        <v>145033.07313253</v>
      </c>
      <c r="AS27" s="744">
        <f t="shared" si="37"/>
        <v>143803.64430821998</v>
      </c>
      <c r="AT27" s="440">
        <f t="shared" si="29"/>
        <v>-0.8</v>
      </c>
    </row>
    <row r="28" spans="1:46" s="453" customFormat="1" ht="20.100000000000001" customHeight="1" x14ac:dyDescent="0.3">
      <c r="A28" s="813" t="s">
        <v>197</v>
      </c>
      <c r="B28" s="876">
        <f>1072.296-865.115</f>
        <v>207.18100000000004</v>
      </c>
      <c r="C28" s="440">
        <f>22.174325+127.951532280001+0.02891</f>
        <v>150.15476728000101</v>
      </c>
      <c r="D28" s="440">
        <f>IF(B28=0, "    ---- ", IF(ABS(ROUND(100/B28*C28-100,1))&lt;999,ROUND(100/B28*C28-100,1),IF(ROUND(100/B28*C28-100,1)&gt;999,999,-999)))</f>
        <v>-27.5</v>
      </c>
      <c r="E28" s="876">
        <v>1533.47139836</v>
      </c>
      <c r="F28" s="440">
        <v>806.42700000000002</v>
      </c>
      <c r="G28" s="440">
        <f t="shared" si="30"/>
        <v>-47.4</v>
      </c>
      <c r="H28" s="876">
        <v>1172.6597665200002</v>
      </c>
      <c r="I28" s="440">
        <v>1050.5662094999998</v>
      </c>
      <c r="J28" s="440">
        <f>IF(H28=0, "    ---- ", IF(ABS(ROUND(100/H28*I28-100,1))&lt;999,ROUND(100/H28*I28-100,1),IF(ROUND(100/H28*I28-100,1)&gt;999,999,-999)))</f>
        <v>-10.4</v>
      </c>
      <c r="K28" s="876">
        <v>96.534999999999997</v>
      </c>
      <c r="L28" s="440">
        <v>115.05500000000001</v>
      </c>
      <c r="M28" s="440">
        <f t="shared" si="41"/>
        <v>19.2</v>
      </c>
      <c r="N28" s="876">
        <v>361.6</v>
      </c>
      <c r="O28" s="744">
        <v>351.2</v>
      </c>
      <c r="P28" s="744">
        <f t="shared" si="40"/>
        <v>-2.9</v>
      </c>
      <c r="Q28" s="876">
        <v>167.887</v>
      </c>
      <c r="R28" s="753">
        <v>156.19</v>
      </c>
      <c r="S28" s="440">
        <f t="shared" ref="S28" si="46">IF(Q28=0, "    ---- ", IF(ABS(ROUND(100/Q28*R28-100,1))&lt;999,ROUND(100/Q28*R28-100,1),IF(ROUND(100/Q28*R28-100,1)&gt;999,999,-999)))</f>
        <v>-7</v>
      </c>
      <c r="T28" s="876">
        <v>3902.74131463</v>
      </c>
      <c r="U28" s="744">
        <v>4148.0563603499995</v>
      </c>
      <c r="V28" s="440">
        <f t="shared" si="27"/>
        <v>6.3</v>
      </c>
      <c r="W28" s="876">
        <v>1152.3399999999999</v>
      </c>
      <c r="X28" s="744">
        <v>1309.52</v>
      </c>
      <c r="Y28" s="440">
        <f t="shared" si="42"/>
        <v>13.6</v>
      </c>
      <c r="Z28" s="876">
        <f>40+1161+23+60</f>
        <v>1284</v>
      </c>
      <c r="AA28" s="744">
        <f>70+120+835+24+1</f>
        <v>1050</v>
      </c>
      <c r="AB28" s="440">
        <f t="shared" si="33"/>
        <v>-18.2</v>
      </c>
      <c r="AC28" s="876">
        <v>110.59699999999999</v>
      </c>
      <c r="AD28" s="744">
        <v>103.027</v>
      </c>
      <c r="AE28" s="440">
        <f>IF(AC28=0, "    ---- ", IF(ABS(ROUND(100/AC28*AD28-100,1))&lt;999,ROUND(100/AC28*AD28-100,1),IF(ROUND(100/AC28*AD28-100,1)&gt;999,999,-999)))</f>
        <v>-6.8</v>
      </c>
      <c r="AF28" s="876">
        <v>665.34900000000005</v>
      </c>
      <c r="AG28" s="744">
        <v>803.41</v>
      </c>
      <c r="AH28" s="440">
        <f t="shared" si="34"/>
        <v>20.8</v>
      </c>
      <c r="AI28" s="876">
        <f>455+7430+1796+40</f>
        <v>9721</v>
      </c>
      <c r="AJ28" s="906">
        <f>4258+2329+24+431</f>
        <v>7042</v>
      </c>
      <c r="AK28" s="440">
        <f t="shared" si="35"/>
        <v>-27.6</v>
      </c>
      <c r="AL28" s="103"/>
      <c r="AM28" s="744">
        <v>6</v>
      </c>
      <c r="AN28" s="440" t="str">
        <f t="shared" si="45"/>
        <v xml:space="preserve">    ---- </v>
      </c>
      <c r="AO28" s="744">
        <f t="shared" si="36"/>
        <v>20096.87747951</v>
      </c>
      <c r="AP28" s="744">
        <f t="shared" si="36"/>
        <v>16826.38933713</v>
      </c>
      <c r="AQ28" s="440">
        <f t="shared" si="28"/>
        <v>-16.3</v>
      </c>
      <c r="AR28" s="744">
        <f t="shared" si="37"/>
        <v>20375.36147951</v>
      </c>
      <c r="AS28" s="744">
        <f t="shared" si="37"/>
        <v>17091.606337130001</v>
      </c>
      <c r="AT28" s="440">
        <f t="shared" si="29"/>
        <v>-16.100000000000001</v>
      </c>
    </row>
    <row r="29" spans="1:46" s="453" customFormat="1" ht="20.100000000000001" customHeight="1" x14ac:dyDescent="0.3">
      <c r="A29" s="813" t="s">
        <v>198</v>
      </c>
      <c r="B29" s="876">
        <f>SUM(B27+B28)</f>
        <v>1072.296</v>
      </c>
      <c r="C29" s="440">
        <f>SUM(C27+C28)</f>
        <v>1031.3095865300011</v>
      </c>
      <c r="D29" s="440">
        <f>IF(B29=0, "    ---- ", IF(ABS(ROUND(100/B29*C29-100,1))&lt;999,ROUND(100/B29*C29-100,1),IF(ROUND(100/B29*C29-100,1)&gt;999,999,-999)))</f>
        <v>-3.8</v>
      </c>
      <c r="E29" s="876">
        <f>SUM(E27+E28)</f>
        <v>35512.64738807</v>
      </c>
      <c r="F29" s="440">
        <f>SUM(F27+F28)</f>
        <v>33186.729904910004</v>
      </c>
      <c r="G29" s="440">
        <f>IF(E29=0, "    ---- ", IF(ABS(ROUND(100/E29*F29-100,1))&lt;999,ROUND(100/E29*F29-100,1),IF(ROUND(100/E29*F29-100,1)&gt;999,999,-999)))</f>
        <v>-6.5</v>
      </c>
      <c r="H29" s="876">
        <f>SUM(H27+H28)</f>
        <v>3803.4617723800011</v>
      </c>
      <c r="I29" s="440">
        <f>SUM(I27+I28)</f>
        <v>3717.7070486599991</v>
      </c>
      <c r="J29" s="440">
        <f>IF(H29=0, "    ---- ", IF(ABS(ROUND(100/H29*I29-100,1))&lt;999,ROUND(100/H29*I29-100,1),IF(ROUND(100/H29*I29-100,1)&gt;999,999,-999)))</f>
        <v>-2.2999999999999998</v>
      </c>
      <c r="K29" s="876">
        <f>SUM(K27+K28)</f>
        <v>580.30999999999995</v>
      </c>
      <c r="L29" s="440">
        <f>SUM(L27+L28)</f>
        <v>498.37900000000008</v>
      </c>
      <c r="M29" s="440">
        <f>IF(K29=0, "    ---- ", IF(ABS(ROUND(100/K29*L29-100,1))&lt;999,ROUND(100/K29*L29-100,1),IF(ROUND(100/K29*L29-100,1)&gt;999,999,-999)))</f>
        <v>-14.1</v>
      </c>
      <c r="N29" s="888">
        <f>SUM(N27+N28)</f>
        <v>1685.6999999999998</v>
      </c>
      <c r="O29" s="440">
        <f>SUM(O27+O28)</f>
        <v>1734.4</v>
      </c>
      <c r="P29" s="440">
        <f>IF(N29=0, "    ---- ", IF(ABS(ROUND(100/N29*O29-100,1))&lt;999,ROUND(100/N29*O29-100,1),IF(ROUND(100/N29*O29-100,1)&gt;999,999,-999)))</f>
        <v>2.9</v>
      </c>
      <c r="Q29" s="876">
        <f>SUM(Q27+Q28)</f>
        <v>167.887</v>
      </c>
      <c r="R29" s="440">
        <f>SUM(R27+R28)</f>
        <v>156.19</v>
      </c>
      <c r="S29" s="440">
        <f>IF(Q29=0, "    ---- ", IF(ABS(ROUND(100/Q29*R29-100,1))&lt;999,ROUND(100/Q29*R29-100,1),IF(ROUND(100/Q29*R29-100,1)&gt;999,999,-999)))</f>
        <v>-7</v>
      </c>
      <c r="T29" s="876">
        <v>45268.474451590002</v>
      </c>
      <c r="U29" s="440">
        <v>47292.056105249998</v>
      </c>
      <c r="V29" s="440">
        <f>IF(T29=0, "    ---- ", IF(ABS(ROUND(100/T29*U29-100,1))&lt;999,ROUND(100/T29*U29-100,1),IF(ROUND(100/T29*U29-100,1)&gt;999,999,-999)))</f>
        <v>4.5</v>
      </c>
      <c r="W29" s="876">
        <f>SUM(W27+W28)</f>
        <v>12366.54</v>
      </c>
      <c r="X29" s="440">
        <f>SUM(X27+X28)</f>
        <v>12224.960000000001</v>
      </c>
      <c r="Y29" s="440">
        <f>IF(W29=0, "    ---- ", IF(ABS(ROUND(100/W29*X29-100,1))&lt;999,ROUND(100/W29*X29-100,1),IF(ROUND(100/W29*X29-100,1)&gt;999,999,-999)))</f>
        <v>-1.1000000000000001</v>
      </c>
      <c r="Z29" s="876">
        <f>SUM(Z27+Z28)</f>
        <v>12022</v>
      </c>
      <c r="AA29" s="440">
        <f>SUM(AA27+AA28)</f>
        <v>12146</v>
      </c>
      <c r="AB29" s="440">
        <f>IF(Z29=0, "    ---- ", IF(ABS(ROUND(100/Z29*AA29-100,1))&lt;999,ROUND(100/Z29*AA29-100,1),IF(ROUND(100/Z29*AA29-100,1)&gt;999,999,-999)))</f>
        <v>1</v>
      </c>
      <c r="AC29" s="876">
        <f>SUM(AC27+AC28)</f>
        <v>110.59699999999999</v>
      </c>
      <c r="AD29" s="440">
        <f>SUM(AD27+AD28)</f>
        <v>103.027</v>
      </c>
      <c r="AE29" s="440">
        <f>IF(AC29=0, "    ---- ", IF(ABS(ROUND(100/AC29*AD29-100,1))&lt;999,ROUND(100/AC29*AD29-100,1),IF(ROUND(100/AC29*AD29-100,1)&gt;999,999,-999)))</f>
        <v>-6.8</v>
      </c>
      <c r="AF29" s="876">
        <f>SUM(AF27+AF28)</f>
        <v>6757.7210000000005</v>
      </c>
      <c r="AG29" s="440">
        <f>SUM(AG27+AG28)</f>
        <v>6815.4920000000002</v>
      </c>
      <c r="AH29" s="440">
        <f>IF(AF29=0, "    ---- ", IF(ABS(ROUND(100/AF29*AG29-100,1))&lt;999,ROUND(100/AF29*AG29-100,1),IF(ROUND(100/AF29*AG29-100,1)&gt;999,999,-999)))</f>
        <v>0.9</v>
      </c>
      <c r="AI29" s="876">
        <f>SUM(AI27+AI28)</f>
        <v>46060.800000000003</v>
      </c>
      <c r="AJ29" s="902">
        <f>SUM(AJ27+AJ28)</f>
        <v>41975</v>
      </c>
      <c r="AK29" s="440">
        <f>IF(AI29=0, "    ---- ", IF(ABS(ROUND(100/AI29*AJ29-100,1))&lt;999,ROUND(100/AI29*AJ29-100,1),IF(ROUND(100/AI29*AJ29-100,1)&gt;999,999,-999)))</f>
        <v>-8.9</v>
      </c>
      <c r="AL29" s="195"/>
      <c r="AM29" s="440">
        <f>SUM(AM27+AM28)</f>
        <v>14</v>
      </c>
      <c r="AN29" s="440" t="str">
        <f>IF(AL29=0, "    ---- ", IF(ABS(ROUND(100/AL29*AM29-100,1))&lt;999,ROUND(100/AL29*AM29-100,1),IF(ROUND(100/AL29*AM29-100,1)&gt;999,999,-999)))</f>
        <v xml:space="preserve">    ---- </v>
      </c>
      <c r="AO29" s="744">
        <f t="shared" si="36"/>
        <v>165129.95061204</v>
      </c>
      <c r="AP29" s="744">
        <f t="shared" si="36"/>
        <v>160622.03364535002</v>
      </c>
      <c r="AQ29" s="440">
        <f>IF(AO29=0, "    ---- ", IF(ABS(ROUND(100/AO29*AP29-100,1))&lt;999,ROUND(100/AO29*AP29-100,1),IF(ROUND(100/AO29*AP29-100,1)&gt;999,999,-999)))</f>
        <v>-2.7</v>
      </c>
      <c r="AR29" s="744">
        <f t="shared" si="37"/>
        <v>165408.43461204</v>
      </c>
      <c r="AS29" s="744">
        <f t="shared" si="37"/>
        <v>160895.25064535002</v>
      </c>
      <c r="AT29" s="853">
        <f t="shared" si="29"/>
        <v>-2.7</v>
      </c>
    </row>
    <row r="30" spans="1:46" s="453" customFormat="1" ht="20.100000000000001" customHeight="1" x14ac:dyDescent="0.3">
      <c r="A30" s="813"/>
      <c r="B30" s="874"/>
      <c r="C30" s="435"/>
      <c r="D30" s="440"/>
      <c r="E30" s="874"/>
      <c r="F30" s="435"/>
      <c r="G30" s="440"/>
      <c r="H30" s="874"/>
      <c r="I30" s="435"/>
      <c r="J30" s="440"/>
      <c r="K30" s="874"/>
      <c r="L30" s="435"/>
      <c r="M30" s="440"/>
      <c r="N30" s="874"/>
      <c r="O30" s="440"/>
      <c r="P30" s="435"/>
      <c r="Q30" s="874"/>
      <c r="R30" s="435"/>
      <c r="S30" s="340"/>
      <c r="T30" s="874"/>
      <c r="U30" s="435"/>
      <c r="V30" s="340"/>
      <c r="W30" s="874"/>
      <c r="X30" s="435"/>
      <c r="Y30" s="340"/>
      <c r="Z30" s="874"/>
      <c r="AA30" s="435"/>
      <c r="AB30" s="340"/>
      <c r="AC30" s="874"/>
      <c r="AD30" s="435"/>
      <c r="AE30" s="340"/>
      <c r="AF30" s="874"/>
      <c r="AG30" s="435"/>
      <c r="AH30" s="340"/>
      <c r="AI30" s="874"/>
      <c r="AJ30" s="900"/>
      <c r="AK30" s="340"/>
      <c r="AL30" s="822"/>
      <c r="AM30" s="435"/>
      <c r="AN30" s="340"/>
      <c r="AO30" s="435"/>
      <c r="AP30" s="435"/>
      <c r="AQ30" s="340"/>
      <c r="AR30" s="435"/>
      <c r="AS30" s="435"/>
      <c r="AT30" s="441"/>
    </row>
    <row r="31" spans="1:46" s="453" customFormat="1" ht="20.100000000000001" customHeight="1" x14ac:dyDescent="0.3">
      <c r="A31" s="830" t="s">
        <v>199</v>
      </c>
      <c r="B31" s="876"/>
      <c r="C31" s="440"/>
      <c r="D31" s="440"/>
      <c r="E31" s="876"/>
      <c r="F31" s="440"/>
      <c r="G31" s="440"/>
      <c r="H31" s="876"/>
      <c r="I31" s="440"/>
      <c r="J31" s="440"/>
      <c r="K31" s="876"/>
      <c r="L31" s="440"/>
      <c r="M31" s="440"/>
      <c r="N31" s="876"/>
      <c r="O31" s="440"/>
      <c r="P31" s="435"/>
      <c r="Q31" s="876"/>
      <c r="R31" s="440"/>
      <c r="S31" s="340"/>
      <c r="T31" s="876"/>
      <c r="U31" s="440"/>
      <c r="V31" s="340"/>
      <c r="W31" s="876"/>
      <c r="X31" s="440"/>
      <c r="Y31" s="340"/>
      <c r="Z31" s="876"/>
      <c r="AA31" s="440"/>
      <c r="AB31" s="340"/>
      <c r="AC31" s="876"/>
      <c r="AD31" s="440"/>
      <c r="AE31" s="340"/>
      <c r="AF31" s="876"/>
      <c r="AG31" s="440"/>
      <c r="AH31" s="340"/>
      <c r="AI31" s="876"/>
      <c r="AJ31" s="902"/>
      <c r="AK31" s="340"/>
      <c r="AL31" s="195"/>
      <c r="AM31" s="440"/>
      <c r="AN31" s="340"/>
      <c r="AO31" s="435"/>
      <c r="AP31" s="435"/>
      <c r="AQ31" s="340"/>
      <c r="AR31" s="435"/>
      <c r="AS31" s="435"/>
      <c r="AT31" s="441"/>
    </row>
    <row r="32" spans="1:46" s="453" customFormat="1" ht="20.100000000000001" customHeight="1" x14ac:dyDescent="0.3">
      <c r="A32" s="830" t="s">
        <v>200</v>
      </c>
      <c r="B32" s="876"/>
      <c r="C32" s="440"/>
      <c r="D32" s="340"/>
      <c r="E32" s="876"/>
      <c r="F32" s="440"/>
      <c r="G32" s="340"/>
      <c r="H32" s="876"/>
      <c r="I32" s="440"/>
      <c r="J32" s="340"/>
      <c r="K32" s="876"/>
      <c r="L32" s="440"/>
      <c r="M32" s="340"/>
      <c r="N32" s="876"/>
      <c r="O32" s="440"/>
      <c r="P32" s="435"/>
      <c r="Q32" s="876"/>
      <c r="R32" s="440"/>
      <c r="S32" s="340"/>
      <c r="T32" s="876"/>
      <c r="U32" s="440"/>
      <c r="V32" s="340"/>
      <c r="W32" s="876"/>
      <c r="X32" s="440"/>
      <c r="Y32" s="340"/>
      <c r="Z32" s="876"/>
      <c r="AA32" s="440"/>
      <c r="AB32" s="340"/>
      <c r="AC32" s="876"/>
      <c r="AD32" s="440"/>
      <c r="AE32" s="340"/>
      <c r="AF32" s="876"/>
      <c r="AG32" s="440"/>
      <c r="AH32" s="340"/>
      <c r="AI32" s="876"/>
      <c r="AJ32" s="902"/>
      <c r="AK32" s="340"/>
      <c r="AL32" s="195"/>
      <c r="AM32" s="440"/>
      <c r="AN32" s="340"/>
      <c r="AO32" s="435"/>
      <c r="AP32" s="435"/>
      <c r="AQ32" s="340"/>
      <c r="AR32" s="435"/>
      <c r="AS32" s="435"/>
      <c r="AT32" s="441"/>
    </row>
    <row r="33" spans="1:46" s="453" customFormat="1" ht="20.100000000000001" customHeight="1" x14ac:dyDescent="0.3">
      <c r="A33" s="813" t="s">
        <v>201</v>
      </c>
      <c r="B33" s="876"/>
      <c r="C33" s="440"/>
      <c r="D33" s="440"/>
      <c r="E33" s="876">
        <v>19.31040771</v>
      </c>
      <c r="F33" s="440">
        <v>14.22554581</v>
      </c>
      <c r="G33" s="440">
        <f t="shared" ref="G33:G93" si="47">IF(E33=0, "    ---- ", IF(ABS(ROUND(100/E33*F33-100,1))&lt;999,ROUND(100/E33*F33-100,1),IF(ROUND(100/E33*F33-100,1)&gt;999,999,-999)))</f>
        <v>-26.3</v>
      </c>
      <c r="H33" s="876"/>
      <c r="I33" s="440"/>
      <c r="J33" s="440"/>
      <c r="K33" s="876"/>
      <c r="L33" s="440"/>
      <c r="M33" s="440"/>
      <c r="N33" s="876"/>
      <c r="O33" s="440"/>
      <c r="P33" s="435"/>
      <c r="Q33" s="876"/>
      <c r="R33" s="440"/>
      <c r="S33" s="340"/>
      <c r="T33" s="876"/>
      <c r="U33" s="440"/>
      <c r="V33" s="340"/>
      <c r="W33" s="876"/>
      <c r="X33" s="440"/>
      <c r="Y33" s="340"/>
      <c r="Z33" s="876"/>
      <c r="AA33" s="440"/>
      <c r="AB33" s="340"/>
      <c r="AC33" s="876"/>
      <c r="AD33" s="440"/>
      <c r="AE33" s="340"/>
      <c r="AF33" s="876"/>
      <c r="AG33" s="440"/>
      <c r="AH33" s="340"/>
      <c r="AI33" s="876"/>
      <c r="AJ33" s="902"/>
      <c r="AK33" s="340"/>
      <c r="AL33" s="195"/>
      <c r="AM33" s="440"/>
      <c r="AN33" s="340"/>
      <c r="AO33" s="744">
        <f t="shared" ref="AO33:AP46" si="48">B33+E33+H33+K33+N33+T33+W33+Z33+AF33+AI33</f>
        <v>19.31040771</v>
      </c>
      <c r="AP33" s="744">
        <f t="shared" si="48"/>
        <v>14.22554581</v>
      </c>
      <c r="AQ33" s="340">
        <f t="shared" ref="AQ33:AQ93" si="49">IF(AO33=0, "    ---- ", IF(ABS(ROUND(100/AO33*AP33-100,1))&lt;999,ROUND(100/AO33*AP33-100,1),IF(ROUND(100/AO33*AP33-100,1)&gt;999,999,-999)))</f>
        <v>-26.3</v>
      </c>
      <c r="AR33" s="744">
        <f t="shared" ref="AR33:AS46" si="50">B33+E33+H33+K33+N33+Q33+T33+W33+Z33+AC33+AF33+AI33+AL33</f>
        <v>19.31040771</v>
      </c>
      <c r="AS33" s="744">
        <f t="shared" si="50"/>
        <v>14.22554581</v>
      </c>
      <c r="AT33" s="441">
        <f t="shared" ref="AT33:AT93" si="51">IF(AR33=0, "    ---- ", IF(ABS(ROUND(100/AR33*AS33-100,1))&lt;999,ROUND(100/AR33*AS33-100,1),IF(ROUND(100/AR33*AS33-100,1)&gt;999,999,-999)))</f>
        <v>-26.3</v>
      </c>
    </row>
    <row r="34" spans="1:46" s="453" customFormat="1" ht="20.100000000000001" customHeight="1" x14ac:dyDescent="0.3">
      <c r="A34" s="813" t="s">
        <v>202</v>
      </c>
      <c r="B34" s="876"/>
      <c r="C34" s="440"/>
      <c r="D34" s="440"/>
      <c r="E34" s="876">
        <v>29021.481678959997</v>
      </c>
      <c r="F34" s="440">
        <v>30094.905999999999</v>
      </c>
      <c r="G34" s="440">
        <f t="shared" si="47"/>
        <v>3.7</v>
      </c>
      <c r="H34" s="876">
        <v>432.90472782000001</v>
      </c>
      <c r="I34" s="440">
        <v>441.41160638999997</v>
      </c>
      <c r="J34" s="440">
        <f t="shared" ref="J34:J38" si="52">IF(H34=0, "    ---- ", IF(ABS(ROUND(100/H34*I34-100,1))&lt;999,ROUND(100/H34*I34-100,1),IF(ROUND(100/H34*I34-100,1)&gt;999,999,-999)))</f>
        <v>2</v>
      </c>
      <c r="K34" s="876"/>
      <c r="L34" s="440"/>
      <c r="M34" s="440"/>
      <c r="N34" s="876">
        <v>1194.3</v>
      </c>
      <c r="O34" s="440">
        <v>756.2</v>
      </c>
      <c r="P34" s="435">
        <f>IF(N34=0, "    ---- ", IF(ABS(ROUND(100/N34*O34-100,1))&lt;999,ROUND(100/N34*O34-100,1),IF(ROUND(100/N34*O34-100,1)&gt;999,999,-999)))</f>
        <v>-36.700000000000003</v>
      </c>
      <c r="Q34" s="876"/>
      <c r="R34" s="440"/>
      <c r="S34" s="340"/>
      <c r="T34" s="876">
        <v>87688.709305249999</v>
      </c>
      <c r="U34" s="440">
        <v>92332.074649329996</v>
      </c>
      <c r="V34" s="340">
        <f>IF(T34=0, "    ---- ", IF(ABS(ROUND(100/T34*U34-100,1))&lt;999,ROUND(100/T34*U34-100,1),IF(ROUND(100/T34*U34-100,1)&gt;999,999,-999)))</f>
        <v>5.3</v>
      </c>
      <c r="W34" s="876">
        <v>7893.9</v>
      </c>
      <c r="X34" s="440">
        <v>7363.5532253900001</v>
      </c>
      <c r="Y34" s="340">
        <f t="shared" ref="Y34:Y93" si="53">IF(W34=0, "    ---- ", IF(ABS(ROUND(100/W34*X34-100,1))&lt;999,ROUND(100/W34*X34-100,1),IF(ROUND(100/W34*X34-100,1)&gt;999,999,-999)))</f>
        <v>-6.7</v>
      </c>
      <c r="Z34" s="876">
        <f>14562+7791</f>
        <v>22353</v>
      </c>
      <c r="AA34" s="440">
        <v>20651</v>
      </c>
      <c r="AB34" s="340">
        <f t="shared" ref="AB34:AB42" si="54">IF(Z34=0, "    ---- ", IF(ABS(ROUND(100/Z34*AA34-100,1))&lt;999,ROUND(100/Z34*AA34-100,1),IF(ROUND(100/Z34*AA34-100,1)&gt;999,999,-999)))</f>
        <v>-7.6</v>
      </c>
      <c r="AC34" s="876"/>
      <c r="AD34" s="440"/>
      <c r="AE34" s="340"/>
      <c r="AF34" s="876">
        <v>6003.884</v>
      </c>
      <c r="AG34" s="440">
        <v>5674.76</v>
      </c>
      <c r="AH34" s="340">
        <f t="shared" ref="AH34:AH93" si="55">IF(AF34=0, "    ---- ", IF(ABS(ROUND(100/AF34*AG34-100,1))&lt;999,ROUND(100/AF34*AG34-100,1),IF(ROUND(100/AF34*AG34-100,1)&gt;999,999,-999)))</f>
        <v>-5.5</v>
      </c>
      <c r="AI34" s="876">
        <v>22325</v>
      </c>
      <c r="AJ34" s="902">
        <v>23921</v>
      </c>
      <c r="AK34" s="340">
        <f t="shared" ref="AK34:AK93" si="56">IF(AI34=0, "    ---- ", IF(ABS(ROUND(100/AI34*AJ34-100,1))&lt;999,ROUND(100/AI34*AJ34-100,1),IF(ROUND(100/AI34*AJ34-100,1)&gt;999,999,-999)))</f>
        <v>7.1</v>
      </c>
      <c r="AL34" s="195"/>
      <c r="AM34" s="440"/>
      <c r="AN34" s="340"/>
      <c r="AO34" s="744">
        <f t="shared" si="48"/>
        <v>176913.17971202999</v>
      </c>
      <c r="AP34" s="744">
        <f t="shared" si="48"/>
        <v>181234.90548111001</v>
      </c>
      <c r="AQ34" s="340">
        <f t="shared" si="49"/>
        <v>2.4</v>
      </c>
      <c r="AR34" s="744">
        <f t="shared" si="50"/>
        <v>176913.17971202999</v>
      </c>
      <c r="AS34" s="744">
        <f t="shared" si="50"/>
        <v>181234.90548111001</v>
      </c>
      <c r="AT34" s="441">
        <f t="shared" si="51"/>
        <v>2.4</v>
      </c>
    </row>
    <row r="35" spans="1:46" s="453" customFormat="1" ht="20.100000000000001" customHeight="1" x14ac:dyDescent="0.3">
      <c r="A35" s="813" t="s">
        <v>203</v>
      </c>
      <c r="B35" s="876"/>
      <c r="C35" s="440"/>
      <c r="D35" s="440"/>
      <c r="E35" s="876">
        <f>SUM(E36+E38)</f>
        <v>96865.451923680012</v>
      </c>
      <c r="F35" s="440">
        <f>SUM(F36+F38)</f>
        <v>112942.21333023999</v>
      </c>
      <c r="G35" s="440">
        <f t="shared" si="47"/>
        <v>16.600000000000001</v>
      </c>
      <c r="H35" s="876">
        <f>SUM(H36+H38)</f>
        <v>675.89030963999994</v>
      </c>
      <c r="I35" s="440">
        <f>SUM(I36+I38)</f>
        <v>1235.6316353299999</v>
      </c>
      <c r="J35" s="440">
        <f t="shared" si="52"/>
        <v>82.8</v>
      </c>
      <c r="K35" s="876">
        <f>SUM(K36+K38)</f>
        <v>259.35700000000003</v>
      </c>
      <c r="L35" s="440">
        <f>SUM(L36+L38)</f>
        <v>436.93400000000003</v>
      </c>
      <c r="M35" s="440">
        <f t="shared" ref="M35:M37" si="57">IF(K35=0, "    ---- ", IF(ABS(ROUND(100/K35*L35-100,1))&lt;999,ROUND(100/K35*L35-100,1),IF(ROUND(100/K35*L35-100,1)&gt;999,999,-999)))</f>
        <v>68.5</v>
      </c>
      <c r="N35" s="876">
        <f>SUM(N36+N38)</f>
        <v>5619.9</v>
      </c>
      <c r="O35" s="440">
        <f>SUM(O36+O38)</f>
        <v>7090.1</v>
      </c>
      <c r="P35" s="435">
        <f>IF(N35=0, "    ---- ", IF(ABS(ROUND(100/N35*O35-100,1))&lt;999,ROUND(100/N35*O35-100,1),IF(ROUND(100/N35*O35-100,1)&gt;999,999,-999)))</f>
        <v>26.2</v>
      </c>
      <c r="Q35" s="876"/>
      <c r="R35" s="440"/>
      <c r="S35" s="340"/>
      <c r="T35" s="876">
        <v>259607.65022759998</v>
      </c>
      <c r="U35" s="440">
        <v>267450.67308927001</v>
      </c>
      <c r="V35" s="340">
        <f>IF(T35=0, "    ---- ", IF(ABS(ROUND(100/T35*U35-100,1))&lt;999,ROUND(100/T35*U35-100,1),IF(ROUND(100/T35*U35-100,1)&gt;999,999,-999)))</f>
        <v>3</v>
      </c>
      <c r="W35" s="876">
        <f>SUM(W36+W38)</f>
        <v>33674.870000000003</v>
      </c>
      <c r="X35" s="440">
        <f>SUM(X36+X38)</f>
        <v>38076.998127059996</v>
      </c>
      <c r="Y35" s="340">
        <f t="shared" si="53"/>
        <v>13.1</v>
      </c>
      <c r="Z35" s="876">
        <f>SUM(Z36+Z38)</f>
        <v>26648</v>
      </c>
      <c r="AA35" s="440">
        <f>SUM(AA36+AA38)</f>
        <v>27528</v>
      </c>
      <c r="AB35" s="340">
        <f t="shared" si="54"/>
        <v>3.3</v>
      </c>
      <c r="AC35" s="876"/>
      <c r="AD35" s="440"/>
      <c r="AE35" s="340"/>
      <c r="AF35" s="876">
        <f>SUM(AF36+AF38)</f>
        <v>7866.134</v>
      </c>
      <c r="AG35" s="440">
        <f>SUM(AG36+AG38)</f>
        <v>9629.875</v>
      </c>
      <c r="AH35" s="340">
        <f t="shared" si="55"/>
        <v>22.4</v>
      </c>
      <c r="AI35" s="876">
        <f>SUM(AI36+AI38)</f>
        <v>138160.20000000001</v>
      </c>
      <c r="AJ35" s="902">
        <f>SUM(AJ36+AJ38)</f>
        <v>141418</v>
      </c>
      <c r="AK35" s="340">
        <f t="shared" si="56"/>
        <v>2.4</v>
      </c>
      <c r="AL35" s="195"/>
      <c r="AM35" s="440"/>
      <c r="AN35" s="340"/>
      <c r="AO35" s="744">
        <f t="shared" si="48"/>
        <v>569377.45346092002</v>
      </c>
      <c r="AP35" s="744">
        <f t="shared" si="48"/>
        <v>605808.42518190003</v>
      </c>
      <c r="AQ35" s="340">
        <f t="shared" si="49"/>
        <v>6.4</v>
      </c>
      <c r="AR35" s="744">
        <f t="shared" si="50"/>
        <v>569377.45346092002</v>
      </c>
      <c r="AS35" s="744">
        <f t="shared" si="50"/>
        <v>605808.42518190003</v>
      </c>
      <c r="AT35" s="441">
        <f t="shared" si="51"/>
        <v>6.4</v>
      </c>
    </row>
    <row r="36" spans="1:46" s="453" customFormat="1" ht="20.100000000000001" customHeight="1" x14ac:dyDescent="0.3">
      <c r="A36" s="813" t="s">
        <v>204</v>
      </c>
      <c r="B36" s="876"/>
      <c r="C36" s="440"/>
      <c r="D36" s="340"/>
      <c r="E36" s="876">
        <v>70654.646016820014</v>
      </c>
      <c r="F36" s="440">
        <v>94283.528584619999</v>
      </c>
      <c r="G36" s="340">
        <f t="shared" si="47"/>
        <v>33.4</v>
      </c>
      <c r="H36" s="876"/>
      <c r="I36" s="440"/>
      <c r="J36" s="440"/>
      <c r="K36" s="876">
        <v>259.35700000000003</v>
      </c>
      <c r="L36" s="440">
        <v>436.93400000000003</v>
      </c>
      <c r="M36" s="440">
        <f t="shared" si="57"/>
        <v>68.5</v>
      </c>
      <c r="N36" s="876"/>
      <c r="O36" s="440"/>
      <c r="P36" s="435"/>
      <c r="Q36" s="876"/>
      <c r="R36" s="440"/>
      <c r="S36" s="340"/>
      <c r="T36" s="876">
        <v>19185.468130549998</v>
      </c>
      <c r="U36" s="440">
        <v>17129.30387715</v>
      </c>
      <c r="V36" s="340">
        <f>IF(T36=0, "    ---- ", IF(ABS(ROUND(100/T36*U36-100,1))&lt;999,ROUND(100/T36*U36-100,1),IF(ROUND(100/T36*U36-100,1)&gt;999,999,-999)))</f>
        <v>-10.7</v>
      </c>
      <c r="W36" s="876">
        <v>0</v>
      </c>
      <c r="X36" s="440">
        <v>3.4000000000000003E-7</v>
      </c>
      <c r="Y36" s="340" t="str">
        <f t="shared" si="53"/>
        <v xml:space="preserve">    ---- </v>
      </c>
      <c r="Z36" s="876"/>
      <c r="AA36" s="440"/>
      <c r="AB36" s="340"/>
      <c r="AC36" s="876"/>
      <c r="AD36" s="440"/>
      <c r="AE36" s="340"/>
      <c r="AF36" s="876">
        <v>308.27800000000002</v>
      </c>
      <c r="AG36" s="440">
        <v>515.31399999999996</v>
      </c>
      <c r="AH36" s="340">
        <f t="shared" si="55"/>
        <v>67.2</v>
      </c>
      <c r="AI36" s="876">
        <v>8441.4</v>
      </c>
      <c r="AJ36" s="902">
        <v>7402</v>
      </c>
      <c r="AK36" s="340">
        <f t="shared" si="56"/>
        <v>-12.3</v>
      </c>
      <c r="AL36" s="195"/>
      <c r="AM36" s="440"/>
      <c r="AN36" s="340"/>
      <c r="AO36" s="744">
        <f t="shared" si="48"/>
        <v>98849.149147370015</v>
      </c>
      <c r="AP36" s="744">
        <f t="shared" si="48"/>
        <v>119767.08046211</v>
      </c>
      <c r="AQ36" s="340">
        <f t="shared" si="49"/>
        <v>21.2</v>
      </c>
      <c r="AR36" s="744">
        <f t="shared" si="50"/>
        <v>98849.149147370015</v>
      </c>
      <c r="AS36" s="744">
        <f t="shared" si="50"/>
        <v>119767.08046211</v>
      </c>
      <c r="AT36" s="441">
        <f t="shared" si="51"/>
        <v>21.2</v>
      </c>
    </row>
    <row r="37" spans="1:46" s="453" customFormat="1" ht="20.100000000000001" customHeight="1" x14ac:dyDescent="0.3">
      <c r="A37" s="813" t="s">
        <v>187</v>
      </c>
      <c r="B37" s="876"/>
      <c r="C37" s="440"/>
      <c r="D37" s="440"/>
      <c r="E37" s="876">
        <v>70654.646016820014</v>
      </c>
      <c r="F37" s="440">
        <v>94283.528584619999</v>
      </c>
      <c r="G37" s="440">
        <f t="shared" si="47"/>
        <v>33.4</v>
      </c>
      <c r="H37" s="876"/>
      <c r="I37" s="440"/>
      <c r="J37" s="440"/>
      <c r="K37" s="876">
        <v>259.35700000000003</v>
      </c>
      <c r="L37" s="440">
        <v>436.93400000000003</v>
      </c>
      <c r="M37" s="440">
        <f t="shared" si="57"/>
        <v>68.5</v>
      </c>
      <c r="N37" s="876"/>
      <c r="O37" s="440"/>
      <c r="P37" s="435"/>
      <c r="Q37" s="876"/>
      <c r="R37" s="440"/>
      <c r="S37" s="340"/>
      <c r="T37" s="876">
        <v>19185.468130549998</v>
      </c>
      <c r="U37" s="440">
        <v>17129.30387715</v>
      </c>
      <c r="V37" s="340">
        <f>IF(T37=0, "    ---- ", IF(ABS(ROUND(100/T37*U37-100,1))&lt;999,ROUND(100/T37*U37-100,1),IF(ROUND(100/T37*U37-100,1)&gt;999,999,-999)))</f>
        <v>-10.7</v>
      </c>
      <c r="W37" s="876">
        <v>0</v>
      </c>
      <c r="X37" s="440">
        <v>3.4000000000000003E-7</v>
      </c>
      <c r="Y37" s="340" t="str">
        <f t="shared" si="53"/>
        <v xml:space="preserve">    ---- </v>
      </c>
      <c r="Z37" s="876"/>
      <c r="AA37" s="440"/>
      <c r="AB37" s="340"/>
      <c r="AC37" s="876"/>
      <c r="AD37" s="440"/>
      <c r="AE37" s="340"/>
      <c r="AF37" s="876">
        <v>-8.4750354290008545E-13</v>
      </c>
      <c r="AG37" s="440">
        <v>209.79478125999913</v>
      </c>
      <c r="AH37" s="340">
        <f t="shared" si="55"/>
        <v>-999</v>
      </c>
      <c r="AI37" s="876">
        <v>8441.4</v>
      </c>
      <c r="AJ37" s="902">
        <v>7402</v>
      </c>
      <c r="AK37" s="340">
        <f t="shared" si="56"/>
        <v>-12.3</v>
      </c>
      <c r="AL37" s="195"/>
      <c r="AM37" s="440"/>
      <c r="AN37" s="340"/>
      <c r="AO37" s="744">
        <f t="shared" si="48"/>
        <v>98540.87114737001</v>
      </c>
      <c r="AP37" s="744">
        <f t="shared" si="48"/>
        <v>119461.56124337</v>
      </c>
      <c r="AQ37" s="340">
        <f t="shared" si="49"/>
        <v>21.2</v>
      </c>
      <c r="AR37" s="744">
        <f t="shared" si="50"/>
        <v>98540.87114737001</v>
      </c>
      <c r="AS37" s="744">
        <f t="shared" si="50"/>
        <v>119461.56124337</v>
      </c>
      <c r="AT37" s="441">
        <f t="shared" si="51"/>
        <v>21.2</v>
      </c>
    </row>
    <row r="38" spans="1:46" s="453" customFormat="1" ht="20.100000000000001" customHeight="1" x14ac:dyDescent="0.3">
      <c r="A38" s="813" t="s">
        <v>205</v>
      </c>
      <c r="B38" s="876"/>
      <c r="C38" s="440"/>
      <c r="D38" s="440"/>
      <c r="E38" s="876">
        <v>26210.805906860001</v>
      </c>
      <c r="F38" s="440">
        <v>18658.684745619998</v>
      </c>
      <c r="G38" s="440">
        <f t="shared" si="47"/>
        <v>-28.8</v>
      </c>
      <c r="H38" s="876">
        <v>675.89030963999994</v>
      </c>
      <c r="I38" s="440">
        <v>1235.6316353299999</v>
      </c>
      <c r="J38" s="440">
        <f t="shared" si="52"/>
        <v>82.8</v>
      </c>
      <c r="K38" s="876"/>
      <c r="L38" s="440"/>
      <c r="M38" s="440"/>
      <c r="N38" s="876">
        <v>5619.9</v>
      </c>
      <c r="O38" s="440">
        <v>7090.1</v>
      </c>
      <c r="P38" s="435">
        <f t="shared" ref="P38:P57" si="58">IF(N38=0, "    ---- ", IF(ABS(ROUND(100/N38*O38-100,1))&lt;999,ROUND(100/N38*O38-100,1),IF(ROUND(100/N38*O38-100,1)&gt;999,999,-999)))</f>
        <v>26.2</v>
      </c>
      <c r="Q38" s="876"/>
      <c r="R38" s="440"/>
      <c r="S38" s="340"/>
      <c r="T38" s="876">
        <v>240422.18209704998</v>
      </c>
      <c r="U38" s="440">
        <v>250321.36921211999</v>
      </c>
      <c r="V38" s="340">
        <f t="shared" ref="V38:V45" si="59">IF(T38=0, "    ---- ", IF(ABS(ROUND(100/T38*U38-100,1))&lt;999,ROUND(100/T38*U38-100,1),IF(ROUND(100/T38*U38-100,1)&gt;999,999,-999)))</f>
        <v>4.0999999999999996</v>
      </c>
      <c r="W38" s="876">
        <v>33674.870000000003</v>
      </c>
      <c r="X38" s="440">
        <v>38076.998126719998</v>
      </c>
      <c r="Y38" s="340">
        <f t="shared" si="53"/>
        <v>13.1</v>
      </c>
      <c r="Z38" s="876">
        <v>26648</v>
      </c>
      <c r="AA38" s="440">
        <f>363+27165</f>
        <v>27528</v>
      </c>
      <c r="AB38" s="340">
        <f t="shared" si="54"/>
        <v>3.3</v>
      </c>
      <c r="AC38" s="876"/>
      <c r="AD38" s="440"/>
      <c r="AE38" s="340"/>
      <c r="AF38" s="876">
        <v>7557.8559999999998</v>
      </c>
      <c r="AG38" s="440">
        <v>9114.5609999999997</v>
      </c>
      <c r="AH38" s="340">
        <f t="shared" si="55"/>
        <v>20.6</v>
      </c>
      <c r="AI38" s="876">
        <f>104974.5+22043+2701.3</f>
        <v>129718.8</v>
      </c>
      <c r="AJ38" s="902">
        <f>110220+17785+6011</f>
        <v>134016</v>
      </c>
      <c r="AK38" s="340">
        <f t="shared" si="56"/>
        <v>3.3</v>
      </c>
      <c r="AL38" s="195"/>
      <c r="AM38" s="440"/>
      <c r="AN38" s="340"/>
      <c r="AO38" s="744">
        <f t="shared" si="48"/>
        <v>470528.30431354995</v>
      </c>
      <c r="AP38" s="744">
        <f t="shared" si="48"/>
        <v>486041.34471978998</v>
      </c>
      <c r="AQ38" s="340">
        <f t="shared" si="49"/>
        <v>3.3</v>
      </c>
      <c r="AR38" s="744">
        <f t="shared" si="50"/>
        <v>470528.30431354995</v>
      </c>
      <c r="AS38" s="744">
        <f t="shared" si="50"/>
        <v>486041.34471978998</v>
      </c>
      <c r="AT38" s="441">
        <f t="shared" si="51"/>
        <v>3.3</v>
      </c>
    </row>
    <row r="39" spans="1:46" s="453" customFormat="1" ht="20.100000000000001" customHeight="1" x14ac:dyDescent="0.3">
      <c r="A39" s="813" t="s">
        <v>206</v>
      </c>
      <c r="B39" s="876">
        <f>SUM(B40:B44)</f>
        <v>1398.8030000000001</v>
      </c>
      <c r="C39" s="440">
        <f>SUM(C40:C44)</f>
        <v>1487.89881371</v>
      </c>
      <c r="D39" s="440">
        <f>IF(B39=0, "    ---- ", IF(ABS(ROUND(100/B39*C39-100,1))&lt;999,ROUND(100/B39*C39-100,1),IF(ROUND(100/B39*C39-100,1)&gt;999,999,-999)))</f>
        <v>6.4</v>
      </c>
      <c r="E39" s="876">
        <f>SUM(E40:E44)</f>
        <v>74272.362922400018</v>
      </c>
      <c r="F39" s="440">
        <f>SUM(F40:F44)</f>
        <v>56172.90300808</v>
      </c>
      <c r="G39" s="440">
        <f t="shared" si="47"/>
        <v>-24.4</v>
      </c>
      <c r="H39" s="876">
        <f>SUM(H40:H44)</f>
        <v>6385.7164686100023</v>
      </c>
      <c r="I39" s="440">
        <f>SUM(I40:I44)</f>
        <v>6396.7508596999996</v>
      </c>
      <c r="J39" s="440">
        <f>IF(H39=0, "    ---- ", IF(ABS(ROUND(100/H39*I39-100,1))&lt;999,ROUND(100/H39*I39-100,1),IF(ROUND(100/H39*I39-100,1)&gt;999,999,-999)))</f>
        <v>0.2</v>
      </c>
      <c r="K39" s="876">
        <f>SUM(K40:K44)</f>
        <v>997.09300000000007</v>
      </c>
      <c r="L39" s="440">
        <f>SUM(L40:L44)</f>
        <v>1031.499</v>
      </c>
      <c r="M39" s="440">
        <f t="shared" ref="M39:M46" si="60">IF(K39=0, "    ---- ", IF(ABS(ROUND(100/K39*L39-100,1))&lt;999,ROUND(100/K39*L39-100,1),IF(ROUND(100/K39*L39-100,1)&gt;999,999,-999)))</f>
        <v>3.5</v>
      </c>
      <c r="N39" s="876">
        <f>SUM(N40:N44)</f>
        <v>928.09999999999991</v>
      </c>
      <c r="O39" s="440">
        <f>SUM(O40:O44)</f>
        <v>403.29999999999995</v>
      </c>
      <c r="P39" s="435">
        <f t="shared" si="58"/>
        <v>-56.5</v>
      </c>
      <c r="Q39" s="876"/>
      <c r="R39" s="440"/>
      <c r="S39" s="340"/>
      <c r="T39" s="876">
        <v>311984.43664740998</v>
      </c>
      <c r="U39" s="440">
        <v>300583.67260817002</v>
      </c>
      <c r="V39" s="340">
        <f t="shared" si="59"/>
        <v>-3.7</v>
      </c>
      <c r="W39" s="876">
        <f>SUM(W40:W44)</f>
        <v>14715.929999999998</v>
      </c>
      <c r="X39" s="440">
        <f>SUM(X40:X44)</f>
        <v>9724.7048195100015</v>
      </c>
      <c r="Y39" s="340">
        <f t="shared" si="53"/>
        <v>-33.9</v>
      </c>
      <c r="Z39" s="876">
        <f>SUM(Z40:Z44)</f>
        <v>64486</v>
      </c>
      <c r="AA39" s="440">
        <f>SUM(AA40:AA44)</f>
        <v>67429</v>
      </c>
      <c r="AB39" s="340">
        <f t="shared" si="54"/>
        <v>4.5999999999999996</v>
      </c>
      <c r="AC39" s="876"/>
      <c r="AD39" s="440"/>
      <c r="AE39" s="340"/>
      <c r="AF39" s="876">
        <f>SUM(AF40:AF44)</f>
        <v>9998.1690000000017</v>
      </c>
      <c r="AG39" s="440">
        <f>SUM(AG40:AG44)</f>
        <v>7560.357</v>
      </c>
      <c r="AH39" s="340">
        <f t="shared" si="55"/>
        <v>-24.4</v>
      </c>
      <c r="AI39" s="876">
        <f>SUM(AI40:AI44)</f>
        <v>46389</v>
      </c>
      <c r="AJ39" s="902">
        <f>SUM(AJ40:AJ44)</f>
        <v>40923.5</v>
      </c>
      <c r="AK39" s="340">
        <f t="shared" si="56"/>
        <v>-11.8</v>
      </c>
      <c r="AL39" s="195"/>
      <c r="AM39" s="440"/>
      <c r="AN39" s="340"/>
      <c r="AO39" s="744">
        <f t="shared" si="48"/>
        <v>531555.61103842</v>
      </c>
      <c r="AP39" s="744">
        <f t="shared" si="48"/>
        <v>491713.58610917005</v>
      </c>
      <c r="AQ39" s="340">
        <f t="shared" si="49"/>
        <v>-7.5</v>
      </c>
      <c r="AR39" s="744">
        <f t="shared" si="50"/>
        <v>531555.61103842</v>
      </c>
      <c r="AS39" s="744">
        <f t="shared" si="50"/>
        <v>491713.58610917005</v>
      </c>
      <c r="AT39" s="441">
        <f t="shared" si="51"/>
        <v>-7.5</v>
      </c>
    </row>
    <row r="40" spans="1:46" s="453" customFormat="1" ht="20.100000000000001" customHeight="1" x14ac:dyDescent="0.3">
      <c r="A40" s="813" t="s">
        <v>207</v>
      </c>
      <c r="B40" s="876">
        <v>46.042000000000002</v>
      </c>
      <c r="C40" s="440">
        <v>0</v>
      </c>
      <c r="D40" s="340">
        <f>IF(B40=0, "    ---- ", IF(ABS(ROUND(100/B40*C40-100,1))&lt;999,ROUND(100/B40*C40-100,1),IF(ROUND(100/B40*C40-100,1)&gt;999,999,-999)))</f>
        <v>-100</v>
      </c>
      <c r="E40" s="876">
        <v>12673.314555120001</v>
      </c>
      <c r="F40" s="440">
        <v>13178.604107589999</v>
      </c>
      <c r="G40" s="340">
        <f t="shared" si="47"/>
        <v>4</v>
      </c>
      <c r="H40" s="876">
        <v>133.16762954999999</v>
      </c>
      <c r="I40" s="440">
        <v>285.96977756000007</v>
      </c>
      <c r="J40" s="340">
        <f>IF(H40=0, "    ---- ", IF(ABS(ROUND(100/H40*I40-100,1))&lt;999,ROUND(100/H40*I40-100,1),IF(ROUND(100/H40*I40-100,1)&gt;999,999,-999)))</f>
        <v>114.7</v>
      </c>
      <c r="K40" s="876">
        <v>147.75200000000001</v>
      </c>
      <c r="L40" s="440">
        <v>159.102</v>
      </c>
      <c r="M40" s="340">
        <f t="shared" si="60"/>
        <v>7.7</v>
      </c>
      <c r="N40" s="876">
        <v>11.4</v>
      </c>
      <c r="O40" s="440">
        <v>4.7</v>
      </c>
      <c r="P40" s="435">
        <f t="shared" si="58"/>
        <v>-58.8</v>
      </c>
      <c r="Q40" s="876"/>
      <c r="R40" s="440"/>
      <c r="S40" s="340"/>
      <c r="T40" s="876">
        <v>187678.76981348998</v>
      </c>
      <c r="U40" s="440">
        <v>180344.31410973999</v>
      </c>
      <c r="V40" s="340">
        <f t="shared" si="59"/>
        <v>-3.9</v>
      </c>
      <c r="W40" s="876">
        <v>7136.86</v>
      </c>
      <c r="X40" s="440">
        <v>6171.9534212500002</v>
      </c>
      <c r="Y40" s="340">
        <f t="shared" si="53"/>
        <v>-13.5</v>
      </c>
      <c r="Z40" s="876">
        <v>43958</v>
      </c>
      <c r="AA40" s="440">
        <v>39873</v>
      </c>
      <c r="AB40" s="340">
        <f t="shared" si="54"/>
        <v>-9.3000000000000007</v>
      </c>
      <c r="AC40" s="876"/>
      <c r="AD40" s="440"/>
      <c r="AE40" s="340"/>
      <c r="AF40" s="876">
        <v>3822.6060000000002</v>
      </c>
      <c r="AG40" s="440">
        <v>3282.6489999999999</v>
      </c>
      <c r="AH40" s="340">
        <f t="shared" si="55"/>
        <v>-14.1</v>
      </c>
      <c r="AI40" s="876">
        <v>19006</v>
      </c>
      <c r="AJ40" s="902">
        <v>16505</v>
      </c>
      <c r="AK40" s="340">
        <f t="shared" si="56"/>
        <v>-13.2</v>
      </c>
      <c r="AL40" s="195"/>
      <c r="AM40" s="440"/>
      <c r="AN40" s="340"/>
      <c r="AO40" s="744">
        <f t="shared" si="48"/>
        <v>274613.91199815995</v>
      </c>
      <c r="AP40" s="744">
        <f t="shared" si="48"/>
        <v>259805.29241614</v>
      </c>
      <c r="AQ40" s="340">
        <f t="shared" si="49"/>
        <v>-5.4</v>
      </c>
      <c r="AR40" s="744">
        <f t="shared" si="50"/>
        <v>274613.91199815995</v>
      </c>
      <c r="AS40" s="744">
        <f t="shared" si="50"/>
        <v>259805.29241614</v>
      </c>
      <c r="AT40" s="441">
        <f t="shared" si="51"/>
        <v>-5.4</v>
      </c>
    </row>
    <row r="41" spans="1:46" s="453" customFormat="1" ht="20.100000000000001" customHeight="1" x14ac:dyDescent="0.3">
      <c r="A41" s="813" t="s">
        <v>208</v>
      </c>
      <c r="B41" s="876">
        <v>1298.1310000000001</v>
      </c>
      <c r="C41" s="440">
        <v>1336.6906866100001</v>
      </c>
      <c r="D41" s="440">
        <f>IF(B41=0, "    ---- ", IF(ABS(ROUND(100/B41*C41-100,1))&lt;999,ROUND(100/B41*C41-100,1),IF(ROUND(100/B41*C41-100,1)&gt;999,999,-999)))</f>
        <v>3</v>
      </c>
      <c r="E41" s="876">
        <v>60504.8150398</v>
      </c>
      <c r="F41" s="440">
        <v>41214.339792910003</v>
      </c>
      <c r="G41" s="440">
        <f t="shared" si="47"/>
        <v>-31.9</v>
      </c>
      <c r="H41" s="876">
        <v>6061.1629041500019</v>
      </c>
      <c r="I41" s="440">
        <v>6005.59973335</v>
      </c>
      <c r="J41" s="440">
        <f>IF(H41=0, "    ---- ", IF(ABS(ROUND(100/H41*I41-100,1))&lt;999,ROUND(100/H41*I41-100,1),IF(ROUND(100/H41*I41-100,1)&gt;999,999,-999)))</f>
        <v>-0.9</v>
      </c>
      <c r="K41" s="876">
        <v>629.95699999999999</v>
      </c>
      <c r="L41" s="440">
        <v>636.80799999999999</v>
      </c>
      <c r="M41" s="440">
        <f>IF(K41=0, "    ---- ", IF(ABS(ROUND(100/K41*L41-100,1))&lt;999,ROUND(100/K41*L41-100,1),IF(ROUND(100/K41*L41-100,1)&gt;999,999,-999)))</f>
        <v>1.1000000000000001</v>
      </c>
      <c r="N41" s="876">
        <v>914.4</v>
      </c>
      <c r="O41" s="440">
        <v>392.7</v>
      </c>
      <c r="P41" s="435">
        <f t="shared" si="58"/>
        <v>-57.1</v>
      </c>
      <c r="Q41" s="876"/>
      <c r="R41" s="440"/>
      <c r="S41" s="340"/>
      <c r="T41" s="876">
        <v>109356.58070124</v>
      </c>
      <c r="U41" s="440">
        <v>98991.608600309992</v>
      </c>
      <c r="V41" s="340">
        <f t="shared" si="59"/>
        <v>-9.5</v>
      </c>
      <c r="W41" s="876">
        <v>7248.45</v>
      </c>
      <c r="X41" s="440">
        <v>2748.4037509200002</v>
      </c>
      <c r="Y41" s="340">
        <f t="shared" si="53"/>
        <v>-62.1</v>
      </c>
      <c r="Z41" s="876">
        <v>19153</v>
      </c>
      <c r="AA41" s="440">
        <v>27014</v>
      </c>
      <c r="AB41" s="340">
        <f t="shared" si="54"/>
        <v>41</v>
      </c>
      <c r="AC41" s="876"/>
      <c r="AD41" s="440"/>
      <c r="AE41" s="340"/>
      <c r="AF41" s="876">
        <v>6329.299</v>
      </c>
      <c r="AG41" s="440">
        <v>4169.5230000000001</v>
      </c>
      <c r="AH41" s="340">
        <f t="shared" si="55"/>
        <v>-34.1</v>
      </c>
      <c r="AI41" s="876">
        <v>26107</v>
      </c>
      <c r="AJ41" s="902">
        <v>21731.5</v>
      </c>
      <c r="AK41" s="340">
        <f t="shared" si="56"/>
        <v>-16.8</v>
      </c>
      <c r="AL41" s="195"/>
      <c r="AM41" s="440"/>
      <c r="AN41" s="340"/>
      <c r="AO41" s="744">
        <f t="shared" si="48"/>
        <v>237602.79564519</v>
      </c>
      <c r="AP41" s="744">
        <f t="shared" si="48"/>
        <v>204241.17356409997</v>
      </c>
      <c r="AQ41" s="340">
        <f t="shared" si="49"/>
        <v>-14</v>
      </c>
      <c r="AR41" s="744">
        <f t="shared" si="50"/>
        <v>237602.79564519</v>
      </c>
      <c r="AS41" s="744">
        <f t="shared" si="50"/>
        <v>204241.17356409997</v>
      </c>
      <c r="AT41" s="441">
        <f t="shared" si="51"/>
        <v>-14</v>
      </c>
    </row>
    <row r="42" spans="1:46" s="453" customFormat="1" ht="20.100000000000001" customHeight="1" x14ac:dyDescent="0.3">
      <c r="A42" s="813" t="s">
        <v>209</v>
      </c>
      <c r="B42" s="876"/>
      <c r="C42" s="440"/>
      <c r="D42" s="440"/>
      <c r="E42" s="876">
        <v>435.84722529999999</v>
      </c>
      <c r="F42" s="440">
        <v>1058.93516684</v>
      </c>
      <c r="G42" s="440">
        <f t="shared" si="47"/>
        <v>143</v>
      </c>
      <c r="H42" s="876">
        <v>62.498121289999979</v>
      </c>
      <c r="I42" s="440">
        <v>8.1802517800000007</v>
      </c>
      <c r="J42" s="440">
        <f t="shared" ref="J42:J43" si="61">IF(H42=0, "    ---- ", IF(ABS(ROUND(100/H42*I42-100,1))&lt;999,ROUND(100/H42*I42-100,1),IF(ROUND(100/H42*I42-100,1)&gt;999,999,-999)))</f>
        <v>-86.9</v>
      </c>
      <c r="K42" s="876"/>
      <c r="L42" s="440"/>
      <c r="M42" s="440"/>
      <c r="N42" s="876"/>
      <c r="O42" s="440"/>
      <c r="P42" s="435"/>
      <c r="Q42" s="876"/>
      <c r="R42" s="440"/>
      <c r="S42" s="340"/>
      <c r="T42" s="876">
        <v>12392.789648700002</v>
      </c>
      <c r="U42" s="440">
        <v>16589.91432168</v>
      </c>
      <c r="V42" s="340">
        <f t="shared" si="59"/>
        <v>33.9</v>
      </c>
      <c r="W42" s="876">
        <v>0</v>
      </c>
      <c r="X42" s="440">
        <v>0</v>
      </c>
      <c r="Y42" s="340" t="str">
        <f t="shared" si="53"/>
        <v xml:space="preserve">    ---- </v>
      </c>
      <c r="Z42" s="876"/>
      <c r="AA42" s="440">
        <v>542</v>
      </c>
      <c r="AB42" s="340" t="str">
        <f t="shared" si="54"/>
        <v xml:space="preserve">    ---- </v>
      </c>
      <c r="AC42" s="876"/>
      <c r="AD42" s="440"/>
      <c r="AE42" s="340"/>
      <c r="AF42" s="876">
        <v>-290.66300000000001</v>
      </c>
      <c r="AG42" s="440">
        <v>-74.992999999999995</v>
      </c>
      <c r="AH42" s="340">
        <f t="shared" si="55"/>
        <v>-74.2</v>
      </c>
      <c r="AI42" s="876"/>
      <c r="AJ42" s="902"/>
      <c r="AK42" s="340"/>
      <c r="AL42" s="195"/>
      <c r="AM42" s="440"/>
      <c r="AN42" s="340"/>
      <c r="AO42" s="744">
        <f t="shared" si="48"/>
        <v>12600.471995290001</v>
      </c>
      <c r="AP42" s="744">
        <f t="shared" si="48"/>
        <v>18124.036740300002</v>
      </c>
      <c r="AQ42" s="340">
        <f t="shared" si="49"/>
        <v>43.8</v>
      </c>
      <c r="AR42" s="744">
        <f t="shared" si="50"/>
        <v>12600.471995290001</v>
      </c>
      <c r="AS42" s="744">
        <f t="shared" si="50"/>
        <v>18124.036740300002</v>
      </c>
      <c r="AT42" s="441">
        <f t="shared" si="51"/>
        <v>43.8</v>
      </c>
    </row>
    <row r="43" spans="1:46" s="453" customFormat="1" ht="20.100000000000001" customHeight="1" x14ac:dyDescent="0.3">
      <c r="A43" s="813" t="s">
        <v>210</v>
      </c>
      <c r="B43" s="876"/>
      <c r="C43" s="440"/>
      <c r="D43" s="440"/>
      <c r="E43" s="876">
        <v>380.75472607999995</v>
      </c>
      <c r="F43" s="440">
        <v>212.61318093</v>
      </c>
      <c r="G43" s="440">
        <f t="shared" si="47"/>
        <v>-44.2</v>
      </c>
      <c r="H43" s="876">
        <v>33.589309480000004</v>
      </c>
      <c r="I43" s="440">
        <v>19.825530480000005</v>
      </c>
      <c r="J43" s="440">
        <f t="shared" si="61"/>
        <v>-41</v>
      </c>
      <c r="K43" s="876"/>
      <c r="L43" s="440"/>
      <c r="M43" s="440"/>
      <c r="N43" s="876"/>
      <c r="O43" s="440"/>
      <c r="P43" s="435"/>
      <c r="Q43" s="876"/>
      <c r="R43" s="440"/>
      <c r="S43" s="340"/>
      <c r="T43" s="876">
        <v>1861.5900582100001</v>
      </c>
      <c r="U43" s="440">
        <v>4164.3953619800004</v>
      </c>
      <c r="V43" s="340">
        <f t="shared" si="59"/>
        <v>123.7</v>
      </c>
      <c r="W43" s="876">
        <v>97.91</v>
      </c>
      <c r="X43" s="440">
        <v>157.68032388</v>
      </c>
      <c r="Y43" s="340">
        <f t="shared" si="53"/>
        <v>61</v>
      </c>
      <c r="Z43" s="876">
        <v>791</v>
      </c>
      <c r="AA43" s="440">
        <v>0</v>
      </c>
      <c r="AB43" s="340">
        <f>IF(Z43=0, "    ---- ", IF(ABS(ROUND(100/Z43*AA43-100,1))&lt;999,ROUND(100/Z43*AA43-100,1),IF(ROUND(100/Z43*AA43-100,1)&gt;999,999,-999)))</f>
        <v>-100</v>
      </c>
      <c r="AC43" s="876"/>
      <c r="AD43" s="440"/>
      <c r="AE43" s="340"/>
      <c r="AF43" s="876">
        <v>91.789000000000001</v>
      </c>
      <c r="AG43" s="440">
        <v>92.123999999999995</v>
      </c>
      <c r="AH43" s="340">
        <f t="shared" si="55"/>
        <v>0.4</v>
      </c>
      <c r="AI43" s="876">
        <v>1276</v>
      </c>
      <c r="AJ43" s="902">
        <v>2687</v>
      </c>
      <c r="AK43" s="340">
        <f t="shared" si="56"/>
        <v>110.6</v>
      </c>
      <c r="AL43" s="195"/>
      <c r="AM43" s="440"/>
      <c r="AN43" s="340"/>
      <c r="AO43" s="744">
        <f t="shared" si="48"/>
        <v>4532.6330937700004</v>
      </c>
      <c r="AP43" s="744">
        <f t="shared" si="48"/>
        <v>7333.6383972700005</v>
      </c>
      <c r="AQ43" s="340">
        <f t="shared" si="49"/>
        <v>61.8</v>
      </c>
      <c r="AR43" s="744">
        <f t="shared" si="50"/>
        <v>4532.6330937700004</v>
      </c>
      <c r="AS43" s="744">
        <f t="shared" si="50"/>
        <v>7333.6383972700005</v>
      </c>
      <c r="AT43" s="441">
        <f t="shared" si="51"/>
        <v>61.8</v>
      </c>
    </row>
    <row r="44" spans="1:46" s="453" customFormat="1" ht="20.100000000000001" customHeight="1" x14ac:dyDescent="0.3">
      <c r="A44" s="813" t="s">
        <v>211</v>
      </c>
      <c r="B44" s="876">
        <v>54.63</v>
      </c>
      <c r="C44" s="440">
        <v>151.20812710000001</v>
      </c>
      <c r="D44" s="440">
        <f>IF(B44=0, "    ---- ", IF(ABS(ROUND(100/B44*C44-100,1))&lt;999,ROUND(100/B44*C44-100,1),IF(ROUND(100/B44*C44-100,1)&gt;999,999,-999)))</f>
        <v>176.8</v>
      </c>
      <c r="E44" s="876">
        <v>277.63137609999967</v>
      </c>
      <c r="F44" s="440">
        <v>508.41075980999949</v>
      </c>
      <c r="G44" s="440">
        <f t="shared" si="47"/>
        <v>83.1</v>
      </c>
      <c r="H44" s="876">
        <v>95.298504140000105</v>
      </c>
      <c r="I44" s="440">
        <v>77.175566529999998</v>
      </c>
      <c r="J44" s="440">
        <f>IF(H44=0, "    ---- ", IF(ABS(ROUND(100/H44*I44-100,1))&lt;999,ROUND(100/H44*I44-100,1),IF(ROUND(100/H44*I44-100,1)&gt;999,999,-999)))</f>
        <v>-19</v>
      </c>
      <c r="K44" s="876">
        <v>219.38399999999999</v>
      </c>
      <c r="L44" s="440">
        <v>235.589</v>
      </c>
      <c r="M44" s="440">
        <f t="shared" si="60"/>
        <v>7.4</v>
      </c>
      <c r="N44" s="876">
        <v>2.2999999999999998</v>
      </c>
      <c r="O44" s="440">
        <v>5.9</v>
      </c>
      <c r="P44" s="435">
        <f t="shared" si="58"/>
        <v>156.5</v>
      </c>
      <c r="Q44" s="876"/>
      <c r="R44" s="440"/>
      <c r="S44" s="340"/>
      <c r="T44" s="876">
        <v>694.70642577000001</v>
      </c>
      <c r="U44" s="440">
        <v>493.44021445999999</v>
      </c>
      <c r="V44" s="340">
        <f t="shared" si="59"/>
        <v>-29</v>
      </c>
      <c r="W44" s="876">
        <v>232.71</v>
      </c>
      <c r="X44" s="440">
        <v>646.66732346000003</v>
      </c>
      <c r="Y44" s="340">
        <f t="shared" si="53"/>
        <v>177.9</v>
      </c>
      <c r="Z44" s="876">
        <v>584</v>
      </c>
      <c r="AA44" s="440">
        <v>0</v>
      </c>
      <c r="AB44" s="340">
        <f>IF(Z44=0, "    ---- ", IF(ABS(ROUND(100/Z44*AA44-100,1))&lt;999,ROUND(100/Z44*AA44-100,1),IF(ROUND(100/Z44*AA44-100,1)&gt;999,999,-999)))</f>
        <v>-100</v>
      </c>
      <c r="AC44" s="876"/>
      <c r="AD44" s="440"/>
      <c r="AE44" s="340"/>
      <c r="AF44" s="876">
        <v>45.137999999999998</v>
      </c>
      <c r="AG44" s="440">
        <v>91.054000000000002</v>
      </c>
      <c r="AH44" s="340">
        <f t="shared" si="55"/>
        <v>101.7</v>
      </c>
      <c r="AI44" s="876"/>
      <c r="AJ44" s="902"/>
      <c r="AK44" s="340"/>
      <c r="AL44" s="195"/>
      <c r="AM44" s="440"/>
      <c r="AN44" s="340"/>
      <c r="AO44" s="744">
        <f t="shared" si="48"/>
        <v>2205.7983060099996</v>
      </c>
      <c r="AP44" s="744">
        <f t="shared" si="48"/>
        <v>2209.4449913599992</v>
      </c>
      <c r="AQ44" s="340">
        <f t="shared" si="49"/>
        <v>0.2</v>
      </c>
      <c r="AR44" s="744">
        <f t="shared" si="50"/>
        <v>2205.7983060099996</v>
      </c>
      <c r="AS44" s="744">
        <f t="shared" si="50"/>
        <v>2209.4449913599992</v>
      </c>
      <c r="AT44" s="441">
        <f t="shared" si="51"/>
        <v>0.2</v>
      </c>
    </row>
    <row r="45" spans="1:46" s="453" customFormat="1" ht="20.100000000000001" customHeight="1" x14ac:dyDescent="0.3">
      <c r="A45" s="852" t="s">
        <v>212</v>
      </c>
      <c r="B45" s="876">
        <f>SUM(B33+B34+B35+B39)</f>
        <v>1398.8030000000001</v>
      </c>
      <c r="C45" s="440">
        <f>SUM(C33+C34+C35+C39)</f>
        <v>1487.89881371</v>
      </c>
      <c r="D45" s="340">
        <f>IF(B45=0, "    ---- ", IF(ABS(ROUND(100/B45*C45-100,1))&lt;999,ROUND(100/B45*C45-100,1),IF(ROUND(100/B45*C45-100,1)&gt;999,999,-999)))</f>
        <v>6.4</v>
      </c>
      <c r="E45" s="876">
        <f>SUM(E33+E34+E35+E39)</f>
        <v>200178.60693275003</v>
      </c>
      <c r="F45" s="440">
        <f>SUM(F33+F34+F35+F39)</f>
        <v>199224.24788412999</v>
      </c>
      <c r="G45" s="340">
        <f t="shared" si="47"/>
        <v>-0.5</v>
      </c>
      <c r="H45" s="876">
        <f>SUM(H33+H34+H35+H39)</f>
        <v>7494.5115060700027</v>
      </c>
      <c r="I45" s="440">
        <f>SUM(I33+I34+I35+I39)</f>
        <v>8073.7941014199996</v>
      </c>
      <c r="J45" s="340">
        <f>IF(H45=0, "    ---- ", IF(ABS(ROUND(100/H45*I45-100,1))&lt;999,ROUND(100/H45*I45-100,1),IF(ROUND(100/H45*I45-100,1)&gt;999,999,-999)))</f>
        <v>7.7</v>
      </c>
      <c r="K45" s="876">
        <f>SUM(K33+K34+K35+K39)</f>
        <v>1256.45</v>
      </c>
      <c r="L45" s="440">
        <f>SUM(L33+L34+L35+L39)</f>
        <v>1468.433</v>
      </c>
      <c r="M45" s="340">
        <f t="shared" si="60"/>
        <v>16.899999999999999</v>
      </c>
      <c r="N45" s="876">
        <f>SUM(N33+N34+N35+N39)</f>
        <v>7742.2999999999993</v>
      </c>
      <c r="O45" s="440">
        <f>SUM(O33+O34+O35+O39)</f>
        <v>8249.6</v>
      </c>
      <c r="P45" s="435">
        <f t="shared" si="58"/>
        <v>6.6</v>
      </c>
      <c r="Q45" s="876"/>
      <c r="R45" s="440"/>
      <c r="S45" s="340"/>
      <c r="T45" s="876">
        <v>659280.7961802599</v>
      </c>
      <c r="U45" s="440">
        <v>660366.42034676997</v>
      </c>
      <c r="V45" s="340">
        <f t="shared" si="59"/>
        <v>0.2</v>
      </c>
      <c r="W45" s="876">
        <f>SUM(W33+W34+W35+W39)</f>
        <v>56284.700000000004</v>
      </c>
      <c r="X45" s="440">
        <f>SUM(X33+X34+X35+X39)</f>
        <v>55165.256171959998</v>
      </c>
      <c r="Y45" s="340">
        <f t="shared" si="53"/>
        <v>-2</v>
      </c>
      <c r="Z45" s="876">
        <f>SUM(Z33+Z34+Z35+Z39)</f>
        <v>113487</v>
      </c>
      <c r="AA45" s="440">
        <f>SUM(AA33+AA34+AA35+AA39)</f>
        <v>115608</v>
      </c>
      <c r="AB45" s="340">
        <f>IF(Z45=0, "    ---- ", IF(ABS(ROUND(100/Z45*AA45-100,1))&lt;999,ROUND(100/Z45*AA45-100,1),IF(ROUND(100/Z45*AA45-100,1)&gt;999,999,-999)))</f>
        <v>1.9</v>
      </c>
      <c r="AC45" s="876"/>
      <c r="AD45" s="440"/>
      <c r="AE45" s="340"/>
      <c r="AF45" s="876">
        <f>SUM(AF33+AF34+AF35+AF39)</f>
        <v>23868.187000000002</v>
      </c>
      <c r="AG45" s="440">
        <f>SUM(AG33+AG34+AG35+AG39)</f>
        <v>22864.991999999998</v>
      </c>
      <c r="AH45" s="340">
        <f t="shared" si="55"/>
        <v>-4.2</v>
      </c>
      <c r="AI45" s="876">
        <f>SUM(AI33+AI34+AI35+AI39)</f>
        <v>206874.2</v>
      </c>
      <c r="AJ45" s="902">
        <f>SUM(AJ33+AJ34+AJ35+AJ39)</f>
        <v>206262.5</v>
      </c>
      <c r="AK45" s="340">
        <f t="shared" si="56"/>
        <v>-0.3</v>
      </c>
      <c r="AL45" s="195"/>
      <c r="AM45" s="440"/>
      <c r="AN45" s="340"/>
      <c r="AO45" s="744">
        <f t="shared" si="48"/>
        <v>1277865.5546190799</v>
      </c>
      <c r="AP45" s="744">
        <f t="shared" si="48"/>
        <v>1278771.1423179901</v>
      </c>
      <c r="AQ45" s="340">
        <f t="shared" si="49"/>
        <v>0.1</v>
      </c>
      <c r="AR45" s="744">
        <f t="shared" si="50"/>
        <v>1277865.5546190799</v>
      </c>
      <c r="AS45" s="744">
        <f t="shared" si="50"/>
        <v>1278771.1423179901</v>
      </c>
      <c r="AT45" s="441">
        <f t="shared" si="51"/>
        <v>0.1</v>
      </c>
    </row>
    <row r="46" spans="1:46" s="453" customFormat="1" ht="20.100000000000001" customHeight="1" x14ac:dyDescent="0.3">
      <c r="A46" s="830" t="s">
        <v>323</v>
      </c>
      <c r="B46" s="876">
        <v>219.809</v>
      </c>
      <c r="C46" s="440">
        <v>297.7454295</v>
      </c>
      <c r="D46" s="340">
        <f>IF(B46=0, "    ---- ", IF(ABS(ROUND(100/B46*C46-100,1))&lt;999,ROUND(100/B46*C46-100,1),IF(ROUND(100/B46*C46-100,1)&gt;999,999,-999)))</f>
        <v>35.5</v>
      </c>
      <c r="E46" s="876">
        <v>399.59901329000002</v>
      </c>
      <c r="F46" s="440">
        <v>481.29363124999998</v>
      </c>
      <c r="G46" s="440">
        <f t="shared" si="47"/>
        <v>20.399999999999999</v>
      </c>
      <c r="H46" s="876">
        <v>511.81198561000002</v>
      </c>
      <c r="I46" s="440">
        <v>498.28474862000007</v>
      </c>
      <c r="J46" s="340">
        <f>IF(H46=0, "    ---- ", IF(ABS(ROUND(100/H46*I46-100,1))&lt;999,ROUND(100/H46*I46-100,1),IF(ROUND(100/H46*I46-100,1)&gt;999,999,-999)))</f>
        <v>-2.6</v>
      </c>
      <c r="K46" s="876">
        <v>67.069000000000003</v>
      </c>
      <c r="L46" s="440">
        <v>93.207999999999998</v>
      </c>
      <c r="M46" s="340">
        <f t="shared" si="60"/>
        <v>39</v>
      </c>
      <c r="N46" s="876">
        <v>566.1</v>
      </c>
      <c r="O46" s="440">
        <v>659.6</v>
      </c>
      <c r="P46" s="435">
        <f t="shared" si="58"/>
        <v>16.5</v>
      </c>
      <c r="Q46" s="876"/>
      <c r="R46" s="440"/>
      <c r="S46" s="340"/>
      <c r="T46" s="876"/>
      <c r="U46" s="440"/>
      <c r="V46" s="340"/>
      <c r="W46" s="876">
        <v>60.29</v>
      </c>
      <c r="X46" s="440">
        <v>63.97</v>
      </c>
      <c r="Y46" s="340">
        <f t="shared" si="53"/>
        <v>6.1</v>
      </c>
      <c r="Z46" s="876"/>
      <c r="AA46" s="440"/>
      <c r="AB46" s="340"/>
      <c r="AC46" s="876"/>
      <c r="AD46" s="440"/>
      <c r="AE46" s="340"/>
      <c r="AF46" s="876">
        <v>7.399</v>
      </c>
      <c r="AG46" s="440">
        <v>11.771000000000001</v>
      </c>
      <c r="AH46" s="340">
        <f t="shared" si="55"/>
        <v>59.1</v>
      </c>
      <c r="AI46" s="876">
        <v>4</v>
      </c>
      <c r="AJ46" s="902">
        <v>6</v>
      </c>
      <c r="AK46" s="340">
        <f t="shared" si="56"/>
        <v>50</v>
      </c>
      <c r="AL46" s="195"/>
      <c r="AM46" s="440"/>
      <c r="AN46" s="340"/>
      <c r="AO46" s="744">
        <f t="shared" si="48"/>
        <v>1836.0779988999998</v>
      </c>
      <c r="AP46" s="744">
        <f t="shared" si="48"/>
        <v>2111.8728093700001</v>
      </c>
      <c r="AQ46" s="340">
        <f t="shared" si="49"/>
        <v>15</v>
      </c>
      <c r="AR46" s="744">
        <f t="shared" si="50"/>
        <v>1836.0779988999998</v>
      </c>
      <c r="AS46" s="744">
        <f t="shared" si="50"/>
        <v>2111.8728093700001</v>
      </c>
      <c r="AT46" s="441">
        <f t="shared" si="51"/>
        <v>15</v>
      </c>
    </row>
    <row r="47" spans="1:46" s="453" customFormat="1" ht="20.100000000000001" customHeight="1" x14ac:dyDescent="0.3">
      <c r="A47" s="830" t="s">
        <v>213</v>
      </c>
      <c r="B47" s="876"/>
      <c r="C47" s="440"/>
      <c r="D47" s="440"/>
      <c r="E47" s="876"/>
      <c r="F47" s="440"/>
      <c r="G47" s="440"/>
      <c r="H47" s="876"/>
      <c r="I47" s="440"/>
      <c r="J47" s="440"/>
      <c r="K47" s="876"/>
      <c r="L47" s="440"/>
      <c r="M47" s="440"/>
      <c r="N47" s="876"/>
      <c r="O47" s="440"/>
      <c r="P47" s="435"/>
      <c r="Q47" s="876"/>
      <c r="R47" s="440"/>
      <c r="S47" s="340"/>
      <c r="T47" s="876"/>
      <c r="U47" s="440"/>
      <c r="V47" s="340"/>
      <c r="W47" s="876"/>
      <c r="X47" s="440"/>
      <c r="Y47" s="340"/>
      <c r="Z47" s="876"/>
      <c r="AA47" s="440"/>
      <c r="AB47" s="340"/>
      <c r="AC47" s="876"/>
      <c r="AD47" s="440"/>
      <c r="AE47" s="340"/>
      <c r="AF47" s="876"/>
      <c r="AG47" s="440"/>
      <c r="AH47" s="340"/>
      <c r="AI47" s="876"/>
      <c r="AJ47" s="902"/>
      <c r="AK47" s="340"/>
      <c r="AL47" s="195"/>
      <c r="AM47" s="440"/>
      <c r="AN47" s="340"/>
      <c r="AO47" s="435"/>
      <c r="AP47" s="435"/>
      <c r="AQ47" s="340"/>
      <c r="AR47" s="435"/>
      <c r="AS47" s="435"/>
      <c r="AT47" s="441"/>
    </row>
    <row r="48" spans="1:46" s="453" customFormat="1" ht="20.100000000000001" customHeight="1" x14ac:dyDescent="0.3">
      <c r="A48" s="813" t="s">
        <v>214</v>
      </c>
      <c r="B48" s="876"/>
      <c r="C48" s="440"/>
      <c r="D48" s="440"/>
      <c r="E48" s="876"/>
      <c r="F48" s="440"/>
      <c r="G48" s="440"/>
      <c r="H48" s="876"/>
      <c r="I48" s="440"/>
      <c r="J48" s="440"/>
      <c r="K48" s="876"/>
      <c r="L48" s="440"/>
      <c r="M48" s="440"/>
      <c r="N48" s="876"/>
      <c r="O48" s="440"/>
      <c r="P48" s="435"/>
      <c r="Q48" s="876"/>
      <c r="R48" s="440"/>
      <c r="S48" s="340"/>
      <c r="T48" s="876"/>
      <c r="U48" s="440"/>
      <c r="V48" s="340"/>
      <c r="W48" s="876">
        <v>0</v>
      </c>
      <c r="X48" s="440">
        <v>0</v>
      </c>
      <c r="Y48" s="340" t="str">
        <f t="shared" si="53"/>
        <v xml:space="preserve">    ---- </v>
      </c>
      <c r="Z48" s="876"/>
      <c r="AA48" s="440"/>
      <c r="AB48" s="340"/>
      <c r="AC48" s="876"/>
      <c r="AD48" s="440"/>
      <c r="AE48" s="340"/>
      <c r="AF48" s="876"/>
      <c r="AG48" s="440"/>
      <c r="AH48" s="340"/>
      <c r="AI48" s="876"/>
      <c r="AJ48" s="902"/>
      <c r="AK48" s="340"/>
      <c r="AL48" s="195"/>
      <c r="AM48" s="440"/>
      <c r="AN48" s="340"/>
      <c r="AO48" s="744">
        <f t="shared" ref="AO48:AP62" si="62">B48+E48+H48+K48+N48+T48+W48+Z48+AF48+AI48</f>
        <v>0</v>
      </c>
      <c r="AP48" s="744">
        <f t="shared" si="62"/>
        <v>0</v>
      </c>
      <c r="AQ48" s="340" t="str">
        <f t="shared" si="49"/>
        <v xml:space="preserve">    ---- </v>
      </c>
      <c r="AR48" s="744">
        <f t="shared" ref="AR48:AS62" si="63">B48+E48+H48+K48+N48+Q48+T48+W48+Z48+AC48+AF48+AI48+AL48</f>
        <v>0</v>
      </c>
      <c r="AS48" s="744">
        <f t="shared" si="63"/>
        <v>0</v>
      </c>
      <c r="AT48" s="441" t="str">
        <f t="shared" si="51"/>
        <v xml:space="preserve">    ---- </v>
      </c>
    </row>
    <row r="49" spans="1:50" s="453" customFormat="1" ht="20.100000000000001" customHeight="1" x14ac:dyDescent="0.3">
      <c r="A49" s="813" t="s">
        <v>215</v>
      </c>
      <c r="B49" s="876"/>
      <c r="C49" s="440"/>
      <c r="D49" s="440"/>
      <c r="E49" s="876">
        <v>4517.7192577730002</v>
      </c>
      <c r="F49" s="440">
        <v>4728.0635941999999</v>
      </c>
      <c r="G49" s="440">
        <f t="shared" ref="G49" si="64">IF(E49=0, "    ---- ", IF(ABS(ROUND(100/E49*F49-100,1))&lt;999,ROUND(100/E49*F49-100,1),IF(ROUND(100/E49*F49-100,1)&gt;999,999,-999)))</f>
        <v>4.7</v>
      </c>
      <c r="H49" s="876"/>
      <c r="I49" s="440"/>
      <c r="J49" s="440"/>
      <c r="K49" s="876"/>
      <c r="L49" s="440"/>
      <c r="M49" s="440"/>
      <c r="N49" s="876">
        <v>1805.9</v>
      </c>
      <c r="O49" s="440">
        <v>2099.6</v>
      </c>
      <c r="P49" s="435">
        <f t="shared" si="58"/>
        <v>16.3</v>
      </c>
      <c r="Q49" s="876"/>
      <c r="R49" s="440"/>
      <c r="S49" s="340"/>
      <c r="T49" s="103">
        <v>319.42933683999996</v>
      </c>
      <c r="U49" s="440">
        <v>361.20310783999997</v>
      </c>
      <c r="V49" s="340">
        <f t="shared" ref="V49:V60" si="65">IF(T49=0, "    ---- ", IF(ABS(ROUND(100/T49*U49-100,1))&lt;999,ROUND(100/T49*U49-100,1),IF(ROUND(100/T49*U49-100,1)&gt;999,999,-999)))</f>
        <v>13.1</v>
      </c>
      <c r="W49" s="876">
        <v>2200.0500000000002</v>
      </c>
      <c r="X49" s="440">
        <v>3252.57</v>
      </c>
      <c r="Y49" s="340">
        <f t="shared" si="53"/>
        <v>47.8</v>
      </c>
      <c r="Z49" s="876"/>
      <c r="AA49" s="440"/>
      <c r="AB49" s="340"/>
      <c r="AC49" s="876"/>
      <c r="AD49" s="440"/>
      <c r="AE49" s="340"/>
      <c r="AF49" s="876">
        <v>955.40200000000004</v>
      </c>
      <c r="AG49" s="440">
        <v>903.02800000000002</v>
      </c>
      <c r="AH49" s="340">
        <f t="shared" si="55"/>
        <v>-5.5</v>
      </c>
      <c r="AI49" s="876">
        <v>6208</v>
      </c>
      <c r="AJ49" s="902">
        <v>6162</v>
      </c>
      <c r="AK49" s="340">
        <f t="shared" si="56"/>
        <v>-0.7</v>
      </c>
      <c r="AL49" s="195"/>
      <c r="AM49" s="440"/>
      <c r="AN49" s="340"/>
      <c r="AO49" s="744">
        <f t="shared" si="62"/>
        <v>16006.500594613</v>
      </c>
      <c r="AP49" s="744">
        <f t="shared" si="62"/>
        <v>17506.464702040001</v>
      </c>
      <c r="AQ49" s="340">
        <f t="shared" si="49"/>
        <v>9.4</v>
      </c>
      <c r="AR49" s="744">
        <f t="shared" si="63"/>
        <v>16006.500594613</v>
      </c>
      <c r="AS49" s="744">
        <f t="shared" si="63"/>
        <v>17506.464702040001</v>
      </c>
      <c r="AT49" s="441">
        <f t="shared" si="51"/>
        <v>9.4</v>
      </c>
    </row>
    <row r="50" spans="1:50" s="453" customFormat="1" ht="20.100000000000001" customHeight="1" x14ac:dyDescent="0.3">
      <c r="A50" s="813" t="s">
        <v>216</v>
      </c>
      <c r="B50" s="876"/>
      <c r="C50" s="440"/>
      <c r="D50" s="440"/>
      <c r="E50" s="876"/>
      <c r="F50" s="440"/>
      <c r="G50" s="440"/>
      <c r="H50" s="876"/>
      <c r="I50" s="440"/>
      <c r="J50" s="440"/>
      <c r="K50" s="876"/>
      <c r="L50" s="440"/>
      <c r="M50" s="440"/>
      <c r="N50" s="876"/>
      <c r="O50" s="440"/>
      <c r="P50" s="435"/>
      <c r="Q50" s="876"/>
      <c r="R50" s="440"/>
      <c r="S50" s="340"/>
      <c r="T50" s="195">
        <v>753.35730746999991</v>
      </c>
      <c r="U50" s="440">
        <v>942.78025467000009</v>
      </c>
      <c r="V50" s="340">
        <f t="shared" si="65"/>
        <v>25.1</v>
      </c>
      <c r="W50" s="876"/>
      <c r="X50" s="440"/>
      <c r="Y50" s="340"/>
      <c r="Z50" s="876"/>
      <c r="AA50" s="440"/>
      <c r="AB50" s="340"/>
      <c r="AC50" s="876"/>
      <c r="AD50" s="440"/>
      <c r="AE50" s="340"/>
      <c r="AF50" s="876"/>
      <c r="AG50" s="440"/>
      <c r="AH50" s="340"/>
      <c r="AI50" s="876">
        <f>SUM(AI51+AI53)</f>
        <v>1848</v>
      </c>
      <c r="AJ50" s="902">
        <f>SUM(AJ51+AJ53)</f>
        <v>1851</v>
      </c>
      <c r="AK50" s="340">
        <f t="shared" si="56"/>
        <v>0.2</v>
      </c>
      <c r="AL50" s="195"/>
      <c r="AM50" s="440"/>
      <c r="AN50" s="340"/>
      <c r="AO50" s="744">
        <f t="shared" si="62"/>
        <v>2601.3573074699998</v>
      </c>
      <c r="AP50" s="744">
        <f t="shared" si="62"/>
        <v>2793.78025467</v>
      </c>
      <c r="AQ50" s="340">
        <f t="shared" si="49"/>
        <v>7.4</v>
      </c>
      <c r="AR50" s="744">
        <f t="shared" si="63"/>
        <v>2601.3573074699998</v>
      </c>
      <c r="AS50" s="744">
        <f t="shared" si="63"/>
        <v>2793.78025467</v>
      </c>
      <c r="AT50" s="441">
        <f t="shared" si="51"/>
        <v>7.4</v>
      </c>
    </row>
    <row r="51" spans="1:50" s="453" customFormat="1" ht="20.100000000000001" customHeight="1" x14ac:dyDescent="0.3">
      <c r="A51" s="813" t="s">
        <v>217</v>
      </c>
      <c r="B51" s="876"/>
      <c r="C51" s="440"/>
      <c r="D51" s="340"/>
      <c r="E51" s="876"/>
      <c r="F51" s="440"/>
      <c r="G51" s="340"/>
      <c r="H51" s="876"/>
      <c r="I51" s="440"/>
      <c r="J51" s="340"/>
      <c r="K51" s="876"/>
      <c r="L51" s="440"/>
      <c r="M51" s="340"/>
      <c r="N51" s="876"/>
      <c r="O51" s="440"/>
      <c r="P51" s="435"/>
      <c r="Q51" s="876"/>
      <c r="R51" s="440"/>
      <c r="S51" s="340"/>
      <c r="T51" s="103">
        <v>40.689089549999998</v>
      </c>
      <c r="U51" s="440">
        <v>40.728693460000002</v>
      </c>
      <c r="V51" s="340">
        <f t="shared" si="65"/>
        <v>0.1</v>
      </c>
      <c r="W51" s="876"/>
      <c r="X51" s="440"/>
      <c r="Y51" s="340"/>
      <c r="Z51" s="876"/>
      <c r="AA51" s="440"/>
      <c r="AB51" s="340"/>
      <c r="AC51" s="876"/>
      <c r="AD51" s="440"/>
      <c r="AE51" s="340"/>
      <c r="AF51" s="876"/>
      <c r="AG51" s="440"/>
      <c r="AH51" s="340"/>
      <c r="AI51" s="876"/>
      <c r="AJ51" s="902"/>
      <c r="AK51" s="340"/>
      <c r="AL51" s="195"/>
      <c r="AM51" s="440"/>
      <c r="AN51" s="340"/>
      <c r="AO51" s="744">
        <f t="shared" si="62"/>
        <v>40.689089549999998</v>
      </c>
      <c r="AP51" s="744">
        <f t="shared" si="62"/>
        <v>40.728693460000002</v>
      </c>
      <c r="AQ51" s="340">
        <f t="shared" si="49"/>
        <v>0.1</v>
      </c>
      <c r="AR51" s="744">
        <f t="shared" si="63"/>
        <v>40.689089549999998</v>
      </c>
      <c r="AS51" s="744">
        <f t="shared" si="63"/>
        <v>40.728693460000002</v>
      </c>
      <c r="AT51" s="441">
        <f t="shared" si="51"/>
        <v>0.1</v>
      </c>
    </row>
    <row r="52" spans="1:50" s="453" customFormat="1" ht="20.100000000000001" customHeight="1" x14ac:dyDescent="0.3">
      <c r="A52" s="813" t="s">
        <v>187</v>
      </c>
      <c r="B52" s="876"/>
      <c r="C52" s="440"/>
      <c r="D52" s="440"/>
      <c r="E52" s="876"/>
      <c r="F52" s="440"/>
      <c r="G52" s="440"/>
      <c r="H52" s="876"/>
      <c r="I52" s="440"/>
      <c r="J52" s="440"/>
      <c r="K52" s="876"/>
      <c r="L52" s="440"/>
      <c r="M52" s="440"/>
      <c r="N52" s="876"/>
      <c r="O52" s="440"/>
      <c r="P52" s="744"/>
      <c r="Q52" s="876"/>
      <c r="R52" s="440"/>
      <c r="S52" s="440"/>
      <c r="T52" s="103">
        <v>40.689089549999998</v>
      </c>
      <c r="U52" s="440">
        <v>40.728693460000002</v>
      </c>
      <c r="V52" s="340">
        <f t="shared" si="65"/>
        <v>0.1</v>
      </c>
      <c r="W52" s="876"/>
      <c r="X52" s="440"/>
      <c r="Y52" s="440"/>
      <c r="Z52" s="876"/>
      <c r="AA52" s="440"/>
      <c r="AB52" s="440"/>
      <c r="AC52" s="876"/>
      <c r="AD52" s="440"/>
      <c r="AE52" s="440"/>
      <c r="AF52" s="876"/>
      <c r="AG52" s="440"/>
      <c r="AH52" s="440"/>
      <c r="AI52" s="876"/>
      <c r="AJ52" s="902"/>
      <c r="AK52" s="440"/>
      <c r="AL52" s="195"/>
      <c r="AM52" s="440"/>
      <c r="AN52" s="440"/>
      <c r="AO52" s="744">
        <f t="shared" si="62"/>
        <v>40.689089549999998</v>
      </c>
      <c r="AP52" s="744">
        <f t="shared" si="62"/>
        <v>40.728693460000002</v>
      </c>
      <c r="AQ52" s="440">
        <f t="shared" si="49"/>
        <v>0.1</v>
      </c>
      <c r="AR52" s="744">
        <f t="shared" si="63"/>
        <v>40.689089549999998</v>
      </c>
      <c r="AS52" s="744">
        <f t="shared" si="63"/>
        <v>40.728693460000002</v>
      </c>
      <c r="AT52" s="853">
        <f t="shared" si="51"/>
        <v>0.1</v>
      </c>
    </row>
    <row r="53" spans="1:50" s="453" customFormat="1" ht="20.100000000000001" customHeight="1" x14ac:dyDescent="0.3">
      <c r="A53" s="813" t="s">
        <v>218</v>
      </c>
      <c r="B53" s="876"/>
      <c r="C53" s="440"/>
      <c r="D53" s="440"/>
      <c r="E53" s="876"/>
      <c r="F53" s="440"/>
      <c r="G53" s="440"/>
      <c r="H53" s="876"/>
      <c r="I53" s="440"/>
      <c r="J53" s="440"/>
      <c r="K53" s="876"/>
      <c r="L53" s="440"/>
      <c r="M53" s="440"/>
      <c r="N53" s="876"/>
      <c r="O53" s="440"/>
      <c r="P53" s="435"/>
      <c r="Q53" s="876"/>
      <c r="R53" s="440"/>
      <c r="S53" s="340"/>
      <c r="T53" s="103">
        <v>712.66821791999996</v>
      </c>
      <c r="U53" s="440">
        <v>902.05156121000005</v>
      </c>
      <c r="V53" s="340">
        <f t="shared" si="65"/>
        <v>26.6</v>
      </c>
      <c r="W53" s="876"/>
      <c r="X53" s="440"/>
      <c r="Y53" s="340"/>
      <c r="Z53" s="876"/>
      <c r="AA53" s="440"/>
      <c r="AB53" s="340"/>
      <c r="AC53" s="876"/>
      <c r="AD53" s="440"/>
      <c r="AE53" s="340"/>
      <c r="AF53" s="876"/>
      <c r="AG53" s="440"/>
      <c r="AH53" s="340"/>
      <c r="AI53" s="876">
        <f>1008+840</f>
        <v>1848</v>
      </c>
      <c r="AJ53" s="902">
        <f>79+894+878</f>
        <v>1851</v>
      </c>
      <c r="AK53" s="340">
        <f t="shared" si="56"/>
        <v>0.2</v>
      </c>
      <c r="AL53" s="195"/>
      <c r="AM53" s="440"/>
      <c r="AN53" s="340"/>
      <c r="AO53" s="744">
        <f t="shared" si="62"/>
        <v>2560.6682179199997</v>
      </c>
      <c r="AP53" s="744">
        <f t="shared" si="62"/>
        <v>2753.0515612099998</v>
      </c>
      <c r="AQ53" s="340">
        <f t="shared" si="49"/>
        <v>7.5</v>
      </c>
      <c r="AR53" s="744">
        <f t="shared" si="63"/>
        <v>2560.6682179199997</v>
      </c>
      <c r="AS53" s="744">
        <f t="shared" si="63"/>
        <v>2753.0515612099998</v>
      </c>
      <c r="AT53" s="441">
        <f t="shared" si="51"/>
        <v>7.5</v>
      </c>
    </row>
    <row r="54" spans="1:50" s="453" customFormat="1" ht="20.100000000000001" customHeight="1" x14ac:dyDescent="0.3">
      <c r="A54" s="813" t="s">
        <v>219</v>
      </c>
      <c r="B54" s="876">
        <f>SUM(B55:B59)</f>
        <v>29455.207999999999</v>
      </c>
      <c r="C54" s="440">
        <f>SUM(C55:C59)</f>
        <v>26858.892920019993</v>
      </c>
      <c r="D54" s="440">
        <f>IF(B54=0, "    ---- ", IF(ABS(ROUND(100/B54*C54-100,1))&lt;999,ROUND(100/B54*C54-100,1),IF(ROUND(100/B54*C54-100,1)&gt;999,999,-999)))</f>
        <v>-8.8000000000000007</v>
      </c>
      <c r="E54" s="876">
        <f>SUM(E55:E59)</f>
        <v>134229.68938850702</v>
      </c>
      <c r="F54" s="440">
        <f>SUM(F55:F59)</f>
        <v>133531.25475507003</v>
      </c>
      <c r="G54" s="440">
        <f t="shared" si="47"/>
        <v>-0.5</v>
      </c>
      <c r="H54" s="876"/>
      <c r="I54" s="440"/>
      <c r="J54" s="440"/>
      <c r="K54" s="876"/>
      <c r="L54" s="440"/>
      <c r="M54" s="440"/>
      <c r="N54" s="876">
        <f>SUM(N55:N59)</f>
        <v>41378.499999999993</v>
      </c>
      <c r="O54" s="440">
        <f>SUM(O55:O59)</f>
        <v>43874.299999999996</v>
      </c>
      <c r="P54" s="435">
        <f t="shared" si="58"/>
        <v>6</v>
      </c>
      <c r="Q54" s="876"/>
      <c r="R54" s="440"/>
      <c r="S54" s="340"/>
      <c r="T54" s="195">
        <v>1125.93292864</v>
      </c>
      <c r="U54" s="440">
        <v>1305.4133710600001</v>
      </c>
      <c r="V54" s="340">
        <f t="shared" si="65"/>
        <v>15.9</v>
      </c>
      <c r="W54" s="876">
        <f>SUM(W55:W59)</f>
        <v>123205.16000000002</v>
      </c>
      <c r="X54" s="440">
        <f>SUM(X55:X59)</f>
        <v>114813.39000000001</v>
      </c>
      <c r="Y54" s="340">
        <f t="shared" si="53"/>
        <v>-6.8</v>
      </c>
      <c r="Z54" s="876"/>
      <c r="AA54" s="440"/>
      <c r="AB54" s="340"/>
      <c r="AC54" s="876">
        <f>SUM(AC55:AC59)</f>
        <v>3211.2460000000001</v>
      </c>
      <c r="AD54" s="440">
        <f>SUM(AD55:AD59)</f>
        <v>432.21699999999998</v>
      </c>
      <c r="AE54" s="340">
        <f>IF(AC54=0, "    ---- ", IF(ABS(ROUND(100/AC54*AD54-100,1))&lt;999,ROUND(100/AC54*AD54-100,1),IF(ROUND(100/AC54*AD54-100,1)&gt;999,999,-999)))</f>
        <v>-86.5</v>
      </c>
      <c r="AF54" s="876">
        <f>SUM(AF55:AF59)</f>
        <v>55424.735000000001</v>
      </c>
      <c r="AG54" s="440">
        <f>SUM(AG55:AG59)</f>
        <v>54488.093999999997</v>
      </c>
      <c r="AH54" s="340">
        <f t="shared" si="55"/>
        <v>-1.7</v>
      </c>
      <c r="AI54" s="876">
        <f>SUM(AI55:AI59)</f>
        <v>150452</v>
      </c>
      <c r="AJ54" s="902">
        <f>SUM(AJ55:AJ59)</f>
        <v>144358.5</v>
      </c>
      <c r="AK54" s="340">
        <f t="shared" si="56"/>
        <v>-4.0999999999999996</v>
      </c>
      <c r="AL54" s="195"/>
      <c r="AM54" s="440"/>
      <c r="AN54" s="340"/>
      <c r="AO54" s="744">
        <f t="shared" si="62"/>
        <v>535271.22531714709</v>
      </c>
      <c r="AP54" s="744">
        <f t="shared" si="62"/>
        <v>519229.84504614997</v>
      </c>
      <c r="AQ54" s="340">
        <f t="shared" si="49"/>
        <v>-3</v>
      </c>
      <c r="AR54" s="744">
        <f t="shared" si="63"/>
        <v>538482.47131714702</v>
      </c>
      <c r="AS54" s="744">
        <f t="shared" si="63"/>
        <v>519662.06204614998</v>
      </c>
      <c r="AT54" s="441">
        <f t="shared" si="51"/>
        <v>-3.5</v>
      </c>
    </row>
    <row r="55" spans="1:50" s="453" customFormat="1" ht="20.100000000000001" customHeight="1" x14ac:dyDescent="0.3">
      <c r="A55" s="813" t="s">
        <v>220</v>
      </c>
      <c r="B55" s="876">
        <v>19221.010999999999</v>
      </c>
      <c r="C55" s="440">
        <v>17062.891240279998</v>
      </c>
      <c r="D55" s="440">
        <f>IF(B55=0, "    ---- ", IF(ABS(ROUND(100/B55*C55-100,1))&lt;999,ROUND(100/B55*C55-100,1),IF(ROUND(100/B55*C55-100,1)&gt;999,999,-999)))</f>
        <v>-11.2</v>
      </c>
      <c r="E55" s="876">
        <v>81855.266520377001</v>
      </c>
      <c r="F55" s="440">
        <v>80644.317428490001</v>
      </c>
      <c r="G55" s="440">
        <f t="shared" si="47"/>
        <v>-1.5</v>
      </c>
      <c r="H55" s="876"/>
      <c r="I55" s="440"/>
      <c r="J55" s="440"/>
      <c r="K55" s="876"/>
      <c r="L55" s="440"/>
      <c r="M55" s="440"/>
      <c r="N55" s="876">
        <v>34538.199999999997</v>
      </c>
      <c r="O55" s="440">
        <v>36256.400000000001</v>
      </c>
      <c r="P55" s="435">
        <f t="shared" si="58"/>
        <v>5</v>
      </c>
      <c r="Q55" s="876"/>
      <c r="R55" s="440"/>
      <c r="S55" s="340"/>
      <c r="T55" s="103">
        <v>748.59468683</v>
      </c>
      <c r="U55" s="440">
        <v>921.59829079999997</v>
      </c>
      <c r="V55" s="340">
        <f t="shared" si="65"/>
        <v>23.1</v>
      </c>
      <c r="W55" s="876">
        <v>80313.72</v>
      </c>
      <c r="X55" s="440">
        <v>71612.850000000006</v>
      </c>
      <c r="Y55" s="340">
        <f t="shared" si="53"/>
        <v>-10.8</v>
      </c>
      <c r="Z55" s="876"/>
      <c r="AA55" s="440"/>
      <c r="AB55" s="340"/>
      <c r="AC55" s="876">
        <v>3211.2460000000001</v>
      </c>
      <c r="AD55" s="440">
        <v>432.21699999999998</v>
      </c>
      <c r="AE55" s="340">
        <f>IF(AC55=0, "    ---- ", IF(ABS(ROUND(100/AC55*AD55-100,1))&lt;999,ROUND(100/AC55*AD55-100,1),IF(ROUND(100/AC55*AD55-100,1)&gt;999,999,-999)))</f>
        <v>-86.5</v>
      </c>
      <c r="AF55" s="876">
        <v>36597.752</v>
      </c>
      <c r="AG55" s="440">
        <v>35112.228999999999</v>
      </c>
      <c r="AH55" s="340">
        <f t="shared" si="55"/>
        <v>-4.0999999999999996</v>
      </c>
      <c r="AI55" s="876">
        <v>107202</v>
      </c>
      <c r="AJ55" s="902">
        <v>101285.5</v>
      </c>
      <c r="AK55" s="340">
        <f t="shared" si="56"/>
        <v>-5.5</v>
      </c>
      <c r="AL55" s="195"/>
      <c r="AM55" s="440"/>
      <c r="AN55" s="340"/>
      <c r="AO55" s="744">
        <f t="shared" si="62"/>
        <v>360476.54420720704</v>
      </c>
      <c r="AP55" s="744">
        <f t="shared" si="62"/>
        <v>342895.78595956997</v>
      </c>
      <c r="AQ55" s="340">
        <f t="shared" si="49"/>
        <v>-4.9000000000000004</v>
      </c>
      <c r="AR55" s="744">
        <f t="shared" si="63"/>
        <v>363687.79020720703</v>
      </c>
      <c r="AS55" s="744">
        <f t="shared" si="63"/>
        <v>343328.00295957003</v>
      </c>
      <c r="AT55" s="441">
        <f t="shared" si="51"/>
        <v>-5.6</v>
      </c>
    </row>
    <row r="56" spans="1:50" s="453" customFormat="1" ht="20.100000000000001" customHeight="1" x14ac:dyDescent="0.3">
      <c r="A56" s="813" t="s">
        <v>221</v>
      </c>
      <c r="B56" s="876">
        <v>9602.9840000000004</v>
      </c>
      <c r="C56" s="440">
        <v>9291.067345559999</v>
      </c>
      <c r="D56" s="440">
        <f>IF(B56=0, "    ---- ", IF(ABS(ROUND(100/B56*C56-100,1))&lt;999,ROUND(100/B56*C56-100,1),IF(ROUND(100/B56*C56-100,1)&gt;999,999,-999)))</f>
        <v>-3.2</v>
      </c>
      <c r="E56" s="876">
        <v>51024.9716424</v>
      </c>
      <c r="F56" s="440">
        <v>51074.644455580004</v>
      </c>
      <c r="G56" s="440">
        <f t="shared" si="47"/>
        <v>0.1</v>
      </c>
      <c r="H56" s="876"/>
      <c r="I56" s="440"/>
      <c r="J56" s="440"/>
      <c r="K56" s="876"/>
      <c r="L56" s="440"/>
      <c r="M56" s="440"/>
      <c r="N56" s="876">
        <v>6645.6</v>
      </c>
      <c r="O56" s="440">
        <v>7560.2</v>
      </c>
      <c r="P56" s="435">
        <f t="shared" si="58"/>
        <v>13.8</v>
      </c>
      <c r="Q56" s="876"/>
      <c r="R56" s="440"/>
      <c r="S56" s="340"/>
      <c r="T56" s="103">
        <v>298.30660347000003</v>
      </c>
      <c r="U56" s="440">
        <v>273.37639967000001</v>
      </c>
      <c r="V56" s="340">
        <f t="shared" si="65"/>
        <v>-8.4</v>
      </c>
      <c r="W56" s="876">
        <v>42620.29</v>
      </c>
      <c r="X56" s="440">
        <v>42714.04</v>
      </c>
      <c r="Y56" s="340">
        <f t="shared" si="53"/>
        <v>0.2</v>
      </c>
      <c r="Z56" s="876"/>
      <c r="AA56" s="440"/>
      <c r="AB56" s="340"/>
      <c r="AC56" s="876"/>
      <c r="AD56" s="440"/>
      <c r="AE56" s="340"/>
      <c r="AF56" s="876">
        <v>18159.827000000001</v>
      </c>
      <c r="AG56" s="440">
        <v>18729.327000000001</v>
      </c>
      <c r="AH56" s="340">
        <f t="shared" si="55"/>
        <v>3.1</v>
      </c>
      <c r="AI56" s="876">
        <v>42559</v>
      </c>
      <c r="AJ56" s="902">
        <v>40976</v>
      </c>
      <c r="AK56" s="340">
        <f t="shared" si="56"/>
        <v>-3.7</v>
      </c>
      <c r="AL56" s="195"/>
      <c r="AM56" s="440"/>
      <c r="AN56" s="340"/>
      <c r="AO56" s="744">
        <f t="shared" si="62"/>
        <v>170910.97924587002</v>
      </c>
      <c r="AP56" s="744">
        <f t="shared" si="62"/>
        <v>170618.65520081</v>
      </c>
      <c r="AQ56" s="340">
        <f t="shared" si="49"/>
        <v>-0.2</v>
      </c>
      <c r="AR56" s="744">
        <f t="shared" si="63"/>
        <v>170910.97924587002</v>
      </c>
      <c r="AS56" s="744">
        <f t="shared" si="63"/>
        <v>170618.65520081</v>
      </c>
      <c r="AT56" s="441">
        <f t="shared" si="51"/>
        <v>-0.2</v>
      </c>
    </row>
    <row r="57" spans="1:50" s="453" customFormat="1" ht="20.100000000000001" customHeight="1" x14ac:dyDescent="0.3">
      <c r="A57" s="813" t="s">
        <v>222</v>
      </c>
      <c r="B57" s="876">
        <v>309.70299999999997</v>
      </c>
      <c r="C57" s="440">
        <v>210.64328723000003</v>
      </c>
      <c r="D57" s="440">
        <f t="shared" ref="D57:D58" si="66">IF(B57=0, "    ---- ", IF(ABS(ROUND(100/B57*C57-100,1))&lt;999,ROUND(100/B57*C57-100,1),IF(ROUND(100/B57*C57-100,1)&gt;999,999,-999)))</f>
        <v>-32</v>
      </c>
      <c r="E57" s="876">
        <v>1349.45122573</v>
      </c>
      <c r="F57" s="440">
        <v>1812.2928710000001</v>
      </c>
      <c r="G57" s="340">
        <f t="shared" si="47"/>
        <v>34.299999999999997</v>
      </c>
      <c r="H57" s="876"/>
      <c r="I57" s="440"/>
      <c r="J57" s="340"/>
      <c r="K57" s="876"/>
      <c r="L57" s="440"/>
      <c r="M57" s="340"/>
      <c r="N57" s="876">
        <v>71.2</v>
      </c>
      <c r="O57" s="440">
        <v>-8.8000000000000007</v>
      </c>
      <c r="P57" s="340">
        <f t="shared" si="58"/>
        <v>-112.4</v>
      </c>
      <c r="Q57" s="876"/>
      <c r="R57" s="440"/>
      <c r="S57" s="340"/>
      <c r="T57" s="103">
        <v>73.514839420000001</v>
      </c>
      <c r="U57" s="440">
        <v>97.611721700000004</v>
      </c>
      <c r="V57" s="340">
        <f t="shared" si="65"/>
        <v>32.799999999999997</v>
      </c>
      <c r="W57" s="876">
        <v>0</v>
      </c>
      <c r="X57" s="440">
        <v>0</v>
      </c>
      <c r="Y57" s="340" t="str">
        <f t="shared" si="53"/>
        <v xml:space="preserve">    ---- </v>
      </c>
      <c r="Z57" s="876"/>
      <c r="AA57" s="440"/>
      <c r="AB57" s="340"/>
      <c r="AC57" s="876"/>
      <c r="AD57" s="440"/>
      <c r="AE57" s="340"/>
      <c r="AF57" s="876">
        <v>-26.611000000000001</v>
      </c>
      <c r="AG57" s="440">
        <v>74.203999999999994</v>
      </c>
      <c r="AH57" s="340">
        <f t="shared" si="55"/>
        <v>-378.8</v>
      </c>
      <c r="AI57" s="876">
        <v>133</v>
      </c>
      <c r="AJ57" s="902">
        <v>122</v>
      </c>
      <c r="AK57" s="340">
        <f t="shared" si="56"/>
        <v>-8.3000000000000007</v>
      </c>
      <c r="AL57" s="195"/>
      <c r="AM57" s="440"/>
      <c r="AN57" s="340"/>
      <c r="AO57" s="744">
        <f t="shared" si="62"/>
        <v>1910.25806515</v>
      </c>
      <c r="AP57" s="744">
        <f t="shared" si="62"/>
        <v>2307.9518799300004</v>
      </c>
      <c r="AQ57" s="340">
        <f t="shared" si="49"/>
        <v>20.8</v>
      </c>
      <c r="AR57" s="744">
        <f t="shared" si="63"/>
        <v>1910.25806515</v>
      </c>
      <c r="AS57" s="744">
        <f t="shared" si="63"/>
        <v>2307.9518799300004</v>
      </c>
      <c r="AT57" s="441">
        <f t="shared" si="51"/>
        <v>20.8</v>
      </c>
    </row>
    <row r="58" spans="1:50" s="453" customFormat="1" ht="20.100000000000001" customHeight="1" x14ac:dyDescent="0.3">
      <c r="A58" s="813" t="s">
        <v>223</v>
      </c>
      <c r="B58" s="876">
        <v>29.998999999999999</v>
      </c>
      <c r="C58" s="440">
        <v>161.82938333999999</v>
      </c>
      <c r="D58" s="440">
        <f t="shared" si="66"/>
        <v>439.4</v>
      </c>
      <c r="E58" s="876"/>
      <c r="F58" s="440"/>
      <c r="G58" s="340"/>
      <c r="H58" s="876"/>
      <c r="I58" s="440"/>
      <c r="J58" s="340"/>
      <c r="K58" s="876"/>
      <c r="L58" s="440"/>
      <c r="M58" s="340"/>
      <c r="N58" s="876"/>
      <c r="O58" s="440"/>
      <c r="P58" s="340"/>
      <c r="Q58" s="876"/>
      <c r="R58" s="440"/>
      <c r="S58" s="340"/>
      <c r="T58" s="103">
        <v>5.5170268899999995</v>
      </c>
      <c r="U58" s="440">
        <v>8.5424770600000013</v>
      </c>
      <c r="V58" s="340">
        <f t="shared" si="65"/>
        <v>54.8</v>
      </c>
      <c r="W58" s="876">
        <v>-174.42</v>
      </c>
      <c r="X58" s="440">
        <v>46.8</v>
      </c>
      <c r="Y58" s="340">
        <f t="shared" si="53"/>
        <v>-126.8</v>
      </c>
      <c r="Z58" s="876"/>
      <c r="AA58" s="440"/>
      <c r="AB58" s="340"/>
      <c r="AC58" s="876"/>
      <c r="AD58" s="440"/>
      <c r="AE58" s="340"/>
      <c r="AF58" s="876">
        <v>0</v>
      </c>
      <c r="AG58" s="440">
        <v>344.58199999999999</v>
      </c>
      <c r="AH58" s="340" t="str">
        <f t="shared" si="55"/>
        <v xml:space="preserve">    ---- </v>
      </c>
      <c r="AI58" s="876">
        <v>558</v>
      </c>
      <c r="AJ58" s="902">
        <v>1975</v>
      </c>
      <c r="AK58" s="340">
        <f t="shared" si="56"/>
        <v>253.9</v>
      </c>
      <c r="AL58" s="195"/>
      <c r="AM58" s="440"/>
      <c r="AN58" s="340"/>
      <c r="AO58" s="744">
        <f t="shared" si="62"/>
        <v>419.09602689000002</v>
      </c>
      <c r="AP58" s="744">
        <f t="shared" si="62"/>
        <v>2536.7538604000001</v>
      </c>
      <c r="AQ58" s="340">
        <f t="shared" si="49"/>
        <v>505.3</v>
      </c>
      <c r="AR58" s="744">
        <f t="shared" si="63"/>
        <v>419.09602689000002</v>
      </c>
      <c r="AS58" s="744">
        <f t="shared" si="63"/>
        <v>2536.7538604000001</v>
      </c>
      <c r="AT58" s="441">
        <f t="shared" si="51"/>
        <v>505.3</v>
      </c>
    </row>
    <row r="59" spans="1:50" s="453" customFormat="1" ht="20.100000000000001" customHeight="1" x14ac:dyDescent="0.3">
      <c r="A59" s="813" t="s">
        <v>224</v>
      </c>
      <c r="B59" s="876">
        <v>291.51100000000002</v>
      </c>
      <c r="C59" s="440">
        <v>132.46166361000061</v>
      </c>
      <c r="D59" s="340">
        <f>IF(B59=0, "    ---- ", IF(ABS(ROUND(100/B59*C59-100,1))&lt;999,ROUND(100/B59*C59-100,1),IF(ROUND(100/B59*C59-100,1)&gt;999,999,-999)))</f>
        <v>-54.6</v>
      </c>
      <c r="E59" s="876"/>
      <c r="F59" s="440"/>
      <c r="G59" s="340"/>
      <c r="H59" s="876"/>
      <c r="I59" s="440"/>
      <c r="J59" s="340"/>
      <c r="K59" s="876"/>
      <c r="L59" s="440"/>
      <c r="M59" s="340"/>
      <c r="N59" s="876">
        <v>123.5</v>
      </c>
      <c r="O59" s="440">
        <v>66.5</v>
      </c>
      <c r="P59" s="340">
        <f>IF(N59=0, "    ---- ", IF(ABS(ROUND(100/N59*O59-100,1))&lt;999,ROUND(100/N59*O59-100,1),IF(ROUND(100/N59*O59-100,1)&gt;999,999,-999)))</f>
        <v>-46.2</v>
      </c>
      <c r="Q59" s="876"/>
      <c r="R59" s="440"/>
      <c r="S59" s="340"/>
      <c r="T59" s="103">
        <v>-2.2797E-4</v>
      </c>
      <c r="U59" s="440">
        <v>4.2844818299999998</v>
      </c>
      <c r="V59" s="340">
        <f t="shared" si="65"/>
        <v>-999</v>
      </c>
      <c r="W59" s="876">
        <v>445.57</v>
      </c>
      <c r="X59" s="440">
        <v>439.7</v>
      </c>
      <c r="Y59" s="340">
        <f t="shared" si="53"/>
        <v>-1.3</v>
      </c>
      <c r="Z59" s="876"/>
      <c r="AA59" s="440"/>
      <c r="AB59" s="340"/>
      <c r="AC59" s="876"/>
      <c r="AD59" s="440"/>
      <c r="AE59" s="340"/>
      <c r="AF59" s="876">
        <v>693.76700000000005</v>
      </c>
      <c r="AG59" s="440">
        <v>227.75200000000001</v>
      </c>
      <c r="AH59" s="340">
        <f t="shared" si="55"/>
        <v>-67.2</v>
      </c>
      <c r="AI59" s="876"/>
      <c r="AJ59" s="902"/>
      <c r="AK59" s="340"/>
      <c r="AL59" s="195"/>
      <c r="AM59" s="440"/>
      <c r="AN59" s="340"/>
      <c r="AO59" s="744">
        <f t="shared" si="62"/>
        <v>1554.34777203</v>
      </c>
      <c r="AP59" s="744">
        <f t="shared" si="62"/>
        <v>870.69814544000064</v>
      </c>
      <c r="AQ59" s="340">
        <f t="shared" si="49"/>
        <v>-44</v>
      </c>
      <c r="AR59" s="744">
        <f t="shared" si="63"/>
        <v>1554.34777203</v>
      </c>
      <c r="AS59" s="744">
        <f t="shared" si="63"/>
        <v>870.69814544000064</v>
      </c>
      <c r="AT59" s="441">
        <f t="shared" si="51"/>
        <v>-44</v>
      </c>
    </row>
    <row r="60" spans="1:50" s="453" customFormat="1" ht="20.100000000000001" customHeight="1" x14ac:dyDescent="0.3">
      <c r="A60" s="852" t="s">
        <v>225</v>
      </c>
      <c r="B60" s="876">
        <f>SUM(B48+B49+B50+B54)</f>
        <v>29455.207999999999</v>
      </c>
      <c r="C60" s="440">
        <f>SUM(C48+C49+C50+C54)</f>
        <v>26858.892920019993</v>
      </c>
      <c r="D60" s="340">
        <f>IF(B60=0, "    ---- ", IF(ABS(ROUND(100/B60*C60-100,1))&lt;999,ROUND(100/B60*C60-100,1),IF(ROUND(100/B60*C60-100,1)&gt;999,999,-999)))</f>
        <v>-8.8000000000000007</v>
      </c>
      <c r="E60" s="876">
        <f>SUM(E48+E49+E50+E54)</f>
        <v>138747.40864628</v>
      </c>
      <c r="F60" s="440">
        <f>SUM(F48+F49+F50+F54)</f>
        <v>138259.31834927003</v>
      </c>
      <c r="G60" s="340">
        <f t="shared" si="47"/>
        <v>-0.4</v>
      </c>
      <c r="H60" s="876"/>
      <c r="I60" s="440"/>
      <c r="J60" s="340"/>
      <c r="K60" s="876"/>
      <c r="L60" s="440"/>
      <c r="M60" s="340"/>
      <c r="N60" s="876">
        <f>SUM(N48+N49+N50+N54)</f>
        <v>43184.399999999994</v>
      </c>
      <c r="O60" s="440">
        <f>SUM(O48+O49+O50+O54)</f>
        <v>45973.899999999994</v>
      </c>
      <c r="P60" s="340">
        <f>IF(N60=0, "    ---- ", IF(ABS(ROUND(100/N60*O60-100,1))&lt;999,ROUND(100/N60*O60-100,1),IF(ROUND(100/N60*O60-100,1)&gt;999,999,-999)))</f>
        <v>6.5</v>
      </c>
      <c r="Q60" s="876"/>
      <c r="R60" s="440"/>
      <c r="S60" s="340"/>
      <c r="T60" s="197">
        <v>2198.7195729499999</v>
      </c>
      <c r="U60" s="440">
        <v>2609.3967335699999</v>
      </c>
      <c r="V60" s="340">
        <f t="shared" si="65"/>
        <v>18.7</v>
      </c>
      <c r="W60" s="876">
        <f>SUM(W48+W49+W50+W54)</f>
        <v>125405.21000000002</v>
      </c>
      <c r="X60" s="440">
        <f>SUM(X48+X49+X50+X54)</f>
        <v>118065.96000000002</v>
      </c>
      <c r="Y60" s="340">
        <f t="shared" si="53"/>
        <v>-5.9</v>
      </c>
      <c r="Z60" s="876"/>
      <c r="AA60" s="440"/>
      <c r="AB60" s="340"/>
      <c r="AC60" s="876">
        <f>SUM(AC48+AC49+AC50+AC54)</f>
        <v>3211.2460000000001</v>
      </c>
      <c r="AD60" s="440">
        <f>SUM(AD48+AD49+AD50+AD54)</f>
        <v>432.21699999999998</v>
      </c>
      <c r="AE60" s="340">
        <f>IF(AC60=0, "    ---- ", IF(ABS(ROUND(100/AC60*AD60-100,1))&lt;999,ROUND(100/AC60*AD60-100,1),IF(ROUND(100/AC60*AD60-100,1)&gt;999,999,-999)))</f>
        <v>-86.5</v>
      </c>
      <c r="AF60" s="876">
        <f>SUM(AF48+AF49+AF50+AF54)</f>
        <v>56380.137000000002</v>
      </c>
      <c r="AG60" s="440">
        <f>SUM(AG48+AG49+AG50+AG54)</f>
        <v>55391.121999999996</v>
      </c>
      <c r="AH60" s="340">
        <f t="shared" si="55"/>
        <v>-1.8</v>
      </c>
      <c r="AI60" s="876">
        <f>SUM(AI48+AI49+AI50+AI54)</f>
        <v>158508</v>
      </c>
      <c r="AJ60" s="902">
        <f>SUM(AJ48+AJ49+AJ50+AJ54)</f>
        <v>152371.5</v>
      </c>
      <c r="AK60" s="340">
        <f t="shared" si="56"/>
        <v>-3.9</v>
      </c>
      <c r="AL60" s="195"/>
      <c r="AM60" s="440"/>
      <c r="AN60" s="340"/>
      <c r="AO60" s="744">
        <f t="shared" si="62"/>
        <v>553879.08321922994</v>
      </c>
      <c r="AP60" s="744">
        <f t="shared" si="62"/>
        <v>539530.09000285994</v>
      </c>
      <c r="AQ60" s="340">
        <f t="shared" si="49"/>
        <v>-2.6</v>
      </c>
      <c r="AR60" s="744">
        <f t="shared" si="63"/>
        <v>557090.32921922999</v>
      </c>
      <c r="AS60" s="744">
        <f t="shared" si="63"/>
        <v>539962.30700286001</v>
      </c>
      <c r="AT60" s="441">
        <f t="shared" si="51"/>
        <v>-3.1</v>
      </c>
    </row>
    <row r="61" spans="1:50" s="453" customFormat="1" ht="20.100000000000001" customHeight="1" x14ac:dyDescent="0.3">
      <c r="A61" s="830" t="s">
        <v>324</v>
      </c>
      <c r="B61" s="876"/>
      <c r="C61" s="440"/>
      <c r="D61" s="340"/>
      <c r="E61" s="876"/>
      <c r="F61" s="440"/>
      <c r="G61" s="340"/>
      <c r="H61" s="876"/>
      <c r="I61" s="440"/>
      <c r="J61" s="340"/>
      <c r="K61" s="876"/>
      <c r="L61" s="440"/>
      <c r="M61" s="340"/>
      <c r="N61" s="876">
        <v>1.4</v>
      </c>
      <c r="O61" s="440">
        <v>2.1</v>
      </c>
      <c r="P61" s="340">
        <f>IF(N61=0, "    ---- ", IF(ABS(ROUND(100/N61*O61-100,1))&lt;999,ROUND(100/N61*O61-100,1),IF(ROUND(100/N61*O61-100,1)&gt;999,999,-999)))</f>
        <v>50</v>
      </c>
      <c r="Q61" s="876"/>
      <c r="R61" s="440"/>
      <c r="S61" s="340"/>
      <c r="T61" s="876"/>
      <c r="U61" s="440"/>
      <c r="V61" s="340"/>
      <c r="W61" s="876"/>
      <c r="X61" s="440"/>
      <c r="Y61" s="340"/>
      <c r="Z61" s="876"/>
      <c r="AA61" s="440"/>
      <c r="AB61" s="340"/>
      <c r="AC61" s="876"/>
      <c r="AD61" s="440"/>
      <c r="AE61" s="340"/>
      <c r="AF61" s="876"/>
      <c r="AG61" s="440"/>
      <c r="AH61" s="340"/>
      <c r="AI61" s="876"/>
      <c r="AJ61" s="902"/>
      <c r="AK61" s="340"/>
      <c r="AL61" s="195"/>
      <c r="AM61" s="440"/>
      <c r="AN61" s="340"/>
      <c r="AO61" s="744">
        <f t="shared" si="62"/>
        <v>1.4</v>
      </c>
      <c r="AP61" s="744">
        <f t="shared" si="62"/>
        <v>2.1</v>
      </c>
      <c r="AQ61" s="340">
        <f t="shared" si="49"/>
        <v>50</v>
      </c>
      <c r="AR61" s="744">
        <f t="shared" si="63"/>
        <v>1.4</v>
      </c>
      <c r="AS61" s="744">
        <f t="shared" si="63"/>
        <v>2.1</v>
      </c>
      <c r="AT61" s="441">
        <f t="shared" si="51"/>
        <v>50</v>
      </c>
    </row>
    <row r="62" spans="1:50" s="453" customFormat="1" ht="20.100000000000001" customHeight="1" x14ac:dyDescent="0.3">
      <c r="A62" s="813" t="s">
        <v>226</v>
      </c>
      <c r="B62" s="876">
        <f>SUM(B45+B46+B60+B61)</f>
        <v>31073.82</v>
      </c>
      <c r="C62" s="440">
        <f>SUM(C45+C46+C60+C61)</f>
        <v>28644.537163229994</v>
      </c>
      <c r="D62" s="340">
        <f>IF(B62=0, "    ---- ", IF(ABS(ROUND(100/B62*C62-100,1))&lt;999,ROUND(100/B62*C62-100,1),IF(ROUND(100/B62*C62-100,1)&gt;999,999,-999)))</f>
        <v>-7.8</v>
      </c>
      <c r="E62" s="876">
        <f>SUM(E45+E46+E60+E61)</f>
        <v>339325.61459232005</v>
      </c>
      <c r="F62" s="440">
        <f>SUM(F45+F46+F60+F61)</f>
        <v>337964.85986465006</v>
      </c>
      <c r="G62" s="340">
        <f t="shared" si="47"/>
        <v>-0.4</v>
      </c>
      <c r="H62" s="876">
        <f>SUM(H45+H46+H60+H61)</f>
        <v>8006.3234916800029</v>
      </c>
      <c r="I62" s="440">
        <f>SUM(I45+I46+I60+I61)</f>
        <v>8572.0788500399995</v>
      </c>
      <c r="J62" s="340">
        <f>IF(H62=0, "    ---- ", IF(ABS(ROUND(100/H62*I62-100,1))&lt;999,ROUND(100/H62*I62-100,1),IF(ROUND(100/H62*I62-100,1)&gt;999,999,-999)))</f>
        <v>7.1</v>
      </c>
      <c r="K62" s="876">
        <f>SUM(K45+K46+K60+K61)</f>
        <v>1323.519</v>
      </c>
      <c r="L62" s="440">
        <f>SUM(L45+L46+L60+L61)</f>
        <v>1561.6410000000001</v>
      </c>
      <c r="M62" s="340">
        <f>IF(K62=0, "    ---- ", IF(ABS(ROUND(100/K62*L62-100,1))&lt;999,ROUND(100/K62*L62-100,1),IF(ROUND(100/K62*L62-100,1)&gt;999,999,-999)))</f>
        <v>18</v>
      </c>
      <c r="N62" s="876">
        <f>SUM(N45+N46+N60+N61)</f>
        <v>51494.2</v>
      </c>
      <c r="O62" s="440">
        <f>SUM(O45+O46+O60+O61)</f>
        <v>54885.19999999999</v>
      </c>
      <c r="P62" s="340">
        <f>IF(N62=0, "    ---- ", IF(ABS(ROUND(100/N62*O62-100,1))&lt;999,ROUND(100/N62*O62-100,1),IF(ROUND(100/N62*O62-100,1)&gt;999,999,-999)))</f>
        <v>6.6</v>
      </c>
      <c r="Q62" s="876"/>
      <c r="R62" s="440"/>
      <c r="S62" s="340"/>
      <c r="T62" s="876">
        <f>SUM(T45+T46+T60+T61)</f>
        <v>661479.51575320994</v>
      </c>
      <c r="U62" s="440">
        <f>SUM(U45+U46+U60+U61)</f>
        <v>662975.81708034</v>
      </c>
      <c r="V62" s="340">
        <f>IF(T62=0, "    ---- ", IF(ABS(ROUND(100/T62*U62-100,1))&lt;999,ROUND(100/T62*U62-100,1),IF(ROUND(100/T62*U62-100,1)&gt;999,999,-999)))</f>
        <v>0.2</v>
      </c>
      <c r="W62" s="876">
        <f>SUM(W45+W46+W60+W61)</f>
        <v>181750.2</v>
      </c>
      <c r="X62" s="440">
        <f>SUM(X45+X46+X60+X61)</f>
        <v>173295.18617196003</v>
      </c>
      <c r="Y62" s="340">
        <f t="shared" si="53"/>
        <v>-4.7</v>
      </c>
      <c r="Z62" s="876">
        <f>SUM(Z45+Z46+Z60+Z61)</f>
        <v>113487</v>
      </c>
      <c r="AA62" s="440">
        <f>SUM(AA45+AA46+AA60+AA61)</f>
        <v>115608</v>
      </c>
      <c r="AB62" s="340">
        <f>IF(Z62=0, "    ---- ", IF(ABS(ROUND(100/Z62*AA62-100,1))&lt;999,ROUND(100/Z62*AA62-100,1),IF(ROUND(100/Z62*AA62-100,1)&gt;999,999,-999)))</f>
        <v>1.9</v>
      </c>
      <c r="AC62" s="876">
        <f>SUM(AC45+AC46+AC60+AC61)</f>
        <v>3211.2460000000001</v>
      </c>
      <c r="AD62" s="440">
        <f>SUM(AD45+AD46+AD60+AD61)</f>
        <v>432.21699999999998</v>
      </c>
      <c r="AE62" s="340">
        <f>IF(AC62=0, "    ---- ", IF(ABS(ROUND(100/AC62*AD62-100,1))&lt;999,ROUND(100/AC62*AD62-100,1),IF(ROUND(100/AC62*AD62-100,1)&gt;999,999,-999)))</f>
        <v>-86.5</v>
      </c>
      <c r="AF62" s="876">
        <f>SUM(AF45+AF46+AF60+AF61)</f>
        <v>80255.722999999998</v>
      </c>
      <c r="AG62" s="440">
        <f>SUM(AG45+AG46+AG60+AG61)</f>
        <v>78267.884999999995</v>
      </c>
      <c r="AH62" s="340">
        <f t="shared" si="55"/>
        <v>-2.5</v>
      </c>
      <c r="AI62" s="876">
        <f>SUM(AI45+AI46+AI60+AI61)</f>
        <v>365386.2</v>
      </c>
      <c r="AJ62" s="902">
        <f>SUM(AJ45+AJ46+AJ60+AJ61)</f>
        <v>358640</v>
      </c>
      <c r="AK62" s="340">
        <f t="shared" si="56"/>
        <v>-1.8</v>
      </c>
      <c r="AL62" s="195"/>
      <c r="AM62" s="440"/>
      <c r="AN62" s="340"/>
      <c r="AO62" s="744">
        <f t="shared" si="62"/>
        <v>1833582.1158372099</v>
      </c>
      <c r="AP62" s="744">
        <f t="shared" si="62"/>
        <v>1820415.2051302202</v>
      </c>
      <c r="AQ62" s="340">
        <f t="shared" si="49"/>
        <v>-0.7</v>
      </c>
      <c r="AR62" s="744">
        <f t="shared" si="63"/>
        <v>1836793.3618372099</v>
      </c>
      <c r="AS62" s="744">
        <f t="shared" si="63"/>
        <v>1820847.4221302201</v>
      </c>
      <c r="AT62" s="441">
        <f t="shared" si="51"/>
        <v>-0.9</v>
      </c>
    </row>
    <row r="63" spans="1:50" s="474" customFormat="1" ht="20.100000000000001" customHeight="1" x14ac:dyDescent="0.3">
      <c r="A63" s="830"/>
      <c r="B63" s="887"/>
      <c r="C63" s="438"/>
      <c r="D63" s="437"/>
      <c r="E63" s="887"/>
      <c r="F63" s="438"/>
      <c r="G63" s="437"/>
      <c r="H63" s="887"/>
      <c r="I63" s="438"/>
      <c r="J63" s="437"/>
      <c r="K63" s="887"/>
      <c r="L63" s="438"/>
      <c r="M63" s="437"/>
      <c r="N63" s="887"/>
      <c r="O63" s="438"/>
      <c r="P63" s="442"/>
      <c r="Q63" s="887"/>
      <c r="R63" s="438"/>
      <c r="S63" s="437"/>
      <c r="T63" s="887"/>
      <c r="U63" s="438"/>
      <c r="V63" s="437"/>
      <c r="W63" s="887"/>
      <c r="X63" s="438"/>
      <c r="Y63" s="437"/>
      <c r="Z63" s="887"/>
      <c r="AA63" s="438"/>
      <c r="AB63" s="437"/>
      <c r="AC63" s="887"/>
      <c r="AD63" s="438"/>
      <c r="AE63" s="437"/>
      <c r="AF63" s="887"/>
      <c r="AG63" s="438"/>
      <c r="AH63" s="437"/>
      <c r="AI63" s="887"/>
      <c r="AJ63" s="907"/>
      <c r="AK63" s="437"/>
      <c r="AL63" s="197"/>
      <c r="AM63" s="438"/>
      <c r="AN63" s="437"/>
      <c r="AO63" s="442"/>
      <c r="AP63" s="442"/>
      <c r="AQ63" s="437"/>
      <c r="AR63" s="442"/>
      <c r="AS63" s="442"/>
      <c r="AT63" s="443"/>
      <c r="AW63" s="855"/>
      <c r="AX63" s="855"/>
    </row>
    <row r="64" spans="1:50" s="474" customFormat="1" ht="20.100000000000001" customHeight="1" x14ac:dyDescent="0.3">
      <c r="A64" s="830" t="s">
        <v>227</v>
      </c>
      <c r="B64" s="887">
        <f>SUM(B29+B62)</f>
        <v>32146.115999999998</v>
      </c>
      <c r="C64" s="438">
        <f>SUM(C29+C62)</f>
        <v>29675.846749759996</v>
      </c>
      <c r="D64" s="437">
        <f>IF(B64=0, "    ---- ", IF(ABS(ROUND(100/B64*C64-100,1))&lt;999,ROUND(100/B64*C64-100,1),IF(ROUND(100/B64*C64-100,1)&gt;999,999,-999)))</f>
        <v>-7.7</v>
      </c>
      <c r="E64" s="887">
        <f>SUM(E29+E62)</f>
        <v>374838.26198039006</v>
      </c>
      <c r="F64" s="438">
        <f>SUM(F29+F62)</f>
        <v>371151.58976956009</v>
      </c>
      <c r="G64" s="437">
        <f t="shared" si="47"/>
        <v>-1</v>
      </c>
      <c r="H64" s="887">
        <f>SUM(H29+H62)</f>
        <v>11809.785264060003</v>
      </c>
      <c r="I64" s="438">
        <f>SUM(I29+I62)</f>
        <v>12289.785898699998</v>
      </c>
      <c r="J64" s="437">
        <f>IF(H64=0, "    ---- ", IF(ABS(ROUND(100/H64*I64-100,1))&lt;999,ROUND(100/H64*I64-100,1),IF(ROUND(100/H64*I64-100,1)&gt;999,999,-999)))</f>
        <v>4.0999999999999996</v>
      </c>
      <c r="K64" s="887">
        <f>SUM(K29+K62)</f>
        <v>1903.829</v>
      </c>
      <c r="L64" s="438">
        <f>SUM(L29+L62)</f>
        <v>2060.02</v>
      </c>
      <c r="M64" s="437">
        <f>IF(K64=0, "    ---- ", IF(ABS(ROUND(100/K64*L64-100,1))&lt;999,ROUND(100/K64*L64-100,1),IF(ROUND(100/K64*L64-100,1)&gt;999,999,-999)))</f>
        <v>8.1999999999999993</v>
      </c>
      <c r="N64" s="887">
        <f>SUM(N29+N62)</f>
        <v>53179.899999999994</v>
      </c>
      <c r="O64" s="438">
        <f>SUM(O29+O62)</f>
        <v>56619.599999999991</v>
      </c>
      <c r="P64" s="442">
        <f>IF(N64=0, "    ---- ", IF(ABS(ROUND(100/N64*O64-100,1))&lt;999,ROUND(100/N64*O64-100,1),IF(ROUND(100/N64*O64-100,1)&gt;999,999,-999)))</f>
        <v>6.5</v>
      </c>
      <c r="Q64" s="887">
        <f>SUM(Q29+Q62)</f>
        <v>167.887</v>
      </c>
      <c r="R64" s="438">
        <f>SUM(R29+R62)</f>
        <v>156.19</v>
      </c>
      <c r="S64" s="437">
        <f>IF(Q64=0, "    ---- ", IF(ABS(ROUND(100/Q64*R64-100,1))&lt;999,ROUND(100/Q64*R64-100,1),IF(ROUND(100/Q64*R64-100,1)&gt;999,999,-999)))</f>
        <v>-7</v>
      </c>
      <c r="T64" s="887">
        <f>SUM(T29+T62)</f>
        <v>706747.99020479992</v>
      </c>
      <c r="U64" s="438">
        <f>SUM(U29+U62)</f>
        <v>710267.87318559003</v>
      </c>
      <c r="V64" s="437">
        <f>IF(T64=0, "    ---- ", IF(ABS(ROUND(100/T64*U64-100,1))&lt;999,ROUND(100/T64*U64-100,1),IF(ROUND(100/T64*U64-100,1)&gt;999,999,-999)))</f>
        <v>0.5</v>
      </c>
      <c r="W64" s="887">
        <f>SUM(W29+W62)</f>
        <v>194116.74000000002</v>
      </c>
      <c r="X64" s="438">
        <f>SUM(X29+X62)</f>
        <v>185520.14617196002</v>
      </c>
      <c r="Y64" s="437">
        <f t="shared" si="53"/>
        <v>-4.4000000000000004</v>
      </c>
      <c r="Z64" s="887">
        <f>SUM(Z29+Z62)</f>
        <v>125509</v>
      </c>
      <c r="AA64" s="438">
        <f>SUM(AA29+AA62)</f>
        <v>127754</v>
      </c>
      <c r="AB64" s="437">
        <f>IF(Z64=0, "    ---- ", IF(ABS(ROUND(100/Z64*AA64-100,1))&lt;999,ROUND(100/Z64*AA64-100,1),IF(ROUND(100/Z64*AA64-100,1)&gt;999,999,-999)))</f>
        <v>1.8</v>
      </c>
      <c r="AC64" s="887">
        <f>SUM(AC29+AC62)</f>
        <v>3321.8430000000003</v>
      </c>
      <c r="AD64" s="438">
        <f>SUM(AD29+AD62)</f>
        <v>535.24400000000003</v>
      </c>
      <c r="AE64" s="437">
        <f>IF(AC64=0, "    ---- ", IF(ABS(ROUND(100/AC64*AD64-100,1))&lt;999,ROUND(100/AC64*AD64-100,1),IF(ROUND(100/AC64*AD64-100,1)&gt;999,999,-999)))</f>
        <v>-83.9</v>
      </c>
      <c r="AF64" s="887">
        <f>SUM(AF29+AF62)</f>
        <v>87013.444000000003</v>
      </c>
      <c r="AG64" s="438">
        <f>SUM(AG29+AG62)</f>
        <v>85083.376999999993</v>
      </c>
      <c r="AH64" s="437">
        <f t="shared" si="55"/>
        <v>-2.2000000000000002</v>
      </c>
      <c r="AI64" s="887">
        <f>SUM(AI29+AI62)</f>
        <v>411447</v>
      </c>
      <c r="AJ64" s="907">
        <f>SUM(AJ29+AJ62)</f>
        <v>400615</v>
      </c>
      <c r="AK64" s="437">
        <f t="shared" si="56"/>
        <v>-2.6</v>
      </c>
      <c r="AL64" s="197"/>
      <c r="AM64" s="438">
        <f>SUM(AM29+AM62)</f>
        <v>14</v>
      </c>
      <c r="AN64" s="437" t="str">
        <f t="shared" ref="AN64" si="67">IF(AL64=0, "    ---- ", IF(ABS(ROUND(100/AL64*AM64-100,1))&lt;999,ROUND(100/AL64*AM64-100,1),IF(ROUND(100/AL64*AM64-100,1)&gt;999,999,-999)))</f>
        <v xml:space="preserve">    ---- </v>
      </c>
      <c r="AO64" s="855">
        <f t="shared" ref="AO64:AP64" si="68">B64+E64+H64+K64+N64+T64+W64+Z64+AF64+AI64</f>
        <v>1998712.0664492499</v>
      </c>
      <c r="AP64" s="855">
        <f t="shared" si="68"/>
        <v>1981037.2387755702</v>
      </c>
      <c r="AQ64" s="437">
        <f t="shared" si="49"/>
        <v>-0.9</v>
      </c>
      <c r="AR64" s="855">
        <f t="shared" ref="AR64:AS64" si="69">B64+E64+H64+K64+N64+Q64+T64+W64+Z64+AC64+AF64+AI64+AL64</f>
        <v>2002201.7964492498</v>
      </c>
      <c r="AS64" s="855">
        <f t="shared" si="69"/>
        <v>1981742.6727755701</v>
      </c>
      <c r="AT64" s="443">
        <f t="shared" si="51"/>
        <v>-1</v>
      </c>
      <c r="AW64" s="855">
        <v>1998712.0664492501</v>
      </c>
      <c r="AX64" s="855">
        <v>1981037.2387755699</v>
      </c>
    </row>
    <row r="65" spans="1:46" s="453" customFormat="1" ht="20.100000000000001" customHeight="1" x14ac:dyDescent="0.3">
      <c r="A65" s="854"/>
      <c r="B65" s="876"/>
      <c r="C65" s="440"/>
      <c r="D65" s="340"/>
      <c r="E65" s="876"/>
      <c r="F65" s="440"/>
      <c r="G65" s="340"/>
      <c r="H65" s="876"/>
      <c r="I65" s="440"/>
      <c r="J65" s="340"/>
      <c r="K65" s="876"/>
      <c r="L65" s="440"/>
      <c r="M65" s="340"/>
      <c r="N65" s="876"/>
      <c r="O65" s="440"/>
      <c r="P65" s="435"/>
      <c r="Q65" s="876"/>
      <c r="R65" s="440"/>
      <c r="S65" s="340"/>
      <c r="T65" s="876"/>
      <c r="U65" s="440"/>
      <c r="V65" s="340"/>
      <c r="W65" s="876"/>
      <c r="X65" s="440"/>
      <c r="Y65" s="340"/>
      <c r="Z65" s="876"/>
      <c r="AA65" s="440"/>
      <c r="AB65" s="340"/>
      <c r="AC65" s="876"/>
      <c r="AD65" s="440"/>
      <c r="AE65" s="340"/>
      <c r="AF65" s="876"/>
      <c r="AG65" s="440"/>
      <c r="AH65" s="340"/>
      <c r="AI65" s="876"/>
      <c r="AJ65" s="902"/>
      <c r="AK65" s="340"/>
      <c r="AL65" s="195"/>
      <c r="AM65" s="440"/>
      <c r="AN65" s="340"/>
      <c r="AO65" s="435"/>
      <c r="AP65" s="435"/>
      <c r="AQ65" s="340"/>
      <c r="AR65" s="435"/>
      <c r="AS65" s="435"/>
      <c r="AT65" s="441"/>
    </row>
    <row r="66" spans="1:46" s="453" customFormat="1" ht="20.100000000000001" customHeight="1" x14ac:dyDescent="0.3">
      <c r="A66" s="830" t="s">
        <v>228</v>
      </c>
      <c r="B66" s="876"/>
      <c r="C66" s="440"/>
      <c r="D66" s="340"/>
      <c r="E66" s="876"/>
      <c r="F66" s="440"/>
      <c r="G66" s="340"/>
      <c r="H66" s="876"/>
      <c r="I66" s="440"/>
      <c r="J66" s="340"/>
      <c r="K66" s="876"/>
      <c r="L66" s="440"/>
      <c r="M66" s="340"/>
      <c r="N66" s="876"/>
      <c r="O66" s="440"/>
      <c r="P66" s="435"/>
      <c r="Q66" s="876"/>
      <c r="R66" s="440"/>
      <c r="S66" s="340"/>
      <c r="T66" s="876"/>
      <c r="U66" s="440"/>
      <c r="V66" s="340"/>
      <c r="W66" s="876"/>
      <c r="X66" s="440"/>
      <c r="Y66" s="340"/>
      <c r="Z66" s="876"/>
      <c r="AA66" s="440"/>
      <c r="AB66" s="340"/>
      <c r="AC66" s="876"/>
      <c r="AD66" s="440"/>
      <c r="AE66" s="340"/>
      <c r="AF66" s="876"/>
      <c r="AG66" s="440"/>
      <c r="AH66" s="340"/>
      <c r="AI66" s="876"/>
      <c r="AJ66" s="902"/>
      <c r="AK66" s="340"/>
      <c r="AL66" s="195"/>
      <c r="AM66" s="440"/>
      <c r="AN66" s="340"/>
      <c r="AO66" s="435"/>
      <c r="AP66" s="435"/>
      <c r="AQ66" s="340"/>
      <c r="AR66" s="435"/>
      <c r="AS66" s="435"/>
      <c r="AT66" s="441"/>
    </row>
    <row r="67" spans="1:46" s="453" customFormat="1" ht="20.100000000000001" customHeight="1" x14ac:dyDescent="0.3">
      <c r="A67" s="830"/>
      <c r="B67" s="876"/>
      <c r="C67" s="440"/>
      <c r="D67" s="340"/>
      <c r="E67" s="876"/>
      <c r="F67" s="440"/>
      <c r="G67" s="340"/>
      <c r="H67" s="876"/>
      <c r="I67" s="440"/>
      <c r="J67" s="340"/>
      <c r="K67" s="876"/>
      <c r="L67" s="440"/>
      <c r="M67" s="340"/>
      <c r="N67" s="876"/>
      <c r="O67" s="440"/>
      <c r="P67" s="435"/>
      <c r="Q67" s="876"/>
      <c r="R67" s="440"/>
      <c r="S67" s="340"/>
      <c r="T67" s="876"/>
      <c r="U67" s="440"/>
      <c r="V67" s="340"/>
      <c r="W67" s="876"/>
      <c r="X67" s="440"/>
      <c r="Y67" s="340"/>
      <c r="Z67" s="876"/>
      <c r="AA67" s="440"/>
      <c r="AB67" s="340"/>
      <c r="AC67" s="876"/>
      <c r="AD67" s="440"/>
      <c r="AE67" s="340"/>
      <c r="AF67" s="876"/>
      <c r="AG67" s="440"/>
      <c r="AH67" s="340"/>
      <c r="AI67" s="876"/>
      <c r="AJ67" s="902"/>
      <c r="AK67" s="340"/>
      <c r="AL67" s="195"/>
      <c r="AM67" s="440"/>
      <c r="AN67" s="340"/>
      <c r="AO67" s="435"/>
      <c r="AP67" s="435"/>
      <c r="AQ67" s="340"/>
      <c r="AR67" s="435"/>
      <c r="AS67" s="435"/>
      <c r="AT67" s="441"/>
    </row>
    <row r="68" spans="1:46" s="453" customFormat="1" ht="20.100000000000001" customHeight="1" x14ac:dyDescent="0.3">
      <c r="A68" s="813" t="s">
        <v>229</v>
      </c>
      <c r="B68" s="876">
        <v>406.16</v>
      </c>
      <c r="C68" s="440">
        <v>406.15993775999999</v>
      </c>
      <c r="D68" s="340">
        <f>IF(B68=0, "    ---- ", IF(ABS(ROUND(100/B68*C68-100,1))&lt;999,ROUND(100/B68*C68-100,1),IF(ROUND(100/B68*C68-100,1)&gt;999,999,-999)))</f>
        <v>0</v>
      </c>
      <c r="E68" s="876">
        <v>7657.0531522000001</v>
      </c>
      <c r="F68" s="440">
        <v>7657.0531522000001</v>
      </c>
      <c r="G68" s="340">
        <f t="shared" si="47"/>
        <v>0</v>
      </c>
      <c r="H68" s="876">
        <v>2452.057311</v>
      </c>
      <c r="I68" s="440">
        <v>2452.057311</v>
      </c>
      <c r="J68" s="340">
        <f>IF(H68=0, "    ---- ", IF(ABS(ROUND(100/H68*I68-100,1))&lt;999,ROUND(100/H68*I68-100,1),IF(ROUND(100/H68*I68-100,1)&gt;999,999,-999)))</f>
        <v>0</v>
      </c>
      <c r="K68" s="876">
        <v>210</v>
      </c>
      <c r="L68" s="440">
        <v>210</v>
      </c>
      <c r="M68" s="340">
        <f>IF(K68=0, "    ---- ", IF(ABS(ROUND(100/K68*L68-100,1))&lt;999,ROUND(100/K68*L68-100,1),IF(ROUND(100/K68*L68-100,1)&gt;999,999,-999)))</f>
        <v>0</v>
      </c>
      <c r="N68" s="876">
        <v>122.2</v>
      </c>
      <c r="O68" s="440">
        <v>122.6</v>
      </c>
      <c r="P68" s="435">
        <f>IF(N68=0, "    ---- ", IF(ABS(ROUND(100/N68*O68-100,1))&lt;999,ROUND(100/N68*O68-100,1),IF(ROUND(100/N68*O68-100,1)&gt;999,999,-999)))</f>
        <v>0.3</v>
      </c>
      <c r="Q68" s="876">
        <v>5</v>
      </c>
      <c r="R68" s="440">
        <v>5</v>
      </c>
      <c r="S68" s="340">
        <f>IF(Q68=0, "    ---- ", IF(ABS(ROUND(100/Q68*R68-100,1))&lt;999,ROUND(100/Q68*R68-100,1),IF(ROUND(100/Q68*R68-100,1)&gt;999,999,-999)))</f>
        <v>0</v>
      </c>
      <c r="T68" s="876">
        <v>19830.972714</v>
      </c>
      <c r="U68" s="440">
        <v>21388.486506000001</v>
      </c>
      <c r="V68" s="340">
        <f t="shared" ref="V68:V80" si="70">IF(T68=0, "    ---- ", IF(ABS(ROUND(100/T68*U68-100,1))&lt;999,ROUND(100/T68*U68-100,1),IF(ROUND(100/T68*U68-100,1)&gt;999,999,-999)))</f>
        <v>7.9</v>
      </c>
      <c r="W68" s="876">
        <v>1126.76</v>
      </c>
      <c r="X68" s="440">
        <v>1126.76</v>
      </c>
      <c r="Y68" s="340">
        <f t="shared" si="53"/>
        <v>0</v>
      </c>
      <c r="Z68" s="876">
        <v>1430</v>
      </c>
      <c r="AA68" s="440">
        <v>1430</v>
      </c>
      <c r="AB68" s="340">
        <f>IF(Z68=0, "    ---- ", IF(ABS(ROUND(100/Z68*AA68-100,1))&lt;999,ROUND(100/Z68*AA68-100,1),IF(ROUND(100/Z68*AA68-100,1)&gt;999,999,-999)))</f>
        <v>0</v>
      </c>
      <c r="AC68" s="876">
        <v>48.52</v>
      </c>
      <c r="AD68" s="440">
        <v>48.52</v>
      </c>
      <c r="AE68" s="340">
        <f>IF(AC68=0, "    ---- ", IF(ABS(ROUND(100/AC68*AD68-100,1))&lt;999,ROUND(100/AC68*AD68-100,1),IF(ROUND(100/AC68*AD68-100,1)&gt;999,999,-999)))</f>
        <v>0</v>
      </c>
      <c r="AF68" s="876">
        <v>4257.0320000000002</v>
      </c>
      <c r="AG68" s="440">
        <v>4972.6959999999999</v>
      </c>
      <c r="AH68" s="340">
        <f t="shared" si="55"/>
        <v>16.8</v>
      </c>
      <c r="AI68" s="876">
        <v>15150</v>
      </c>
      <c r="AJ68" s="902">
        <v>15578</v>
      </c>
      <c r="AK68" s="340">
        <f t="shared" si="56"/>
        <v>2.8</v>
      </c>
      <c r="AL68" s="195"/>
      <c r="AM68" s="440">
        <v>38</v>
      </c>
      <c r="AN68" s="340" t="str">
        <f t="shared" ref="AN68:AN69" si="71">IF(AL68=0, "    ---- ", IF(ABS(ROUND(100/AL68*AM68-100,1))&lt;999,ROUND(100/AL68*AM68-100,1),IF(ROUND(100/AL68*AM68-100,1)&gt;999,999,-999)))</f>
        <v xml:space="preserve">    ---- </v>
      </c>
      <c r="AO68" s="744">
        <f t="shared" ref="AO68:AP71" si="72">B68+E68+H68+K68+N68+T68+W68+Z68+AF68+AI68</f>
        <v>52642.235177200004</v>
      </c>
      <c r="AP68" s="744">
        <f t="shared" si="72"/>
        <v>55343.812906959996</v>
      </c>
      <c r="AQ68" s="340">
        <f t="shared" si="49"/>
        <v>5.0999999999999996</v>
      </c>
      <c r="AR68" s="744">
        <f t="shared" ref="AR68:AS71" si="73">B68+E68+H68+K68+N68+Q68+T68+W68+Z68+AC68+AF68+AI68+AL68</f>
        <v>52695.755177200001</v>
      </c>
      <c r="AS68" s="744">
        <f t="shared" si="73"/>
        <v>55435.33290696</v>
      </c>
      <c r="AT68" s="441">
        <f t="shared" si="51"/>
        <v>5.2</v>
      </c>
    </row>
    <row r="69" spans="1:46" s="453" customFormat="1" ht="20.100000000000001" customHeight="1" x14ac:dyDescent="0.3">
      <c r="A69" s="813" t="s">
        <v>230</v>
      </c>
      <c r="B69" s="876">
        <v>704.83100000000002</v>
      </c>
      <c r="C69" s="440">
        <v>711.54629999999997</v>
      </c>
      <c r="D69" s="340">
        <f>IF(B69=0, "    ---- ", IF(ABS(ROUND(100/B69*C69-100,1))&lt;999,ROUND(100/B69*C69-100,1),IF(ROUND(100/B69*C69-100,1)&gt;999,999,-999)))</f>
        <v>1</v>
      </c>
      <c r="E69" s="876">
        <v>17685.655598959998</v>
      </c>
      <c r="F69" s="440">
        <v>17720.002106059997</v>
      </c>
      <c r="G69" s="340">
        <f t="shared" si="47"/>
        <v>0.2</v>
      </c>
      <c r="H69" s="876">
        <v>-22.202079549998089</v>
      </c>
      <c r="I69" s="440">
        <v>16.798799700002625</v>
      </c>
      <c r="J69" s="340">
        <f>IF(H69=0, "    ---- ", IF(ABS(ROUND(100/H69*I69-100,1))&lt;999,ROUND(100/H69*I69-100,1),IF(ROUND(100/H69*I69-100,1)&gt;999,999,-999)))</f>
        <v>-175.7</v>
      </c>
      <c r="K69" s="876">
        <v>367.40600000000001</v>
      </c>
      <c r="L69" s="440">
        <v>322.32799999999997</v>
      </c>
      <c r="M69" s="340">
        <f>IF(K69=0, "    ---- ", IF(ABS(ROUND(100/K69*L69-100,1))&lt;999,ROUND(100/K69*L69-100,1),IF(ROUND(100/K69*L69-100,1)&gt;999,999,-999)))</f>
        <v>-12.3</v>
      </c>
      <c r="N69" s="876">
        <v>917</v>
      </c>
      <c r="O69" s="440">
        <v>676.3</v>
      </c>
      <c r="P69" s="435">
        <f>IF(N69=0, "    ---- ", IF(ABS(ROUND(100/N69*O69-100,1))&lt;999,ROUND(100/N69*O69-100,1),IF(ROUND(100/N69*O69-100,1)&gt;999,999,-999)))</f>
        <v>-26.2</v>
      </c>
      <c r="Q69" s="876">
        <v>109.32599999999999</v>
      </c>
      <c r="R69" s="440">
        <v>119.56</v>
      </c>
      <c r="S69" s="340">
        <f>IF(Q69=0, "    ---- ", IF(ABS(ROUND(100/Q69*R69-100,1))&lt;999,ROUND(100/Q69*R69-100,1),IF(ROUND(100/Q69*R69-100,1)&gt;999,999,-999)))</f>
        <v>9.4</v>
      </c>
      <c r="T69" s="876">
        <v>20846.561301669997</v>
      </c>
      <c r="U69" s="440">
        <v>21410.917880880002</v>
      </c>
      <c r="V69" s="340">
        <f t="shared" si="70"/>
        <v>2.7</v>
      </c>
      <c r="W69" s="876">
        <v>8099.18</v>
      </c>
      <c r="X69" s="440">
        <v>8169.65</v>
      </c>
      <c r="Y69" s="340">
        <f t="shared" si="53"/>
        <v>0.9</v>
      </c>
      <c r="Z69" s="876">
        <v>9909</v>
      </c>
      <c r="AA69" s="440">
        <v>10167</v>
      </c>
      <c r="AB69" s="340">
        <f>IF(Z69=0, "    ---- ", IF(ABS(ROUND(100/Z69*AA69-100,1))&lt;999,ROUND(100/Z69*AA69-100,1),IF(ROUND(100/Z69*AA69-100,1)&gt;999,999,-999)))</f>
        <v>2.6</v>
      </c>
      <c r="AC69" s="876">
        <v>41.354999999999997</v>
      </c>
      <c r="AD69" s="440">
        <v>48.79</v>
      </c>
      <c r="AE69" s="340">
        <f>IF(AC69=0, "    ---- ", IF(ABS(ROUND(100/AC69*AD69-100,1))&lt;999,ROUND(100/AC69*AD69-100,1),IF(ROUND(100/AC69*AD69-100,1)&gt;999,999,-999)))</f>
        <v>18</v>
      </c>
      <c r="AF69" s="876">
        <v>1679.9269999999999</v>
      </c>
      <c r="AG69" s="440">
        <v>986.52</v>
      </c>
      <c r="AH69" s="340">
        <f t="shared" si="55"/>
        <v>-41.3</v>
      </c>
      <c r="AI69" s="876">
        <v>10567</v>
      </c>
      <c r="AJ69" s="902">
        <v>11244</v>
      </c>
      <c r="AK69" s="340">
        <f t="shared" si="56"/>
        <v>6.4</v>
      </c>
      <c r="AL69" s="195"/>
      <c r="AM69" s="440">
        <v>-44</v>
      </c>
      <c r="AN69" s="340" t="str">
        <f t="shared" si="71"/>
        <v xml:space="preserve">    ---- </v>
      </c>
      <c r="AO69" s="744">
        <f t="shared" si="72"/>
        <v>70754.358821079994</v>
      </c>
      <c r="AP69" s="744">
        <f t="shared" si="72"/>
        <v>71425.063086640002</v>
      </c>
      <c r="AQ69" s="340">
        <f t="shared" si="49"/>
        <v>0.9</v>
      </c>
      <c r="AR69" s="744">
        <f t="shared" si="73"/>
        <v>70905.03982107999</v>
      </c>
      <c r="AS69" s="744">
        <f t="shared" si="73"/>
        <v>71549.413086640008</v>
      </c>
      <c r="AT69" s="441">
        <f t="shared" si="51"/>
        <v>0.9</v>
      </c>
    </row>
    <row r="70" spans="1:46" s="453" customFormat="1" ht="20.100000000000001" customHeight="1" x14ac:dyDescent="0.3">
      <c r="A70" s="813" t="s">
        <v>231</v>
      </c>
      <c r="B70" s="876">
        <v>11.117000000000001</v>
      </c>
      <c r="C70" s="440">
        <v>23.196000000000002</v>
      </c>
      <c r="D70" s="440">
        <f>IF(B70=0, "    ---- ", IF(ABS(ROUND(100/B70*C70-100,1))&lt;999,ROUND(100/B70*C70-100,1),IF(ROUND(100/B70*C70-100,1)&gt;999,999,-999)))</f>
        <v>108.7</v>
      </c>
      <c r="E70" s="876">
        <v>929.41688958999998</v>
      </c>
      <c r="F70" s="440">
        <v>1128.2033292399999</v>
      </c>
      <c r="G70" s="340">
        <f>IF(E70=0, "    ---- ", IF(ABS(ROUND(100/E70*F70-100,1))&lt;999,ROUND(100/E70*F70-100,1),IF(ROUND(100/E70*F70-100,1)&gt;999,999,-999)))</f>
        <v>21.4</v>
      </c>
      <c r="H70" s="876"/>
      <c r="I70" s="440"/>
      <c r="J70" s="340"/>
      <c r="K70" s="876"/>
      <c r="L70" s="440"/>
      <c r="M70" s="340"/>
      <c r="N70" s="876">
        <v>39.299999999999997</v>
      </c>
      <c r="O70" s="440">
        <v>45.7</v>
      </c>
      <c r="P70" s="340">
        <f>IF(N70=0, "    ---- ", IF(ABS(ROUND(100/N70*O70-100,1))&lt;999,ROUND(100/N70*O70-100,1),IF(ROUND(100/N70*O70-100,1)&gt;999,999,-999)))</f>
        <v>16.3</v>
      </c>
      <c r="Q70" s="876"/>
      <c r="R70" s="440"/>
      <c r="S70" s="340"/>
      <c r="T70" s="876">
        <v>4370.4553580000002</v>
      </c>
      <c r="U70" s="440">
        <v>4643.2797152100002</v>
      </c>
      <c r="V70" s="340">
        <f t="shared" si="70"/>
        <v>6.2</v>
      </c>
      <c r="W70" s="876">
        <v>117.78</v>
      </c>
      <c r="X70" s="440">
        <v>194.76</v>
      </c>
      <c r="Y70" s="340">
        <f t="shared" si="53"/>
        <v>65.400000000000006</v>
      </c>
      <c r="Z70" s="876">
        <v>2001</v>
      </c>
      <c r="AA70" s="440"/>
      <c r="AB70" s="340">
        <f>IF(Z70=0, "    ---- ", IF(ABS(ROUND(100/Z70*AA70-100,1))&lt;999,ROUND(100/Z70*AA70-100,1),IF(ROUND(100/Z70*AA70-100,1)&gt;999,999,-999)))</f>
        <v>-100</v>
      </c>
      <c r="AC70" s="876"/>
      <c r="AD70" s="440"/>
      <c r="AE70" s="340"/>
      <c r="AF70" s="876">
        <v>213.56800000000001</v>
      </c>
      <c r="AG70" s="440">
        <v>265.07499999999999</v>
      </c>
      <c r="AH70" s="340">
        <f>IF(AF70=0, "    ---- ", IF(ABS(ROUND(100/AF70*AG70-100,1))&lt;999,ROUND(100/AF70*AG70-100,1),IF(ROUND(100/AF70*AG70-100,1)&gt;999,999,-999)))</f>
        <v>24.1</v>
      </c>
      <c r="AI70" s="876">
        <v>547</v>
      </c>
      <c r="AJ70" s="902">
        <v>809</v>
      </c>
      <c r="AK70" s="340">
        <f t="shared" si="56"/>
        <v>47.9</v>
      </c>
      <c r="AL70" s="195"/>
      <c r="AM70" s="440"/>
      <c r="AN70" s="340"/>
      <c r="AO70" s="744">
        <f t="shared" si="72"/>
        <v>8229.6372475899989</v>
      </c>
      <c r="AP70" s="744">
        <f t="shared" si="72"/>
        <v>7109.2140444500001</v>
      </c>
      <c r="AQ70" s="340">
        <f t="shared" si="49"/>
        <v>-13.6</v>
      </c>
      <c r="AR70" s="744">
        <f t="shared" si="73"/>
        <v>8229.6372475899989</v>
      </c>
      <c r="AS70" s="744">
        <f t="shared" si="73"/>
        <v>7109.2140444500001</v>
      </c>
      <c r="AT70" s="441">
        <f t="shared" si="51"/>
        <v>-13.6</v>
      </c>
    </row>
    <row r="71" spans="1:46" s="453" customFormat="1" ht="20.100000000000001" customHeight="1" x14ac:dyDescent="0.3">
      <c r="A71" s="813" t="s">
        <v>232</v>
      </c>
      <c r="B71" s="876"/>
      <c r="C71" s="440"/>
      <c r="D71" s="340"/>
      <c r="E71" s="876">
        <v>7000</v>
      </c>
      <c r="F71" s="440">
        <v>7000</v>
      </c>
      <c r="G71" s="340">
        <f t="shared" si="47"/>
        <v>0</v>
      </c>
      <c r="H71" s="876">
        <v>550</v>
      </c>
      <c r="I71" s="440">
        <v>550</v>
      </c>
      <c r="J71" s="340">
        <f t="shared" ref="J71" si="74">IF(H71=0, "    ---- ", IF(ABS(ROUND(100/H71*I71-100,1))&lt;999,ROUND(100/H71*I71-100,1),IF(ROUND(100/H71*I71-100,1)&gt;999,999,-999)))</f>
        <v>0</v>
      </c>
      <c r="K71" s="876"/>
      <c r="L71" s="440"/>
      <c r="M71" s="340"/>
      <c r="N71" s="876">
        <v>300.3</v>
      </c>
      <c r="O71" s="440">
        <v>300.5</v>
      </c>
      <c r="P71" s="340">
        <f>IF(N71=0, "    ---- ", IF(ABS(ROUND(100/N71*O71-100,1))&lt;999,ROUND(100/N71*O71-100,1),IF(ROUND(100/N71*O71-100,1)&gt;999,999,-999)))</f>
        <v>0.1</v>
      </c>
      <c r="Q71" s="876"/>
      <c r="R71" s="440"/>
      <c r="S71" s="340"/>
      <c r="T71" s="876">
        <v>4604.26662786</v>
      </c>
      <c r="U71" s="440">
        <v>4575.2049747900001</v>
      </c>
      <c r="V71" s="340">
        <f t="shared" si="70"/>
        <v>-0.6</v>
      </c>
      <c r="W71" s="876">
        <v>2830</v>
      </c>
      <c r="X71" s="440">
        <v>2830</v>
      </c>
      <c r="Y71" s="340">
        <f t="shared" si="53"/>
        <v>0</v>
      </c>
      <c r="Z71" s="876">
        <v>1240</v>
      </c>
      <c r="AA71" s="440">
        <v>1240</v>
      </c>
      <c r="AB71" s="340">
        <f>IF(Z71=0, "    ---- ", IF(ABS(ROUND(100/Z71*AA71-100,1))&lt;999,ROUND(100/Z71*AA71-100,1),IF(ROUND(100/Z71*AA71-100,1)&gt;999,999,-999)))</f>
        <v>0</v>
      </c>
      <c r="AC71" s="876"/>
      <c r="AD71" s="440"/>
      <c r="AE71" s="340"/>
      <c r="AF71" s="876"/>
      <c r="AG71" s="440"/>
      <c r="AH71" s="340"/>
      <c r="AI71" s="876">
        <v>10865</v>
      </c>
      <c r="AJ71" s="902">
        <v>9757</v>
      </c>
      <c r="AK71" s="340">
        <f t="shared" si="56"/>
        <v>-10.199999999999999</v>
      </c>
      <c r="AL71" s="195"/>
      <c r="AM71" s="440"/>
      <c r="AN71" s="340"/>
      <c r="AO71" s="744">
        <f t="shared" si="72"/>
        <v>27389.56662786</v>
      </c>
      <c r="AP71" s="744">
        <f t="shared" si="72"/>
        <v>26252.704974790002</v>
      </c>
      <c r="AQ71" s="340">
        <f t="shared" si="49"/>
        <v>-4.2</v>
      </c>
      <c r="AR71" s="744">
        <f t="shared" si="73"/>
        <v>27389.56662786</v>
      </c>
      <c r="AS71" s="744">
        <f t="shared" si="73"/>
        <v>26252.704974790002</v>
      </c>
      <c r="AT71" s="441">
        <f t="shared" si="51"/>
        <v>-4.2</v>
      </c>
    </row>
    <row r="72" spans="1:46" s="453" customFormat="1" ht="20.100000000000001" customHeight="1" x14ac:dyDescent="0.3">
      <c r="A72" s="813" t="s">
        <v>233</v>
      </c>
      <c r="B72" s="876"/>
      <c r="C72" s="440"/>
      <c r="D72" s="340"/>
      <c r="E72" s="876"/>
      <c r="F72" s="440"/>
      <c r="G72" s="340"/>
      <c r="H72" s="876"/>
      <c r="I72" s="440"/>
      <c r="J72" s="340"/>
      <c r="K72" s="876"/>
      <c r="L72" s="440"/>
      <c r="M72" s="340"/>
      <c r="N72" s="876"/>
      <c r="O72" s="440"/>
      <c r="P72" s="435"/>
      <c r="Q72" s="876"/>
      <c r="R72" s="440"/>
      <c r="S72" s="340"/>
      <c r="T72" s="876">
        <v>0</v>
      </c>
      <c r="U72" s="440">
        <v>0</v>
      </c>
      <c r="V72" s="340" t="str">
        <f t="shared" si="70"/>
        <v xml:space="preserve">    ---- </v>
      </c>
      <c r="W72" s="876"/>
      <c r="X72" s="440"/>
      <c r="Y72" s="340"/>
      <c r="Z72" s="876"/>
      <c r="AA72" s="440"/>
      <c r="AB72" s="340"/>
      <c r="AC72" s="876"/>
      <c r="AD72" s="440"/>
      <c r="AE72" s="340"/>
      <c r="AF72" s="876"/>
      <c r="AG72" s="440"/>
      <c r="AH72" s="340"/>
      <c r="AI72" s="876"/>
      <c r="AJ72" s="902"/>
      <c r="AK72" s="340"/>
      <c r="AL72" s="195"/>
      <c r="AM72" s="440"/>
      <c r="AN72" s="340"/>
      <c r="AO72" s="435"/>
      <c r="AP72" s="435"/>
      <c r="AQ72" s="340"/>
      <c r="AR72" s="435"/>
      <c r="AS72" s="435"/>
      <c r="AT72" s="441"/>
    </row>
    <row r="73" spans="1:46" s="453" customFormat="1" ht="20.100000000000001" customHeight="1" x14ac:dyDescent="0.3">
      <c r="A73" s="813" t="s">
        <v>456</v>
      </c>
      <c r="B73" s="876">
        <v>1256.4069999999999</v>
      </c>
      <c r="C73" s="440">
        <v>1391.63966048</v>
      </c>
      <c r="D73" s="340">
        <f>IF(B73=0, "    ---- ", IF(ABS(ROUND(100/B73*C73-100,1))&lt;999,ROUND(100/B73*C73-100,1),IF(ROUND(100/B73*C73-100,1)&gt;999,999,-999)))</f>
        <v>10.8</v>
      </c>
      <c r="E73" s="876">
        <v>185986.04071231</v>
      </c>
      <c r="F73" s="440">
        <v>181528.44372481</v>
      </c>
      <c r="G73" s="340">
        <f t="shared" si="47"/>
        <v>-2.4</v>
      </c>
      <c r="H73" s="876">
        <v>7489.2467585299964</v>
      </c>
      <c r="I73" s="440">
        <v>8169.6949893499977</v>
      </c>
      <c r="J73" s="340">
        <f>IF(H73=0, "    ---- ", IF(ABS(ROUND(100/H73*I73-100,1))&lt;999,ROUND(100/H73*I73-100,1),IF(ROUND(100/H73*I73-100,1)&gt;999,999,-999)))</f>
        <v>9.1</v>
      </c>
      <c r="K73" s="876">
        <v>1169.421</v>
      </c>
      <c r="L73" s="440">
        <v>1395.8130000000001</v>
      </c>
      <c r="M73" s="340">
        <f>IF(K73=0, "    ---- ", IF(ABS(ROUND(100/K73*L73-100,1))&lt;999,ROUND(100/K73*L73-100,1),IF(ROUND(100/K73*L73-100,1)&gt;999,999,-999)))</f>
        <v>19.399999999999999</v>
      </c>
      <c r="N73" s="876">
        <v>7894.5</v>
      </c>
      <c r="O73" s="440">
        <v>8562.5</v>
      </c>
      <c r="P73" s="435">
        <f>IF(N73=0, "    ---- ", IF(ABS(ROUND(100/N73*O73-100,1))&lt;999,ROUND(100/N73*O73-100,1),IF(ROUND(100/N73*O73-100,1)&gt;999,999,-999)))</f>
        <v>8.5</v>
      </c>
      <c r="Q73" s="876">
        <v>41.207000000000001</v>
      </c>
      <c r="R73" s="976">
        <v>16.920000000000002</v>
      </c>
      <c r="S73" s="340">
        <f>IF(Q73=0, "    ---- ", IF(ABS(ROUND(100/Q73*R73-100,1))&lt;999,ROUND(100/Q73*R73-100,1),IF(ROUND(100/Q73*R73-100,1)&gt;999,999,-999)))</f>
        <v>-58.9</v>
      </c>
      <c r="T73" s="876">
        <v>484728.08347910998</v>
      </c>
      <c r="U73" s="440">
        <v>516525.30438066996</v>
      </c>
      <c r="V73" s="340">
        <f t="shared" si="70"/>
        <v>6.6</v>
      </c>
      <c r="W73" s="876">
        <v>47749.66</v>
      </c>
      <c r="X73" s="440">
        <v>47698.879999999997</v>
      </c>
      <c r="Y73" s="340">
        <f t="shared" si="53"/>
        <v>-0.1</v>
      </c>
      <c r="Z73" s="876">
        <v>72092</v>
      </c>
      <c r="AA73" s="440">
        <v>78045</v>
      </c>
      <c r="AB73" s="340">
        <f>IF(Z73=0, "    ---- ", IF(ABS(ROUND(100/Z73*AA73-100,1))&lt;999,ROUND(100/Z73*AA73-100,1),IF(ROUND(100/Z73*AA73-100,1)&gt;999,999,-999)))</f>
        <v>8.3000000000000007</v>
      </c>
      <c r="AC73" s="876"/>
      <c r="AD73" s="440"/>
      <c r="AE73" s="340"/>
      <c r="AF73" s="876">
        <v>18883.72</v>
      </c>
      <c r="AG73" s="440">
        <v>19043.499</v>
      </c>
      <c r="AH73" s="340">
        <f t="shared" si="55"/>
        <v>0.8</v>
      </c>
      <c r="AI73" s="876">
        <v>180684.2</v>
      </c>
      <c r="AJ73" s="902">
        <v>185269</v>
      </c>
      <c r="AK73" s="340">
        <f t="shared" si="56"/>
        <v>2.5</v>
      </c>
      <c r="AL73" s="195"/>
      <c r="AM73" s="440">
        <v>9</v>
      </c>
      <c r="AN73" s="340" t="str">
        <f t="shared" ref="AN73" si="75">IF(AL73=0, "    ---- ", IF(ABS(ROUND(100/AL73*AM73-100,1))&lt;999,ROUND(100/AL73*AM73-100,1),IF(ROUND(100/AL73*AM73-100,1)&gt;999,999,-999)))</f>
        <v xml:space="preserve">    ---- </v>
      </c>
      <c r="AO73" s="744">
        <f t="shared" ref="AO73:AP76" si="76">B73+E73+H73+K73+N73+T73+W73+Z73+AF73+AI73</f>
        <v>1007933.2789499501</v>
      </c>
      <c r="AP73" s="744">
        <f t="shared" si="76"/>
        <v>1047629.7747553099</v>
      </c>
      <c r="AQ73" s="340">
        <f t="shared" si="49"/>
        <v>3.9</v>
      </c>
      <c r="AR73" s="744">
        <f t="shared" ref="AR73:AS75" si="77">B73+E73+H73+K73+N73+Q73+T73+W73+Z73+AC73+AF73+AI73+AL73</f>
        <v>1007974.4859499501</v>
      </c>
      <c r="AS73" s="744">
        <f t="shared" si="77"/>
        <v>1047655.69475531</v>
      </c>
      <c r="AT73" s="441">
        <f t="shared" si="51"/>
        <v>3.9</v>
      </c>
    </row>
    <row r="74" spans="1:46" s="453" customFormat="1" ht="20.100000000000001" customHeight="1" x14ac:dyDescent="0.3">
      <c r="A74" s="813" t="s">
        <v>234</v>
      </c>
      <c r="B74" s="876">
        <v>29.785</v>
      </c>
      <c r="C74" s="440">
        <v>20.901367669999999</v>
      </c>
      <c r="D74" s="340">
        <f>IF(B74=0, "    ---- ", IF(ABS(ROUND(100/B74*C74-100,1))&lt;999,ROUND(100/B74*C74-100,1),IF(ROUND(100/B74*C74-100,1)&gt;999,999,-999)))</f>
        <v>-29.8</v>
      </c>
      <c r="E74" s="876">
        <v>7351.2143255299998</v>
      </c>
      <c r="F74" s="440">
        <v>5562.2949266800006</v>
      </c>
      <c r="G74" s="340">
        <f t="shared" si="47"/>
        <v>-24.3</v>
      </c>
      <c r="H74" s="876"/>
      <c r="I74" s="440"/>
      <c r="J74" s="340"/>
      <c r="K74" s="876">
        <v>4.569</v>
      </c>
      <c r="L74" s="440">
        <v>6.1892999999999997E-2</v>
      </c>
      <c r="M74" s="340">
        <f>IF(K74=0, "    ---- ", IF(ABS(ROUND(100/K74*L74-100,1))&lt;999,ROUND(100/K74*L74-100,1),IF(ROUND(100/K74*L74-100,1)&gt;999,999,-999)))</f>
        <v>-98.6</v>
      </c>
      <c r="N74" s="876">
        <v>332.1</v>
      </c>
      <c r="O74" s="440">
        <v>274</v>
      </c>
      <c r="P74" s="435">
        <f>IF(N74=0, "    ---- ", IF(ABS(ROUND(100/N74*O74-100,1))&lt;999,ROUND(100/N74*O74-100,1),IF(ROUND(100/N74*O74-100,1)&gt;999,999,-999)))</f>
        <v>-17.5</v>
      </c>
      <c r="Q74" s="876"/>
      <c r="R74" s="440"/>
      <c r="S74" s="340"/>
      <c r="T74" s="876">
        <v>48625.802113999998</v>
      </c>
      <c r="U74" s="440"/>
      <c r="V74" s="340">
        <f t="shared" si="70"/>
        <v>-100</v>
      </c>
      <c r="W74" s="876">
        <v>3881.27</v>
      </c>
      <c r="X74" s="440">
        <v>3924.8</v>
      </c>
      <c r="Y74" s="340">
        <f t="shared" si="53"/>
        <v>1.1000000000000001</v>
      </c>
      <c r="Z74" s="876">
        <v>8555</v>
      </c>
      <c r="AA74" s="440">
        <v>0</v>
      </c>
      <c r="AB74" s="340">
        <f>IF(Z74=0, "    ---- ", IF(ABS(ROUND(100/Z74*AA74-100,1))&lt;999,ROUND(100/Z74*AA74-100,1),IF(ROUND(100/Z74*AA74-100,1)&gt;999,999,-999)))</f>
        <v>-100</v>
      </c>
      <c r="AC74" s="876"/>
      <c r="AD74" s="440"/>
      <c r="AE74" s="340"/>
      <c r="AF74" s="876">
        <v>1416.7090000000001</v>
      </c>
      <c r="AG74" s="440">
        <v>1060.3019999999999</v>
      </c>
      <c r="AH74" s="340">
        <f t="shared" si="55"/>
        <v>-25.2</v>
      </c>
      <c r="AI74" s="876">
        <v>13602.4</v>
      </c>
      <c r="AJ74" s="902">
        <v>9622</v>
      </c>
      <c r="AK74" s="340">
        <f t="shared" si="56"/>
        <v>-29.3</v>
      </c>
      <c r="AL74" s="195"/>
      <c r="AM74" s="440"/>
      <c r="AN74" s="340"/>
      <c r="AO74" s="744">
        <f t="shared" si="76"/>
        <v>83798.849439529993</v>
      </c>
      <c r="AP74" s="744">
        <f t="shared" si="76"/>
        <v>20464.360187350001</v>
      </c>
      <c r="AQ74" s="340">
        <f t="shared" si="49"/>
        <v>-75.599999999999994</v>
      </c>
      <c r="AR74" s="744">
        <f t="shared" si="77"/>
        <v>83798.849439529993</v>
      </c>
      <c r="AS74" s="744">
        <f t="shared" si="77"/>
        <v>20464.360187350001</v>
      </c>
      <c r="AT74" s="441">
        <f t="shared" si="51"/>
        <v>-75.599999999999994</v>
      </c>
    </row>
    <row r="75" spans="1:46" s="453" customFormat="1" ht="20.100000000000001" customHeight="1" x14ac:dyDescent="0.3">
      <c r="A75" s="813" t="s">
        <v>235</v>
      </c>
      <c r="B75" s="876">
        <v>53.637</v>
      </c>
      <c r="C75" s="440">
        <v>13.791455529999999</v>
      </c>
      <c r="D75" s="340">
        <f>IF(B75=0, "    ---- ", IF(ABS(ROUND(100/B75*C75-100,1))&lt;999,ROUND(100/B75*C75-100,1),IF(ROUND(100/B75*C75-100,1)&gt;999,999,-999)))</f>
        <v>-74.3</v>
      </c>
      <c r="E75" s="876">
        <v>3204.3463927899998</v>
      </c>
      <c r="F75" s="440">
        <v>807.77848872000004</v>
      </c>
      <c r="G75" s="340">
        <f t="shared" si="47"/>
        <v>-74.8</v>
      </c>
      <c r="H75" s="876">
        <v>5.9795832399999966</v>
      </c>
      <c r="I75" s="440">
        <v>0</v>
      </c>
      <c r="J75" s="340">
        <f>IF(H75=0, "    ---- ", IF(ABS(ROUND(100/H75*I75-100,1))&lt;999,ROUND(100/H75*I75-100,1),IF(ROUND(100/H75*I75-100,1)&gt;999,999,-999)))</f>
        <v>-100</v>
      </c>
      <c r="K75" s="876"/>
      <c r="L75" s="440"/>
      <c r="M75" s="340"/>
      <c r="N75" s="876">
        <v>11.8</v>
      </c>
      <c r="O75" s="440">
        <v>0</v>
      </c>
      <c r="P75" s="435">
        <f>IF(N75=0, "    ---- ", IF(ABS(ROUND(100/N75*O75-100,1))&lt;999,ROUND(100/N75*O75-100,1),IF(ROUND(100/N75*O75-100,1)&gt;999,999,-999)))</f>
        <v>-100</v>
      </c>
      <c r="Q75" s="876"/>
      <c r="R75" s="440"/>
      <c r="S75" s="340"/>
      <c r="T75" s="876">
        <v>77396.876943130002</v>
      </c>
      <c r="U75" s="440">
        <v>1E-8</v>
      </c>
      <c r="V75" s="340">
        <f t="shared" si="70"/>
        <v>-100</v>
      </c>
      <c r="W75" s="876">
        <v>3386.48</v>
      </c>
      <c r="X75" s="440">
        <v>2083.4299999999998</v>
      </c>
      <c r="Y75" s="340">
        <f t="shared" si="53"/>
        <v>-38.5</v>
      </c>
      <c r="Z75" s="876">
        <v>21261</v>
      </c>
      <c r="AA75" s="440">
        <v>0</v>
      </c>
      <c r="AB75" s="340">
        <f>IF(Z75=0, "    ---- ", IF(ABS(ROUND(100/Z75*AA75-100,1))&lt;999,ROUND(100/Z75*AA75-100,1),IF(ROUND(100/Z75*AA75-100,1)&gt;999,999,-999)))</f>
        <v>-100</v>
      </c>
      <c r="AC75" s="876"/>
      <c r="AD75" s="440"/>
      <c r="AE75" s="340"/>
      <c r="AF75" s="876">
        <v>2736.431</v>
      </c>
      <c r="AG75" s="440">
        <v>2099.0129999999999</v>
      </c>
      <c r="AH75" s="340">
        <f t="shared" si="55"/>
        <v>-23.3</v>
      </c>
      <c r="AI75" s="876">
        <v>6309.4</v>
      </c>
      <c r="AJ75" s="902">
        <v>619</v>
      </c>
      <c r="AK75" s="340">
        <f t="shared" si="56"/>
        <v>-90.2</v>
      </c>
      <c r="AL75" s="195"/>
      <c r="AM75" s="440"/>
      <c r="AN75" s="340"/>
      <c r="AO75" s="744">
        <f t="shared" si="76"/>
        <v>114365.95091915999</v>
      </c>
      <c r="AP75" s="744">
        <f t="shared" si="76"/>
        <v>5623.01294426</v>
      </c>
      <c r="AQ75" s="340">
        <f t="shared" si="49"/>
        <v>-95.1</v>
      </c>
      <c r="AR75" s="744">
        <f t="shared" si="77"/>
        <v>114365.95091915999</v>
      </c>
      <c r="AS75" s="744">
        <f t="shared" si="77"/>
        <v>5623.01294426</v>
      </c>
      <c r="AT75" s="441">
        <f t="shared" si="51"/>
        <v>-95.1</v>
      </c>
    </row>
    <row r="76" spans="1:46" s="453" customFormat="1" ht="20.100000000000001" customHeight="1" x14ac:dyDescent="0.3">
      <c r="A76" s="813" t="s">
        <v>491</v>
      </c>
      <c r="B76" s="876"/>
      <c r="C76" s="440"/>
      <c r="D76" s="340"/>
      <c r="E76" s="876"/>
      <c r="F76" s="440"/>
      <c r="G76" s="340"/>
      <c r="H76" s="876"/>
      <c r="I76" s="440"/>
      <c r="J76" s="340"/>
      <c r="K76" s="876"/>
      <c r="L76" s="440"/>
      <c r="M76" s="340"/>
      <c r="N76" s="876"/>
      <c r="O76" s="440"/>
      <c r="P76" s="435"/>
      <c r="Q76" s="876"/>
      <c r="R76" s="440"/>
      <c r="S76" s="340"/>
      <c r="T76" s="876"/>
      <c r="U76" s="440">
        <v>33023.585977089999</v>
      </c>
      <c r="V76" s="340" t="str">
        <f t="shared" si="70"/>
        <v xml:space="preserve">    ---- </v>
      </c>
      <c r="W76" s="876"/>
      <c r="X76" s="440"/>
      <c r="Y76" s="340"/>
      <c r="Z76" s="876"/>
      <c r="AA76" s="440">
        <v>27647</v>
      </c>
      <c r="AB76" s="340" t="str">
        <f t="shared" ref="AB76:AB78" si="78">IF(Z76=0, "    ---- ", IF(ABS(ROUND(100/Z76*AA76-100,1))&lt;999,ROUND(100/Z76*AA76-100,1),IF(ROUND(100/Z76*AA76-100,1)&gt;999,999,-999)))</f>
        <v xml:space="preserve">    ---- </v>
      </c>
      <c r="AC76" s="876"/>
      <c r="AD76" s="440"/>
      <c r="AE76" s="340"/>
      <c r="AF76" s="876"/>
      <c r="AG76" s="440"/>
      <c r="AH76" s="340"/>
      <c r="AI76" s="876"/>
      <c r="AJ76" s="908">
        <v>1137</v>
      </c>
      <c r="AK76" s="340" t="str">
        <f t="shared" si="56"/>
        <v xml:space="preserve">    ---- </v>
      </c>
      <c r="AL76" s="195"/>
      <c r="AM76" s="440"/>
      <c r="AN76" s="340"/>
      <c r="AO76" s="744">
        <f t="shared" si="76"/>
        <v>0</v>
      </c>
      <c r="AP76" s="744">
        <f t="shared" si="76"/>
        <v>61807.585977089999</v>
      </c>
      <c r="AQ76" s="340" t="str">
        <f t="shared" ref="AQ76" si="79">IF(AO76=0, "    ---- ", IF(ABS(ROUND(100/AO76*AP76-100,1))&lt;999,ROUND(100/AO76*AP76-100,1),IF(ROUND(100/AO76*AP76-100,1)&gt;999,999,-999)))</f>
        <v xml:space="preserve">    ---- </v>
      </c>
      <c r="AR76" s="744">
        <f t="shared" ref="AR76" si="80">B76+E76+H76+K76+N76+Q76+T76+W76+Z76+AC76+AF76+AI76+AL76</f>
        <v>0</v>
      </c>
      <c r="AS76" s="744">
        <f t="shared" ref="AS76" si="81">C76+F76+I76+L76+O76+R76+U76+X76+AA76+AD76+AG76+AJ76+AM76</f>
        <v>61807.585977089999</v>
      </c>
      <c r="AT76" s="441" t="str">
        <f t="shared" ref="AT76" si="82">IF(AR76=0, "    ---- ", IF(ABS(ROUND(100/AR76*AS76-100,1))&lt;999,ROUND(100/AR76*AS76-100,1),IF(ROUND(100/AR76*AS76-100,1)&gt;999,999,-999)))</f>
        <v xml:space="preserve">    ---- </v>
      </c>
    </row>
    <row r="77" spans="1:46" s="453" customFormat="1" ht="20.100000000000001" customHeight="1" x14ac:dyDescent="0.3">
      <c r="A77" s="813" t="s">
        <v>492</v>
      </c>
      <c r="B77" s="876">
        <v>13.576000000000001</v>
      </c>
      <c r="C77" s="440">
        <v>16.841997030000002</v>
      </c>
      <c r="D77" s="340">
        <f>IF(B77=0, "    ---- ", IF(ABS(ROUND(100/B77*C77-100,1))&lt;999,ROUND(100/B77*C77-100,1),IF(ROUND(100/B77*C77-100,1)&gt;999,999,-999)))</f>
        <v>24.1</v>
      </c>
      <c r="E77" s="876">
        <v>468.92188654</v>
      </c>
      <c r="F77" s="440">
        <v>449.72115860000002</v>
      </c>
      <c r="G77" s="340">
        <f t="shared" si="47"/>
        <v>-4.0999999999999996</v>
      </c>
      <c r="H77" s="876"/>
      <c r="I77" s="440"/>
      <c r="J77" s="340"/>
      <c r="K77" s="876"/>
      <c r="L77" s="440"/>
      <c r="M77" s="340"/>
      <c r="N77" s="876">
        <v>3.6</v>
      </c>
      <c r="O77" s="440">
        <v>6.4</v>
      </c>
      <c r="P77" s="340">
        <f>IF(N77=0, "    ---- ", IF(ABS(ROUND(100/N77*O77-100,1))&lt;999,ROUND(100/N77*O77-100,1),IF(ROUND(100/N77*O77-100,1)&gt;999,999,-999)))</f>
        <v>77.8</v>
      </c>
      <c r="Q77" s="876"/>
      <c r="R77" s="440"/>
      <c r="S77" s="340"/>
      <c r="T77" s="876">
        <v>40769.107400089997</v>
      </c>
      <c r="U77" s="440">
        <v>0</v>
      </c>
      <c r="V77" s="340">
        <f t="shared" si="70"/>
        <v>-100</v>
      </c>
      <c r="W77" s="876">
        <v>791.45</v>
      </c>
      <c r="X77" s="440">
        <v>871.07</v>
      </c>
      <c r="Y77" s="340">
        <f t="shared" si="53"/>
        <v>10.1</v>
      </c>
      <c r="Z77" s="876">
        <v>9577</v>
      </c>
      <c r="AA77" s="440">
        <v>7623</v>
      </c>
      <c r="AB77" s="340">
        <f t="shared" si="78"/>
        <v>-20.399999999999999</v>
      </c>
      <c r="AC77" s="876"/>
      <c r="AD77" s="440"/>
      <c r="AE77" s="340"/>
      <c r="AF77" s="876">
        <v>450.54399999999998</v>
      </c>
      <c r="AG77" s="440">
        <v>373.59699999999998</v>
      </c>
      <c r="AH77" s="340">
        <f t="shared" si="55"/>
        <v>-17.100000000000001</v>
      </c>
      <c r="AI77" s="876">
        <v>3501.3</v>
      </c>
      <c r="AJ77" s="902">
        <v>3532</v>
      </c>
      <c r="AK77" s="340">
        <f t="shared" si="56"/>
        <v>0.9</v>
      </c>
      <c r="AL77" s="195"/>
      <c r="AM77" s="440"/>
      <c r="AN77" s="340"/>
      <c r="AO77" s="744">
        <f t="shared" ref="AO77:AP80" si="83">B77+E77+H77+K77+N77+T77+W77+Z77+AF77+AI77</f>
        <v>55575.499286630002</v>
      </c>
      <c r="AP77" s="744">
        <f t="shared" si="83"/>
        <v>12872.63015563</v>
      </c>
      <c r="AQ77" s="340">
        <f t="shared" si="49"/>
        <v>-76.8</v>
      </c>
      <c r="AR77" s="744">
        <f t="shared" ref="AR77:AS80" si="84">B77+E77+H77+K77+N77+Q77+T77+W77+Z77+AC77+AF77+AI77+AL77</f>
        <v>55575.499286630002</v>
      </c>
      <c r="AS77" s="744">
        <f t="shared" si="84"/>
        <v>12872.63015563</v>
      </c>
      <c r="AT77" s="441">
        <f t="shared" si="51"/>
        <v>-76.8</v>
      </c>
    </row>
    <row r="78" spans="1:46" s="453" customFormat="1" ht="20.100000000000001" customHeight="1" x14ac:dyDescent="0.3">
      <c r="A78" s="813" t="s">
        <v>493</v>
      </c>
      <c r="B78" s="876">
        <v>45.398000000000003</v>
      </c>
      <c r="C78" s="440">
        <v>44.724333000000001</v>
      </c>
      <c r="D78" s="340">
        <f>IF(B78=0, "    ---- ", IF(ABS(ROUND(100/B78*C78-100,1))&lt;999,ROUND(100/B78*C78-100,1),IF(ROUND(100/B78*C78-100,1)&gt;999,999,-999)))</f>
        <v>-1.5</v>
      </c>
      <c r="E78" s="876">
        <v>2390.59347544</v>
      </c>
      <c r="F78" s="440">
        <v>2768.0250712399998</v>
      </c>
      <c r="G78" s="340">
        <f t="shared" si="47"/>
        <v>15.8</v>
      </c>
      <c r="H78" s="876"/>
      <c r="I78" s="440"/>
      <c r="J78" s="340"/>
      <c r="K78" s="876">
        <v>37.787999999999997</v>
      </c>
      <c r="L78" s="440">
        <v>46.221449</v>
      </c>
      <c r="M78" s="340">
        <f>IF(K78=0, "    ---- ", IF(ABS(ROUND(100/K78*L78-100,1))&lt;999,ROUND(100/K78*L78-100,1),IF(ROUND(100/K78*L78-100,1)&gt;999,999,-999)))</f>
        <v>22.3</v>
      </c>
      <c r="N78" s="876"/>
      <c r="O78" s="440"/>
      <c r="P78" s="435"/>
      <c r="Q78" s="876"/>
      <c r="R78" s="440"/>
      <c r="S78" s="340"/>
      <c r="T78" s="876">
        <v>0</v>
      </c>
      <c r="U78" s="440">
        <v>102162.16465291001</v>
      </c>
      <c r="V78" s="340" t="str">
        <f t="shared" si="70"/>
        <v xml:space="preserve">    ---- </v>
      </c>
      <c r="W78" s="876">
        <v>0</v>
      </c>
      <c r="X78" s="440">
        <v>0</v>
      </c>
      <c r="Y78" s="340" t="str">
        <f t="shared" si="53"/>
        <v xml:space="preserve">    ---- </v>
      </c>
      <c r="Z78" s="876">
        <v>352</v>
      </c>
      <c r="AA78" s="440">
        <v>358</v>
      </c>
      <c r="AB78" s="340">
        <f t="shared" si="78"/>
        <v>1.7</v>
      </c>
      <c r="AC78" s="876"/>
      <c r="AD78" s="440"/>
      <c r="AE78" s="340"/>
      <c r="AF78" s="876"/>
      <c r="AG78" s="440"/>
      <c r="AH78" s="340"/>
      <c r="AI78" s="876">
        <v>661.4</v>
      </c>
      <c r="AJ78" s="902">
        <v>706</v>
      </c>
      <c r="AK78" s="340">
        <f t="shared" si="56"/>
        <v>6.7</v>
      </c>
      <c r="AL78" s="195"/>
      <c r="AM78" s="440"/>
      <c r="AN78" s="340"/>
      <c r="AO78" s="744">
        <f t="shared" si="83"/>
        <v>3487.1794754400003</v>
      </c>
      <c r="AP78" s="744">
        <f t="shared" si="83"/>
        <v>106085.13550615001</v>
      </c>
      <c r="AQ78" s="340">
        <f t="shared" si="49"/>
        <v>999</v>
      </c>
      <c r="AR78" s="744">
        <f t="shared" si="84"/>
        <v>3487.1794754400003</v>
      </c>
      <c r="AS78" s="744">
        <f t="shared" si="84"/>
        <v>106085.13550615001</v>
      </c>
      <c r="AT78" s="441">
        <f t="shared" si="51"/>
        <v>999</v>
      </c>
    </row>
    <row r="79" spans="1:46" s="453" customFormat="1" ht="20.100000000000001" customHeight="1" x14ac:dyDescent="0.3">
      <c r="A79" s="813" t="s">
        <v>236</v>
      </c>
      <c r="B79" s="876"/>
      <c r="C79" s="440"/>
      <c r="D79" s="340"/>
      <c r="E79" s="876"/>
      <c r="F79" s="440"/>
      <c r="G79" s="340"/>
      <c r="H79" s="876"/>
      <c r="I79" s="440"/>
      <c r="J79" s="340"/>
      <c r="K79" s="876"/>
      <c r="L79" s="440"/>
      <c r="M79" s="340"/>
      <c r="N79" s="876"/>
      <c r="O79" s="440"/>
      <c r="P79" s="435"/>
      <c r="Q79" s="876"/>
      <c r="R79" s="440"/>
      <c r="S79" s="340"/>
      <c r="T79" s="876">
        <v>0</v>
      </c>
      <c r="U79" s="440">
        <v>0</v>
      </c>
      <c r="V79" s="340" t="str">
        <f t="shared" si="70"/>
        <v xml:space="preserve">    ---- </v>
      </c>
      <c r="W79" s="876"/>
      <c r="X79" s="440"/>
      <c r="Y79" s="340"/>
      <c r="Z79" s="876"/>
      <c r="AA79" s="440"/>
      <c r="AB79" s="340"/>
      <c r="AC79" s="876"/>
      <c r="AD79" s="440"/>
      <c r="AE79" s="340"/>
      <c r="AF79" s="876"/>
      <c r="AG79" s="440"/>
      <c r="AH79" s="340"/>
      <c r="AI79" s="876"/>
      <c r="AJ79" s="902"/>
      <c r="AK79" s="340"/>
      <c r="AL79" s="195"/>
      <c r="AM79" s="440"/>
      <c r="AN79" s="340"/>
      <c r="AO79" s="744">
        <f t="shared" si="83"/>
        <v>0</v>
      </c>
      <c r="AP79" s="744">
        <f t="shared" si="83"/>
        <v>0</v>
      </c>
      <c r="AQ79" s="340" t="str">
        <f t="shared" si="49"/>
        <v xml:space="preserve">    ---- </v>
      </c>
      <c r="AR79" s="744">
        <f t="shared" si="84"/>
        <v>0</v>
      </c>
      <c r="AS79" s="744">
        <f t="shared" si="84"/>
        <v>0</v>
      </c>
      <c r="AT79" s="441" t="str">
        <f t="shared" si="51"/>
        <v xml:space="preserve">    ---- </v>
      </c>
    </row>
    <row r="80" spans="1:46" s="453" customFormat="1" ht="20.100000000000001" customHeight="1" x14ac:dyDescent="0.3">
      <c r="A80" s="852" t="s">
        <v>237</v>
      </c>
      <c r="B80" s="876">
        <f>SUM(B73:B79)</f>
        <v>1398.8029999999999</v>
      </c>
      <c r="C80" s="440">
        <f>SUM(C73:C79)</f>
        <v>1487.8988137099996</v>
      </c>
      <c r="D80" s="340">
        <f>IF(B80=0, "    ---- ", IF(ABS(ROUND(100/B80*C80-100,1))&lt;999,ROUND(100/B80*C80-100,1),IF(ROUND(100/B80*C80-100,1)&gt;999,999,-999)))</f>
        <v>6.4</v>
      </c>
      <c r="E80" s="876">
        <f>SUM(E73:E79)</f>
        <v>199401.11679260997</v>
      </c>
      <c r="F80" s="440">
        <f>SUM(F73:F79)</f>
        <v>191116.26337005003</v>
      </c>
      <c r="G80" s="340">
        <f t="shared" si="47"/>
        <v>-4.2</v>
      </c>
      <c r="H80" s="876">
        <f>SUM(H73:H79)</f>
        <v>7495.226341769996</v>
      </c>
      <c r="I80" s="440">
        <f>SUM(I73:I79)</f>
        <v>8169.6949893499977</v>
      </c>
      <c r="J80" s="340">
        <f>IF(H80=0, "    ---- ", IF(ABS(ROUND(100/H80*I80-100,1))&lt;999,ROUND(100/H80*I80-100,1),IF(ROUND(100/H80*I80-100,1)&gt;999,999,-999)))</f>
        <v>9</v>
      </c>
      <c r="K80" s="876">
        <f>SUM(K73:K79)</f>
        <v>1211.778</v>
      </c>
      <c r="L80" s="440">
        <f>SUM(L73:L79)</f>
        <v>1442.096342</v>
      </c>
      <c r="M80" s="340">
        <f>IF(K80=0, "    ---- ", IF(ABS(ROUND(100/K80*L80-100,1))&lt;999,ROUND(100/K80*L80-100,1),IF(ROUND(100/K80*L80-100,1)&gt;999,999,-999)))</f>
        <v>19</v>
      </c>
      <c r="N80" s="876">
        <f>SUM(N73:N79)</f>
        <v>8242</v>
      </c>
      <c r="O80" s="440">
        <f>SUM(O73:O79)</f>
        <v>8842.9</v>
      </c>
      <c r="P80" s="435">
        <f>IF(N80=0, "    ---- ", IF(ABS(ROUND(100/N80*O80-100,1))&lt;999,ROUND(100/N80*O80-100,1),IF(ROUND(100/N80*O80-100,1)&gt;999,999,-999)))</f>
        <v>7.3</v>
      </c>
      <c r="Q80" s="876">
        <f>SUM(Q73:Q79)</f>
        <v>41.207000000000001</v>
      </c>
      <c r="R80" s="876">
        <f>SUM(R73:R79)</f>
        <v>16.920000000000002</v>
      </c>
      <c r="S80" s="340">
        <f>IF(Q80=0, "    ---- ", IF(ABS(ROUND(100/Q80*R80-100,1))&lt;999,ROUND(100/Q80*R80-100,1),IF(ROUND(100/Q80*R80-100,1)&gt;999,999,-999)))</f>
        <v>-58.9</v>
      </c>
      <c r="T80" s="876">
        <v>651519.86993633001</v>
      </c>
      <c r="U80" s="440">
        <f>SUM(U73:U79)</f>
        <v>651711.05501067999</v>
      </c>
      <c r="V80" s="340">
        <f t="shared" si="70"/>
        <v>0</v>
      </c>
      <c r="W80" s="876">
        <f>SUM(W73:W79)</f>
        <v>55808.86</v>
      </c>
      <c r="X80" s="440">
        <f>SUM(X73:X79)</f>
        <v>54578.18</v>
      </c>
      <c r="Y80" s="340">
        <f t="shared" si="53"/>
        <v>-2.2000000000000002</v>
      </c>
      <c r="Z80" s="876">
        <f>SUM(Z73:Z79)</f>
        <v>111837</v>
      </c>
      <c r="AA80" s="440">
        <f>SUM(AA73:AA79)</f>
        <v>113673</v>
      </c>
      <c r="AB80" s="340">
        <f>IF(Z80=0, "    ---- ", IF(ABS(ROUND(100/Z80*AA80-100,1))&lt;999,ROUND(100/Z80*AA80-100,1),IF(ROUND(100/Z80*AA80-100,1)&gt;999,999,-999)))</f>
        <v>1.6</v>
      </c>
      <c r="AC80" s="876"/>
      <c r="AD80" s="440"/>
      <c r="AE80" s="340"/>
      <c r="AF80" s="876">
        <f>SUM(AF73:AF79)</f>
        <v>23487.404000000002</v>
      </c>
      <c r="AG80" s="440">
        <f>SUM(AG73:AG79)</f>
        <v>22576.411</v>
      </c>
      <c r="AH80" s="340">
        <f t="shared" si="55"/>
        <v>-3.9</v>
      </c>
      <c r="AI80" s="876">
        <f>SUM(AI73:AI79)</f>
        <v>204758.69999999998</v>
      </c>
      <c r="AJ80" s="902">
        <f>SUM(AJ73:AJ79)</f>
        <v>200885</v>
      </c>
      <c r="AK80" s="340">
        <f t="shared" si="56"/>
        <v>-1.9</v>
      </c>
      <c r="AL80" s="195"/>
      <c r="AM80" s="440">
        <f>SUM(AM73:AM79)</f>
        <v>9</v>
      </c>
      <c r="AN80" s="340" t="str">
        <f t="shared" ref="AN80" si="85">IF(AL80=0, "    ---- ", IF(ABS(ROUND(100/AL80*AM80-100,1))&lt;999,ROUND(100/AL80*AM80-100,1),IF(ROUND(100/AL80*AM80-100,1)&gt;999,999,-999)))</f>
        <v xml:space="preserve">    ---- </v>
      </c>
      <c r="AO80" s="744">
        <f t="shared" si="83"/>
        <v>1265160.7580707099</v>
      </c>
      <c r="AP80" s="744">
        <f t="shared" si="83"/>
        <v>1254482.4995257901</v>
      </c>
      <c r="AQ80" s="340">
        <f t="shared" si="49"/>
        <v>-0.8</v>
      </c>
      <c r="AR80" s="744">
        <f t="shared" si="84"/>
        <v>1265201.9650707101</v>
      </c>
      <c r="AS80" s="744">
        <f t="shared" si="84"/>
        <v>1254508.41952579</v>
      </c>
      <c r="AT80" s="441">
        <f t="shared" si="51"/>
        <v>-0.8</v>
      </c>
    </row>
    <row r="81" spans="1:46" s="453" customFormat="1" ht="20.100000000000001" customHeight="1" x14ac:dyDescent="0.3">
      <c r="A81" s="813" t="s">
        <v>238</v>
      </c>
      <c r="B81" s="876"/>
      <c r="C81" s="440"/>
      <c r="D81" s="340"/>
      <c r="E81" s="876"/>
      <c r="F81" s="440"/>
      <c r="G81" s="340"/>
      <c r="H81" s="876"/>
      <c r="I81" s="440"/>
      <c r="J81" s="340"/>
      <c r="K81" s="876"/>
      <c r="L81" s="440"/>
      <c r="M81" s="340"/>
      <c r="N81" s="876"/>
      <c r="O81" s="440"/>
      <c r="P81" s="435"/>
      <c r="Q81" s="876"/>
      <c r="R81" s="440"/>
      <c r="S81" s="340"/>
      <c r="T81" s="876"/>
      <c r="U81" s="440"/>
      <c r="V81" s="340"/>
      <c r="W81" s="876"/>
      <c r="X81" s="440"/>
      <c r="Y81" s="340"/>
      <c r="Z81" s="876"/>
      <c r="AA81" s="440"/>
      <c r="AB81" s="340"/>
      <c r="AC81" s="876"/>
      <c r="AD81" s="440"/>
      <c r="AE81" s="340"/>
      <c r="AF81" s="876"/>
      <c r="AG81" s="440"/>
      <c r="AH81" s="340"/>
      <c r="AI81" s="876"/>
      <c r="AJ81" s="902"/>
      <c r="AK81" s="340"/>
      <c r="AL81" s="195"/>
      <c r="AM81" s="440"/>
      <c r="AN81" s="340"/>
      <c r="AO81" s="435"/>
      <c r="AP81" s="435"/>
      <c r="AQ81" s="340"/>
      <c r="AR81" s="435"/>
      <c r="AS81" s="435"/>
      <c r="AT81" s="441"/>
    </row>
    <row r="82" spans="1:46" s="453" customFormat="1" ht="20.100000000000001" customHeight="1" x14ac:dyDescent="0.3">
      <c r="A82" s="813" t="s">
        <v>457</v>
      </c>
      <c r="B82" s="876">
        <v>29295.978999999999</v>
      </c>
      <c r="C82" s="440">
        <v>26815.154170259997</v>
      </c>
      <c r="D82" s="340">
        <f>IF(B82=0, "    ---- ", IF(ABS(ROUND(100/B82*C82-100,1))&lt;999,ROUND(100/B82*C82-100,1),IF(ROUND(100/B82*C82-100,1)&gt;999,999,-999)))</f>
        <v>-8.5</v>
      </c>
      <c r="E82" s="876">
        <v>138235.29580959</v>
      </c>
      <c r="F82" s="440">
        <v>137698.87557176</v>
      </c>
      <c r="G82" s="340">
        <f t="shared" si="47"/>
        <v>-0.4</v>
      </c>
      <c r="H82" s="876"/>
      <c r="I82" s="440"/>
      <c r="J82" s="340"/>
      <c r="K82" s="876"/>
      <c r="L82" s="440"/>
      <c r="M82" s="340"/>
      <c r="N82" s="876">
        <v>42940.2</v>
      </c>
      <c r="O82" s="440">
        <v>45698.7</v>
      </c>
      <c r="P82" s="435">
        <f>IF(N82=0, "    ---- ", IF(ABS(ROUND(100/N82*O82-100,1))&lt;999,ROUND(100/N82*O82-100,1),IF(ROUND(100/N82*O82-100,1)&gt;999,999,-999)))</f>
        <v>6.4</v>
      </c>
      <c r="Q82" s="876"/>
      <c r="R82" s="440"/>
      <c r="S82" s="340"/>
      <c r="T82" s="876">
        <v>1549.1708050100001</v>
      </c>
      <c r="U82" s="440">
        <v>2004.85734701</v>
      </c>
      <c r="V82" s="340">
        <f t="shared" ref="V82:V93" si="86">IF(T82=0, "    ---- ", IF(ABS(ROUND(100/T82*U82-100,1))&lt;999,ROUND(100/T82*U82-100,1),IF(ROUND(100/T82*U82-100,1)&gt;999,999,-999)))</f>
        <v>29.4</v>
      </c>
      <c r="W82" s="876">
        <v>125405.21</v>
      </c>
      <c r="X82" s="440">
        <v>118066.46</v>
      </c>
      <c r="Y82" s="340">
        <f t="shared" si="53"/>
        <v>-5.9</v>
      </c>
      <c r="Z82" s="876"/>
      <c r="AA82" s="440"/>
      <c r="AB82" s="340"/>
      <c r="AC82" s="876">
        <v>3211.2460000000001</v>
      </c>
      <c r="AD82" s="440">
        <v>432.113</v>
      </c>
      <c r="AE82" s="340">
        <f>IF(AC82=0, "    ---- ", IF(ABS(ROUND(100/AC82*AD82-100,1))&lt;999,ROUND(100/AC82*AD82-100,1),IF(ROUND(100/AC82*AD82-100,1)&gt;999,999,-999)))</f>
        <v>-86.5</v>
      </c>
      <c r="AF82" s="876">
        <v>55435.983999999997</v>
      </c>
      <c r="AG82" s="440">
        <v>54727.51</v>
      </c>
      <c r="AH82" s="340">
        <f t="shared" si="55"/>
        <v>-1.3</v>
      </c>
      <c r="AI82" s="876">
        <v>157873</v>
      </c>
      <c r="AJ82" s="902">
        <v>152558</v>
      </c>
      <c r="AK82" s="340">
        <f t="shared" si="56"/>
        <v>-3.4</v>
      </c>
      <c r="AL82" s="195"/>
      <c r="AM82" s="440"/>
      <c r="AN82" s="340"/>
      <c r="AO82" s="744">
        <f t="shared" ref="AO82:AP84" si="87">B82+E82+H82+K82+N82+T82+W82+Z82+AF82+AI82</f>
        <v>550734.83961459994</v>
      </c>
      <c r="AP82" s="744">
        <f t="shared" si="87"/>
        <v>537569.55708903004</v>
      </c>
      <c r="AQ82" s="340">
        <f t="shared" si="49"/>
        <v>-2.4</v>
      </c>
      <c r="AR82" s="744">
        <f t="shared" ref="AR82:AS83" si="88">B82+E82+H82+K82+N82+Q82+T82+W82+Z82+AC82+AF82+AI82+AL82</f>
        <v>553946.08561459999</v>
      </c>
      <c r="AS82" s="744">
        <f t="shared" si="88"/>
        <v>538001.67008903006</v>
      </c>
      <c r="AT82" s="441">
        <f t="shared" si="51"/>
        <v>-2.9</v>
      </c>
    </row>
    <row r="83" spans="1:46" s="453" customFormat="1" ht="20.100000000000001" customHeight="1" x14ac:dyDescent="0.3">
      <c r="A83" s="813" t="s">
        <v>458</v>
      </c>
      <c r="B83" s="876"/>
      <c r="C83" s="440"/>
      <c r="D83" s="340"/>
      <c r="E83" s="876"/>
      <c r="F83" s="440"/>
      <c r="G83" s="340"/>
      <c r="H83" s="876"/>
      <c r="I83" s="440"/>
      <c r="J83" s="340"/>
      <c r="K83" s="876"/>
      <c r="L83" s="440"/>
      <c r="M83" s="340"/>
      <c r="N83" s="876"/>
      <c r="O83" s="440"/>
      <c r="P83" s="340"/>
      <c r="Q83" s="876"/>
      <c r="R83" s="440"/>
      <c r="S83" s="340"/>
      <c r="T83" s="876">
        <v>186.28134800000001</v>
      </c>
      <c r="U83" s="440">
        <v>61.466611999999998</v>
      </c>
      <c r="V83" s="340">
        <f t="shared" si="86"/>
        <v>-67</v>
      </c>
      <c r="W83" s="876"/>
      <c r="X83" s="440"/>
      <c r="Y83" s="340"/>
      <c r="Z83" s="876"/>
      <c r="AA83" s="440"/>
      <c r="AB83" s="340"/>
      <c r="AC83" s="876"/>
      <c r="AD83" s="440"/>
      <c r="AE83" s="340"/>
      <c r="AF83" s="876">
        <v>40.713000000000001</v>
      </c>
      <c r="AG83" s="440">
        <v>0</v>
      </c>
      <c r="AH83" s="340">
        <f t="shared" si="55"/>
        <v>-100</v>
      </c>
      <c r="AI83" s="876"/>
      <c r="AJ83" s="902"/>
      <c r="AK83" s="340"/>
      <c r="AL83" s="195"/>
      <c r="AM83" s="440"/>
      <c r="AN83" s="340"/>
      <c r="AO83" s="744">
        <f t="shared" si="87"/>
        <v>226.994348</v>
      </c>
      <c r="AP83" s="744">
        <f t="shared" si="87"/>
        <v>61.466611999999998</v>
      </c>
      <c r="AQ83" s="340">
        <f t="shared" si="49"/>
        <v>-72.900000000000006</v>
      </c>
      <c r="AR83" s="744">
        <f t="shared" si="88"/>
        <v>226.994348</v>
      </c>
      <c r="AS83" s="744">
        <f t="shared" si="88"/>
        <v>61.466611999999998</v>
      </c>
      <c r="AT83" s="441">
        <f t="shared" si="51"/>
        <v>-72.900000000000006</v>
      </c>
    </row>
    <row r="84" spans="1:46" s="453" customFormat="1" ht="20.100000000000001" customHeight="1" x14ac:dyDescent="0.3">
      <c r="A84" s="813" t="s">
        <v>494</v>
      </c>
      <c r="B84" s="876"/>
      <c r="C84" s="440"/>
      <c r="D84" s="340"/>
      <c r="E84" s="876"/>
      <c r="F84" s="440"/>
      <c r="G84" s="340"/>
      <c r="H84" s="876"/>
      <c r="I84" s="440"/>
      <c r="J84" s="340"/>
      <c r="K84" s="876"/>
      <c r="L84" s="440"/>
      <c r="M84" s="340"/>
      <c r="N84" s="876"/>
      <c r="O84" s="440"/>
      <c r="P84" s="340"/>
      <c r="Q84" s="876"/>
      <c r="R84" s="440"/>
      <c r="S84" s="340"/>
      <c r="T84" s="876"/>
      <c r="U84" s="440">
        <v>546.85605792000001</v>
      </c>
      <c r="V84" s="340" t="str">
        <f t="shared" si="86"/>
        <v xml:space="preserve">    ---- </v>
      </c>
      <c r="W84" s="876"/>
      <c r="X84" s="440"/>
      <c r="Y84" s="340"/>
      <c r="Z84" s="876"/>
      <c r="AA84" s="440"/>
      <c r="AB84" s="340"/>
      <c r="AC84" s="876"/>
      <c r="AD84" s="440"/>
      <c r="AE84" s="340"/>
      <c r="AF84" s="876"/>
      <c r="AG84" s="440"/>
      <c r="AH84" s="340"/>
      <c r="AI84" s="876"/>
      <c r="AJ84" s="902"/>
      <c r="AK84" s="340"/>
      <c r="AL84" s="195"/>
      <c r="AM84" s="440"/>
      <c r="AN84" s="340"/>
      <c r="AO84" s="744">
        <f t="shared" si="87"/>
        <v>0</v>
      </c>
      <c r="AP84" s="744">
        <f t="shared" si="87"/>
        <v>546.85605792000001</v>
      </c>
      <c r="AQ84" s="340" t="str">
        <f t="shared" ref="AQ84" si="89">IF(AO84=0, "    ---- ", IF(ABS(ROUND(100/AO84*AP84-100,1))&lt;999,ROUND(100/AO84*AP84-100,1),IF(ROUND(100/AO84*AP84-100,1)&gt;999,999,-999)))</f>
        <v xml:space="preserve">    ---- </v>
      </c>
      <c r="AR84" s="744"/>
      <c r="AS84" s="744"/>
      <c r="AT84" s="441"/>
    </row>
    <row r="85" spans="1:46" s="453" customFormat="1" ht="20.100000000000001" customHeight="1" x14ac:dyDescent="0.3">
      <c r="A85" s="813" t="s">
        <v>495</v>
      </c>
      <c r="B85" s="875">
        <v>65.459000000000003</v>
      </c>
      <c r="C85" s="440">
        <v>64.175035839999993</v>
      </c>
      <c r="D85" s="340">
        <f>IF(B85=0, "    ---- ", IF(ABS(ROUND(100/B85*C85-100,1))&lt;999,ROUND(100/B85*C85-100,1),IF(ROUND(100/B85*C85-100,1)&gt;999,999,-999)))</f>
        <v>-2</v>
      </c>
      <c r="E85" s="875">
        <v>512.11283667999999</v>
      </c>
      <c r="F85" s="340">
        <v>560.44277751000004</v>
      </c>
      <c r="G85" s="340">
        <f t="shared" si="47"/>
        <v>9.4</v>
      </c>
      <c r="H85" s="875"/>
      <c r="I85" s="340"/>
      <c r="J85" s="340"/>
      <c r="K85" s="875"/>
      <c r="L85" s="340"/>
      <c r="M85" s="340"/>
      <c r="N85" s="875">
        <v>244.2</v>
      </c>
      <c r="O85" s="340">
        <v>275.10000000000002</v>
      </c>
      <c r="P85" s="340">
        <f>IF(N85=0, "    ---- ", IF(ABS(ROUND(100/N85*O85-100,1))&lt;999,ROUND(100/N85*O85-100,1),IF(ROUND(100/N85*O85-100,1)&gt;999,999,-999)))</f>
        <v>12.7</v>
      </c>
      <c r="Q85" s="875"/>
      <c r="R85" s="340"/>
      <c r="S85" s="340"/>
      <c r="T85" s="875">
        <v>498.88131492000002</v>
      </c>
      <c r="U85" s="340"/>
      <c r="V85" s="340">
        <f t="shared" si="86"/>
        <v>-100</v>
      </c>
      <c r="W85" s="875"/>
      <c r="X85" s="340"/>
      <c r="Y85" s="340"/>
      <c r="Z85" s="875"/>
      <c r="AA85" s="340"/>
      <c r="AB85" s="340"/>
      <c r="AC85" s="875"/>
      <c r="AD85" s="340"/>
      <c r="AE85" s="340"/>
      <c r="AF85" s="875">
        <v>704.27099999999996</v>
      </c>
      <c r="AG85" s="440">
        <v>652.10400000000004</v>
      </c>
      <c r="AH85" s="340">
        <f t="shared" si="55"/>
        <v>-7.4</v>
      </c>
      <c r="AI85" s="875"/>
      <c r="AJ85" s="901"/>
      <c r="AK85" s="340"/>
      <c r="AL85" s="824"/>
      <c r="AM85" s="340"/>
      <c r="AN85" s="340"/>
      <c r="AO85" s="744">
        <f t="shared" ref="AO85:AP91" si="90">B85+E85+H85+K85+N85+T85+W85+Z85+AF85+AI85</f>
        <v>2024.9241516</v>
      </c>
      <c r="AP85" s="744">
        <f t="shared" si="90"/>
        <v>1551.82181335</v>
      </c>
      <c r="AQ85" s="340">
        <f t="shared" si="49"/>
        <v>-23.4</v>
      </c>
      <c r="AR85" s="744">
        <f t="shared" ref="AR85:AS91" si="91">B85+E85+H85+K85+N85+Q85+T85+W85+Z85+AC85+AF85+AI85+AL85</f>
        <v>2024.9241516</v>
      </c>
      <c r="AS85" s="744">
        <f t="shared" si="91"/>
        <v>1551.82181335</v>
      </c>
      <c r="AT85" s="441">
        <f t="shared" si="51"/>
        <v>-23.4</v>
      </c>
    </row>
    <row r="86" spans="1:46" s="453" customFormat="1" ht="20.100000000000001" customHeight="1" x14ac:dyDescent="0.3">
      <c r="A86" s="813" t="s">
        <v>236</v>
      </c>
      <c r="B86" s="876"/>
      <c r="C86" s="440"/>
      <c r="D86" s="440"/>
      <c r="E86" s="876"/>
      <c r="F86" s="440"/>
      <c r="G86" s="440"/>
      <c r="H86" s="876"/>
      <c r="I86" s="440"/>
      <c r="J86" s="440"/>
      <c r="K86" s="876"/>
      <c r="L86" s="440"/>
      <c r="M86" s="440"/>
      <c r="N86" s="876"/>
      <c r="O86" s="440"/>
      <c r="P86" s="435"/>
      <c r="Q86" s="876"/>
      <c r="R86" s="440"/>
      <c r="S86" s="340"/>
      <c r="T86" s="876">
        <v>0</v>
      </c>
      <c r="U86" s="440">
        <v>0</v>
      </c>
      <c r="V86" s="340" t="str">
        <f t="shared" si="86"/>
        <v xml:space="preserve">    ---- </v>
      </c>
      <c r="W86" s="876"/>
      <c r="X86" s="440"/>
      <c r="Y86" s="340"/>
      <c r="Z86" s="876"/>
      <c r="AA86" s="440"/>
      <c r="AB86" s="340"/>
      <c r="AC86" s="876"/>
      <c r="AD86" s="440"/>
      <c r="AE86" s="440"/>
      <c r="AF86" s="876"/>
      <c r="AG86" s="440"/>
      <c r="AH86" s="340"/>
      <c r="AI86" s="876"/>
      <c r="AJ86" s="902"/>
      <c r="AK86" s="340"/>
      <c r="AL86" s="195"/>
      <c r="AM86" s="440"/>
      <c r="AN86" s="340"/>
      <c r="AO86" s="744">
        <f t="shared" si="90"/>
        <v>0</v>
      </c>
      <c r="AP86" s="744">
        <f t="shared" si="90"/>
        <v>0</v>
      </c>
      <c r="AQ86" s="340" t="str">
        <f t="shared" si="49"/>
        <v xml:space="preserve">    ---- </v>
      </c>
      <c r="AR86" s="744">
        <f t="shared" si="91"/>
        <v>0</v>
      </c>
      <c r="AS86" s="744">
        <f t="shared" si="91"/>
        <v>0</v>
      </c>
      <c r="AT86" s="441" t="str">
        <f t="shared" si="51"/>
        <v xml:space="preserve">    ---- </v>
      </c>
    </row>
    <row r="87" spans="1:46" s="453" customFormat="1" ht="20.100000000000001" customHeight="1" x14ac:dyDescent="0.3">
      <c r="A87" s="852" t="s">
        <v>239</v>
      </c>
      <c r="B87" s="876">
        <f>SUM(B82:B86)</f>
        <v>29361.437999999998</v>
      </c>
      <c r="C87" s="440">
        <f>SUM(C82:C86)</f>
        <v>26879.329206099996</v>
      </c>
      <c r="D87" s="440">
        <f>IF(B87=0, "    ---- ", IF(ABS(ROUND(100/B87*C87-100,1))&lt;999,ROUND(100/B87*C87-100,1),IF(ROUND(100/B87*C87-100,1)&gt;999,999,-999)))</f>
        <v>-8.5</v>
      </c>
      <c r="E87" s="876">
        <f>SUM(E82:E86)</f>
        <v>138747.40864626999</v>
      </c>
      <c r="F87" s="440">
        <f>SUM(F82:F86)</f>
        <v>138259.31834927</v>
      </c>
      <c r="G87" s="440">
        <f t="shared" si="47"/>
        <v>-0.4</v>
      </c>
      <c r="H87" s="876"/>
      <c r="I87" s="440"/>
      <c r="J87" s="440"/>
      <c r="K87" s="876"/>
      <c r="L87" s="440"/>
      <c r="M87" s="440"/>
      <c r="N87" s="876">
        <f>SUM(N82:N86)</f>
        <v>43184.399999999994</v>
      </c>
      <c r="O87" s="440">
        <f>SUM(O82:O86)</f>
        <v>45973.799999999996</v>
      </c>
      <c r="P87" s="435">
        <f>IF(N87=0, "    ---- ", IF(ABS(ROUND(100/N87*O87-100,1))&lt;999,ROUND(100/N87*O87-100,1),IF(ROUND(100/N87*O87-100,1)&gt;999,999,-999)))</f>
        <v>6.5</v>
      </c>
      <c r="Q87" s="876"/>
      <c r="R87" s="440"/>
      <c r="S87" s="340"/>
      <c r="T87" s="876">
        <v>2234.3334679300001</v>
      </c>
      <c r="U87" s="440">
        <f>SUM(U82:U86)</f>
        <v>2613.1800169300004</v>
      </c>
      <c r="V87" s="340">
        <f t="shared" si="86"/>
        <v>17</v>
      </c>
      <c r="W87" s="876">
        <f>SUM(W82:W86)</f>
        <v>125405.21</v>
      </c>
      <c r="X87" s="440">
        <f>SUM(X82:X86)</f>
        <v>118066.46</v>
      </c>
      <c r="Y87" s="340">
        <f t="shared" si="53"/>
        <v>-5.9</v>
      </c>
      <c r="Z87" s="876"/>
      <c r="AA87" s="440"/>
      <c r="AB87" s="340"/>
      <c r="AC87" s="876">
        <f>SUM(AC82:AC86)</f>
        <v>3211.2460000000001</v>
      </c>
      <c r="AD87" s="440">
        <f>SUM(AD82:AD86)</f>
        <v>432.113</v>
      </c>
      <c r="AE87" s="440">
        <f>IF(AC87=0, "    ---- ", IF(ABS(ROUND(100/AC87*AD87-100,1))&lt;999,ROUND(100/AC87*AD87-100,1),IF(ROUND(100/AC87*AD87-100,1)&gt;999,999,-999)))</f>
        <v>-86.5</v>
      </c>
      <c r="AF87" s="876">
        <f>SUM(AF82:AF86)</f>
        <v>56180.968000000001</v>
      </c>
      <c r="AG87" s="440">
        <f>SUM(AG82:AG86)</f>
        <v>55379.614000000001</v>
      </c>
      <c r="AH87" s="340">
        <f t="shared" si="55"/>
        <v>-1.4</v>
      </c>
      <c r="AI87" s="876">
        <f>SUM(AI82:AI86)</f>
        <v>157873</v>
      </c>
      <c r="AJ87" s="902">
        <f>SUM(AJ82:AJ86)</f>
        <v>152558</v>
      </c>
      <c r="AK87" s="340">
        <f t="shared" si="56"/>
        <v>-3.4</v>
      </c>
      <c r="AL87" s="195"/>
      <c r="AM87" s="440"/>
      <c r="AN87" s="340"/>
      <c r="AO87" s="744">
        <f t="shared" si="90"/>
        <v>552986.75811419997</v>
      </c>
      <c r="AP87" s="744">
        <f t="shared" si="90"/>
        <v>539729.70157229993</v>
      </c>
      <c r="AQ87" s="340">
        <f t="shared" si="49"/>
        <v>-2.4</v>
      </c>
      <c r="AR87" s="744">
        <f t="shared" si="91"/>
        <v>556198.0041141999</v>
      </c>
      <c r="AS87" s="744">
        <f t="shared" si="91"/>
        <v>540161.81457230006</v>
      </c>
      <c r="AT87" s="441">
        <f t="shared" si="51"/>
        <v>-2.9</v>
      </c>
    </row>
    <row r="88" spans="1:46" s="453" customFormat="1" ht="20.100000000000001" customHeight="1" x14ac:dyDescent="0.3">
      <c r="A88" s="813" t="s">
        <v>240</v>
      </c>
      <c r="B88" s="876">
        <v>62.814999999999998</v>
      </c>
      <c r="C88" s="440">
        <v>28.879000000000001</v>
      </c>
      <c r="D88" s="340">
        <f>IF(B88=0, "    ---- ", IF(ABS(ROUND(100/B88*C88-100,1))&lt;999,ROUND(100/B88*C88-100,1),IF(ROUND(100/B88*C88-100,1)&gt;999,999,-999)))</f>
        <v>-54</v>
      </c>
      <c r="E88" s="876">
        <v>2345.6034612900003</v>
      </c>
      <c r="F88" s="440">
        <v>1118.5188649900001</v>
      </c>
      <c r="G88" s="340">
        <f t="shared" si="47"/>
        <v>-52.3</v>
      </c>
      <c r="H88" s="876">
        <v>881.89816728999995</v>
      </c>
      <c r="I88" s="440">
        <v>618.02502085000015</v>
      </c>
      <c r="J88" s="340">
        <f>IF(H88=0, "    ---- ", IF(ABS(ROUND(100/H88*I88-100,1))&lt;999,ROUND(100/H88*I88-100,1),IF(ROUND(100/H88*I88-100,1)&gt;999,999,-999)))</f>
        <v>-29.9</v>
      </c>
      <c r="K88" s="876">
        <v>70.783000000000001</v>
      </c>
      <c r="L88" s="440">
        <v>42.421999999999997</v>
      </c>
      <c r="M88" s="340">
        <f>IF(K88=0, "    ---- ", IF(ABS(ROUND(100/K88*L88-100,1))&lt;999,ROUND(100/K88*L88-100,1),IF(ROUND(100/K88*L88-100,1)&gt;999,999,-999)))</f>
        <v>-40.1</v>
      </c>
      <c r="N88" s="876">
        <v>83.5</v>
      </c>
      <c r="O88" s="440">
        <v>75.3</v>
      </c>
      <c r="P88" s="340">
        <f>IF(N88=0, "    ---- ", IF(ABS(ROUND(100/N88*O88-100,1))&lt;999,ROUND(100/N88*O88-100,1),IF(ROUND(100/N88*O88-100,1)&gt;999,999,-999)))</f>
        <v>-9.8000000000000007</v>
      </c>
      <c r="Q88" s="876"/>
      <c r="R88" s="440"/>
      <c r="S88" s="340"/>
      <c r="T88" s="876">
        <v>1256.5804185999998</v>
      </c>
      <c r="U88" s="440">
        <v>1306.6923602500001</v>
      </c>
      <c r="V88" s="340">
        <f t="shared" si="86"/>
        <v>4</v>
      </c>
      <c r="W88" s="876">
        <v>533.15</v>
      </c>
      <c r="X88" s="440">
        <v>474.37</v>
      </c>
      <c r="Y88" s="340">
        <f t="shared" si="53"/>
        <v>-11</v>
      </c>
      <c r="Z88" s="876">
        <v>953</v>
      </c>
      <c r="AA88" s="440">
        <f>655+524+65</f>
        <v>1244</v>
      </c>
      <c r="AB88" s="340">
        <f>IF(Z88=0, "    ---- ", IF(ABS(ROUND(100/Z88*AA88-100,1))&lt;999,ROUND(100/Z88*AA88-100,1),IF(ROUND(100/Z88*AA88-100,1)&gt;999,999,-999)))</f>
        <v>30.5</v>
      </c>
      <c r="AC88" s="876"/>
      <c r="AD88" s="440"/>
      <c r="AE88" s="340"/>
      <c r="AF88" s="876">
        <v>633.01599999999996</v>
      </c>
      <c r="AG88" s="440">
        <v>377.67099999999999</v>
      </c>
      <c r="AH88" s="340">
        <f t="shared" si="55"/>
        <v>-40.299999999999997</v>
      </c>
      <c r="AI88" s="876">
        <v>2</v>
      </c>
      <c r="AJ88" s="902"/>
      <c r="AK88" s="340">
        <f t="shared" si="56"/>
        <v>-100</v>
      </c>
      <c r="AL88" s="195"/>
      <c r="AM88" s="440"/>
      <c r="AN88" s="340"/>
      <c r="AO88" s="744">
        <f t="shared" si="90"/>
        <v>6822.346047179999</v>
      </c>
      <c r="AP88" s="744">
        <f t="shared" si="90"/>
        <v>5285.8782460900002</v>
      </c>
      <c r="AQ88" s="340">
        <f t="shared" si="49"/>
        <v>-22.5</v>
      </c>
      <c r="AR88" s="744">
        <f t="shared" si="91"/>
        <v>6822.346047179999</v>
      </c>
      <c r="AS88" s="744">
        <f t="shared" si="91"/>
        <v>5285.8782460900002</v>
      </c>
      <c r="AT88" s="441">
        <f t="shared" si="51"/>
        <v>-22.5</v>
      </c>
    </row>
    <row r="89" spans="1:46" s="453" customFormat="1" ht="20.100000000000001" customHeight="1" x14ac:dyDescent="0.3">
      <c r="A89" s="813" t="s">
        <v>241</v>
      </c>
      <c r="B89" s="876"/>
      <c r="C89" s="440"/>
      <c r="D89" s="340"/>
      <c r="E89" s="876"/>
      <c r="F89" s="440"/>
      <c r="G89" s="340"/>
      <c r="H89" s="876">
        <v>368.43717791</v>
      </c>
      <c r="I89" s="440">
        <v>365.03876766999997</v>
      </c>
      <c r="J89" s="340">
        <f t="shared" ref="J89:J90" si="92">IF(H89=0, "    ---- ", IF(ABS(ROUND(100/H89*I89-100,1))&lt;999,ROUND(100/H89*I89-100,1),IF(ROUND(100/H89*I89-100,1)&gt;999,999,-999)))</f>
        <v>-0.9</v>
      </c>
      <c r="K89" s="876"/>
      <c r="L89" s="440"/>
      <c r="M89" s="340"/>
      <c r="N89" s="876"/>
      <c r="O89" s="440"/>
      <c r="P89" s="340"/>
      <c r="Q89" s="876"/>
      <c r="R89" s="440"/>
      <c r="S89" s="340"/>
      <c r="T89" s="876">
        <v>0</v>
      </c>
      <c r="U89" s="440">
        <v>0</v>
      </c>
      <c r="V89" s="340" t="str">
        <f t="shared" si="86"/>
        <v xml:space="preserve">    ---- </v>
      </c>
      <c r="W89" s="876"/>
      <c r="X89" s="440"/>
      <c r="Y89" s="340"/>
      <c r="Z89" s="876"/>
      <c r="AA89" s="440"/>
      <c r="AB89" s="340"/>
      <c r="AC89" s="876"/>
      <c r="AD89" s="440"/>
      <c r="AE89" s="340"/>
      <c r="AF89" s="876">
        <v>7.399</v>
      </c>
      <c r="AG89" s="440">
        <v>11.771000000000001</v>
      </c>
      <c r="AH89" s="340">
        <f t="shared" si="55"/>
        <v>59.1</v>
      </c>
      <c r="AI89" s="876"/>
      <c r="AJ89" s="902"/>
      <c r="AK89" s="340"/>
      <c r="AL89" s="195"/>
      <c r="AM89" s="440"/>
      <c r="AN89" s="340"/>
      <c r="AO89" s="744">
        <f t="shared" si="90"/>
        <v>375.83617791</v>
      </c>
      <c r="AP89" s="744">
        <f t="shared" si="90"/>
        <v>376.80976766999999</v>
      </c>
      <c r="AQ89" s="340">
        <f t="shared" si="49"/>
        <v>0.3</v>
      </c>
      <c r="AR89" s="744">
        <f t="shared" si="91"/>
        <v>375.83617791</v>
      </c>
      <c r="AS89" s="744">
        <f t="shared" si="91"/>
        <v>376.80976766999999</v>
      </c>
      <c r="AT89" s="441">
        <f t="shared" si="51"/>
        <v>0.3</v>
      </c>
    </row>
    <row r="90" spans="1:46" s="453" customFormat="1" ht="20.100000000000001" customHeight="1" x14ac:dyDescent="0.3">
      <c r="A90" s="813" t="s">
        <v>242</v>
      </c>
      <c r="B90" s="876">
        <v>194.036</v>
      </c>
      <c r="C90" s="440">
        <v>127.15810999999999</v>
      </c>
      <c r="D90" s="440">
        <f>IF(B90=0, "    ---- ", IF(ABS(ROUND(100/B90*C90-100,1))&lt;999,ROUND(100/B90*C90-100,1),IF(ROUND(100/B90*C90-100,1)&gt;999,999,-999)))</f>
        <v>-34.5</v>
      </c>
      <c r="E90" s="876">
        <v>1902.4934580999968</v>
      </c>
      <c r="F90" s="440">
        <v>8207.4261336299896</v>
      </c>
      <c r="G90" s="440">
        <f t="shared" si="47"/>
        <v>331.4</v>
      </c>
      <c r="H90" s="876">
        <v>84.368345640000015</v>
      </c>
      <c r="I90" s="440">
        <v>118.17101013000003</v>
      </c>
      <c r="J90" s="340">
        <f t="shared" si="92"/>
        <v>40.1</v>
      </c>
      <c r="K90" s="876">
        <v>16.672999999999998</v>
      </c>
      <c r="L90" s="440">
        <v>16.197545999999999</v>
      </c>
      <c r="M90" s="440">
        <f t="shared" ref="M90" si="93">IF(K90=0, "    ---- ", IF(ABS(ROUND(100/K90*L90-100,1))&lt;999,ROUND(100/K90*L90-100,1),IF(ROUND(100/K90*L90-100,1)&gt;999,999,-999)))</f>
        <v>-2.9</v>
      </c>
      <c r="N90" s="876">
        <v>299.2</v>
      </c>
      <c r="O90" s="440">
        <v>600.20000000000005</v>
      </c>
      <c r="P90" s="435">
        <f>IF(N90=0, "    ---- ", IF(ABS(ROUND(100/N90*O90-100,1))&lt;999,ROUND(100/N90*O90-100,1),IF(ROUND(100/N90*O90-100,1)&gt;999,999,-999)))</f>
        <v>100.6</v>
      </c>
      <c r="Q90" s="876">
        <v>6.4020000000000001</v>
      </c>
      <c r="R90" s="440">
        <v>11</v>
      </c>
      <c r="S90" s="340">
        <f>IF(Q90=0, "    ---- ", IF(ABS(ROUND(100/Q90*R90-100,1))&lt;999,ROUND(100/Q90*R90-100,1),IF(ROUND(100/Q90*R90-100,1)&gt;999,999,-999)))</f>
        <v>71.8</v>
      </c>
      <c r="T90" s="876">
        <v>6272.9869112599999</v>
      </c>
      <c r="U90" s="440">
        <v>6905.3844222899997</v>
      </c>
      <c r="V90" s="340">
        <f t="shared" si="86"/>
        <v>10.1</v>
      </c>
      <c r="W90" s="876">
        <v>269.02999999999997</v>
      </c>
      <c r="X90" s="440">
        <v>231.48</v>
      </c>
      <c r="Y90" s="340">
        <f t="shared" si="53"/>
        <v>-14</v>
      </c>
      <c r="Z90" s="876">
        <v>88</v>
      </c>
      <c r="AA90" s="440"/>
      <c r="AB90" s="340">
        <f>IF(Z90=0, "    ---- ", IF(ABS(ROUND(100/Z90*AA90-100,1))&lt;999,ROUND(100/Z90*AA90-100,1),IF(ROUND(100/Z90*AA90-100,1)&gt;999,999,-999)))</f>
        <v>-100</v>
      </c>
      <c r="AC90" s="876">
        <v>20.306999999999999</v>
      </c>
      <c r="AD90" s="440">
        <v>5.65</v>
      </c>
      <c r="AE90" s="340">
        <f>IF(AC90=0, "    ---- ", IF(ABS(ROUND(100/AC90*AD90-100,1))&lt;999,ROUND(100/AC90*AD90-100,1),IF(ROUND(100/AC90*AD90-100,1)&gt;999,999,-999)))</f>
        <v>-72.2</v>
      </c>
      <c r="AF90" s="876">
        <v>732.65899999999999</v>
      </c>
      <c r="AG90" s="440">
        <v>750</v>
      </c>
      <c r="AH90" s="340">
        <f t="shared" si="55"/>
        <v>2.4</v>
      </c>
      <c r="AI90" s="876">
        <v>12075</v>
      </c>
      <c r="AJ90" s="902">
        <v>10347</v>
      </c>
      <c r="AK90" s="340">
        <f t="shared" si="56"/>
        <v>-14.3</v>
      </c>
      <c r="AL90" s="195"/>
      <c r="AM90" s="440">
        <v>9</v>
      </c>
      <c r="AN90" s="340" t="str">
        <f t="shared" ref="AN90:AN91" si="94">IF(AL90=0, "    ---- ", IF(ABS(ROUND(100/AL90*AM90-100,1))&lt;999,ROUND(100/AL90*AM90-100,1),IF(ROUND(100/AL90*AM90-100,1)&gt;999,999,-999)))</f>
        <v xml:space="preserve">    ---- </v>
      </c>
      <c r="AO90" s="744">
        <f t="shared" si="90"/>
        <v>21934.446714999998</v>
      </c>
      <c r="AP90" s="744">
        <f t="shared" si="90"/>
        <v>27303.017222049988</v>
      </c>
      <c r="AQ90" s="340">
        <f t="shared" si="49"/>
        <v>24.5</v>
      </c>
      <c r="AR90" s="744">
        <f t="shared" si="91"/>
        <v>21961.155714999997</v>
      </c>
      <c r="AS90" s="744">
        <f t="shared" si="91"/>
        <v>27328.66722204999</v>
      </c>
      <c r="AT90" s="441">
        <f t="shared" si="51"/>
        <v>24.4</v>
      </c>
    </row>
    <row r="91" spans="1:46" s="453" customFormat="1" ht="20.100000000000001" customHeight="1" x14ac:dyDescent="0.3">
      <c r="A91" s="813" t="s">
        <v>243</v>
      </c>
      <c r="B91" s="876">
        <v>18.033999999999999</v>
      </c>
      <c r="C91" s="440">
        <v>34.875010000000003</v>
      </c>
      <c r="D91" s="440">
        <f>IF(B91=0, "    ---- ", IF(ABS(ROUND(100/B91*C91-100,1))&lt;999,ROUND(100/B91*C91-100,1),IF(ROUND(100/B91*C91-100,1)&gt;999,999,-999)))</f>
        <v>93.4</v>
      </c>
      <c r="E91" s="876">
        <v>98.930870949999999</v>
      </c>
      <c r="F91" s="440">
        <v>73.007285280000005</v>
      </c>
      <c r="G91" s="440">
        <f t="shared" si="47"/>
        <v>-26.2</v>
      </c>
      <c r="H91" s="876"/>
      <c r="I91" s="440"/>
      <c r="J91" s="440"/>
      <c r="K91" s="876">
        <v>27.102</v>
      </c>
      <c r="L91" s="440">
        <v>26.966367999999999</v>
      </c>
      <c r="M91" s="440">
        <f>IF(K91=0, "    ---- ", IF(ABS(ROUND(100/K91*L91-100,1))&lt;999,ROUND(100/K91*L91-100,1),IF(ROUND(100/K91*L91-100,1)&gt;999,999,-999)))</f>
        <v>-0.5</v>
      </c>
      <c r="N91" s="876">
        <v>31.4</v>
      </c>
      <c r="O91" s="440">
        <v>27.9</v>
      </c>
      <c r="P91" s="340">
        <f>IF(N91=0, "    ---- ", IF(ABS(ROUND(100/N91*O91-100,1))&lt;999,ROUND(100/N91*O91-100,1),IF(ROUND(100/N91*O91-100,1)&gt;999,999,-999)))</f>
        <v>-11.1</v>
      </c>
      <c r="Q91" s="876">
        <v>5.5910000000000002</v>
      </c>
      <c r="R91" s="440">
        <v>3.68</v>
      </c>
      <c r="S91" s="340">
        <f>IF(Q91=0, "    ---- ", IF(ABS(ROUND(100/Q91*R91-100,1))&lt;999,ROUND(100/Q91*R91-100,1),IF(ROUND(100/Q91*R91-100,1)&gt;999,999,-999)))</f>
        <v>-34.200000000000003</v>
      </c>
      <c r="T91" s="876">
        <v>182.41882484999999</v>
      </c>
      <c r="U91" s="440">
        <v>356.95201400999997</v>
      </c>
      <c r="V91" s="340">
        <f t="shared" si="86"/>
        <v>95.7</v>
      </c>
      <c r="W91" s="876">
        <v>44.34</v>
      </c>
      <c r="X91" s="440">
        <v>43.29</v>
      </c>
      <c r="Y91" s="340">
        <f t="shared" si="53"/>
        <v>-2.4</v>
      </c>
      <c r="Z91" s="876">
        <v>52</v>
      </c>
      <c r="AA91" s="440"/>
      <c r="AB91" s="340">
        <f>IF(Z91=0, "    ---- ", IF(ABS(ROUND(100/Z91*AA91-100,1))&lt;999,ROUND(100/Z91*AA91-100,1),IF(ROUND(100/Z91*AA91-100,1)&gt;999,999,-999)))</f>
        <v>-100</v>
      </c>
      <c r="AC91" s="876">
        <v>0.27500000000000002</v>
      </c>
      <c r="AD91" s="440">
        <v>0.16600000000000001</v>
      </c>
      <c r="AE91" s="340">
        <f>IF(AC91=0, "    ---- ", IF(ABS(ROUND(100/AC91*AD91-100,1))&lt;999,ROUND(100/AC91*AD91-100,1),IF(ROUND(100/AC91*AD91-100,1)&gt;999,999,-999)))</f>
        <v>-39.6</v>
      </c>
      <c r="AF91" s="876">
        <v>35.039000000000001</v>
      </c>
      <c r="AG91" s="440">
        <v>28.695</v>
      </c>
      <c r="AH91" s="340">
        <f t="shared" si="55"/>
        <v>-18.100000000000001</v>
      </c>
      <c r="AI91" s="876">
        <v>156</v>
      </c>
      <c r="AJ91" s="902">
        <v>246</v>
      </c>
      <c r="AK91" s="340">
        <f t="shared" si="56"/>
        <v>57.7</v>
      </c>
      <c r="AL91" s="195"/>
      <c r="AM91" s="440">
        <v>2</v>
      </c>
      <c r="AN91" s="340" t="str">
        <f t="shared" si="94"/>
        <v xml:space="preserve">    ---- </v>
      </c>
      <c r="AO91" s="744">
        <f t="shared" si="90"/>
        <v>645.26469580000003</v>
      </c>
      <c r="AP91" s="744">
        <f t="shared" si="90"/>
        <v>837.68567728999994</v>
      </c>
      <c r="AQ91" s="340">
        <f t="shared" si="49"/>
        <v>29.8</v>
      </c>
      <c r="AR91" s="744">
        <f t="shared" si="91"/>
        <v>651.13069580000001</v>
      </c>
      <c r="AS91" s="744">
        <f t="shared" si="91"/>
        <v>843.53167729000006</v>
      </c>
      <c r="AT91" s="441">
        <f t="shared" si="51"/>
        <v>29.5</v>
      </c>
    </row>
    <row r="92" spans="1:46" s="453" customFormat="1" ht="20.100000000000001" customHeight="1" x14ac:dyDescent="0.3">
      <c r="A92" s="813"/>
      <c r="B92" s="876"/>
      <c r="C92" s="440"/>
      <c r="D92" s="340"/>
      <c r="E92" s="876"/>
      <c r="F92" s="440"/>
      <c r="G92" s="340"/>
      <c r="H92" s="876"/>
      <c r="I92" s="440"/>
      <c r="J92" s="340"/>
      <c r="K92" s="876"/>
      <c r="L92" s="440"/>
      <c r="M92" s="340"/>
      <c r="N92" s="876"/>
      <c r="O92" s="440"/>
      <c r="P92" s="340"/>
      <c r="Q92" s="876"/>
      <c r="R92" s="440"/>
      <c r="S92" s="340"/>
      <c r="T92" s="876"/>
      <c r="U92" s="440"/>
      <c r="V92" s="340"/>
      <c r="W92" s="876"/>
      <c r="X92" s="440"/>
      <c r="Y92" s="340"/>
      <c r="Z92" s="876"/>
      <c r="AA92" s="440"/>
      <c r="AB92" s="340"/>
      <c r="AC92" s="876"/>
      <c r="AD92" s="440"/>
      <c r="AE92" s="340"/>
      <c r="AF92" s="876"/>
      <c r="AG92" s="440"/>
      <c r="AH92" s="340"/>
      <c r="AI92" s="876"/>
      <c r="AJ92" s="902"/>
      <c r="AK92" s="340"/>
      <c r="AL92" s="195"/>
      <c r="AM92" s="440"/>
      <c r="AN92" s="340"/>
      <c r="AO92" s="435"/>
      <c r="AP92" s="435"/>
      <c r="AQ92" s="340"/>
      <c r="AR92" s="435"/>
      <c r="AS92" s="435"/>
      <c r="AT92" s="441"/>
    </row>
    <row r="93" spans="1:46" s="474" customFormat="1" ht="20.100000000000001" customHeight="1" x14ac:dyDescent="0.3">
      <c r="A93" s="829" t="s">
        <v>244</v>
      </c>
      <c r="B93" s="877">
        <f>SUM(B68+B69+B71+B80+B87+B88+B89+B90+B91)</f>
        <v>32146.116999999995</v>
      </c>
      <c r="C93" s="444">
        <f>SUM(C68+C69+C71+C80+C87+C88+C89+C90+C91)</f>
        <v>29675.846377569997</v>
      </c>
      <c r="D93" s="445">
        <f>IF(B93=0, "    ---- ", IF(ABS(ROUND(100/B93*C93-100,1))&lt;999,ROUND(100/B93*C93-100,1),IF(ROUND(100/B93*C93-100,1)&gt;999,999,-999)))</f>
        <v>-7.7</v>
      </c>
      <c r="E93" s="877">
        <f>SUM(E68+E69+E71+E80+E87+E88+E89+E90+E91)</f>
        <v>374838.26198037999</v>
      </c>
      <c r="F93" s="444">
        <f>SUM(F68+F69+F71+F80+F87+F88+F89+F90+F91)</f>
        <v>371151.58926147997</v>
      </c>
      <c r="G93" s="445">
        <f t="shared" si="47"/>
        <v>-1</v>
      </c>
      <c r="H93" s="877">
        <f>SUM(H68+H69+H71+H80+H87+H88+H89+H90+H91)</f>
        <v>11809.785264059999</v>
      </c>
      <c r="I93" s="444">
        <f>SUM(I68+I69+I71+I80+I87+I88+I89+I90+I91)</f>
        <v>12289.7858987</v>
      </c>
      <c r="J93" s="445">
        <f>IF(H93=0, "    ---- ", IF(ABS(ROUND(100/H93*I93-100,1))&lt;999,ROUND(100/H93*I93-100,1),IF(ROUND(100/H93*I93-100,1)&gt;999,999,-999)))</f>
        <v>4.0999999999999996</v>
      </c>
      <c r="K93" s="877">
        <f>SUM(K68+K69+K71+K80+K87+K88+K89+K90+K91)</f>
        <v>1903.742</v>
      </c>
      <c r="L93" s="444">
        <f>SUM(L68+L69+L71+L80+L87+L88+L89+L90+L91)</f>
        <v>2060.010256</v>
      </c>
      <c r="M93" s="445">
        <f>IF(K93=0, "    ---- ", IF(ABS(ROUND(100/K93*L93-100,1))&lt;999,ROUND(100/K93*L93-100,1),IF(ROUND(100/K93*L93-100,1)&gt;999,999,-999)))</f>
        <v>8.1999999999999993</v>
      </c>
      <c r="N93" s="877">
        <f>SUM(N68+N69+N71+N80+N87+N88+N89+N90+N91)</f>
        <v>53179.999999999993</v>
      </c>
      <c r="O93" s="444">
        <f>SUM(O68+O69+O71+O80+O87+O88+O89+O90+O91)</f>
        <v>56619.499999999993</v>
      </c>
      <c r="P93" s="445">
        <f>IF(N93=0, "    ---- ", IF(ABS(ROUND(100/N93*O93-100,1))&lt;999,ROUND(100/N93*O93-100,1),IF(ROUND(100/N93*O93-100,1)&gt;999,999,-999)))</f>
        <v>6.5</v>
      </c>
      <c r="Q93" s="877">
        <f>SUM(Q68+Q69+Q71+Q80+Q87+Q88+Q89+Q90+Q91)</f>
        <v>167.52599999999998</v>
      </c>
      <c r="R93" s="444">
        <f>SUM(R68+R69+R71+R80+R87+R88+R89+R90+R91)</f>
        <v>156.16000000000003</v>
      </c>
      <c r="S93" s="445">
        <f>IF(Q93=0, "    ---- ", IF(ABS(ROUND(100/Q93*R93-100,1))&lt;999,ROUND(100/Q93*R93-100,1),IF(ROUND(100/Q93*R93-100,1)&gt;999,999,-999)))</f>
        <v>-6.8</v>
      </c>
      <c r="T93" s="877">
        <v>706747.99020250002</v>
      </c>
      <c r="U93" s="444">
        <f>SUM(U68+U69+U71+U80+U87+U88+U89+U90+U91)</f>
        <v>710267.87318583007</v>
      </c>
      <c r="V93" s="445">
        <f t="shared" si="86"/>
        <v>0.5</v>
      </c>
      <c r="W93" s="877">
        <f>SUM(W68+W69+W71+W80+W87+W88+W89+W90+W91)</f>
        <v>194116.53</v>
      </c>
      <c r="X93" s="444">
        <f>SUM(X68+X69+X71+X80+X87+X88+X89+X90+X91)</f>
        <v>185520.19</v>
      </c>
      <c r="Y93" s="445">
        <f t="shared" si="53"/>
        <v>-4.4000000000000004</v>
      </c>
      <c r="Z93" s="877">
        <f>SUM(Z68+Z69+Z71+Z80+Z87+Z88+Z89+Z90+Z91)</f>
        <v>125509</v>
      </c>
      <c r="AA93" s="444">
        <f>SUM(AA68+AA69+AA71+AA80+AA87+AA88+AA89+AA90+AA91)</f>
        <v>127754</v>
      </c>
      <c r="AB93" s="445">
        <f>IF(Z93=0, "    ---- ", IF(ABS(ROUND(100/Z93*AA93-100,1))&lt;999,ROUND(100/Z93*AA93-100,1),IF(ROUND(100/Z93*AA93-100,1)&gt;999,999,-999)))</f>
        <v>1.8</v>
      </c>
      <c r="AC93" s="877">
        <f>SUM(AC68+AC69+AC71+AC80+AC87+AC88+AC89+AC90+AC91)</f>
        <v>3321.703</v>
      </c>
      <c r="AD93" s="444">
        <f>SUM(AD68+AD69+AD71+AD80+AD87+AD88+AD89+AD90+AD91)</f>
        <v>535.23900000000003</v>
      </c>
      <c r="AE93" s="445">
        <f>IF(AC93=0, "    ---- ", IF(ABS(ROUND(100/AC93*AD93-100,1))&lt;999,ROUND(100/AC93*AD93-100,1),IF(ROUND(100/AC93*AD93-100,1)&gt;999,999,-999)))</f>
        <v>-83.9</v>
      </c>
      <c r="AF93" s="877">
        <f>SUM(AF68+AF69+AF71+AF80+AF87+AF88+AF89+AF90+AF91)</f>
        <v>87013.444000000018</v>
      </c>
      <c r="AG93" s="444">
        <f>SUM(AG68+AG69+AG71+AG80+AG87+AG88+AG89+AG90+AG91)</f>
        <v>85083.378000000012</v>
      </c>
      <c r="AH93" s="445">
        <f t="shared" si="55"/>
        <v>-2.2000000000000002</v>
      </c>
      <c r="AI93" s="877">
        <f>SUM(AI68+AI69+AI71+AI80+AI87+AI88+AI89+AI90+AI91)</f>
        <v>411446.69999999995</v>
      </c>
      <c r="AJ93" s="904">
        <f>SUM(AJ68+AJ69+AJ71+AJ80+AJ87+AJ88+AJ89+AJ90+AJ91)</f>
        <v>400615</v>
      </c>
      <c r="AK93" s="445">
        <f t="shared" si="56"/>
        <v>-2.6</v>
      </c>
      <c r="AL93" s="198"/>
      <c r="AM93" s="444">
        <f>SUM(AM68+AM69+AM71+AM80+AM87+AM88+AM89+AM90+AM91)</f>
        <v>14</v>
      </c>
      <c r="AN93" s="445" t="str">
        <f t="shared" ref="AN93" si="95">IF(AL93=0, "    ---- ", IF(ABS(ROUND(100/AL93*AM93-100,1))&lt;999,ROUND(100/AL93*AM93-100,1),IF(ROUND(100/AL93*AM93-100,1)&gt;999,999,-999)))</f>
        <v xml:space="preserve">    ---- </v>
      </c>
      <c r="AO93" s="975">
        <f t="shared" ref="AO93:AP93" si="96">B93+E93+H93+K93+N93+T93+W93+Z93+AF93+AI93</f>
        <v>1998711.5704469399</v>
      </c>
      <c r="AP93" s="975">
        <f t="shared" si="96"/>
        <v>1981037.17297958</v>
      </c>
      <c r="AQ93" s="445">
        <f t="shared" si="49"/>
        <v>-0.9</v>
      </c>
      <c r="AR93" s="975">
        <f t="shared" ref="AR93:AS93" si="97">B93+E93+H93+K93+N93+Q93+T93+W93+Z93+AC93+AF93+AI93+AL93</f>
        <v>2002200.7994469402</v>
      </c>
      <c r="AS93" s="975">
        <f t="shared" si="97"/>
        <v>1981742.57197958</v>
      </c>
      <c r="AT93" s="446">
        <f t="shared" si="51"/>
        <v>-1</v>
      </c>
    </row>
    <row r="94" spans="1:46" ht="18.75" customHeight="1" x14ac:dyDescent="0.3">
      <c r="A94" s="451" t="s">
        <v>245</v>
      </c>
      <c r="B94" s="451"/>
      <c r="T94" s="451"/>
      <c r="X94" s="856"/>
      <c r="Y94" s="856"/>
      <c r="Z94" s="856"/>
      <c r="AA94" s="856"/>
      <c r="AB94" s="856"/>
      <c r="AC94" s="856"/>
      <c r="AD94" s="856"/>
      <c r="AE94" s="856"/>
      <c r="AF94" s="451"/>
      <c r="AI94" s="451"/>
      <c r="AL94" s="451"/>
    </row>
    <row r="95" spans="1:46" ht="18.75" customHeight="1" x14ac:dyDescent="0.3">
      <c r="A95" s="451" t="s">
        <v>246</v>
      </c>
      <c r="T95" s="451"/>
      <c r="X95" s="856"/>
      <c r="Y95" s="856"/>
      <c r="Z95" s="856"/>
      <c r="AA95" s="856"/>
      <c r="AB95" s="856"/>
      <c r="AC95" s="856"/>
      <c r="AD95" s="856"/>
      <c r="AE95" s="856"/>
      <c r="AF95" s="451"/>
      <c r="AI95" s="451"/>
      <c r="AL95" s="451"/>
    </row>
    <row r="96" spans="1:46" s="454" customFormat="1" ht="18.75" customHeight="1" x14ac:dyDescent="0.3">
      <c r="A96" s="451" t="s">
        <v>247</v>
      </c>
      <c r="Y96" s="857"/>
      <c r="Z96" s="857"/>
      <c r="AA96" s="857"/>
      <c r="AB96" s="857"/>
      <c r="AC96" s="857"/>
      <c r="AD96" s="857"/>
      <c r="AE96" s="857"/>
    </row>
    <row r="97" spans="20:21" s="454" customFormat="1" ht="18.75" x14ac:dyDescent="0.3"/>
    <row r="98" spans="20:21" s="454" customFormat="1" ht="18.75" x14ac:dyDescent="0.3"/>
    <row r="99" spans="20:21" s="454" customFormat="1" ht="18.75" x14ac:dyDescent="0.3"/>
    <row r="100" spans="20:21" s="454" customFormat="1" ht="18.75" x14ac:dyDescent="0.3"/>
    <row r="101" spans="20:21" s="454" customFormat="1" ht="18.75" x14ac:dyDescent="0.3"/>
    <row r="102" spans="20:21" s="454" customFormat="1" ht="18.75" x14ac:dyDescent="0.3"/>
    <row r="103" spans="20:21" s="454" customFormat="1" ht="18.75" x14ac:dyDescent="0.3"/>
    <row r="104" spans="20:21" s="454" customFormat="1" ht="18.75" x14ac:dyDescent="0.3">
      <c r="T104" s="451"/>
      <c r="U104" s="451"/>
    </row>
    <row r="105" spans="20:21" s="454" customFormat="1" ht="18.75" x14ac:dyDescent="0.3">
      <c r="T105" s="451"/>
      <c r="U105" s="451"/>
    </row>
    <row r="106" spans="20:21" s="454" customFormat="1" ht="18.75" x14ac:dyDescent="0.3">
      <c r="T106" s="451"/>
      <c r="U106" s="451"/>
    </row>
    <row r="107" spans="20:21" s="454" customFormat="1" ht="18.75" x14ac:dyDescent="0.3">
      <c r="T107" s="451"/>
      <c r="U107" s="451"/>
    </row>
    <row r="108" spans="20:21" s="454" customFormat="1" ht="18.75" x14ac:dyDescent="0.3">
      <c r="T108" s="451"/>
      <c r="U108" s="451"/>
    </row>
    <row r="109" spans="20:21" s="454" customFormat="1" ht="18.75" x14ac:dyDescent="0.3">
      <c r="T109" s="451"/>
      <c r="U109" s="451"/>
    </row>
    <row r="110" spans="20:21" s="454" customFormat="1" ht="18.75" x14ac:dyDescent="0.3">
      <c r="T110" s="451"/>
      <c r="U110" s="451"/>
    </row>
    <row r="111" spans="20:21" s="476" customFormat="1" ht="15.75" x14ac:dyDescent="0.25">
      <c r="T111" s="475"/>
      <c r="U111" s="475"/>
    </row>
    <row r="112" spans="20:21" s="476" customFormat="1" ht="15.75" x14ac:dyDescent="0.25">
      <c r="T112" s="475"/>
      <c r="U112" s="475"/>
    </row>
    <row r="113" spans="20:21" x14ac:dyDescent="0.2">
      <c r="T113" s="453"/>
      <c r="U113" s="453"/>
    </row>
    <row r="114" spans="20:21" x14ac:dyDescent="0.2">
      <c r="T114" s="453"/>
      <c r="U114" s="453"/>
    </row>
    <row r="115" spans="20:21" x14ac:dyDescent="0.2">
      <c r="T115" s="453"/>
      <c r="U115" s="453"/>
    </row>
    <row r="116" spans="20:21" x14ac:dyDescent="0.2">
      <c r="T116" s="453"/>
      <c r="U116" s="453"/>
    </row>
    <row r="117" spans="20:21" x14ac:dyDescent="0.2">
      <c r="T117" s="453"/>
      <c r="U117" s="453"/>
    </row>
    <row r="118" spans="20:21" x14ac:dyDescent="0.2">
      <c r="T118" s="453"/>
      <c r="U118" s="453"/>
    </row>
    <row r="119" spans="20:21" x14ac:dyDescent="0.2">
      <c r="T119" s="453"/>
      <c r="U119" s="453"/>
    </row>
    <row r="120" spans="20:21" x14ac:dyDescent="0.2">
      <c r="T120" s="453"/>
      <c r="U120" s="453"/>
    </row>
    <row r="121" spans="20:21" x14ac:dyDescent="0.2">
      <c r="T121" s="453"/>
      <c r="U121" s="453"/>
    </row>
    <row r="122" spans="20:21" x14ac:dyDescent="0.2">
      <c r="T122" s="453"/>
      <c r="U122" s="453"/>
    </row>
    <row r="123" spans="20:21" x14ac:dyDescent="0.2">
      <c r="T123" s="453"/>
      <c r="U123" s="453"/>
    </row>
    <row r="124" spans="20:21" x14ac:dyDescent="0.2">
      <c r="T124" s="453"/>
      <c r="U124" s="453"/>
    </row>
    <row r="125" spans="20:21" x14ac:dyDescent="0.2">
      <c r="T125" s="453"/>
      <c r="U125" s="453"/>
    </row>
    <row r="126" spans="20:21" x14ac:dyDescent="0.2">
      <c r="T126" s="453"/>
      <c r="U126" s="453"/>
    </row>
    <row r="127" spans="20:21" x14ac:dyDescent="0.2">
      <c r="T127" s="453"/>
      <c r="U127" s="453"/>
    </row>
    <row r="128" spans="20:21" x14ac:dyDescent="0.2">
      <c r="T128" s="453"/>
      <c r="U128" s="453"/>
    </row>
    <row r="129" spans="20:21" x14ac:dyDescent="0.2">
      <c r="T129" s="453"/>
      <c r="U129" s="453"/>
    </row>
    <row r="130" spans="20:21" x14ac:dyDescent="0.2">
      <c r="T130" s="453"/>
      <c r="U130" s="453"/>
    </row>
  </sheetData>
  <mergeCells count="32">
    <mergeCell ref="AR5:AT5"/>
    <mergeCell ref="AR6:AT6"/>
    <mergeCell ref="BC5:BE5"/>
    <mergeCell ref="Z5:AB5"/>
    <mergeCell ref="AI5:AK5"/>
    <mergeCell ref="AO5:AQ5"/>
    <mergeCell ref="BC6:BE6"/>
    <mergeCell ref="AF5:AH5"/>
    <mergeCell ref="AI6:AK6"/>
    <mergeCell ref="AO6:AQ6"/>
    <mergeCell ref="AF6:AH6"/>
    <mergeCell ref="K6:M6"/>
    <mergeCell ref="N6:P6"/>
    <mergeCell ref="H5:J5"/>
    <mergeCell ref="K5:M5"/>
    <mergeCell ref="N5:P5"/>
    <mergeCell ref="B5:D5"/>
    <mergeCell ref="E5:G5"/>
    <mergeCell ref="AW5:AY5"/>
    <mergeCell ref="AZ5:BB5"/>
    <mergeCell ref="Q6:S6"/>
    <mergeCell ref="T6:V6"/>
    <mergeCell ref="W6:Y6"/>
    <mergeCell ref="Z6:AB6"/>
    <mergeCell ref="AC6:AE6"/>
    <mergeCell ref="AW6:AY6"/>
    <mergeCell ref="AZ6:BB6"/>
    <mergeCell ref="B6:D6"/>
    <mergeCell ref="E6:G6"/>
    <mergeCell ref="AL5:AN5"/>
    <mergeCell ref="AL6:AN6"/>
    <mergeCell ref="H6:J6"/>
  </mergeCells>
  <conditionalFormatting sqref="N35">
    <cfRule type="expression" dxfId="284" priority="288">
      <formula>#REF! ="35≠36+38"</formula>
    </cfRule>
  </conditionalFormatting>
  <conditionalFormatting sqref="N39">
    <cfRule type="expression" dxfId="283" priority="289">
      <formula>#REF! ="39≠40+41+42+43+44"</formula>
    </cfRule>
  </conditionalFormatting>
  <conditionalFormatting sqref="N45">
    <cfRule type="expression" dxfId="282" priority="290">
      <formula>#REF! ="45≠33+34+35+39"</formula>
    </cfRule>
  </conditionalFormatting>
  <conditionalFormatting sqref="N50">
    <cfRule type="expression" dxfId="281" priority="291">
      <formula>#REF! ="50≠51+53"</formula>
    </cfRule>
  </conditionalFormatting>
  <conditionalFormatting sqref="N54">
    <cfRule type="expression" dxfId="280" priority="292">
      <formula>#REF! ="54≠55+56+57+58+59"</formula>
    </cfRule>
  </conditionalFormatting>
  <conditionalFormatting sqref="N60">
    <cfRule type="expression" dxfId="279" priority="293">
      <formula>#REF! ="60≠48+49+50+54"</formula>
    </cfRule>
  </conditionalFormatting>
  <conditionalFormatting sqref="N62">
    <cfRule type="expression" dxfId="278" priority="294">
      <formula>#REF! ="62≠45+46+60+61"</formula>
    </cfRule>
  </conditionalFormatting>
  <conditionalFormatting sqref="N64">
    <cfRule type="expression" dxfId="277" priority="295">
      <formula>#REF! ="64≠29+62"</formula>
    </cfRule>
  </conditionalFormatting>
  <conditionalFormatting sqref="N80">
    <cfRule type="expression" dxfId="276" priority="296">
      <formula>#REF! ="80≠73+74+75+76+77+78+79"</formula>
    </cfRule>
  </conditionalFormatting>
  <conditionalFormatting sqref="N87">
    <cfRule type="expression" dxfId="275" priority="297">
      <formula>#REF! ="88≠82+83+84+85+86+87"</formula>
    </cfRule>
  </conditionalFormatting>
  <conditionalFormatting sqref="N93">
    <cfRule type="expression" dxfId="274" priority="298">
      <formula>#REF! = "64≠94"</formula>
    </cfRule>
  </conditionalFormatting>
  <conditionalFormatting sqref="N93">
    <cfRule type="expression" dxfId="273" priority="299">
      <formula>#REF! = "94≠68+69+71+80+88+89+90+91+92"</formula>
    </cfRule>
  </conditionalFormatting>
  <conditionalFormatting sqref="W35">
    <cfRule type="expression" dxfId="272" priority="264">
      <formula>#REF! ="35≠36+38"</formula>
    </cfRule>
  </conditionalFormatting>
  <conditionalFormatting sqref="W39">
    <cfRule type="expression" dxfId="271" priority="265">
      <formula>#REF! ="39≠40+41+42+43+44"</formula>
    </cfRule>
  </conditionalFormatting>
  <conditionalFormatting sqref="W45">
    <cfRule type="expression" dxfId="270" priority="266">
      <formula>#REF! ="45≠33+34+35+39"</formula>
    </cfRule>
  </conditionalFormatting>
  <conditionalFormatting sqref="W50">
    <cfRule type="expression" dxfId="269" priority="267">
      <formula>#REF! ="50≠51+53"</formula>
    </cfRule>
  </conditionalFormatting>
  <conditionalFormatting sqref="W54">
    <cfRule type="expression" dxfId="268" priority="268">
      <formula>#REF! ="54≠55+56+57+58+59"</formula>
    </cfRule>
  </conditionalFormatting>
  <conditionalFormatting sqref="W60">
    <cfRule type="expression" dxfId="267" priority="269">
      <formula>#REF! ="60≠48+49+50+54"</formula>
    </cfRule>
  </conditionalFormatting>
  <conditionalFormatting sqref="W62">
    <cfRule type="expression" dxfId="266" priority="270">
      <formula>#REF! ="62≠45+46+60+61"</formula>
    </cfRule>
  </conditionalFormatting>
  <conditionalFormatting sqref="W64">
    <cfRule type="expression" dxfId="265" priority="271">
      <formula>#REF! ="64≠29+62"</formula>
    </cfRule>
  </conditionalFormatting>
  <conditionalFormatting sqref="W80">
    <cfRule type="expression" dxfId="264" priority="272">
      <formula>#REF! ="80≠73+74+75+76+77+78+79"</formula>
    </cfRule>
  </conditionalFormatting>
  <conditionalFormatting sqref="W87">
    <cfRule type="expression" dxfId="263" priority="273">
      <formula>#REF! ="88≠82+83+84+85+86+87"</formula>
    </cfRule>
  </conditionalFormatting>
  <conditionalFormatting sqref="W93">
    <cfRule type="expression" dxfId="262" priority="274">
      <formula>#REF! = "64≠94"</formula>
    </cfRule>
  </conditionalFormatting>
  <conditionalFormatting sqref="W93">
    <cfRule type="expression" dxfId="261" priority="275">
      <formula>#REF! = "94≠68+69+71+80+88+89+90+91+92"</formula>
    </cfRule>
  </conditionalFormatting>
  <conditionalFormatting sqref="Z35">
    <cfRule type="expression" dxfId="260" priority="240">
      <formula>#REF! ="35≠36+38"</formula>
    </cfRule>
  </conditionalFormatting>
  <conditionalFormatting sqref="Z39">
    <cfRule type="expression" dxfId="259" priority="241">
      <formula>#REF! ="39≠40+41+42+43+44"</formula>
    </cfRule>
  </conditionalFormatting>
  <conditionalFormatting sqref="Z45">
    <cfRule type="expression" dxfId="258" priority="242">
      <formula>#REF! ="45≠33+34+35+39"</formula>
    </cfRule>
  </conditionalFormatting>
  <conditionalFormatting sqref="Z50">
    <cfRule type="expression" dxfId="257" priority="243">
      <formula>#REF! ="50≠51+53"</formula>
    </cfRule>
  </conditionalFormatting>
  <conditionalFormatting sqref="Z54">
    <cfRule type="expression" dxfId="256" priority="244">
      <formula>#REF! ="54≠55+56+57+58+59"</formula>
    </cfRule>
  </conditionalFormatting>
  <conditionalFormatting sqref="Z60">
    <cfRule type="expression" dxfId="255" priority="245">
      <formula>#REF! ="60≠48+49+50+54"</formula>
    </cfRule>
  </conditionalFormatting>
  <conditionalFormatting sqref="Z62">
    <cfRule type="expression" dxfId="254" priority="246">
      <formula>#REF! ="62≠45+46+60+61"</formula>
    </cfRule>
  </conditionalFormatting>
  <conditionalFormatting sqref="Z64">
    <cfRule type="expression" dxfId="253" priority="247">
      <formula>#REF! ="64≠29+62"</formula>
    </cfRule>
  </conditionalFormatting>
  <conditionalFormatting sqref="Z80">
    <cfRule type="expression" dxfId="252" priority="248">
      <formula>#REF! ="80≠73+74+75+76+77+78+79"</formula>
    </cfRule>
  </conditionalFormatting>
  <conditionalFormatting sqref="Z87">
    <cfRule type="expression" dxfId="251" priority="249">
      <formula>#REF! ="88≠82+83+84+85+86+87"</formula>
    </cfRule>
  </conditionalFormatting>
  <conditionalFormatting sqref="Z93">
    <cfRule type="expression" dxfId="250" priority="250">
      <formula>#REF! = "64≠94"</formula>
    </cfRule>
  </conditionalFormatting>
  <conditionalFormatting sqref="Z93">
    <cfRule type="expression" dxfId="249" priority="251">
      <formula>#REF! = "94≠68+69+71+80+88+89+90+91+92"</formula>
    </cfRule>
  </conditionalFormatting>
  <conditionalFormatting sqref="AI35">
    <cfRule type="expression" dxfId="248" priority="216">
      <formula>#REF! ="35≠36+38"</formula>
    </cfRule>
  </conditionalFormatting>
  <conditionalFormatting sqref="AI39">
    <cfRule type="expression" dxfId="247" priority="217">
      <formula>#REF! ="39≠40+41+42+43+44"</formula>
    </cfRule>
  </conditionalFormatting>
  <conditionalFormatting sqref="AI45">
    <cfRule type="expression" dxfId="246" priority="218">
      <formula>#REF! ="45≠33+34+35+39"</formula>
    </cfRule>
  </conditionalFormatting>
  <conditionalFormatting sqref="AI50">
    <cfRule type="expression" dxfId="245" priority="219">
      <formula>#REF! ="50≠51+53"</formula>
    </cfRule>
  </conditionalFormatting>
  <conditionalFormatting sqref="AI54">
    <cfRule type="expression" dxfId="244" priority="220">
      <formula>#REF! ="54≠55+56+57+58+59"</formula>
    </cfRule>
  </conditionalFormatting>
  <conditionalFormatting sqref="AI60">
    <cfRule type="expression" dxfId="243" priority="221">
      <formula>#REF! ="60≠48+49+50+54"</formula>
    </cfRule>
  </conditionalFormatting>
  <conditionalFormatting sqref="AI62">
    <cfRule type="expression" dxfId="242" priority="222">
      <formula>#REF! ="62≠45+46+60+61"</formula>
    </cfRule>
  </conditionalFormatting>
  <conditionalFormatting sqref="AI64">
    <cfRule type="expression" dxfId="241" priority="223">
      <formula>#REF! ="64≠29+62"</formula>
    </cfRule>
  </conditionalFormatting>
  <conditionalFormatting sqref="AI80">
    <cfRule type="expression" dxfId="240" priority="224">
      <formula>#REF! ="80≠73+74+75+76+77+78+79"</formula>
    </cfRule>
  </conditionalFormatting>
  <conditionalFormatting sqref="AI87">
    <cfRule type="expression" dxfId="239" priority="225">
      <formula>#REF! ="88≠82+83+84+85+86+87"</formula>
    </cfRule>
  </conditionalFormatting>
  <conditionalFormatting sqref="AI93">
    <cfRule type="expression" dxfId="238" priority="226">
      <formula>#REF! = "64≠94"</formula>
    </cfRule>
  </conditionalFormatting>
  <conditionalFormatting sqref="AI93">
    <cfRule type="expression" dxfId="237" priority="227">
      <formula>#REF! = "94≠68+69+71+80+88+89+90+91+92"</formula>
    </cfRule>
  </conditionalFormatting>
  <conditionalFormatting sqref="Q35">
    <cfRule type="expression" dxfId="236" priority="192">
      <formula>#REF! ="35≠36+38"</formula>
    </cfRule>
  </conditionalFormatting>
  <conditionalFormatting sqref="Q39">
    <cfRule type="expression" dxfId="235" priority="193">
      <formula>#REF! ="39≠40+41+42+43+44"</formula>
    </cfRule>
  </conditionalFormatting>
  <conditionalFormatting sqref="Q45">
    <cfRule type="expression" dxfId="234" priority="194">
      <formula>#REF! ="45≠33+34+35+39"</formula>
    </cfRule>
  </conditionalFormatting>
  <conditionalFormatting sqref="Q50">
    <cfRule type="expression" dxfId="233" priority="195">
      <formula>#REF! ="50≠51+53"</formula>
    </cfRule>
  </conditionalFormatting>
  <conditionalFormatting sqref="Q54">
    <cfRule type="expression" dxfId="232" priority="196">
      <formula>#REF! ="54≠55+56+57+58+59"</formula>
    </cfRule>
  </conditionalFormatting>
  <conditionalFormatting sqref="Q60">
    <cfRule type="expression" dxfId="231" priority="197">
      <formula>#REF! ="60≠48+49+50+54"</formula>
    </cfRule>
  </conditionalFormatting>
  <conditionalFormatting sqref="Q62">
    <cfRule type="expression" dxfId="230" priority="198">
      <formula>#REF! ="62≠45+46+60+61"</formula>
    </cfRule>
  </conditionalFormatting>
  <conditionalFormatting sqref="Q64">
    <cfRule type="expression" dxfId="229" priority="199">
      <formula>#REF! ="64≠29+62"</formula>
    </cfRule>
  </conditionalFormatting>
  <conditionalFormatting sqref="Q80">
    <cfRule type="expression" dxfId="228" priority="200">
      <formula>#REF! ="80≠73+74+75+76+77+78+79"</formula>
    </cfRule>
  </conditionalFormatting>
  <conditionalFormatting sqref="Q87">
    <cfRule type="expression" dxfId="227" priority="201">
      <formula>#REF! ="88≠82+83+84+85+86+87"</formula>
    </cfRule>
  </conditionalFormatting>
  <conditionalFormatting sqref="Q93">
    <cfRule type="expression" dxfId="226" priority="202">
      <formula>#REF! = "64≠94"</formula>
    </cfRule>
  </conditionalFormatting>
  <conditionalFormatting sqref="Q93">
    <cfRule type="expression" dxfId="225" priority="203">
      <formula>#REF! = "94≠68+69+71+80+88+89+90+91+92"</formula>
    </cfRule>
  </conditionalFormatting>
  <conditionalFormatting sqref="AC35">
    <cfRule type="expression" dxfId="224" priority="168">
      <formula>#REF! ="35≠36+38"</formula>
    </cfRule>
  </conditionalFormatting>
  <conditionalFormatting sqref="AC39">
    <cfRule type="expression" dxfId="223" priority="169">
      <formula>#REF! ="39≠40+41+42+43+44"</formula>
    </cfRule>
  </conditionalFormatting>
  <conditionalFormatting sqref="AC45">
    <cfRule type="expression" dxfId="222" priority="170">
      <formula>#REF! ="45≠33+34+35+39"</formula>
    </cfRule>
  </conditionalFormatting>
  <conditionalFormatting sqref="AC50">
    <cfRule type="expression" dxfId="221" priority="171">
      <formula>#REF! ="50≠51+53"</formula>
    </cfRule>
  </conditionalFormatting>
  <conditionalFormatting sqref="AC54">
    <cfRule type="expression" dxfId="220" priority="172">
      <formula>#REF! ="54≠55+56+57+58+59"</formula>
    </cfRule>
  </conditionalFormatting>
  <conditionalFormatting sqref="AC60">
    <cfRule type="expression" dxfId="219" priority="173">
      <formula>#REF! ="60≠48+49+50+54"</formula>
    </cfRule>
  </conditionalFormatting>
  <conditionalFormatting sqref="AC62">
    <cfRule type="expression" dxfId="218" priority="174">
      <formula>#REF! ="62≠45+46+60+61"</formula>
    </cfRule>
  </conditionalFormatting>
  <conditionalFormatting sqref="AC64">
    <cfRule type="expression" dxfId="217" priority="175">
      <formula>#REF! ="64≠29+62"</formula>
    </cfRule>
  </conditionalFormatting>
  <conditionalFormatting sqref="AC80">
    <cfRule type="expression" dxfId="216" priority="176">
      <formula>#REF! ="80≠73+74+75+76+77+78+79"</formula>
    </cfRule>
  </conditionalFormatting>
  <conditionalFormatting sqref="AC87">
    <cfRule type="expression" dxfId="215" priority="177">
      <formula>#REF! ="88≠82+83+84+85+86+87"</formula>
    </cfRule>
  </conditionalFormatting>
  <conditionalFormatting sqref="AC93">
    <cfRule type="expression" dxfId="214" priority="178">
      <formula>#REF! = "64≠94"</formula>
    </cfRule>
  </conditionalFormatting>
  <conditionalFormatting sqref="AC93">
    <cfRule type="expression" dxfId="213" priority="179">
      <formula>#REF! = "94≠68+69+71+80+88+89+90+91+92"</formula>
    </cfRule>
  </conditionalFormatting>
  <conditionalFormatting sqref="H35">
    <cfRule type="expression" dxfId="212" priority="144">
      <formula>#REF! ="35≠36+38"</formula>
    </cfRule>
  </conditionalFormatting>
  <conditionalFormatting sqref="H39">
    <cfRule type="expression" dxfId="211" priority="145">
      <formula>#REF! ="39≠40+41+42+43+44"</formula>
    </cfRule>
  </conditionalFormatting>
  <conditionalFormatting sqref="H45">
    <cfRule type="expression" dxfId="210" priority="146">
      <formula>#REF! ="45≠33+34+35+39"</formula>
    </cfRule>
  </conditionalFormatting>
  <conditionalFormatting sqref="H50">
    <cfRule type="expression" dxfId="209" priority="147">
      <formula>#REF! ="50≠51+53"</formula>
    </cfRule>
  </conditionalFormatting>
  <conditionalFormatting sqref="H54">
    <cfRule type="expression" dxfId="208" priority="148">
      <formula>#REF! ="54≠55+56+57+58+59"</formula>
    </cfRule>
  </conditionalFormatting>
  <conditionalFormatting sqref="H60">
    <cfRule type="expression" dxfId="207" priority="149">
      <formula>#REF! ="60≠48+49+50+54"</formula>
    </cfRule>
  </conditionalFormatting>
  <conditionalFormatting sqref="H62">
    <cfRule type="expression" dxfId="206" priority="150">
      <formula>#REF! ="62≠45+46+60+61"</formula>
    </cfRule>
  </conditionalFormatting>
  <conditionalFormatting sqref="H64">
    <cfRule type="expression" dxfId="205" priority="151">
      <formula>#REF! ="64≠29+62"</formula>
    </cfRule>
  </conditionalFormatting>
  <conditionalFormatting sqref="H80">
    <cfRule type="expression" dxfId="204" priority="152">
      <formula>#REF! ="80≠73+74+75+76+77+78+79"</formula>
    </cfRule>
  </conditionalFormatting>
  <conditionalFormatting sqref="H87">
    <cfRule type="expression" dxfId="203" priority="153">
      <formula>#REF! ="88≠82+83+84+85+86+87"</formula>
    </cfRule>
  </conditionalFormatting>
  <conditionalFormatting sqref="H93">
    <cfRule type="expression" dxfId="202" priority="154">
      <formula>#REF! = "64≠94"</formula>
    </cfRule>
  </conditionalFormatting>
  <conditionalFormatting sqref="H93">
    <cfRule type="expression" dxfId="201" priority="155">
      <formula>#REF! = "94≠68+69+71+80+88+89+90+91+92"</formula>
    </cfRule>
  </conditionalFormatting>
  <conditionalFormatting sqref="AL64">
    <cfRule type="expression" dxfId="200" priority="120">
      <formula>#REF! ="64≠29+62"</formula>
    </cfRule>
  </conditionalFormatting>
  <conditionalFormatting sqref="AL93">
    <cfRule type="expression" dxfId="199" priority="121">
      <formula>#REF! = "64≠94"</formula>
    </cfRule>
  </conditionalFormatting>
  <conditionalFormatting sqref="AL93">
    <cfRule type="expression" dxfId="198" priority="122">
      <formula>#REF! = "94≠68+69+71+80+88+89+90+91+92"</formula>
    </cfRule>
  </conditionalFormatting>
  <conditionalFormatting sqref="AL35">
    <cfRule type="expression" dxfId="197" priority="123">
      <formula>#REF! ="35≠36+38"</formula>
    </cfRule>
  </conditionalFormatting>
  <conditionalFormatting sqref="AL39">
    <cfRule type="expression" dxfId="196" priority="124">
      <formula>#REF! ="39≠40+41+42+43+44"</formula>
    </cfRule>
  </conditionalFormatting>
  <conditionalFormatting sqref="AL45">
    <cfRule type="expression" dxfId="195" priority="125">
      <formula>#REF! ="45≠33+34+35+39"</formula>
    </cfRule>
  </conditionalFormatting>
  <conditionalFormatting sqref="AL50">
    <cfRule type="expression" dxfId="194" priority="126">
      <formula>#REF! ="50≠51+53"</formula>
    </cfRule>
  </conditionalFormatting>
  <conditionalFormatting sqref="AL54">
    <cfRule type="expression" dxfId="193" priority="127">
      <formula>#REF! ="54≠55+56+57+58+59"</formula>
    </cfRule>
  </conditionalFormatting>
  <conditionalFormatting sqref="AL60">
    <cfRule type="expression" dxfId="192" priority="128">
      <formula>#REF! ="60≠48+49+50+54"</formula>
    </cfRule>
  </conditionalFormatting>
  <conditionalFormatting sqref="AL62">
    <cfRule type="expression" dxfId="191" priority="129">
      <formula>#REF! ="62≠45+46+60+61"</formula>
    </cfRule>
  </conditionalFormatting>
  <conditionalFormatting sqref="AL80">
    <cfRule type="expression" dxfId="190" priority="130">
      <formula>#REF! ="80≠73+74+75+76+77+78+79"</formula>
    </cfRule>
  </conditionalFormatting>
  <conditionalFormatting sqref="AL87">
    <cfRule type="expression" dxfId="189" priority="131">
      <formula>#REF! ="88≠82+83+84+85+86+87"</formula>
    </cfRule>
  </conditionalFormatting>
  <conditionalFormatting sqref="AF35">
    <cfRule type="expression" dxfId="188" priority="96">
      <formula>#REF! ="35≠36+38"</formula>
    </cfRule>
  </conditionalFormatting>
  <conditionalFormatting sqref="AF39">
    <cfRule type="expression" dxfId="187" priority="97">
      <formula>#REF! ="39≠40+41+42+43+44"</formula>
    </cfRule>
  </conditionalFormatting>
  <conditionalFormatting sqref="AF45">
    <cfRule type="expression" dxfId="186" priority="98">
      <formula>#REF! ="45≠33+34+35+39"</formula>
    </cfRule>
  </conditionalFormatting>
  <conditionalFormatting sqref="AF50">
    <cfRule type="expression" dxfId="185" priority="99">
      <formula>#REF! ="50≠51+53"</formula>
    </cfRule>
  </conditionalFormatting>
  <conditionalFormatting sqref="AF54">
    <cfRule type="expression" dxfId="184" priority="100">
      <formula>#REF! ="54≠55+56+57+58+59"</formula>
    </cfRule>
  </conditionalFormatting>
  <conditionalFormatting sqref="AF60">
    <cfRule type="expression" dxfId="183" priority="101">
      <formula>#REF! ="60≠48+49+50+54"</formula>
    </cfRule>
  </conditionalFormatting>
  <conditionalFormatting sqref="AF62">
    <cfRule type="expression" dxfId="182" priority="102">
      <formula>#REF! ="62≠45+46+60+61"</formula>
    </cfRule>
  </conditionalFormatting>
  <conditionalFormatting sqref="AF64">
    <cfRule type="expression" dxfId="181" priority="103">
      <formula>#REF! ="64≠29+62"</formula>
    </cfRule>
  </conditionalFormatting>
  <conditionalFormatting sqref="AF80">
    <cfRule type="expression" dxfId="180" priority="104">
      <formula>#REF! ="80≠73+74+75+76+77+78+79"</formula>
    </cfRule>
  </conditionalFormatting>
  <conditionalFormatting sqref="AF87">
    <cfRule type="expression" dxfId="179" priority="105">
      <formula>#REF! ="88≠82+83+84+85+86+87"</formula>
    </cfRule>
  </conditionalFormatting>
  <conditionalFormatting sqref="AF93">
    <cfRule type="expression" dxfId="178" priority="106">
      <formula>#REF! = "64≠94"</formula>
    </cfRule>
  </conditionalFormatting>
  <conditionalFormatting sqref="AF93">
    <cfRule type="expression" dxfId="177" priority="107">
      <formula>#REF! = "94≠68+69+71+80+88+89+90+91+92"</formula>
    </cfRule>
  </conditionalFormatting>
  <conditionalFormatting sqref="E35">
    <cfRule type="expression" dxfId="176" priority="72">
      <formula>#REF! ="35≠36+38"</formula>
    </cfRule>
  </conditionalFormatting>
  <conditionalFormatting sqref="E39">
    <cfRule type="expression" dxfId="175" priority="73">
      <formula>#REF! ="39≠40+41+42+43+44"</formula>
    </cfRule>
  </conditionalFormatting>
  <conditionalFormatting sqref="E45">
    <cfRule type="expression" dxfId="174" priority="74">
      <formula>#REF! ="45≠33+34+35+39"</formula>
    </cfRule>
  </conditionalFormatting>
  <conditionalFormatting sqref="E50">
    <cfRule type="expression" dxfId="173" priority="75">
      <formula>#REF! ="50≠51+53"</formula>
    </cfRule>
  </conditionalFormatting>
  <conditionalFormatting sqref="E54">
    <cfRule type="expression" dxfId="172" priority="76">
      <formula>#REF! ="54≠55+56+57+58+59"</formula>
    </cfRule>
  </conditionalFormatting>
  <conditionalFormatting sqref="E60">
    <cfRule type="expression" dxfId="171" priority="77">
      <formula>#REF! ="60≠48+49+50+54"</formula>
    </cfRule>
  </conditionalFormatting>
  <conditionalFormatting sqref="E62">
    <cfRule type="expression" dxfId="170" priority="78">
      <formula>#REF! ="62≠45+46+60+61"</formula>
    </cfRule>
  </conditionalFormatting>
  <conditionalFormatting sqref="E64">
    <cfRule type="expression" dxfId="169" priority="79">
      <formula>#REF! ="64≠29+62"</formula>
    </cfRule>
  </conditionalFormatting>
  <conditionalFormatting sqref="E80">
    <cfRule type="expression" dxfId="168" priority="80">
      <formula>#REF! ="80≠73+74+75+76+77+78+79"</formula>
    </cfRule>
  </conditionalFormatting>
  <conditionalFormatting sqref="E87">
    <cfRule type="expression" dxfId="167" priority="81">
      <formula>#REF! ="88≠82+83+84+85+86+87"</formula>
    </cfRule>
  </conditionalFormatting>
  <conditionalFormatting sqref="E93">
    <cfRule type="expression" dxfId="166" priority="82">
      <formula>#REF! = "64≠94"</formula>
    </cfRule>
  </conditionalFormatting>
  <conditionalFormatting sqref="E93">
    <cfRule type="expression" dxfId="165" priority="83">
      <formula>#REF! = "94≠68+69+71+80+88+89+90+91+92"</formula>
    </cfRule>
  </conditionalFormatting>
  <conditionalFormatting sqref="B35">
    <cfRule type="expression" dxfId="164" priority="48">
      <formula>#REF! ="35≠36+38"</formula>
    </cfRule>
  </conditionalFormatting>
  <conditionalFormatting sqref="B39">
    <cfRule type="expression" dxfId="163" priority="49">
      <formula>#REF! ="39≠40+41+42+43+44"</formula>
    </cfRule>
  </conditionalFormatting>
  <conditionalFormatting sqref="B45">
    <cfRule type="expression" dxfId="162" priority="50">
      <formula>#REF! ="45≠33+34+35+39"</formula>
    </cfRule>
  </conditionalFormatting>
  <conditionalFormatting sqref="B50">
    <cfRule type="expression" dxfId="161" priority="51">
      <formula>#REF! ="50≠51+53"</formula>
    </cfRule>
  </conditionalFormatting>
  <conditionalFormatting sqref="B54">
    <cfRule type="expression" dxfId="160" priority="52">
      <formula>#REF! ="54≠55+56+57+58+59"</formula>
    </cfRule>
  </conditionalFormatting>
  <conditionalFormatting sqref="B60">
    <cfRule type="expression" dxfId="159" priority="53">
      <formula>#REF! ="60≠48+49+50+54"</formula>
    </cfRule>
  </conditionalFormatting>
  <conditionalFormatting sqref="B62">
    <cfRule type="expression" dxfId="158" priority="54">
      <formula>#REF! ="62≠45+46+60+61"</formula>
    </cfRule>
  </conditionalFormatting>
  <conditionalFormatting sqref="B64">
    <cfRule type="expression" dxfId="157" priority="55">
      <formula>#REF! ="64≠29+62"</formula>
    </cfRule>
  </conditionalFormatting>
  <conditionalFormatting sqref="B80">
    <cfRule type="expression" dxfId="156" priority="56">
      <formula>#REF! ="80≠73+74+75+76+77+78+79"</formula>
    </cfRule>
  </conditionalFormatting>
  <conditionalFormatting sqref="B87">
    <cfRule type="expression" dxfId="155" priority="57">
      <formula>#REF! ="88≠82+83+84+85+86+87"</formula>
    </cfRule>
  </conditionalFormatting>
  <conditionalFormatting sqref="B93">
    <cfRule type="expression" dxfId="154" priority="58">
      <formula>#REF! = "64≠94"</formula>
    </cfRule>
  </conditionalFormatting>
  <conditionalFormatting sqref="B93">
    <cfRule type="expression" dxfId="153" priority="59">
      <formula>#REF! = "94≠68+69+71+80+88+89+90+91+92"</formula>
    </cfRule>
  </conditionalFormatting>
  <conditionalFormatting sqref="T35">
    <cfRule type="expression" dxfId="152" priority="27">
      <formula>#REF! ="35≠36+38"</formula>
    </cfRule>
  </conditionalFormatting>
  <conditionalFormatting sqref="T39">
    <cfRule type="expression" dxfId="151" priority="28">
      <formula>#REF! ="39≠40+41+42+43+44"</formula>
    </cfRule>
  </conditionalFormatting>
  <conditionalFormatting sqref="T45">
    <cfRule type="expression" dxfId="150" priority="29">
      <formula>#REF! ="45≠33+34+35+39"</formula>
    </cfRule>
  </conditionalFormatting>
  <conditionalFormatting sqref="T62">
    <cfRule type="expression" dxfId="149" priority="30">
      <formula>#REF! ="62≠45+46+60+61"</formula>
    </cfRule>
  </conditionalFormatting>
  <conditionalFormatting sqref="T64">
    <cfRule type="expression" dxfId="148" priority="31">
      <formula>#REF! ="64≠29+62"</formula>
    </cfRule>
  </conditionalFormatting>
  <conditionalFormatting sqref="T80">
    <cfRule type="expression" dxfId="147" priority="32">
      <formula>#REF! ="80≠73+74+75+76+77+78+79"</formula>
    </cfRule>
  </conditionalFormatting>
  <conditionalFormatting sqref="T87">
    <cfRule type="expression" dxfId="146" priority="33">
      <formula>#REF! ="88≠82+83+84+85+86+87"</formula>
    </cfRule>
  </conditionalFormatting>
  <conditionalFormatting sqref="T93">
    <cfRule type="expression" dxfId="145" priority="34">
      <formula>#REF! = "64≠94"</formula>
    </cfRule>
  </conditionalFormatting>
  <conditionalFormatting sqref="T93">
    <cfRule type="expression" dxfId="144" priority="35">
      <formula>#REF! = "94≠68+69+71+80+88+89+90+91+92"</formula>
    </cfRule>
  </conditionalFormatting>
  <conditionalFormatting sqref="K35">
    <cfRule type="expression" dxfId="143" priority="3">
      <formula>#REF! ="35≠36+38"</formula>
    </cfRule>
  </conditionalFormatting>
  <conditionalFormatting sqref="K39">
    <cfRule type="expression" dxfId="142" priority="4">
      <formula>#REF! ="39≠40+41+42+43+44"</formula>
    </cfRule>
  </conditionalFormatting>
  <conditionalFormatting sqref="K45">
    <cfRule type="expression" dxfId="141" priority="5">
      <formula>#REF! ="45≠33+34+35+39"</formula>
    </cfRule>
  </conditionalFormatting>
  <conditionalFormatting sqref="K50">
    <cfRule type="expression" dxfId="140" priority="6">
      <formula>#REF! ="50≠51+53"</formula>
    </cfRule>
  </conditionalFormatting>
  <conditionalFormatting sqref="K54">
    <cfRule type="expression" dxfId="139" priority="7">
      <formula>#REF! ="54≠55+56+57+58+59"</formula>
    </cfRule>
  </conditionalFormatting>
  <conditionalFormatting sqref="K60">
    <cfRule type="expression" dxfId="138" priority="8">
      <formula>#REF! ="60≠48+49+50+54"</formula>
    </cfRule>
  </conditionalFormatting>
  <conditionalFormatting sqref="K62">
    <cfRule type="expression" dxfId="137" priority="9">
      <formula>#REF! ="62≠45+46+60+61"</formula>
    </cfRule>
  </conditionalFormatting>
  <conditionalFormatting sqref="K64">
    <cfRule type="expression" dxfId="136" priority="10">
      <formula>#REF! ="64≠29+62"</formula>
    </cfRule>
  </conditionalFormatting>
  <conditionalFormatting sqref="K80">
    <cfRule type="expression" dxfId="135" priority="11">
      <formula>#REF! ="80≠73+74+75+76+77+78+79"</formula>
    </cfRule>
  </conditionalFormatting>
  <conditionalFormatting sqref="K87">
    <cfRule type="expression" dxfId="134" priority="12">
      <formula>#REF! ="88≠82+83+84+85+86+87"</formula>
    </cfRule>
  </conditionalFormatting>
  <conditionalFormatting sqref="K93">
    <cfRule type="expression" dxfId="133" priority="13">
      <formula>#REF! = "64≠94"</formula>
    </cfRule>
  </conditionalFormatting>
  <conditionalFormatting sqref="K93">
    <cfRule type="expression" dxfId="132" priority="14">
      <formula>#REF! = "94≠68+69+71+80+88+89+90+91+92"</formula>
    </cfRule>
  </conditionalFormatting>
  <conditionalFormatting sqref="R80">
    <cfRule type="expression" dxfId="131" priority="1">
      <formula>#REF! ="80≠73+74+75+76+77+78+79"</formula>
    </cfRule>
  </conditionalFormatting>
  <conditionalFormatting sqref="O35 X35 AA35 AJ35 R35 AD35 I35 AM35 AG35 F35 C35 U35 L35">
    <cfRule type="expression" dxfId="130" priority="1630">
      <formula>#REF! ="35≠36+38"</formula>
    </cfRule>
  </conditionalFormatting>
  <conditionalFormatting sqref="O39 X39 AA39 AJ39 R39 AD39 I39 AM39 AG39 F39 C39 U39 L39">
    <cfRule type="expression" dxfId="129" priority="1631">
      <formula>#REF! ="39≠40+41+42+43+44"</formula>
    </cfRule>
  </conditionalFormatting>
  <conditionalFormatting sqref="O45 X45 AA45 AJ45 R45 AD45 I45 AM45 AG45 F45 C45 U45 L45">
    <cfRule type="expression" dxfId="128" priority="1632">
      <formula>#REF! ="45≠33+34+35+39"</formula>
    </cfRule>
  </conditionalFormatting>
  <conditionalFormatting sqref="O50 X50 AA50 AJ50 R50 AD50 I50 AM50 AG50 F50 C50 U50 L50">
    <cfRule type="expression" dxfId="127" priority="1633">
      <formula>#REF! ="50≠51+53"</formula>
    </cfRule>
  </conditionalFormatting>
  <conditionalFormatting sqref="O54 X54 AA54 AJ54 R54 AD54 I54 AM54 AG54 F54 C54 U54 L54">
    <cfRule type="expression" dxfId="126" priority="1634">
      <formula>#REF! ="54≠55+56+57+58+59"</formula>
    </cfRule>
  </conditionalFormatting>
  <conditionalFormatting sqref="O60 X60 AA60 AJ60 R60 AD60 I60 AM60 AG60 F60 C60 U60 L60">
    <cfRule type="expression" dxfId="125" priority="1635">
      <formula>#REF! ="60≠48+49+50+54"</formula>
    </cfRule>
  </conditionalFormatting>
  <conditionalFormatting sqref="O62 X62 AA62 AJ62 R62 AD62 I62 AM62 AG62 F62 C62 U62 L62">
    <cfRule type="expression" dxfId="124" priority="1636">
      <formula>#REF! ="62≠45+46+60+61"</formula>
    </cfRule>
  </conditionalFormatting>
  <conditionalFormatting sqref="O64 X64 AA64 AJ64 R64 AD64 I64 AM64 AG64 F64 C64 U64 L64">
    <cfRule type="expression" dxfId="123" priority="1637">
      <formula>#REF! ="64≠29+62"</formula>
    </cfRule>
  </conditionalFormatting>
  <conditionalFormatting sqref="O80 X80 AA80 AJ80 AD80 I80 AM80 AG80 F80 C80 U80 L80 R73">
    <cfRule type="expression" dxfId="122" priority="1638">
      <formula>#REF! ="80≠73+74+75+76+77+78+79"</formula>
    </cfRule>
  </conditionalFormatting>
  <conditionalFormatting sqref="O87 X87 AA87 AJ87 R87 AD87 I87 AM87 AG87 F87 C87 U87 L87">
    <cfRule type="expression" dxfId="121" priority="1639">
      <formula>#REF! ="88≠82+83+84+85+86+87"</formula>
    </cfRule>
  </conditionalFormatting>
  <conditionalFormatting sqref="O93 X93 AA93 AJ93 R93 AD93 I93 AM93 AG93 F93 C93 U93 L93">
    <cfRule type="expression" dxfId="120" priority="1640">
      <formula>#REF! = "64≠94"</formula>
    </cfRule>
  </conditionalFormatting>
  <conditionalFormatting sqref="O93 X93 AA93 AJ93 R93 AD93 I93 AM93 AG93 F93 C93 U93 L93">
    <cfRule type="expression" dxfId="119" priority="1641">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B88"/>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84.5703125" style="619" customWidth="1"/>
    <col min="2" max="37" width="11.7109375" style="619" customWidth="1"/>
    <col min="38" max="38" width="16.7109375" style="619" customWidth="1"/>
    <col min="39" max="39" width="16.42578125" style="619" customWidth="1"/>
    <col min="40" max="40" width="11.7109375" style="619" customWidth="1"/>
    <col min="41" max="16384" width="11.42578125" style="619"/>
  </cols>
  <sheetData>
    <row r="1" spans="1:54" ht="20.25" customHeight="1" x14ac:dyDescent="0.3">
      <c r="A1" s="618" t="s">
        <v>167</v>
      </c>
      <c r="B1" s="456" t="s">
        <v>52</v>
      </c>
    </row>
    <row r="2" spans="1:54" ht="20.100000000000001" customHeight="1" x14ac:dyDescent="0.3">
      <c r="A2" s="618" t="s">
        <v>387</v>
      </c>
      <c r="T2" s="797"/>
    </row>
    <row r="3" spans="1:54" ht="20.100000000000001" customHeight="1" x14ac:dyDescent="0.3">
      <c r="A3" s="620" t="s">
        <v>388</v>
      </c>
    </row>
    <row r="4" spans="1:54" ht="18.75" customHeight="1" x14ac:dyDescent="0.25">
      <c r="A4" s="621" t="s">
        <v>347</v>
      </c>
      <c r="B4" s="622"/>
      <c r="C4" s="623"/>
      <c r="D4" s="624"/>
      <c r="E4" s="623"/>
      <c r="F4" s="623"/>
      <c r="G4" s="623"/>
      <c r="H4" s="623"/>
      <c r="I4" s="623"/>
      <c r="J4" s="624"/>
      <c r="K4" s="623"/>
      <c r="L4" s="623"/>
      <c r="M4" s="624"/>
      <c r="N4" s="622"/>
      <c r="O4" s="623"/>
      <c r="P4" s="624"/>
      <c r="Q4" s="622"/>
      <c r="R4" s="623"/>
      <c r="S4" s="624"/>
      <c r="T4" s="622"/>
      <c r="U4" s="623"/>
      <c r="V4" s="624"/>
      <c r="W4" s="622"/>
      <c r="X4" s="623"/>
      <c r="Y4" s="624"/>
      <c r="Z4" s="622"/>
      <c r="AA4" s="623"/>
      <c r="AB4" s="624"/>
      <c r="AC4" s="622"/>
      <c r="AD4" s="623"/>
      <c r="AE4" s="624"/>
      <c r="AF4" s="622"/>
      <c r="AG4" s="623"/>
      <c r="AH4" s="624"/>
      <c r="AI4" s="622"/>
      <c r="AJ4" s="623"/>
      <c r="AK4" s="624"/>
      <c r="AL4" s="622"/>
      <c r="AM4" s="623"/>
      <c r="AN4" s="624"/>
      <c r="AO4" s="625"/>
      <c r="AP4" s="625"/>
      <c r="AQ4" s="625"/>
      <c r="AR4" s="625"/>
      <c r="AS4" s="625"/>
      <c r="AT4" s="625"/>
      <c r="AU4" s="625"/>
      <c r="AV4" s="625"/>
      <c r="AW4" s="625"/>
      <c r="AX4" s="625"/>
      <c r="AY4" s="625"/>
      <c r="AZ4" s="625"/>
      <c r="BA4" s="625"/>
      <c r="BB4" s="625"/>
    </row>
    <row r="5" spans="1:54" ht="18.75" customHeight="1" x14ac:dyDescent="0.3">
      <c r="A5" s="494" t="s">
        <v>389</v>
      </c>
      <c r="B5" s="1022" t="s">
        <v>504</v>
      </c>
      <c r="C5" s="1023"/>
      <c r="D5" s="1024"/>
      <c r="E5" s="1034" t="s">
        <v>170</v>
      </c>
      <c r="F5" s="1035"/>
      <c r="G5" s="1036"/>
      <c r="H5" s="1034" t="s">
        <v>461</v>
      </c>
      <c r="I5" s="1035"/>
      <c r="J5" s="1036"/>
      <c r="K5" s="1034" t="s">
        <v>171</v>
      </c>
      <c r="L5" s="1035"/>
      <c r="M5" s="1036"/>
      <c r="N5" s="1034" t="s">
        <v>172</v>
      </c>
      <c r="O5" s="1035"/>
      <c r="P5" s="1036"/>
      <c r="Q5" s="1034" t="s">
        <v>173</v>
      </c>
      <c r="R5" s="1035"/>
      <c r="S5" s="1036"/>
      <c r="T5" s="983" t="s">
        <v>173</v>
      </c>
      <c r="U5" s="984"/>
      <c r="V5" s="985"/>
      <c r="W5" s="867"/>
      <c r="X5" s="868"/>
      <c r="Y5" s="869"/>
      <c r="Z5" s="1034" t="s">
        <v>174</v>
      </c>
      <c r="AA5" s="1035"/>
      <c r="AB5" s="1036"/>
      <c r="AC5" s="1034" t="s">
        <v>67</v>
      </c>
      <c r="AD5" s="1035"/>
      <c r="AE5" s="1036"/>
      <c r="AF5" s="1034" t="s">
        <v>71</v>
      </c>
      <c r="AG5" s="1035"/>
      <c r="AH5" s="1036"/>
      <c r="AI5" s="1034" t="s">
        <v>478</v>
      </c>
      <c r="AJ5" s="1035"/>
      <c r="AK5" s="1036"/>
      <c r="AL5" s="1034" t="s">
        <v>390</v>
      </c>
      <c r="AM5" s="1035"/>
      <c r="AN5" s="1036"/>
      <c r="AO5" s="810"/>
      <c r="AP5" s="810"/>
      <c r="AQ5" s="1059"/>
      <c r="AR5" s="1059"/>
      <c r="AS5" s="1059"/>
      <c r="AT5" s="1059"/>
      <c r="AU5" s="1059"/>
      <c r="AV5" s="1059"/>
      <c r="AW5" s="1059"/>
      <c r="AX5" s="1059"/>
      <c r="AY5" s="1059"/>
      <c r="AZ5" s="1059"/>
      <c r="BA5" s="1059"/>
      <c r="BB5" s="1059"/>
    </row>
    <row r="6" spans="1:54" ht="18.75" customHeight="1" x14ac:dyDescent="0.3">
      <c r="A6" s="495" t="s">
        <v>391</v>
      </c>
      <c r="B6" s="1031" t="s">
        <v>177</v>
      </c>
      <c r="C6" s="1032"/>
      <c r="D6" s="1033"/>
      <c r="E6" s="1043" t="s">
        <v>176</v>
      </c>
      <c r="F6" s="1044"/>
      <c r="G6" s="1045"/>
      <c r="H6" s="1043" t="s">
        <v>176</v>
      </c>
      <c r="I6" s="1044"/>
      <c r="J6" s="1045"/>
      <c r="K6" s="1043" t="s">
        <v>176</v>
      </c>
      <c r="L6" s="1044"/>
      <c r="M6" s="1045"/>
      <c r="N6" s="1043" t="s">
        <v>177</v>
      </c>
      <c r="O6" s="1044"/>
      <c r="P6" s="1045"/>
      <c r="Q6" s="1043" t="s">
        <v>88</v>
      </c>
      <c r="R6" s="1044"/>
      <c r="S6" s="1045"/>
      <c r="T6" s="1043" t="s">
        <v>63</v>
      </c>
      <c r="U6" s="1044"/>
      <c r="V6" s="1045"/>
      <c r="W6" s="1043" t="s">
        <v>65</v>
      </c>
      <c r="X6" s="1044"/>
      <c r="Y6" s="1045"/>
      <c r="Z6" s="1043" t="s">
        <v>175</v>
      </c>
      <c r="AA6" s="1044"/>
      <c r="AB6" s="1045"/>
      <c r="AC6" s="1043" t="s">
        <v>474</v>
      </c>
      <c r="AD6" s="1044"/>
      <c r="AE6" s="1045"/>
      <c r="AF6" s="1043" t="s">
        <v>176</v>
      </c>
      <c r="AG6" s="1044"/>
      <c r="AH6" s="1045"/>
      <c r="AI6" s="1043" t="s">
        <v>176</v>
      </c>
      <c r="AJ6" s="1044"/>
      <c r="AK6" s="1045"/>
      <c r="AL6" s="1043" t="s">
        <v>392</v>
      </c>
      <c r="AM6" s="1044"/>
      <c r="AN6" s="1045"/>
      <c r="AO6" s="810"/>
      <c r="AP6" s="810"/>
      <c r="AQ6" s="1059"/>
      <c r="AR6" s="1059"/>
      <c r="AS6" s="1059"/>
      <c r="AT6" s="1059"/>
      <c r="AU6" s="1059"/>
      <c r="AV6" s="1059"/>
      <c r="AW6" s="1059"/>
      <c r="AX6" s="1059"/>
      <c r="AY6" s="1059"/>
      <c r="AZ6" s="1059"/>
      <c r="BA6" s="1059"/>
      <c r="BB6" s="1059"/>
    </row>
    <row r="7" spans="1:54" ht="18.75" customHeight="1" x14ac:dyDescent="0.3">
      <c r="A7" s="495"/>
      <c r="B7" s="627"/>
      <c r="C7" s="627"/>
      <c r="D7" s="496" t="s">
        <v>79</v>
      </c>
      <c r="E7" s="627"/>
      <c r="F7" s="627"/>
      <c r="G7" s="496" t="s">
        <v>79</v>
      </c>
      <c r="H7" s="627"/>
      <c r="I7" s="627"/>
      <c r="J7" s="496" t="s">
        <v>79</v>
      </c>
      <c r="K7" s="627"/>
      <c r="L7" s="627"/>
      <c r="M7" s="496" t="s">
        <v>79</v>
      </c>
      <c r="N7" s="627"/>
      <c r="O7" s="627"/>
      <c r="P7" s="496" t="s">
        <v>79</v>
      </c>
      <c r="Q7" s="627"/>
      <c r="R7" s="627"/>
      <c r="S7" s="496" t="s">
        <v>79</v>
      </c>
      <c r="T7" s="627"/>
      <c r="U7" s="627"/>
      <c r="V7" s="496" t="s">
        <v>79</v>
      </c>
      <c r="W7" s="627"/>
      <c r="X7" s="627"/>
      <c r="Y7" s="496" t="s">
        <v>79</v>
      </c>
      <c r="Z7" s="627"/>
      <c r="AA7" s="627"/>
      <c r="AB7" s="496" t="s">
        <v>79</v>
      </c>
      <c r="AC7" s="627"/>
      <c r="AD7" s="627"/>
      <c r="AE7" s="496" t="s">
        <v>79</v>
      </c>
      <c r="AF7" s="627"/>
      <c r="AG7" s="627"/>
      <c r="AH7" s="496" t="s">
        <v>79</v>
      </c>
      <c r="AI7" s="627"/>
      <c r="AJ7" s="627"/>
      <c r="AK7" s="496" t="s">
        <v>79</v>
      </c>
      <c r="AL7" s="627"/>
      <c r="AM7" s="627"/>
      <c r="AN7" s="496" t="s">
        <v>79</v>
      </c>
      <c r="AO7" s="810"/>
      <c r="AP7" s="810"/>
      <c r="AQ7" s="626"/>
      <c r="AR7" s="626"/>
      <c r="AS7" s="626"/>
      <c r="AT7" s="626"/>
      <c r="AU7" s="626"/>
      <c r="AV7" s="626"/>
      <c r="AW7" s="626"/>
      <c r="AX7" s="626"/>
      <c r="AY7" s="626"/>
      <c r="AZ7" s="626"/>
      <c r="BA7" s="626"/>
      <c r="BB7" s="626"/>
    </row>
    <row r="8" spans="1:54" ht="18.75" customHeight="1" x14ac:dyDescent="0.25">
      <c r="A8" s="628" t="s">
        <v>283</v>
      </c>
      <c r="B8" s="629">
        <v>2021</v>
      </c>
      <c r="C8" s="629">
        <v>2022</v>
      </c>
      <c r="D8" s="497" t="s">
        <v>81</v>
      </c>
      <c r="E8" s="629">
        <f>$B$8</f>
        <v>2021</v>
      </c>
      <c r="F8" s="629">
        <f>$C$8</f>
        <v>2022</v>
      </c>
      <c r="G8" s="497" t="s">
        <v>81</v>
      </c>
      <c r="H8" s="629">
        <f>$B$8</f>
        <v>2021</v>
      </c>
      <c r="I8" s="629">
        <f>$C$8</f>
        <v>2022</v>
      </c>
      <c r="J8" s="497" t="s">
        <v>81</v>
      </c>
      <c r="K8" s="629">
        <f>$B$8</f>
        <v>2021</v>
      </c>
      <c r="L8" s="629">
        <f>$C$8</f>
        <v>2022</v>
      </c>
      <c r="M8" s="497" t="s">
        <v>81</v>
      </c>
      <c r="N8" s="629">
        <f>$B$8</f>
        <v>2021</v>
      </c>
      <c r="O8" s="629">
        <f>$C$8</f>
        <v>2022</v>
      </c>
      <c r="P8" s="497" t="s">
        <v>81</v>
      </c>
      <c r="Q8" s="629">
        <f>$B$8</f>
        <v>2021</v>
      </c>
      <c r="R8" s="629">
        <f>$C$8</f>
        <v>2022</v>
      </c>
      <c r="S8" s="497" t="s">
        <v>81</v>
      </c>
      <c r="T8" s="629">
        <f>$B$8</f>
        <v>2021</v>
      </c>
      <c r="U8" s="629">
        <f>$C$8</f>
        <v>2022</v>
      </c>
      <c r="V8" s="497" t="s">
        <v>81</v>
      </c>
      <c r="W8" s="629">
        <f>$B$8</f>
        <v>2021</v>
      </c>
      <c r="X8" s="629">
        <f>$C$8</f>
        <v>2022</v>
      </c>
      <c r="Y8" s="497" t="s">
        <v>81</v>
      </c>
      <c r="Z8" s="629">
        <f>$B$8</f>
        <v>2021</v>
      </c>
      <c r="AA8" s="629">
        <f>$C$8</f>
        <v>2022</v>
      </c>
      <c r="AB8" s="497" t="s">
        <v>81</v>
      </c>
      <c r="AC8" s="629">
        <f>$B$8</f>
        <v>2021</v>
      </c>
      <c r="AD8" s="629">
        <f>$C$8</f>
        <v>2022</v>
      </c>
      <c r="AE8" s="497" t="s">
        <v>81</v>
      </c>
      <c r="AF8" s="629">
        <f>$B$8</f>
        <v>2021</v>
      </c>
      <c r="AG8" s="629">
        <f>$C$8</f>
        <v>2022</v>
      </c>
      <c r="AH8" s="497" t="s">
        <v>81</v>
      </c>
      <c r="AI8" s="629">
        <f>$B$8</f>
        <v>2021</v>
      </c>
      <c r="AJ8" s="629">
        <f>$C$8</f>
        <v>2022</v>
      </c>
      <c r="AK8" s="497" t="s">
        <v>81</v>
      </c>
      <c r="AL8" s="629">
        <f>$B$8</f>
        <v>2021</v>
      </c>
      <c r="AM8" s="629">
        <f>$C$8</f>
        <v>2022</v>
      </c>
      <c r="AN8" s="497" t="s">
        <v>81</v>
      </c>
      <c r="AO8" s="631"/>
      <c r="AP8" s="630"/>
      <c r="AQ8" s="631"/>
      <c r="AR8" s="631"/>
      <c r="AS8" s="630"/>
      <c r="AT8" s="631"/>
      <c r="AU8" s="631"/>
      <c r="AV8" s="630"/>
      <c r="AW8" s="631"/>
      <c r="AX8" s="631"/>
      <c r="AY8" s="630"/>
      <c r="AZ8" s="631"/>
      <c r="BA8" s="631"/>
      <c r="BB8" s="630"/>
    </row>
    <row r="9" spans="1:54" s="508" customFormat="1" ht="18.75" customHeight="1" x14ac:dyDescent="0.3">
      <c r="A9" s="509"/>
      <c r="B9" s="758"/>
      <c r="C9" s="759"/>
      <c r="D9" s="503"/>
      <c r="E9" s="758"/>
      <c r="F9" s="759"/>
      <c r="G9" s="503"/>
      <c r="H9" s="758"/>
      <c r="I9" s="759"/>
      <c r="J9" s="503"/>
      <c r="K9" s="758"/>
      <c r="L9" s="759"/>
      <c r="M9" s="503"/>
      <c r="N9" s="758"/>
      <c r="O9" s="759"/>
      <c r="P9" s="633"/>
      <c r="Q9" s="758"/>
      <c r="R9" s="759"/>
      <c r="S9" s="503"/>
      <c r="T9" s="758"/>
      <c r="U9" s="759"/>
      <c r="V9" s="503"/>
      <c r="W9" s="758"/>
      <c r="X9" s="759"/>
      <c r="Y9" s="503"/>
      <c r="Z9" s="758"/>
      <c r="AA9" s="759"/>
      <c r="AB9" s="503"/>
      <c r="AC9" s="758"/>
      <c r="AD9" s="759"/>
      <c r="AE9" s="503"/>
      <c r="AF9" s="758"/>
      <c r="AG9" s="759"/>
      <c r="AH9" s="503"/>
      <c r="AI9" s="758"/>
      <c r="AJ9" s="759"/>
      <c r="AK9" s="503"/>
      <c r="AL9" s="632"/>
      <c r="AM9" s="632"/>
      <c r="AN9" s="503"/>
    </row>
    <row r="10" spans="1:54" s="508" customFormat="1" ht="18.75" customHeight="1" x14ac:dyDescent="0.3">
      <c r="A10" s="509" t="s">
        <v>393</v>
      </c>
      <c r="B10" s="942"/>
      <c r="C10" s="773"/>
      <c r="D10" s="503"/>
      <c r="E10" s="889"/>
      <c r="F10" s="773"/>
      <c r="G10" s="503"/>
      <c r="H10" s="889"/>
      <c r="I10" s="773"/>
      <c r="J10" s="503"/>
      <c r="K10" s="889"/>
      <c r="L10" s="773"/>
      <c r="M10" s="503"/>
      <c r="N10" s="889"/>
      <c r="O10" s="773"/>
      <c r="P10" s="634"/>
      <c r="Q10" s="889"/>
      <c r="R10" s="773"/>
      <c r="S10" s="503"/>
      <c r="T10" s="889"/>
      <c r="U10" s="773"/>
      <c r="V10" s="503"/>
      <c r="W10" s="889"/>
      <c r="X10" s="773"/>
      <c r="Y10" s="503"/>
      <c r="Z10" s="889"/>
      <c r="AA10" s="773"/>
      <c r="AB10" s="503"/>
      <c r="AC10" s="889"/>
      <c r="AD10" s="773"/>
      <c r="AE10" s="503"/>
      <c r="AF10" s="889"/>
      <c r="AG10" s="773"/>
      <c r="AH10" s="503"/>
      <c r="AI10" s="889"/>
      <c r="AJ10" s="773"/>
      <c r="AK10" s="503"/>
      <c r="AL10" s="632"/>
      <c r="AM10" s="632"/>
      <c r="AN10" s="503"/>
    </row>
    <row r="11" spans="1:54" s="639" customFormat="1" ht="18.75" customHeight="1" x14ac:dyDescent="0.3">
      <c r="A11" s="635" t="s">
        <v>394</v>
      </c>
      <c r="B11" s="943">
        <f>SUM(B12+B15+B18+B19+B21+B22)</f>
        <v>1301.8049999999998</v>
      </c>
      <c r="C11" s="774">
        <f>SUM(C12+C15+C18+C19+C21+C22)</f>
        <v>1429.43</v>
      </c>
      <c r="D11" s="636">
        <f>IF(B11=0, "    ---- ", IF(ABS(ROUND(100/B11*C11-100,1))&lt;999,ROUND(100/B11*C11-100,1),IF(ROUND(100/B11*C11-100,1)&gt;999,999,-999)))</f>
        <v>9.8000000000000007</v>
      </c>
      <c r="E11" s="890">
        <f>SUM(E12+E15+E18+E19+E21+E22)</f>
        <v>185948.32772345998</v>
      </c>
      <c r="F11" s="774">
        <f>SUM(F12+F15+F18+F19+F21+F22)</f>
        <v>181471</v>
      </c>
      <c r="G11" s="636">
        <f t="shared" ref="G11:G55" si="0">IF(E11=0, "    ---- ", IF(ABS(ROUND(100/E11*F11-100,1))&lt;999,ROUND(100/E11*F11-100,1),IF(ROUND(100/E11*F11-100,1)&gt;999,999,-999)))</f>
        <v>-2.4</v>
      </c>
      <c r="H11" s="890">
        <f>SUM(H12+H15+H18+H19+H21+H22)</f>
        <v>7489.2467585300001</v>
      </c>
      <c r="I11" s="774">
        <f>SUM(I12+I15+I18+I19+I21+I22)</f>
        <v>8169.6949893499996</v>
      </c>
      <c r="J11" s="636">
        <f>IF(H11=0, "    ---- ", IF(ABS(ROUND(100/H11*I11-100,1))&lt;999,ROUND(100/H11*I11-100,1),IF(ROUND(100/H11*I11-100,1)&gt;999,999,-999)))</f>
        <v>9.1</v>
      </c>
      <c r="K11" s="890">
        <f>SUM(K12+K15+K18+K19+K21+K22)</f>
        <v>1169.4220000000003</v>
      </c>
      <c r="L11" s="774">
        <f>SUM(L12+L15+L18+L19+L21+L22)</f>
        <v>1395.8140000000001</v>
      </c>
      <c r="M11" s="636">
        <f>IF(K11=0, "    ---- ", IF(ABS(ROUND(100/K11*L11-100,1))&lt;999,ROUND(100/K11*L11-100,1),IF(ROUND(100/K11*L11-100,1)&gt;999,999,-999)))</f>
        <v>19.399999999999999</v>
      </c>
      <c r="N11" s="890">
        <f>SUM(N12+N15+N18+N19+N21+N22)</f>
        <v>7894.5</v>
      </c>
      <c r="O11" s="774">
        <f>SUM(O12+O15+O18+O19+O21+O22)</f>
        <v>8562.4</v>
      </c>
      <c r="P11" s="637">
        <f>IF(N11=0, "    ---- ", IF(ABS(ROUND(100/N11*O11-100,1))&lt;999,ROUND(100/N11*O11-100,1),IF(ROUND(100/N11*O11-100,1)&gt;999,999,-999)))</f>
        <v>8.5</v>
      </c>
      <c r="Q11" s="890">
        <f>SUM(Q12+Q15+Q18+Q19+Q21+Q22)</f>
        <v>38.507252789999995</v>
      </c>
      <c r="R11" s="774">
        <f>SUM(R12+R15+R18+R19+R21+R22)</f>
        <v>32.941000000000003</v>
      </c>
      <c r="S11" s="636">
        <f t="shared" ref="S11:S12" si="1">IF(Q11=0, "    ---- ", IF(ABS(ROUND(100/Q11*R11-100,1))&lt;999,ROUND(100/Q11*R11-100,1),IF(ROUND(100/Q11*R11-100,1)&gt;999,999,-999)))</f>
        <v>-14.5</v>
      </c>
      <c r="T11" s="890">
        <v>484728.08347910998</v>
      </c>
      <c r="U11" s="774">
        <v>516525.30438066996</v>
      </c>
      <c r="V11" s="636">
        <f>IF(T11=0, "    ---- ", IF(ABS(ROUND(100/T11*U11-100,1))&lt;999,ROUND(100/T11*U11-100,1),IF(ROUND(100/T11*U11-100,1)&gt;999,999,-999)))</f>
        <v>6.6</v>
      </c>
      <c r="W11" s="890">
        <f>SUM(W12+W15+W18+W19+W21+W22)</f>
        <v>47749.670000000006</v>
      </c>
      <c r="X11" s="774">
        <f>SUM(X12+X15+X18+X19+X21+X22)</f>
        <v>47698.883689884809</v>
      </c>
      <c r="Y11" s="636">
        <f t="shared" ref="Y11:Y55" si="2">IF(W11=0, "    ---- ", IF(ABS(ROUND(100/W11*X11-100,1))&lt;999,ROUND(100/W11*X11-100,1),IF(ROUND(100/W11*X11-100,1)&gt;999,999,-999)))</f>
        <v>-0.1</v>
      </c>
      <c r="Z11" s="890">
        <f>SUM(Z12+Z15+Z18+Z19+Z21+Z22)</f>
        <v>72092</v>
      </c>
      <c r="AA11" s="774">
        <f>SUM(AA12+AA15+AA18+AA19+AA21+AA22)</f>
        <v>78045</v>
      </c>
      <c r="AB11" s="636">
        <f>IF(Z11=0, "    ---- ", IF(ABS(ROUND(100/Z11*AA11-100,1))&lt;999,ROUND(100/Z11*AA11-100,1),IF(ROUND(100/Z11*AA11-100,1)&gt;999,999,-999)))</f>
        <v>8.3000000000000007</v>
      </c>
      <c r="AC11" s="890">
        <f>SUM(AC12+AC15+AC18+AC19+AC21+AC22)</f>
        <v>17776</v>
      </c>
      <c r="AD11" s="774">
        <f>SUM(AD12+AD15+AD18+AD19+AD21+AD22)</f>
        <v>19043</v>
      </c>
      <c r="AE11" s="636">
        <f t="shared" ref="AE11:AE55" si="3">IF(AC11=0, "    ---- ", IF(ABS(ROUND(100/AC11*AD11-100,1))&lt;999,ROUND(100/AC11*AD11-100,1),IF(ROUND(100/AC11*AD11-100,1)&gt;999,999,-999)))</f>
        <v>7.1</v>
      </c>
      <c r="AF11" s="890">
        <f>SUM(AF12+AF15+AF18+AF19+AF21+AF22)</f>
        <v>180685</v>
      </c>
      <c r="AG11" s="774">
        <f>SUM(AG12+AG15+AG18+AG19+AG21+AG22)</f>
        <v>185269</v>
      </c>
      <c r="AH11" s="636">
        <f t="shared" ref="AH11:AH46" si="4">IF(AF11=0, "    ---- ", IF(ABS(ROUND(100/AF11*AG11-100,1))&lt;999,ROUND(100/AF11*AG11-100,1),IF(ROUND(100/AF11*AG11-100,1)&gt;999,999,-999)))</f>
        <v>2.5</v>
      </c>
      <c r="AI11" s="890"/>
      <c r="AJ11" s="774">
        <f t="shared" ref="AJ11" si="5">SUM(AJ12+AJ15+AJ18+AJ19+AJ21+AJ22)</f>
        <v>7</v>
      </c>
      <c r="AK11" s="636" t="str">
        <f>IF(AI11=0, "    ---- ", IF(ABS(ROUND(100/AI11*AJ11-100,1))&lt;999,ROUND(100/AI11*AJ11-100,1),IF(ROUND(100/AI11*AJ11-100,1)&gt;999,999,-999)))</f>
        <v xml:space="preserve">    ---- </v>
      </c>
      <c r="AL11" s="564">
        <f t="shared" ref="AL11:AL46" si="6">+B11+E11+H11+K11+N11+Q11+T11+AI11+W11+Z11+AC11+AF11</f>
        <v>1006872.56221389</v>
      </c>
      <c r="AM11" s="564">
        <f t="shared" ref="AM11:AM46" si="7">+C11+F11+I11+L11+O11+R11+U11+AJ11+X11+AA11+AD11+AG11</f>
        <v>1047649.4680599048</v>
      </c>
      <c r="AN11" s="636">
        <f>IF(AL11=0, "    ---- ", IF(ABS(ROUND(100/AL11*AM11-100,1))&lt;999,ROUND(100/AL11*AM11-100,1),IF(ROUND(100/AL11*AM11-100,1)&gt;999,999,-999)))</f>
        <v>4</v>
      </c>
    </row>
    <row r="12" spans="1:54" s="508" customFormat="1" ht="18.75" customHeight="1" x14ac:dyDescent="0.3">
      <c r="A12" s="499" t="s">
        <v>395</v>
      </c>
      <c r="B12" s="942">
        <v>248.87899999999999</v>
      </c>
      <c r="C12" s="773">
        <v>246.971</v>
      </c>
      <c r="D12" s="503">
        <f>IF(B12=0, "    ---- ", IF(ABS(ROUND(100/B12*C12-100,1))&lt;999,ROUND(100/B12*C12-100,1),IF(ROUND(100/B12*C12-100,1)&gt;999,999,-999)))</f>
        <v>-0.8</v>
      </c>
      <c r="E12" s="889">
        <f>+E13+E14</f>
        <v>9928.5519375500007</v>
      </c>
      <c r="F12" s="773">
        <f>+F14+F13</f>
        <v>8364</v>
      </c>
      <c r="G12" s="503">
        <f t="shared" si="0"/>
        <v>-15.8</v>
      </c>
      <c r="H12" s="889">
        <v>650.79192044000001</v>
      </c>
      <c r="I12" s="773">
        <v>715.74279810999997</v>
      </c>
      <c r="J12" s="503">
        <f>IF(H12=0, "    ---- ", IF(ABS(ROUND(100/H12*I12-100,1))&lt;999,ROUND(100/H12*I12-100,1),IF(ROUND(100/H12*I12-100,1)&gt;999,999,-999)))</f>
        <v>10</v>
      </c>
      <c r="K12" s="889">
        <v>68.747</v>
      </c>
      <c r="L12" s="773">
        <v>64.188000000000002</v>
      </c>
      <c r="M12" s="503">
        <f>IF(K12=0, "    ---- ", IF(ABS(ROUND(100/K12*L12-100,1))&lt;999,ROUND(100/K12*L12-100,1),IF(ROUND(100/K12*L12-100,1)&gt;999,999,-999)))</f>
        <v>-6.6</v>
      </c>
      <c r="N12" s="889"/>
      <c r="O12" s="773"/>
      <c r="P12" s="634"/>
      <c r="Q12" s="889">
        <v>20.282084000000001</v>
      </c>
      <c r="R12" s="920">
        <v>14.717000000000001</v>
      </c>
      <c r="S12" s="503">
        <f t="shared" si="1"/>
        <v>-27.4</v>
      </c>
      <c r="T12" s="889"/>
      <c r="U12" s="773"/>
      <c r="V12" s="503"/>
      <c r="W12" s="889">
        <v>686.58</v>
      </c>
      <c r="X12" s="773">
        <v>662.52345978482379</v>
      </c>
      <c r="Y12" s="503">
        <f t="shared" si="2"/>
        <v>-3.5</v>
      </c>
      <c r="Z12" s="889"/>
      <c r="AA12" s="773"/>
      <c r="AB12" s="503"/>
      <c r="AC12" s="889">
        <v>382</v>
      </c>
      <c r="AD12" s="773">
        <v>343</v>
      </c>
      <c r="AE12" s="503">
        <f t="shared" si="3"/>
        <v>-10.199999999999999</v>
      </c>
      <c r="AF12" s="889">
        <v>4000</v>
      </c>
      <c r="AG12" s="773">
        <f>1932+2192+20</f>
        <v>4144</v>
      </c>
      <c r="AH12" s="503">
        <f t="shared" si="4"/>
        <v>3.6</v>
      </c>
      <c r="AI12" s="889"/>
      <c r="AJ12" s="773">
        <v>6</v>
      </c>
      <c r="AK12" s="503" t="str">
        <f>IF(AI12=0, "    ---- ", IF(ABS(ROUND(100/AI12*AJ12-100,1))&lt;999,ROUND(100/AI12*AJ12-100,1),IF(ROUND(100/AI12*AJ12-100,1)&gt;999,999,-999)))</f>
        <v xml:space="preserve">    ---- </v>
      </c>
      <c r="AL12" s="632">
        <f t="shared" si="6"/>
        <v>15985.831941990002</v>
      </c>
      <c r="AM12" s="632">
        <f t="shared" si="7"/>
        <v>14561.142257894822</v>
      </c>
      <c r="AN12" s="503">
        <f t="shared" ref="AN12:AN55" si="8">IF(AL12=0, "    ---- ", IF(ABS(ROUND(100/AL12*AM12-100,1))&lt;999,ROUND(100/AL12*AM12-100,1),IF(ROUND(100/AL12*AM12-100,1)&gt;999,999,-999)))</f>
        <v>-8.9</v>
      </c>
    </row>
    <row r="13" spans="1:54" s="508" customFormat="1" ht="18.75" customHeight="1" x14ac:dyDescent="0.3">
      <c r="A13" s="499" t="s">
        <v>396</v>
      </c>
      <c r="B13" s="944"/>
      <c r="C13" s="759"/>
      <c r="D13" s="503"/>
      <c r="E13" s="758">
        <v>2822.0279565700002</v>
      </c>
      <c r="F13" s="759">
        <v>2493</v>
      </c>
      <c r="G13" s="543">
        <f t="shared" si="0"/>
        <v>-11.7</v>
      </c>
      <c r="H13" s="758"/>
      <c r="I13" s="759"/>
      <c r="J13" s="503"/>
      <c r="K13" s="758"/>
      <c r="L13" s="759"/>
      <c r="M13" s="503"/>
      <c r="N13" s="758"/>
      <c r="O13" s="759"/>
      <c r="P13" s="634"/>
      <c r="Q13" s="758"/>
      <c r="R13" s="921"/>
      <c r="S13" s="503"/>
      <c r="T13" s="758"/>
      <c r="U13" s="759"/>
      <c r="V13" s="503"/>
      <c r="W13" s="758">
        <v>386.25</v>
      </c>
      <c r="X13" s="759">
        <v>342.72753660742205</v>
      </c>
      <c r="Y13" s="503">
        <f t="shared" si="2"/>
        <v>-11.3</v>
      </c>
      <c r="Z13" s="758"/>
      <c r="AA13" s="759"/>
      <c r="AB13" s="503"/>
      <c r="AC13" s="758">
        <v>254</v>
      </c>
      <c r="AD13" s="759">
        <v>227</v>
      </c>
      <c r="AE13" s="503">
        <f t="shared" si="3"/>
        <v>-10.6</v>
      </c>
      <c r="AF13" s="758">
        <v>2004</v>
      </c>
      <c r="AG13" s="759">
        <v>1932</v>
      </c>
      <c r="AH13" s="503">
        <f t="shared" si="4"/>
        <v>-3.6</v>
      </c>
      <c r="AI13" s="758"/>
      <c r="AJ13" s="759"/>
      <c r="AK13" s="503"/>
      <c r="AL13" s="632">
        <f t="shared" si="6"/>
        <v>5466.2779565700002</v>
      </c>
      <c r="AM13" s="632">
        <f t="shared" si="7"/>
        <v>4994.7275366074218</v>
      </c>
      <c r="AN13" s="503">
        <f t="shared" si="8"/>
        <v>-8.6</v>
      </c>
    </row>
    <row r="14" spans="1:54" s="508" customFormat="1" ht="18.75" customHeight="1" x14ac:dyDescent="0.3">
      <c r="A14" s="499" t="s">
        <v>397</v>
      </c>
      <c r="B14" s="944">
        <v>248.87899999999999</v>
      </c>
      <c r="C14" s="773">
        <v>246.971</v>
      </c>
      <c r="D14" s="503">
        <f t="shared" ref="D14:D15" si="9">IF(B14=0, "    ---- ", IF(ABS(ROUND(100/B14*C14-100,1))&lt;999,ROUND(100/B14*C14-100,1),IF(ROUND(100/B14*C14-100,1)&gt;999,999,-999)))</f>
        <v>-0.8</v>
      </c>
      <c r="E14" s="758">
        <v>7106.5239809799996</v>
      </c>
      <c r="F14" s="759">
        <v>5871</v>
      </c>
      <c r="G14" s="543">
        <f t="shared" si="0"/>
        <v>-17.399999999999999</v>
      </c>
      <c r="H14" s="758"/>
      <c r="I14" s="759"/>
      <c r="J14" s="503"/>
      <c r="K14" s="758"/>
      <c r="L14" s="759"/>
      <c r="M14" s="503"/>
      <c r="N14" s="758"/>
      <c r="O14" s="759"/>
      <c r="P14" s="503"/>
      <c r="Q14" s="758"/>
      <c r="R14" s="921"/>
      <c r="S14" s="503"/>
      <c r="T14" s="758"/>
      <c r="U14" s="759"/>
      <c r="V14" s="503"/>
      <c r="W14" s="758">
        <v>36.74</v>
      </c>
      <c r="X14" s="759">
        <v>38.242356255000004</v>
      </c>
      <c r="Y14" s="503">
        <f t="shared" si="2"/>
        <v>4.0999999999999996</v>
      </c>
      <c r="Z14" s="758"/>
      <c r="AA14" s="759"/>
      <c r="AB14" s="503"/>
      <c r="AC14" s="758">
        <v>128</v>
      </c>
      <c r="AD14" s="759">
        <f>116</f>
        <v>116</v>
      </c>
      <c r="AE14" s="503">
        <f t="shared" si="3"/>
        <v>-9.4</v>
      </c>
      <c r="AF14" s="758"/>
      <c r="AG14" s="759"/>
      <c r="AH14" s="503"/>
      <c r="AI14" s="758"/>
      <c r="AJ14" s="759"/>
      <c r="AK14" s="503"/>
      <c r="AL14" s="632">
        <f t="shared" si="6"/>
        <v>7520.1429809799993</v>
      </c>
      <c r="AM14" s="632">
        <f t="shared" si="7"/>
        <v>6272.2133562549998</v>
      </c>
      <c r="AN14" s="503">
        <f t="shared" si="8"/>
        <v>-16.600000000000001</v>
      </c>
    </row>
    <row r="15" spans="1:54" s="508" customFormat="1" ht="18.75" customHeight="1" x14ac:dyDescent="0.3">
      <c r="A15" s="499" t="s">
        <v>398</v>
      </c>
      <c r="B15" s="942">
        <f>113.434+36.585</f>
        <v>150.01900000000001</v>
      </c>
      <c r="C15" s="773">
        <f>121.436+89.054</f>
        <v>210.49</v>
      </c>
      <c r="D15" s="503">
        <f t="shared" si="9"/>
        <v>40.299999999999997</v>
      </c>
      <c r="E15" s="889">
        <f>+E16+E17</f>
        <v>22028.337746069996</v>
      </c>
      <c r="F15" s="773">
        <f>+F16+F17</f>
        <v>20868</v>
      </c>
      <c r="G15" s="634">
        <f t="shared" si="0"/>
        <v>-5.3</v>
      </c>
      <c r="H15" s="889">
        <v>3665.6077474800004</v>
      </c>
      <c r="I15" s="773">
        <v>4167.7111907199996</v>
      </c>
      <c r="J15" s="503">
        <f>IF(H15=0, "    ---- ", IF(ABS(ROUND(100/H15*I15-100,1))&lt;999,ROUND(100/H15*I15-100,1),IF(ROUND(100/H15*I15-100,1)&gt;999,999,-999)))</f>
        <v>13.7</v>
      </c>
      <c r="K15" s="889">
        <v>961.60500000000002</v>
      </c>
      <c r="L15" s="773">
        <v>1172.3900000000001</v>
      </c>
      <c r="M15" s="503">
        <f>IF(K15=0, "    ---- ", IF(ABS(ROUND(100/K15*L15-100,1))&lt;999,ROUND(100/K15*L15-100,1),IF(ROUND(100/K15*L15-100,1)&gt;999,999,-999)))</f>
        <v>21.9</v>
      </c>
      <c r="N15" s="889">
        <v>2627.9</v>
      </c>
      <c r="O15" s="773">
        <v>3043.9</v>
      </c>
      <c r="P15" s="503">
        <f>IF(N15=0, "    ---- ", IF(ABS(ROUND(100/N15*O15-100,1))&lt;999,ROUND(100/N15*O15-100,1),IF(ROUND(100/N15*O15-100,1)&gt;999,999,-999)))</f>
        <v>15.8</v>
      </c>
      <c r="Q15" s="889">
        <v>1.728453</v>
      </c>
      <c r="R15" s="920">
        <v>1.728</v>
      </c>
      <c r="S15" s="503">
        <f t="shared" ref="S15" si="10">IF(Q15=0, "    ---- ", IF(ABS(ROUND(100/Q15*R15-100,1))&lt;999,ROUND(100/Q15*R15-100,1),IF(ROUND(100/Q15*R15-100,1)&gt;999,999,-999)))</f>
        <v>0</v>
      </c>
      <c r="T15" s="889"/>
      <c r="U15" s="773"/>
      <c r="V15" s="503"/>
      <c r="W15" s="889">
        <v>3592.21</v>
      </c>
      <c r="X15" s="773">
        <v>3639.6999991600624</v>
      </c>
      <c r="Y15" s="503">
        <f t="shared" si="2"/>
        <v>1.3</v>
      </c>
      <c r="Z15" s="889"/>
      <c r="AA15" s="773"/>
      <c r="AB15" s="634"/>
      <c r="AC15" s="889">
        <v>2540</v>
      </c>
      <c r="AD15" s="773">
        <v>2332</v>
      </c>
      <c r="AE15" s="503">
        <f t="shared" si="3"/>
        <v>-8.1999999999999993</v>
      </c>
      <c r="AF15" s="889">
        <v>7741</v>
      </c>
      <c r="AG15" s="773">
        <f>7143+4</f>
        <v>7147</v>
      </c>
      <c r="AH15" s="503">
        <f t="shared" si="4"/>
        <v>-7.7</v>
      </c>
      <c r="AI15" s="889"/>
      <c r="AJ15" s="773">
        <v>1</v>
      </c>
      <c r="AK15" s="503" t="str">
        <f>IF(AI15=0, "    ---- ", IF(ABS(ROUND(100/AI15*AJ15-100,1))&lt;999,ROUND(100/AI15*AJ15-100,1),IF(ROUND(100/AI15*AJ15-100,1)&gt;999,999,-999)))</f>
        <v xml:space="preserve">    ---- </v>
      </c>
      <c r="AL15" s="632">
        <f t="shared" si="6"/>
        <v>43308.407946549996</v>
      </c>
      <c r="AM15" s="632">
        <f t="shared" si="7"/>
        <v>42583.919189880064</v>
      </c>
      <c r="AN15" s="503">
        <f t="shared" si="8"/>
        <v>-1.7</v>
      </c>
    </row>
    <row r="16" spans="1:54" s="508" customFormat="1" ht="18.75" customHeight="1" x14ac:dyDescent="0.3">
      <c r="A16" s="499" t="s">
        <v>396</v>
      </c>
      <c r="B16" s="942"/>
      <c r="C16" s="773"/>
      <c r="D16" s="503"/>
      <c r="E16" s="889">
        <v>19054.340623419997</v>
      </c>
      <c r="F16" s="773">
        <v>17957</v>
      </c>
      <c r="G16" s="634">
        <f t="shared" si="0"/>
        <v>-5.8</v>
      </c>
      <c r="H16" s="889"/>
      <c r="I16" s="773"/>
      <c r="J16" s="503"/>
      <c r="K16" s="889"/>
      <c r="L16" s="773"/>
      <c r="M16" s="503"/>
      <c r="N16" s="889"/>
      <c r="O16" s="773"/>
      <c r="P16" s="503"/>
      <c r="Q16" s="889"/>
      <c r="R16" s="920"/>
      <c r="S16" s="503"/>
      <c r="T16" s="889"/>
      <c r="U16" s="773"/>
      <c r="V16" s="503"/>
      <c r="W16" s="889">
        <v>2291.33</v>
      </c>
      <c r="X16" s="773">
        <v>2203.7983163839099</v>
      </c>
      <c r="Y16" s="503">
        <f t="shared" si="2"/>
        <v>-3.8</v>
      </c>
      <c r="Z16" s="889"/>
      <c r="AA16" s="773"/>
      <c r="AB16" s="634"/>
      <c r="AC16" s="889">
        <v>2352</v>
      </c>
      <c r="AD16" s="773">
        <v>2137</v>
      </c>
      <c r="AE16" s="503">
        <f t="shared" si="3"/>
        <v>-9.1</v>
      </c>
      <c r="AF16" s="889">
        <v>7741</v>
      </c>
      <c r="AG16" s="773">
        <v>7143</v>
      </c>
      <c r="AH16" s="503">
        <f t="shared" si="4"/>
        <v>-7.7</v>
      </c>
      <c r="AI16" s="889"/>
      <c r="AJ16" s="773"/>
      <c r="AK16" s="503"/>
      <c r="AL16" s="632">
        <f t="shared" si="6"/>
        <v>31438.670623419996</v>
      </c>
      <c r="AM16" s="632">
        <f t="shared" si="7"/>
        <v>29440.798316383909</v>
      </c>
      <c r="AN16" s="503">
        <f t="shared" si="8"/>
        <v>-6.4</v>
      </c>
    </row>
    <row r="17" spans="1:40" s="508" customFormat="1" ht="18.75" customHeight="1" x14ac:dyDescent="0.3">
      <c r="A17" s="499" t="s">
        <v>397</v>
      </c>
      <c r="B17" s="942">
        <f>113.434+36.585</f>
        <v>150.01900000000001</v>
      </c>
      <c r="C17" s="773">
        <f>121.436+89.054</f>
        <v>210.49</v>
      </c>
      <c r="D17" s="503">
        <f t="shared" ref="D17:D20" si="11">IF(B17=0, "    ---- ", IF(ABS(ROUND(100/B17*C17-100,1))&lt;999,ROUND(100/B17*C17-100,1),IF(ROUND(100/B17*C17-100,1)&gt;999,999,-999)))</f>
        <v>40.299999999999997</v>
      </c>
      <c r="E17" s="889">
        <v>2973.9971226499997</v>
      </c>
      <c r="F17" s="773">
        <v>2911</v>
      </c>
      <c r="G17" s="634">
        <f t="shared" si="0"/>
        <v>-2.1</v>
      </c>
      <c r="H17" s="889">
        <v>190.36670703000004</v>
      </c>
      <c r="I17" s="773">
        <v>223.65988559000002</v>
      </c>
      <c r="J17" s="503">
        <f>IF(H17=0, "    ---- ", IF(ABS(ROUND(100/H17*I17-100,1))&lt;999,ROUND(100/H17*I17-100,1),IF(ROUND(100/H17*I17-100,1)&gt;999,999,-999)))</f>
        <v>17.5</v>
      </c>
      <c r="K17" s="889"/>
      <c r="L17" s="773"/>
      <c r="M17" s="503"/>
      <c r="N17" s="889">
        <v>2627.9</v>
      </c>
      <c r="O17" s="773">
        <v>3043.9</v>
      </c>
      <c r="P17" s="503">
        <f>IF(N17=0, "    ---- ", IF(ABS(ROUND(100/N17*O17-100,1))&lt;999,ROUND(100/N17*O17-100,1),IF(ROUND(100/N17*O17-100,1)&gt;999,999,-999)))</f>
        <v>15.8</v>
      </c>
      <c r="Q17" s="889"/>
      <c r="R17" s="920"/>
      <c r="S17" s="503"/>
      <c r="T17" s="889"/>
      <c r="U17" s="773"/>
      <c r="V17" s="503"/>
      <c r="W17" s="889">
        <v>567.25</v>
      </c>
      <c r="X17" s="773">
        <v>620.6034929426778</v>
      </c>
      <c r="Y17" s="503">
        <f t="shared" si="2"/>
        <v>9.4</v>
      </c>
      <c r="Z17" s="889"/>
      <c r="AA17" s="773"/>
      <c r="AB17" s="634"/>
      <c r="AC17" s="889">
        <v>188</v>
      </c>
      <c r="AD17" s="773">
        <v>195</v>
      </c>
      <c r="AE17" s="503">
        <f t="shared" si="3"/>
        <v>3.7</v>
      </c>
      <c r="AF17" s="889"/>
      <c r="AG17" s="773"/>
      <c r="AH17" s="503"/>
      <c r="AI17" s="889"/>
      <c r="AJ17" s="773"/>
      <c r="AK17" s="503"/>
      <c r="AL17" s="632">
        <f t="shared" si="6"/>
        <v>6697.5328296799998</v>
      </c>
      <c r="AM17" s="632">
        <f t="shared" si="7"/>
        <v>7204.6533785326783</v>
      </c>
      <c r="AN17" s="503">
        <f t="shared" si="8"/>
        <v>7.6</v>
      </c>
    </row>
    <row r="18" spans="1:40" s="508" customFormat="1" ht="18.75" customHeight="1" x14ac:dyDescent="0.3">
      <c r="A18" s="499" t="s">
        <v>399</v>
      </c>
      <c r="B18" s="942">
        <v>1.6990000000000001</v>
      </c>
      <c r="C18" s="773">
        <v>0.52500000000000002</v>
      </c>
      <c r="D18" s="503">
        <f t="shared" si="11"/>
        <v>-69.099999999999994</v>
      </c>
      <c r="E18" s="889">
        <v>241.43803983999999</v>
      </c>
      <c r="F18" s="773">
        <v>216</v>
      </c>
      <c r="G18" s="634">
        <f t="shared" si="0"/>
        <v>-10.5</v>
      </c>
      <c r="H18" s="889">
        <v>2549.9973124099997</v>
      </c>
      <c r="I18" s="773">
        <v>2653.1449614600001</v>
      </c>
      <c r="J18" s="503">
        <f>IF(H18=0, "    ---- ", IF(ABS(ROUND(100/H18*I18-100,1))&lt;999,ROUND(100/H18*I18-100,1),IF(ROUND(100/H18*I18-100,1)&gt;999,999,-999)))</f>
        <v>4</v>
      </c>
      <c r="K18" s="889">
        <v>37.341999999999999</v>
      </c>
      <c r="L18" s="773">
        <v>54.695</v>
      </c>
      <c r="M18" s="503">
        <f>IF(K18=0, "    ---- ", IF(ABS(ROUND(100/K18*L18-100,1))&lt;999,ROUND(100/K18*L18-100,1),IF(ROUND(100/K18*L18-100,1)&gt;999,999,-999)))</f>
        <v>46.5</v>
      </c>
      <c r="N18" s="889"/>
      <c r="O18" s="773"/>
      <c r="P18" s="503"/>
      <c r="Q18" s="889">
        <v>16.49671579</v>
      </c>
      <c r="R18" s="920">
        <v>16.495999999999999</v>
      </c>
      <c r="S18" s="503">
        <f t="shared" ref="S18" si="12">IF(Q18=0, "    ---- ", IF(ABS(ROUND(100/Q18*R18-100,1))&lt;999,ROUND(100/Q18*R18-100,1),IF(ROUND(100/Q18*R18-100,1)&gt;999,999,-999)))</f>
        <v>0</v>
      </c>
      <c r="T18" s="889">
        <v>0.93028330000000004</v>
      </c>
      <c r="U18" s="773">
        <v>1.1263968599999998</v>
      </c>
      <c r="V18" s="503">
        <f>IF(T18=0, "    ---- ", IF(ABS(ROUND(100/T18*U18-100,1))&lt;999,ROUND(100/T18*U18-100,1),IF(ROUND(100/T18*U18-100,1)&gt;999,999,-999)))</f>
        <v>21.1</v>
      </c>
      <c r="W18" s="889"/>
      <c r="X18" s="773"/>
      <c r="Y18" s="503"/>
      <c r="Z18" s="889"/>
      <c r="AA18" s="773"/>
      <c r="AB18" s="634"/>
      <c r="AC18" s="889">
        <v>41</v>
      </c>
      <c r="AD18" s="773">
        <v>2</v>
      </c>
      <c r="AE18" s="503">
        <f t="shared" si="3"/>
        <v>-95.1</v>
      </c>
      <c r="AF18" s="889">
        <v>1515</v>
      </c>
      <c r="AG18" s="773">
        <v>1661</v>
      </c>
      <c r="AH18" s="503">
        <f t="shared" si="4"/>
        <v>9.6</v>
      </c>
      <c r="AI18" s="889"/>
      <c r="AJ18" s="773"/>
      <c r="AK18" s="503"/>
      <c r="AL18" s="632">
        <f t="shared" si="6"/>
        <v>4403.90335134</v>
      </c>
      <c r="AM18" s="632">
        <f t="shared" si="7"/>
        <v>4604.9873583200006</v>
      </c>
      <c r="AN18" s="503">
        <f t="shared" si="8"/>
        <v>4.5999999999999996</v>
      </c>
    </row>
    <row r="19" spans="1:40" s="508" customFormat="1" ht="18.75" customHeight="1" x14ac:dyDescent="0.3">
      <c r="A19" s="499" t="s">
        <v>400</v>
      </c>
      <c r="B19" s="942">
        <f>441.523+149.603+264.684</f>
        <v>855.81</v>
      </c>
      <c r="C19" s="773">
        <f>440.23+186.18+300.31</f>
        <v>926.72</v>
      </c>
      <c r="D19" s="503">
        <f t="shared" si="11"/>
        <v>8.3000000000000007</v>
      </c>
      <c r="E19" s="889">
        <f>151107+2634</f>
        <v>153741</v>
      </c>
      <c r="F19" s="773">
        <v>152013</v>
      </c>
      <c r="G19" s="634">
        <f t="shared" si="0"/>
        <v>-1.1000000000000001</v>
      </c>
      <c r="H19" s="889"/>
      <c r="I19" s="773"/>
      <c r="J19" s="503"/>
      <c r="K19" s="889"/>
      <c r="L19" s="773"/>
      <c r="M19" s="503"/>
      <c r="N19" s="889">
        <v>5266.6</v>
      </c>
      <c r="O19" s="773">
        <v>5518.5</v>
      </c>
      <c r="P19" s="503">
        <f>IF(N19=0, "    ---- ", IF(ABS(ROUND(100/N19*O19-100,1))&lt;999,ROUND(100/N19*O19-100,1),IF(ROUND(100/N19*O19-100,1)&gt;999,999,-999)))</f>
        <v>4.8</v>
      </c>
      <c r="Q19" s="889"/>
      <c r="R19" s="773"/>
      <c r="S19" s="503"/>
      <c r="T19" s="889"/>
      <c r="U19" s="773"/>
      <c r="V19" s="503"/>
      <c r="W19" s="889">
        <v>43412.08</v>
      </c>
      <c r="X19" s="773">
        <v>43332.929212524985</v>
      </c>
      <c r="Y19" s="503">
        <f t="shared" si="2"/>
        <v>-0.2</v>
      </c>
      <c r="Z19" s="889"/>
      <c r="AA19" s="773"/>
      <c r="AB19" s="634"/>
      <c r="AC19" s="889">
        <v>14813</v>
      </c>
      <c r="AD19" s="773">
        <v>16366</v>
      </c>
      <c r="AE19" s="503">
        <f t="shared" si="3"/>
        <v>10.5</v>
      </c>
      <c r="AF19" s="889">
        <v>158176</v>
      </c>
      <c r="AG19" s="773">
        <v>158891</v>
      </c>
      <c r="AH19" s="503">
        <f t="shared" si="4"/>
        <v>0.5</v>
      </c>
      <c r="AI19" s="889"/>
      <c r="AJ19" s="773"/>
      <c r="AK19" s="503"/>
      <c r="AL19" s="632">
        <f t="shared" si="6"/>
        <v>376264.49</v>
      </c>
      <c r="AM19" s="632">
        <f t="shared" si="7"/>
        <v>377048.14921252499</v>
      </c>
      <c r="AN19" s="503">
        <f t="shared" si="8"/>
        <v>0.2</v>
      </c>
    </row>
    <row r="20" spans="1:40" s="508" customFormat="1" ht="18.75" customHeight="1" x14ac:dyDescent="0.3">
      <c r="A20" s="499" t="s">
        <v>401</v>
      </c>
      <c r="B20" s="942">
        <v>149.60300000000001</v>
      </c>
      <c r="C20" s="773">
        <v>186.18</v>
      </c>
      <c r="D20" s="503">
        <f t="shared" si="11"/>
        <v>24.4</v>
      </c>
      <c r="E20" s="889">
        <v>132599</v>
      </c>
      <c r="F20" s="773">
        <v>130862</v>
      </c>
      <c r="G20" s="634">
        <f t="shared" si="0"/>
        <v>-1.3</v>
      </c>
      <c r="H20" s="889"/>
      <c r="I20" s="773"/>
      <c r="J20" s="503"/>
      <c r="K20" s="889"/>
      <c r="L20" s="773"/>
      <c r="M20" s="503"/>
      <c r="N20" s="889">
        <v>3885.9</v>
      </c>
      <c r="O20" s="773">
        <v>3854.3</v>
      </c>
      <c r="P20" s="503">
        <f>IF(N20=0, "    ---- ", IF(ABS(ROUND(100/N20*O20-100,1))&lt;999,ROUND(100/N20*O20-100,1),IF(ROUND(100/N20*O20-100,1)&gt;999,999,-999)))</f>
        <v>-0.8</v>
      </c>
      <c r="Q20" s="889"/>
      <c r="R20" s="773"/>
      <c r="S20" s="503"/>
      <c r="T20" s="889"/>
      <c r="U20" s="773"/>
      <c r="V20" s="503"/>
      <c r="W20" s="889">
        <v>36623.29</v>
      </c>
      <c r="X20" s="773">
        <v>36549.195482852927</v>
      </c>
      <c r="Y20" s="503">
        <f t="shared" si="2"/>
        <v>-0.2</v>
      </c>
      <c r="Z20" s="889"/>
      <c r="AA20" s="773"/>
      <c r="AB20" s="634"/>
      <c r="AC20" s="889">
        <v>9163</v>
      </c>
      <c r="AD20" s="773">
        <v>9131</v>
      </c>
      <c r="AE20" s="503">
        <f t="shared" si="3"/>
        <v>-0.3</v>
      </c>
      <c r="AF20" s="889">
        <v>134272</v>
      </c>
      <c r="AG20" s="773">
        <v>133736</v>
      </c>
      <c r="AH20" s="503">
        <f t="shared" si="4"/>
        <v>-0.4</v>
      </c>
      <c r="AI20" s="889"/>
      <c r="AJ20" s="773"/>
      <c r="AK20" s="503"/>
      <c r="AL20" s="632">
        <f t="shared" si="6"/>
        <v>316692.79300000001</v>
      </c>
      <c r="AM20" s="632">
        <f t="shared" si="7"/>
        <v>314318.67548285291</v>
      </c>
      <c r="AN20" s="503">
        <f t="shared" si="8"/>
        <v>-0.7</v>
      </c>
    </row>
    <row r="21" spans="1:40" s="508" customFormat="1" ht="18.75" customHeight="1" x14ac:dyDescent="0.3">
      <c r="A21" s="499" t="s">
        <v>402</v>
      </c>
      <c r="B21" s="942"/>
      <c r="C21" s="773"/>
      <c r="D21" s="503"/>
      <c r="E21" s="889"/>
      <c r="F21" s="773"/>
      <c r="G21" s="634"/>
      <c r="H21" s="889"/>
      <c r="I21" s="773"/>
      <c r="J21" s="503"/>
      <c r="K21" s="889"/>
      <c r="L21" s="773"/>
      <c r="M21" s="503"/>
      <c r="N21" s="889"/>
      <c r="O21" s="773"/>
      <c r="P21" s="503"/>
      <c r="Q21" s="889"/>
      <c r="R21" s="773"/>
      <c r="S21" s="503"/>
      <c r="T21" s="889">
        <v>484727.15319580998</v>
      </c>
      <c r="U21" s="773">
        <v>516524.17798380996</v>
      </c>
      <c r="V21" s="503">
        <f>IF(T21=0, "    ---- ", IF(ABS(ROUND(100/T21*U21-100,1))&lt;999,ROUND(100/T21*U21-100,1),IF(ROUND(100/T21*U21-100,1)&gt;999,999,-999)))</f>
        <v>6.6</v>
      </c>
      <c r="W21" s="889"/>
      <c r="X21" s="773"/>
      <c r="Y21" s="503"/>
      <c r="Z21" s="889">
        <v>72092</v>
      </c>
      <c r="AA21" s="773">
        <v>78045</v>
      </c>
      <c r="AB21" s="634">
        <f>IF(Z21=0, "    ---- ", IF(ABS(ROUND(100/Z21*AA21-100,1))&lt;999,ROUND(100/Z21*AA21-100,1),IF(ROUND(100/Z21*AA21-100,1)&gt;999,999,-999)))</f>
        <v>8.3000000000000007</v>
      </c>
      <c r="AC21" s="889"/>
      <c r="AD21" s="773"/>
      <c r="AE21" s="503"/>
      <c r="AF21" s="889">
        <v>9253</v>
      </c>
      <c r="AG21" s="773">
        <v>13426</v>
      </c>
      <c r="AH21" s="503">
        <f t="shared" si="4"/>
        <v>45.1</v>
      </c>
      <c r="AI21" s="889"/>
      <c r="AJ21" s="773"/>
      <c r="AK21" s="503"/>
      <c r="AL21" s="632">
        <f t="shared" si="6"/>
        <v>566072.15319581004</v>
      </c>
      <c r="AM21" s="632">
        <f t="shared" si="7"/>
        <v>607995.17798380996</v>
      </c>
      <c r="AN21" s="503">
        <f t="shared" si="8"/>
        <v>7.4</v>
      </c>
    </row>
    <row r="22" spans="1:40" s="508" customFormat="1" ht="18.75" customHeight="1" x14ac:dyDescent="0.3">
      <c r="A22" s="499" t="s">
        <v>403</v>
      </c>
      <c r="B22" s="942">
        <v>45.398000000000003</v>
      </c>
      <c r="C22" s="773">
        <v>44.723999999999997</v>
      </c>
      <c r="D22" s="503">
        <f>IF(B22=0, "    ---- ", IF(ABS(ROUND(100/B22*C22-100,1))&lt;999,ROUND(100/B22*C22-100,1),IF(ROUND(100/B22*C22-100,1)&gt;999,999,-999)))</f>
        <v>-1.5</v>
      </c>
      <c r="E22" s="889">
        <f>2643-2634</f>
        <v>9</v>
      </c>
      <c r="F22" s="773">
        <v>10</v>
      </c>
      <c r="G22" s="634">
        <f t="shared" si="0"/>
        <v>11.1</v>
      </c>
      <c r="H22" s="889">
        <v>622.84977819999995</v>
      </c>
      <c r="I22" s="773">
        <v>633.09603905999995</v>
      </c>
      <c r="J22" s="503">
        <f>IF(H22=0, "    ---- ", IF(ABS(ROUND(100/H22*I22-100,1))&lt;999,ROUND(100/H22*I22-100,1),IF(ROUND(100/H22*I22-100,1)&gt;999,999,-999)))</f>
        <v>1.6</v>
      </c>
      <c r="K22" s="889">
        <v>101.72799999999999</v>
      </c>
      <c r="L22" s="773">
        <v>104.541</v>
      </c>
      <c r="M22" s="503">
        <f>IF(K22=0, "    ---- ", IF(ABS(ROUND(100/K22*L22-100,1))&lt;999,ROUND(100/K22*L22-100,1),IF(ROUND(100/K22*L22-100,1)&gt;999,999,-999)))</f>
        <v>2.8</v>
      </c>
      <c r="N22" s="889"/>
      <c r="O22" s="773"/>
      <c r="P22" s="503"/>
      <c r="Q22" s="889"/>
      <c r="R22" s="773"/>
      <c r="S22" s="503"/>
      <c r="T22" s="889"/>
      <c r="U22" s="773"/>
      <c r="V22" s="503"/>
      <c r="W22" s="889">
        <v>58.8</v>
      </c>
      <c r="X22" s="773">
        <v>63.731018414938163</v>
      </c>
      <c r="Y22" s="503">
        <f t="shared" si="2"/>
        <v>8.4</v>
      </c>
      <c r="Z22" s="889"/>
      <c r="AA22" s="773"/>
      <c r="AB22" s="634"/>
      <c r="AC22" s="889"/>
      <c r="AD22" s="773"/>
      <c r="AE22" s="503"/>
      <c r="AF22" s="889"/>
      <c r="AG22" s="773"/>
      <c r="AH22" s="503"/>
      <c r="AI22" s="889"/>
      <c r="AJ22" s="773"/>
      <c r="AK22" s="503"/>
      <c r="AL22" s="632">
        <f t="shared" si="6"/>
        <v>837.77577819999988</v>
      </c>
      <c r="AM22" s="632">
        <f t="shared" si="7"/>
        <v>856.09205747493809</v>
      </c>
      <c r="AN22" s="503">
        <f t="shared" si="8"/>
        <v>2.2000000000000002</v>
      </c>
    </row>
    <row r="23" spans="1:40" s="639" customFormat="1" ht="18.75" customHeight="1" x14ac:dyDescent="0.3">
      <c r="A23" s="635" t="s">
        <v>404</v>
      </c>
      <c r="B23" s="943">
        <f>SUM(B24+B27+B30+B31+B33+B34)</f>
        <v>520.72200000000009</v>
      </c>
      <c r="C23" s="774">
        <f>SUM(C24+C27+C30+C31+C33+C34)</f>
        <v>571.77200000000005</v>
      </c>
      <c r="D23" s="636">
        <f>IF(B23=0, "    ---- ", IF(ABS(ROUND(100/B23*C23-100,1))&lt;999,ROUND(100/B23*C23-100,1),IF(ROUND(100/B23*C23-100,1)&gt;999,999,-999)))</f>
        <v>9.8000000000000007</v>
      </c>
      <c r="E23" s="890">
        <f>SUM(E24+E27+E30+E31+E33+E34)</f>
        <v>185948.32772345998</v>
      </c>
      <c r="F23" s="774">
        <f>SUM(F24+F27+F30+F31+F33+F34)</f>
        <v>181471</v>
      </c>
      <c r="G23" s="637">
        <f t="shared" si="0"/>
        <v>-2.4</v>
      </c>
      <c r="H23" s="890">
        <v>6977.4347729200008</v>
      </c>
      <c r="I23" s="774">
        <f>SUM(I24+I27+I30+I31+I33+I34)</f>
        <v>7671.4102407299997</v>
      </c>
      <c r="J23" s="636">
        <f>IF(H23=0, "    ---- ", IF(ABS(ROUND(100/H23*I23-100,1))&lt;999,ROUND(100/H23*I23-100,1),IF(ROUND(100/H23*I23-100,1)&gt;999,999,-999)))</f>
        <v>9.9</v>
      </c>
      <c r="K23" s="890">
        <f>SUM(K24+K27+K30+K31+K33+K34)</f>
        <v>1102.3530000000001</v>
      </c>
      <c r="L23" s="774">
        <f>SUM(L24+L27+L30+L31+L33+L34)</f>
        <v>1302.6060000000002</v>
      </c>
      <c r="M23" s="636">
        <f>IF(K23=0, "    ---- ", IF(ABS(ROUND(100/K23*L23-100,1))&lt;999,ROUND(100/K23*L23-100,1),IF(ROUND(100/K23*L23-100,1)&gt;999,999,-999)))</f>
        <v>18.2</v>
      </c>
      <c r="N23" s="890">
        <f>SUM(N24+N27+N30+N31+N33+N34)</f>
        <v>7328.4000000000005</v>
      </c>
      <c r="O23" s="774">
        <f>SUM(O24+O27+O30+O31+O33+O34)</f>
        <v>7902.8</v>
      </c>
      <c r="P23" s="636">
        <f>IF(N23=0, "    ---- ", IF(ABS(ROUND(100/N23*O23-100,1))&lt;999,ROUND(100/N23*O23-100,1),IF(ROUND(100/N23*O23-100,1)&gt;999,999,-999)))</f>
        <v>7.8</v>
      </c>
      <c r="Q23" s="890"/>
      <c r="R23" s="774"/>
      <c r="S23" s="636"/>
      <c r="T23" s="890">
        <v>484743.18644980999</v>
      </c>
      <c r="U23" s="774">
        <v>516540.21123780997</v>
      </c>
      <c r="V23" s="636">
        <f>IF(T23=0, "    ---- ", IF(ABS(ROUND(100/T23*U23-100,1))&lt;999,ROUND(100/T23*U23-100,1),IF(ROUND(100/T23*U23-100,1)&gt;999,999,-999)))</f>
        <v>6.6</v>
      </c>
      <c r="W23" s="890">
        <f>SUM(W24+W27+W30+W31+W33+W34)</f>
        <v>47749.670000000006</v>
      </c>
      <c r="X23" s="774">
        <f>SUM(X24+X27+X30+X31+X33+X34)</f>
        <v>47698.883689884809</v>
      </c>
      <c r="Y23" s="636">
        <f t="shared" si="2"/>
        <v>-0.1</v>
      </c>
      <c r="Z23" s="890"/>
      <c r="AA23" s="774"/>
      <c r="AB23" s="637"/>
      <c r="AC23" s="890">
        <f>SUM(AC24+AC27+AC30+AC31+AC33+AC34)</f>
        <v>17776</v>
      </c>
      <c r="AD23" s="774">
        <f>SUM(AD24+AD27+AD30+AD31+AD33+AD34)</f>
        <v>73771</v>
      </c>
      <c r="AE23" s="636">
        <f t="shared" si="3"/>
        <v>315</v>
      </c>
      <c r="AF23" s="890">
        <f>SUM(AF24+AF27+AF30+AF31+AF33+AF34)</f>
        <v>180685</v>
      </c>
      <c r="AG23" s="774">
        <f>SUM(AG24+AG27+AG30+AG31+AG33+AG34)</f>
        <v>221265</v>
      </c>
      <c r="AH23" s="636">
        <f t="shared" si="4"/>
        <v>22.5</v>
      </c>
      <c r="AI23" s="890"/>
      <c r="AJ23" s="774">
        <f t="shared" ref="AJ23" si="13">SUM(AJ24+AJ27+AJ30+AJ31+AJ33+AJ34)</f>
        <v>0</v>
      </c>
      <c r="AK23" s="636" t="str">
        <f>IF(AI23=0, "    ---- ", IF(ABS(ROUND(100/AI23*AJ23-100,1))&lt;999,ROUND(100/AI23*AJ23-100,1),IF(ROUND(100/AI23*AJ23-100,1)&gt;999,999,-999)))</f>
        <v xml:space="preserve">    ---- </v>
      </c>
      <c r="AL23" s="564">
        <f t="shared" si="6"/>
        <v>932831.09394618997</v>
      </c>
      <c r="AM23" s="564">
        <f t="shared" si="7"/>
        <v>1058194.6831684248</v>
      </c>
      <c r="AN23" s="636">
        <f t="shared" si="8"/>
        <v>13.4</v>
      </c>
    </row>
    <row r="24" spans="1:40" s="508" customFormat="1" ht="18.75" customHeight="1" x14ac:dyDescent="0.3">
      <c r="A24" s="499" t="s">
        <v>395</v>
      </c>
      <c r="B24" s="942">
        <f>B12*0.4</f>
        <v>99.551600000000008</v>
      </c>
      <c r="C24" s="945">
        <f>C12*0.4</f>
        <v>98.78840000000001</v>
      </c>
      <c r="D24" s="503">
        <f>IF(B24=0, "    ---- ", IF(ABS(ROUND(100/B24*C24-100,1))&lt;999,ROUND(100/B24*C24-100,1),IF(ROUND(100/B24*C24-100,1)&gt;999,999,-999)))</f>
        <v>-0.8</v>
      </c>
      <c r="E24" s="889">
        <f>+E25+E26</f>
        <v>9928.5519375500007</v>
      </c>
      <c r="F24" s="773">
        <f>+F26+F25</f>
        <v>8364</v>
      </c>
      <c r="G24" s="634">
        <f t="shared" si="0"/>
        <v>-15.8</v>
      </c>
      <c r="H24" s="889">
        <v>650.79192044000001</v>
      </c>
      <c r="I24" s="773">
        <v>715.74279810999997</v>
      </c>
      <c r="J24" s="503"/>
      <c r="K24" s="889">
        <v>67.611000000000004</v>
      </c>
      <c r="L24" s="773">
        <v>63.298999999999999</v>
      </c>
      <c r="M24" s="503">
        <f>IF(K24=0, "    ---- ", IF(ABS(ROUND(100/K24*L24-100,1))&lt;999,ROUND(100/K24*L24-100,1),IF(ROUND(100/K24*L24-100,1)&gt;999,999,-999)))</f>
        <v>-6.4</v>
      </c>
      <c r="N24" s="889"/>
      <c r="O24" s="773"/>
      <c r="P24" s="503"/>
      <c r="Q24" s="889"/>
      <c r="R24" s="773"/>
      <c r="S24" s="503"/>
      <c r="T24" s="889"/>
      <c r="U24" s="773"/>
      <c r="V24" s="503"/>
      <c r="W24" s="889">
        <v>686.58</v>
      </c>
      <c r="X24" s="773">
        <v>662.52345978482379</v>
      </c>
      <c r="Y24" s="503">
        <f t="shared" si="2"/>
        <v>-3.5</v>
      </c>
      <c r="Z24" s="889"/>
      <c r="AA24" s="773"/>
      <c r="AB24" s="634"/>
      <c r="AC24" s="889">
        <v>382</v>
      </c>
      <c r="AD24" s="773">
        <v>4561</v>
      </c>
      <c r="AE24" s="503">
        <f t="shared" si="3"/>
        <v>999</v>
      </c>
      <c r="AF24" s="889">
        <v>4000</v>
      </c>
      <c r="AG24" s="773">
        <f>19632+2192</f>
        <v>21824</v>
      </c>
      <c r="AH24" s="503">
        <f t="shared" si="4"/>
        <v>445.6</v>
      </c>
      <c r="AI24" s="889"/>
      <c r="AJ24" s="773">
        <v>0</v>
      </c>
      <c r="AK24" s="503" t="str">
        <f>IF(AI24=0, "    ---- ", IF(ABS(ROUND(100/AI24*AJ24-100,1))&lt;999,ROUND(100/AI24*AJ24-100,1),IF(ROUND(100/AI24*AJ24-100,1)&gt;999,999,-999)))</f>
        <v xml:space="preserve">    ---- </v>
      </c>
      <c r="AL24" s="632">
        <f t="shared" si="6"/>
        <v>15815.086457990003</v>
      </c>
      <c r="AM24" s="632">
        <f t="shared" si="7"/>
        <v>36289.353657894826</v>
      </c>
      <c r="AN24" s="503">
        <f t="shared" si="8"/>
        <v>129.5</v>
      </c>
    </row>
    <row r="25" spans="1:40" s="508" customFormat="1" ht="18.75" customHeight="1" x14ac:dyDescent="0.3">
      <c r="A25" s="499" t="s">
        <v>396</v>
      </c>
      <c r="B25" s="942"/>
      <c r="C25" s="773"/>
      <c r="D25" s="503"/>
      <c r="E25" s="758">
        <v>2822.0279565700002</v>
      </c>
      <c r="F25" s="759">
        <v>2493</v>
      </c>
      <c r="G25" s="634">
        <f t="shared" si="0"/>
        <v>-11.7</v>
      </c>
      <c r="H25" s="889"/>
      <c r="I25" s="773"/>
      <c r="J25" s="503"/>
      <c r="K25" s="889"/>
      <c r="L25" s="773"/>
      <c r="M25" s="503"/>
      <c r="N25" s="889"/>
      <c r="O25" s="773"/>
      <c r="P25" s="503"/>
      <c r="Q25" s="889"/>
      <c r="R25" s="773"/>
      <c r="S25" s="503"/>
      <c r="T25" s="889"/>
      <c r="U25" s="773"/>
      <c r="V25" s="503"/>
      <c r="W25" s="889">
        <v>386.25</v>
      </c>
      <c r="X25" s="773">
        <v>342.72753660742205</v>
      </c>
      <c r="Y25" s="503">
        <f t="shared" si="2"/>
        <v>-11.3</v>
      </c>
      <c r="Z25" s="889"/>
      <c r="AA25" s="773"/>
      <c r="AB25" s="634"/>
      <c r="AC25" s="758">
        <v>254</v>
      </c>
      <c r="AD25" s="759">
        <v>226</v>
      </c>
      <c r="AE25" s="503">
        <f t="shared" si="3"/>
        <v>-11</v>
      </c>
      <c r="AF25" s="889">
        <f>+AF13</f>
        <v>2004</v>
      </c>
      <c r="AG25" s="759">
        <v>1932</v>
      </c>
      <c r="AH25" s="503">
        <f t="shared" si="4"/>
        <v>-3.6</v>
      </c>
      <c r="AI25" s="889"/>
      <c r="AJ25" s="773"/>
      <c r="AK25" s="503"/>
      <c r="AL25" s="632">
        <f t="shared" si="6"/>
        <v>5466.2779565700002</v>
      </c>
      <c r="AM25" s="632">
        <f t="shared" si="7"/>
        <v>4993.7275366074218</v>
      </c>
      <c r="AN25" s="503">
        <f t="shared" si="8"/>
        <v>-8.6</v>
      </c>
    </row>
    <row r="26" spans="1:40" s="508" customFormat="1" ht="18.75" customHeight="1" x14ac:dyDescent="0.3">
      <c r="A26" s="499" t="s">
        <v>397</v>
      </c>
      <c r="B26" s="942">
        <f>B14*0.4</f>
        <v>99.551600000000008</v>
      </c>
      <c r="C26" s="945">
        <f>C14*0.4</f>
        <v>98.78840000000001</v>
      </c>
      <c r="D26" s="503">
        <f t="shared" ref="D26:D27" si="14">IF(B26=0, "    ---- ", IF(ABS(ROUND(100/B26*C26-100,1))&lt;999,ROUND(100/B26*C26-100,1),IF(ROUND(100/B26*C26-100,1)&gt;999,999,-999)))</f>
        <v>-0.8</v>
      </c>
      <c r="E26" s="758">
        <v>7106.5239809799996</v>
      </c>
      <c r="F26" s="759">
        <v>5871</v>
      </c>
      <c r="G26" s="634">
        <f t="shared" si="0"/>
        <v>-17.399999999999999</v>
      </c>
      <c r="H26" s="889"/>
      <c r="I26" s="773"/>
      <c r="J26" s="503"/>
      <c r="K26" s="889"/>
      <c r="L26" s="773"/>
      <c r="M26" s="503"/>
      <c r="N26" s="889"/>
      <c r="O26" s="773"/>
      <c r="P26" s="503"/>
      <c r="Q26" s="889"/>
      <c r="R26" s="773"/>
      <c r="S26" s="503"/>
      <c r="T26" s="889"/>
      <c r="U26" s="773"/>
      <c r="V26" s="503"/>
      <c r="W26" s="889">
        <v>36.74</v>
      </c>
      <c r="X26" s="773">
        <v>38.242356255000004</v>
      </c>
      <c r="Y26" s="503">
        <f t="shared" si="2"/>
        <v>4.0999999999999996</v>
      </c>
      <c r="Z26" s="889"/>
      <c r="AA26" s="773"/>
      <c r="AB26" s="634"/>
      <c r="AC26" s="758">
        <v>128</v>
      </c>
      <c r="AD26" s="759">
        <v>114</v>
      </c>
      <c r="AE26" s="503">
        <f t="shared" si="3"/>
        <v>-10.9</v>
      </c>
      <c r="AF26" s="889"/>
      <c r="AG26" s="759"/>
      <c r="AH26" s="503"/>
      <c r="AI26" s="889"/>
      <c r="AJ26" s="773"/>
      <c r="AK26" s="503"/>
      <c r="AL26" s="632">
        <f t="shared" si="6"/>
        <v>7370.8155809799991</v>
      </c>
      <c r="AM26" s="632">
        <f t="shared" si="7"/>
        <v>6122.0307562550006</v>
      </c>
      <c r="AN26" s="503">
        <f t="shared" si="8"/>
        <v>-16.899999999999999</v>
      </c>
    </row>
    <row r="27" spans="1:40" s="508" customFormat="1" ht="18.75" customHeight="1" x14ac:dyDescent="0.3">
      <c r="A27" s="499" t="s">
        <v>398</v>
      </c>
      <c r="B27" s="942">
        <f>B15*0.4</f>
        <v>60.007600000000004</v>
      </c>
      <c r="C27" s="945">
        <f>C15*0.4</f>
        <v>84.196000000000012</v>
      </c>
      <c r="D27" s="503">
        <f t="shared" si="14"/>
        <v>40.299999999999997</v>
      </c>
      <c r="E27" s="889">
        <f>+E28+E29</f>
        <v>22028.337746069996</v>
      </c>
      <c r="F27" s="773">
        <f>+F28+F29</f>
        <v>20868</v>
      </c>
      <c r="G27" s="634">
        <f t="shared" si="0"/>
        <v>-5.3</v>
      </c>
      <c r="H27" s="889">
        <v>3665.6077474800004</v>
      </c>
      <c r="I27" s="773">
        <v>4167.7111907199996</v>
      </c>
      <c r="J27" s="503">
        <f>IF(H27=0, "    ---- ", IF(ABS(ROUND(100/H27*I27-100,1))&lt;999,ROUND(100/H27*I27-100,1),IF(ROUND(100/H27*I27-100,1)&gt;999,999,-999)))</f>
        <v>13.7</v>
      </c>
      <c r="K27" s="889">
        <v>917.04700000000003</v>
      </c>
      <c r="L27" s="773">
        <v>1099.7260000000001</v>
      </c>
      <c r="M27" s="503">
        <f>IF(K27=0, "    ---- ", IF(ABS(ROUND(100/K27*L27-100,1))&lt;999,ROUND(100/K27*L27-100,1),IF(ROUND(100/K27*L27-100,1)&gt;999,999,-999)))</f>
        <v>19.899999999999999</v>
      </c>
      <c r="N27" s="889">
        <v>2084.8000000000002</v>
      </c>
      <c r="O27" s="773">
        <v>2435.5</v>
      </c>
      <c r="P27" s="503">
        <f>IF(N27=0, "    ---- ", IF(ABS(ROUND(100/N27*O27-100,1))&lt;999,ROUND(100/N27*O27-100,1),IF(ROUND(100/N27*O27-100,1)&gt;999,999,-999)))</f>
        <v>16.8</v>
      </c>
      <c r="Q27" s="889"/>
      <c r="R27" s="773"/>
      <c r="S27" s="503"/>
      <c r="T27" s="889"/>
      <c r="U27" s="773"/>
      <c r="V27" s="503"/>
      <c r="W27" s="889">
        <v>3592.21</v>
      </c>
      <c r="X27" s="773">
        <v>3639.6999991600624</v>
      </c>
      <c r="Y27" s="503">
        <f t="shared" si="2"/>
        <v>1.3</v>
      </c>
      <c r="Z27" s="889"/>
      <c r="AA27" s="773"/>
      <c r="AB27" s="634"/>
      <c r="AC27" s="889">
        <v>2540</v>
      </c>
      <c r="AD27" s="773">
        <v>6035</v>
      </c>
      <c r="AE27" s="503">
        <f t="shared" si="3"/>
        <v>137.6</v>
      </c>
      <c r="AF27" s="889">
        <v>7741</v>
      </c>
      <c r="AG27" s="773">
        <v>7143</v>
      </c>
      <c r="AH27" s="503">
        <f t="shared" si="4"/>
        <v>-7.7</v>
      </c>
      <c r="AI27" s="889"/>
      <c r="AJ27" s="773">
        <v>0</v>
      </c>
      <c r="AK27" s="503" t="str">
        <f>IF(AI27=0, "    ---- ", IF(ABS(ROUND(100/AI27*AJ27-100,1))&lt;999,ROUND(100/AI27*AJ27-100,1),IF(ROUND(100/AI27*AJ27-100,1)&gt;999,999,-999)))</f>
        <v xml:space="preserve">    ---- </v>
      </c>
      <c r="AL27" s="632">
        <f t="shared" si="6"/>
        <v>42629.010093549994</v>
      </c>
      <c r="AM27" s="632">
        <f t="shared" si="7"/>
        <v>45472.833189880061</v>
      </c>
      <c r="AN27" s="503">
        <f t="shared" si="8"/>
        <v>6.7</v>
      </c>
    </row>
    <row r="28" spans="1:40" s="508" customFormat="1" ht="18.75" customHeight="1" x14ac:dyDescent="0.3">
      <c r="A28" s="499" t="s">
        <v>396</v>
      </c>
      <c r="B28" s="942"/>
      <c r="C28" s="773"/>
      <c r="D28" s="503"/>
      <c r="E28" s="889">
        <v>19054.340623419997</v>
      </c>
      <c r="F28" s="773">
        <v>17957</v>
      </c>
      <c r="G28" s="634">
        <f t="shared" si="0"/>
        <v>-5.8</v>
      </c>
      <c r="H28" s="889"/>
      <c r="I28" s="773"/>
      <c r="J28" s="503"/>
      <c r="K28" s="889"/>
      <c r="L28" s="773"/>
      <c r="M28" s="503"/>
      <c r="N28" s="889"/>
      <c r="O28" s="773"/>
      <c r="P28" s="503"/>
      <c r="Q28" s="889"/>
      <c r="R28" s="773"/>
      <c r="S28" s="503"/>
      <c r="T28" s="889"/>
      <c r="U28" s="773"/>
      <c r="V28" s="503"/>
      <c r="W28" s="889">
        <v>2268.21</v>
      </c>
      <c r="X28" s="773">
        <v>2179.6640202146141</v>
      </c>
      <c r="Y28" s="503">
        <f t="shared" si="2"/>
        <v>-3.9</v>
      </c>
      <c r="Z28" s="889"/>
      <c r="AA28" s="773"/>
      <c r="AB28" s="634"/>
      <c r="AC28" s="889">
        <v>2352</v>
      </c>
      <c r="AD28" s="773">
        <v>2136</v>
      </c>
      <c r="AE28" s="503">
        <f t="shared" si="3"/>
        <v>-9.1999999999999993</v>
      </c>
      <c r="AF28" s="889">
        <f>+AF16</f>
        <v>7741</v>
      </c>
      <c r="AG28" s="773">
        <v>7143</v>
      </c>
      <c r="AH28" s="503">
        <f t="shared" si="4"/>
        <v>-7.7</v>
      </c>
      <c r="AI28" s="889"/>
      <c r="AJ28" s="773"/>
      <c r="AK28" s="503"/>
      <c r="AL28" s="632">
        <f t="shared" si="6"/>
        <v>31415.550623419997</v>
      </c>
      <c r="AM28" s="632">
        <f t="shared" si="7"/>
        <v>29415.664020214615</v>
      </c>
      <c r="AN28" s="503">
        <f t="shared" si="8"/>
        <v>-6.4</v>
      </c>
    </row>
    <row r="29" spans="1:40" s="508" customFormat="1" ht="18.75" customHeight="1" x14ac:dyDescent="0.3">
      <c r="A29" s="499" t="s">
        <v>397</v>
      </c>
      <c r="B29" s="942">
        <f t="shared" ref="B29:C32" si="15">B17*0.4</f>
        <v>60.007600000000004</v>
      </c>
      <c r="C29" s="945">
        <f t="shared" si="15"/>
        <v>84.196000000000012</v>
      </c>
      <c r="D29" s="503">
        <f t="shared" ref="D29:D32" si="16">IF(B29=0, "    ---- ", IF(ABS(ROUND(100/B29*C29-100,1))&lt;999,ROUND(100/B29*C29-100,1),IF(ROUND(100/B29*C29-100,1)&gt;999,999,-999)))</f>
        <v>40.299999999999997</v>
      </c>
      <c r="E29" s="889">
        <v>2973.9971226499997</v>
      </c>
      <c r="F29" s="773">
        <v>2911</v>
      </c>
      <c r="G29" s="634">
        <f t="shared" si="0"/>
        <v>-2.1</v>
      </c>
      <c r="H29" s="889"/>
      <c r="I29" s="773"/>
      <c r="J29" s="503"/>
      <c r="K29" s="889"/>
      <c r="L29" s="773"/>
      <c r="M29" s="503"/>
      <c r="N29" s="889">
        <v>2084.8000000000002</v>
      </c>
      <c r="O29" s="773">
        <v>2435.5</v>
      </c>
      <c r="P29" s="503">
        <f>IF(N29=0, "    ---- ", IF(ABS(ROUND(100/N29*O29-100,1))&lt;999,ROUND(100/N29*O29-100,1),IF(ROUND(100/N29*O29-100,1)&gt;999,999,-999)))</f>
        <v>16.8</v>
      </c>
      <c r="Q29" s="889"/>
      <c r="R29" s="773"/>
      <c r="S29" s="503"/>
      <c r="T29" s="889"/>
      <c r="U29" s="773"/>
      <c r="V29" s="503"/>
      <c r="W29" s="889">
        <v>567.25</v>
      </c>
      <c r="X29" s="773">
        <v>620.6034929426778</v>
      </c>
      <c r="Y29" s="503">
        <f t="shared" si="2"/>
        <v>9.4</v>
      </c>
      <c r="Z29" s="889"/>
      <c r="AA29" s="773"/>
      <c r="AB29" s="634"/>
      <c r="AC29" s="889">
        <v>188</v>
      </c>
      <c r="AD29" s="773">
        <v>195</v>
      </c>
      <c r="AE29" s="503">
        <f t="shared" si="3"/>
        <v>3.7</v>
      </c>
      <c r="AF29" s="889"/>
      <c r="AG29" s="773"/>
      <c r="AH29" s="503"/>
      <c r="AI29" s="889"/>
      <c r="AJ29" s="773"/>
      <c r="AK29" s="503"/>
      <c r="AL29" s="632">
        <f t="shared" si="6"/>
        <v>5874.0547226500003</v>
      </c>
      <c r="AM29" s="632">
        <f t="shared" si="7"/>
        <v>6246.2994929426777</v>
      </c>
      <c r="AN29" s="503">
        <f t="shared" si="8"/>
        <v>6.3</v>
      </c>
    </row>
    <row r="30" spans="1:40" s="508" customFormat="1" ht="18.75" customHeight="1" x14ac:dyDescent="0.3">
      <c r="A30" s="499" t="s">
        <v>399</v>
      </c>
      <c r="B30" s="942">
        <f t="shared" si="15"/>
        <v>0.67960000000000009</v>
      </c>
      <c r="C30" s="945">
        <f t="shared" si="15"/>
        <v>0.21000000000000002</v>
      </c>
      <c r="D30" s="503">
        <f t="shared" si="16"/>
        <v>-69.099999999999994</v>
      </c>
      <c r="E30" s="889">
        <v>241.43803983999999</v>
      </c>
      <c r="F30" s="773">
        <v>216</v>
      </c>
      <c r="G30" s="634">
        <f t="shared" si="0"/>
        <v>-10.5</v>
      </c>
      <c r="H30" s="889">
        <v>2181.5601344799998</v>
      </c>
      <c r="I30" s="773">
        <v>2290.0770229500004</v>
      </c>
      <c r="J30" s="503">
        <f>IF(H30=0, "    ---- ", IF(ABS(ROUND(100/H30*I30-100,1))&lt;999,ROUND(100/H30*I30-100,1),IF(ROUND(100/H30*I30-100,1)&gt;999,999,-999)))</f>
        <v>5</v>
      </c>
      <c r="K30" s="889">
        <v>33.909999999999997</v>
      </c>
      <c r="L30" s="773">
        <v>52.43</v>
      </c>
      <c r="M30" s="503">
        <f>IF(K30=0, "    ---- ", IF(ABS(ROUND(100/K30*L30-100,1))&lt;999,ROUND(100/K30*L30-100,1),IF(ROUND(100/K30*L30-100,1)&gt;999,999,-999)))</f>
        <v>54.6</v>
      </c>
      <c r="N30" s="889"/>
      <c r="O30" s="773"/>
      <c r="P30" s="503"/>
      <c r="Q30" s="889"/>
      <c r="R30" s="773"/>
      <c r="S30" s="503"/>
      <c r="T30" s="889">
        <v>16.033253999999999</v>
      </c>
      <c r="U30" s="773">
        <v>16.033253999999999</v>
      </c>
      <c r="V30" s="503">
        <f>IF(T30=0, "    ---- ", IF(ABS(ROUND(100/T30*U30-100,1))&lt;999,ROUND(100/T30*U30-100,1),IF(ROUND(100/T30*U30-100,1)&gt;999,999,-999)))</f>
        <v>0</v>
      </c>
      <c r="W30" s="889"/>
      <c r="X30" s="773"/>
      <c r="Y30" s="503"/>
      <c r="Z30" s="889"/>
      <c r="AA30" s="773"/>
      <c r="AB30" s="634"/>
      <c r="AC30" s="889">
        <v>41</v>
      </c>
      <c r="AD30" s="773">
        <v>2</v>
      </c>
      <c r="AE30" s="503">
        <f t="shared" si="3"/>
        <v>-95.1</v>
      </c>
      <c r="AF30" s="889">
        <f>+AF18</f>
        <v>1515</v>
      </c>
      <c r="AG30" s="773">
        <v>1661</v>
      </c>
      <c r="AH30" s="503">
        <f t="shared" si="4"/>
        <v>9.6</v>
      </c>
      <c r="AI30" s="889"/>
      <c r="AJ30" s="773"/>
      <c r="AK30" s="503"/>
      <c r="AL30" s="632">
        <f t="shared" si="6"/>
        <v>4029.6210283199994</v>
      </c>
      <c r="AM30" s="632">
        <f t="shared" si="7"/>
        <v>4237.7502769500006</v>
      </c>
      <c r="AN30" s="503">
        <f t="shared" si="8"/>
        <v>5.2</v>
      </c>
    </row>
    <row r="31" spans="1:40" s="508" customFormat="1" ht="18.75" customHeight="1" x14ac:dyDescent="0.3">
      <c r="A31" s="499" t="s">
        <v>400</v>
      </c>
      <c r="B31" s="942">
        <f t="shared" si="15"/>
        <v>342.32400000000001</v>
      </c>
      <c r="C31" s="945">
        <f t="shared" si="15"/>
        <v>370.68800000000005</v>
      </c>
      <c r="D31" s="503">
        <f t="shared" si="16"/>
        <v>8.3000000000000007</v>
      </c>
      <c r="E31" s="889">
        <f>151107+2634</f>
        <v>153741</v>
      </c>
      <c r="F31" s="773">
        <v>152013</v>
      </c>
      <c r="G31" s="634">
        <f t="shared" si="0"/>
        <v>-1.1000000000000001</v>
      </c>
      <c r="H31" s="889"/>
      <c r="I31" s="773"/>
      <c r="J31" s="503"/>
      <c r="K31" s="889"/>
      <c r="L31" s="773"/>
      <c r="M31" s="503"/>
      <c r="N31" s="889">
        <v>5243.6</v>
      </c>
      <c r="O31" s="773">
        <v>5467.3</v>
      </c>
      <c r="P31" s="503">
        <f>IF(N31=0, "    ---- ", IF(ABS(ROUND(100/N31*O31-100,1))&lt;999,ROUND(100/N31*O31-100,1),IF(ROUND(100/N31*O31-100,1)&gt;999,999,-999)))</f>
        <v>4.3</v>
      </c>
      <c r="Q31" s="889"/>
      <c r="R31" s="773"/>
      <c r="S31" s="503"/>
      <c r="T31" s="889"/>
      <c r="U31" s="773"/>
      <c r="V31" s="503"/>
      <c r="W31" s="889">
        <v>43412.08</v>
      </c>
      <c r="X31" s="773">
        <v>43332.929212524985</v>
      </c>
      <c r="Y31" s="503">
        <f t="shared" si="2"/>
        <v>-0.2</v>
      </c>
      <c r="Z31" s="889"/>
      <c r="AA31" s="773"/>
      <c r="AB31" s="634"/>
      <c r="AC31" s="889">
        <v>14813</v>
      </c>
      <c r="AD31" s="773">
        <v>63173</v>
      </c>
      <c r="AE31" s="503">
        <f t="shared" si="3"/>
        <v>326.5</v>
      </c>
      <c r="AF31" s="889">
        <f>+AF19</f>
        <v>158176</v>
      </c>
      <c r="AG31" s="773">
        <v>177211</v>
      </c>
      <c r="AH31" s="503">
        <f t="shared" si="4"/>
        <v>12</v>
      </c>
      <c r="AI31" s="889"/>
      <c r="AJ31" s="773"/>
      <c r="AK31" s="503"/>
      <c r="AL31" s="632">
        <f t="shared" si="6"/>
        <v>375728.00400000002</v>
      </c>
      <c r="AM31" s="632">
        <f t="shared" si="7"/>
        <v>441567.91721252498</v>
      </c>
      <c r="AN31" s="503">
        <f t="shared" si="8"/>
        <v>17.5</v>
      </c>
    </row>
    <row r="32" spans="1:40" s="508" customFormat="1" ht="18.75" customHeight="1" x14ac:dyDescent="0.3">
      <c r="A32" s="499" t="s">
        <v>401</v>
      </c>
      <c r="B32" s="942">
        <f t="shared" si="15"/>
        <v>59.841200000000008</v>
      </c>
      <c r="C32" s="945">
        <f t="shared" si="15"/>
        <v>74.472000000000008</v>
      </c>
      <c r="D32" s="503">
        <f t="shared" si="16"/>
        <v>24.4</v>
      </c>
      <c r="E32" s="889">
        <v>132599</v>
      </c>
      <c r="F32" s="773">
        <v>130862</v>
      </c>
      <c r="G32" s="634">
        <f t="shared" si="0"/>
        <v>-1.3</v>
      </c>
      <c r="H32" s="889"/>
      <c r="I32" s="773"/>
      <c r="J32" s="503"/>
      <c r="K32" s="889"/>
      <c r="L32" s="773"/>
      <c r="M32" s="503"/>
      <c r="N32" s="889">
        <v>3885.9</v>
      </c>
      <c r="O32" s="773">
        <v>3854.3</v>
      </c>
      <c r="P32" s="503">
        <f>IF(N32=0, "    ---- ", IF(ABS(ROUND(100/N32*O32-100,1))&lt;999,ROUND(100/N32*O32-100,1),IF(ROUND(100/N32*O32-100,1)&gt;999,999,-999)))</f>
        <v>-0.8</v>
      </c>
      <c r="Q32" s="889"/>
      <c r="R32" s="773"/>
      <c r="S32" s="503"/>
      <c r="T32" s="889"/>
      <c r="U32" s="773"/>
      <c r="V32" s="503"/>
      <c r="W32" s="889">
        <v>36623.29</v>
      </c>
      <c r="X32" s="773">
        <v>36549.195482852927</v>
      </c>
      <c r="Y32" s="503">
        <f t="shared" si="2"/>
        <v>-0.2</v>
      </c>
      <c r="Z32" s="889"/>
      <c r="AA32" s="773"/>
      <c r="AB32" s="634"/>
      <c r="AC32" s="889">
        <v>9163</v>
      </c>
      <c r="AD32" s="773">
        <v>9131</v>
      </c>
      <c r="AE32" s="503">
        <f t="shared" si="3"/>
        <v>-0.3</v>
      </c>
      <c r="AF32" s="889">
        <f>+AF20</f>
        <v>134272</v>
      </c>
      <c r="AG32" s="773">
        <v>133736</v>
      </c>
      <c r="AH32" s="503">
        <f t="shared" si="4"/>
        <v>-0.4</v>
      </c>
      <c r="AI32" s="889"/>
      <c r="AJ32" s="773"/>
      <c r="AK32" s="503"/>
      <c r="AL32" s="632">
        <f t="shared" si="6"/>
        <v>316603.03119999997</v>
      </c>
      <c r="AM32" s="632">
        <f t="shared" si="7"/>
        <v>314206.96748285292</v>
      </c>
      <c r="AN32" s="503">
        <f t="shared" si="8"/>
        <v>-0.8</v>
      </c>
    </row>
    <row r="33" spans="1:40" s="508" customFormat="1" ht="18.75" customHeight="1" x14ac:dyDescent="0.3">
      <c r="A33" s="499" t="s">
        <v>402</v>
      </c>
      <c r="B33" s="942"/>
      <c r="C33" s="773"/>
      <c r="D33" s="503"/>
      <c r="E33" s="889"/>
      <c r="F33" s="773"/>
      <c r="G33" s="634"/>
      <c r="H33" s="889"/>
      <c r="I33" s="773"/>
      <c r="J33" s="503"/>
      <c r="K33" s="889"/>
      <c r="L33" s="773"/>
      <c r="M33" s="503"/>
      <c r="N33" s="889"/>
      <c r="O33" s="773"/>
      <c r="P33" s="503"/>
      <c r="Q33" s="889"/>
      <c r="R33" s="773"/>
      <c r="S33" s="503"/>
      <c r="T33" s="889">
        <v>484727.15319580998</v>
      </c>
      <c r="U33" s="773">
        <v>516524.17798380996</v>
      </c>
      <c r="V33" s="503">
        <f>IF(T33=0, "    ---- ", IF(ABS(ROUND(100/T33*U33-100,1))&lt;999,ROUND(100/T33*U33-100,1),IF(ROUND(100/T33*U33-100,1)&gt;999,999,-999)))</f>
        <v>6.6</v>
      </c>
      <c r="W33" s="889"/>
      <c r="X33" s="773"/>
      <c r="Y33" s="503"/>
      <c r="Z33" s="889"/>
      <c r="AA33" s="773"/>
      <c r="AB33" s="634"/>
      <c r="AC33" s="889"/>
      <c r="AD33" s="773"/>
      <c r="AE33" s="503"/>
      <c r="AF33" s="889">
        <f>+AF21</f>
        <v>9253</v>
      </c>
      <c r="AG33" s="773">
        <v>13426</v>
      </c>
      <c r="AH33" s="503">
        <f t="shared" si="4"/>
        <v>45.1</v>
      </c>
      <c r="AI33" s="889"/>
      <c r="AJ33" s="773"/>
      <c r="AK33" s="503"/>
      <c r="AL33" s="632">
        <f t="shared" si="6"/>
        <v>493980.15319580998</v>
      </c>
      <c r="AM33" s="632">
        <f t="shared" si="7"/>
        <v>529950.17798380996</v>
      </c>
      <c r="AN33" s="503">
        <f t="shared" si="8"/>
        <v>7.3</v>
      </c>
    </row>
    <row r="34" spans="1:40" s="508" customFormat="1" ht="18.75" customHeight="1" x14ac:dyDescent="0.3">
      <c r="A34" s="499" t="s">
        <v>403</v>
      </c>
      <c r="B34" s="942">
        <f>B22*0.4</f>
        <v>18.159200000000002</v>
      </c>
      <c r="C34" s="945">
        <f>C22*0.4</f>
        <v>17.889599999999998</v>
      </c>
      <c r="D34" s="503">
        <f>IF(B34=0, "    ---- ", IF(ABS(ROUND(100/B34*C34-100,1))&lt;999,ROUND(100/B34*C34-100,1),IF(ROUND(100/B34*C34-100,1)&gt;999,999,-999)))</f>
        <v>-1.5</v>
      </c>
      <c r="E34" s="889">
        <f>2643-2634</f>
        <v>9</v>
      </c>
      <c r="F34" s="773">
        <v>10</v>
      </c>
      <c r="G34" s="634">
        <f t="shared" si="0"/>
        <v>11.1</v>
      </c>
      <c r="H34" s="889">
        <v>479.47497051999994</v>
      </c>
      <c r="I34" s="773">
        <v>497.87922894999997</v>
      </c>
      <c r="J34" s="503">
        <f>IF(H34=0, "    ---- ", IF(ABS(ROUND(100/H34*I34-100,1))&lt;999,ROUND(100/H34*I34-100,1),IF(ROUND(100/H34*I34-100,1)&gt;999,999,-999)))</f>
        <v>3.8</v>
      </c>
      <c r="K34" s="889">
        <v>83.784999999999997</v>
      </c>
      <c r="L34" s="773">
        <v>87.150999999999996</v>
      </c>
      <c r="M34" s="503">
        <f>IF(K34=0, "    ---- ", IF(ABS(ROUND(100/K34*L34-100,1))&lt;999,ROUND(100/K34*L34-100,1),IF(ROUND(100/K34*L34-100,1)&gt;999,999,-999)))</f>
        <v>4</v>
      </c>
      <c r="N34" s="889"/>
      <c r="O34" s="773"/>
      <c r="P34" s="503"/>
      <c r="Q34" s="889"/>
      <c r="R34" s="773"/>
      <c r="S34" s="503"/>
      <c r="T34" s="889"/>
      <c r="U34" s="773"/>
      <c r="V34" s="503"/>
      <c r="W34" s="889">
        <v>58.8</v>
      </c>
      <c r="X34" s="773">
        <v>63.731018414938163</v>
      </c>
      <c r="Y34" s="503">
        <f t="shared" si="2"/>
        <v>8.4</v>
      </c>
      <c r="Z34" s="889"/>
      <c r="AA34" s="773"/>
      <c r="AB34" s="634"/>
      <c r="AC34" s="889"/>
      <c r="AD34" s="773"/>
      <c r="AE34" s="503"/>
      <c r="AF34" s="889"/>
      <c r="AG34" s="773"/>
      <c r="AH34" s="503"/>
      <c r="AI34" s="889"/>
      <c r="AJ34" s="773"/>
      <c r="AK34" s="503"/>
      <c r="AL34" s="632">
        <f t="shared" si="6"/>
        <v>649.21917051999992</v>
      </c>
      <c r="AM34" s="632">
        <f t="shared" si="7"/>
        <v>676.65084736493804</v>
      </c>
      <c r="AN34" s="503">
        <f t="shared" si="8"/>
        <v>4.2</v>
      </c>
    </row>
    <row r="35" spans="1:40" s="639" customFormat="1" ht="18.75" customHeight="1" x14ac:dyDescent="0.3">
      <c r="A35" s="635" t="s">
        <v>405</v>
      </c>
      <c r="B35" s="943">
        <f>SUM(B36:B39)</f>
        <v>29.785</v>
      </c>
      <c r="C35" s="774">
        <f>SUM(C36:C39)</f>
        <v>20.901367669999999</v>
      </c>
      <c r="D35" s="636">
        <f>IF(B35=0, "    ---- ", IF(ABS(ROUND(100/B35*C35-100,1))&lt;999,ROUND(100/B35*C35-100,1),IF(ROUND(100/B35*C35-100,1)&gt;999,999,-999)))</f>
        <v>-29.8</v>
      </c>
      <c r="E35" s="890">
        <f>SUM(E36:E39)</f>
        <v>7351</v>
      </c>
      <c r="F35" s="774">
        <f>SUM(F36:F39)</f>
        <v>5563</v>
      </c>
      <c r="G35" s="637">
        <f t="shared" si="0"/>
        <v>-24.3</v>
      </c>
      <c r="H35" s="890"/>
      <c r="I35" s="774">
        <f>SUM(I36:I39)</f>
        <v>0</v>
      </c>
      <c r="J35" s="636" t="str">
        <f>IF(H35=0, "    ---- ", IF(ABS(ROUND(100/H35*I35-100,1))&lt;999,ROUND(100/H35*I35-100,1),IF(ROUND(100/H35*I35-100,1)&gt;999,999,-999)))</f>
        <v xml:space="preserve">    ---- </v>
      </c>
      <c r="K35" s="890">
        <f>SUM(K36:K39)</f>
        <v>4.6589999999999998</v>
      </c>
      <c r="L35" s="774">
        <f>SUM(L36:L39)</f>
        <v>6.2E-2</v>
      </c>
      <c r="M35" s="636">
        <f>IF(K35=0, "    ---- ", IF(ABS(ROUND(100/K35*L35-100,1))&lt;999,ROUND(100/K35*L35-100,1),IF(ROUND(100/K35*L35-100,1)&gt;999,999,-999)))</f>
        <v>-98.7</v>
      </c>
      <c r="N35" s="890">
        <f>SUM(N36:N39)</f>
        <v>332.09999999999997</v>
      </c>
      <c r="O35" s="774">
        <f>SUM(O36:O39)</f>
        <v>274</v>
      </c>
      <c r="P35" s="636">
        <f>IF(N35=0, "    ---- ", IF(ABS(ROUND(100/N35*O35-100,1))&lt;999,ROUND(100/N35*O35-100,1),IF(ROUND(100/N35*O35-100,1)&gt;999,999,-999)))</f>
        <v>-17.5</v>
      </c>
      <c r="Q35" s="890"/>
      <c r="R35" s="774"/>
      <c r="S35" s="636"/>
      <c r="T35" s="890">
        <v>48625.802113999998</v>
      </c>
      <c r="U35" s="774">
        <f>102162.16465291</f>
        <v>102162.16465291</v>
      </c>
      <c r="V35" s="636">
        <f>IF(T35=0, "    ---- ", IF(ABS(ROUND(100/T35*U35-100,1))&lt;999,ROUND(100/T35*U35-100,1),IF(ROUND(100/T35*U35-100,1)&gt;999,999,-999)))</f>
        <v>110.1</v>
      </c>
      <c r="W35" s="890">
        <f>SUM(W36:W39)</f>
        <v>3881.27</v>
      </c>
      <c r="X35" s="774">
        <f>SUM(X36:X39)</f>
        <v>3924.8039883163046</v>
      </c>
      <c r="Y35" s="636">
        <f t="shared" si="2"/>
        <v>1.1000000000000001</v>
      </c>
      <c r="Z35" s="890">
        <f>SUM(Z36:Z39)</f>
        <v>8555</v>
      </c>
      <c r="AA35" s="774"/>
      <c r="AB35" s="637">
        <f>IF(Z35=0, "    ---- ", IF(ABS(ROUND(100/Z35*AA35-100,1))&lt;999,ROUND(100/Z35*AA35-100,1),IF(ROUND(100/Z35*AA35-100,1)&gt;999,999,-999)))</f>
        <v>-100</v>
      </c>
      <c r="AC35" s="890">
        <f>SUM(AC36:AC39)</f>
        <v>1418</v>
      </c>
      <c r="AD35" s="774">
        <f>SUM(AD36:AD39)</f>
        <v>1060</v>
      </c>
      <c r="AE35" s="636">
        <f t="shared" si="3"/>
        <v>-25.2</v>
      </c>
      <c r="AF35" s="890">
        <f>SUM(AF36:AF39)</f>
        <v>13603</v>
      </c>
      <c r="AG35" s="774">
        <f>SUM(AG36:AG39)</f>
        <v>9622</v>
      </c>
      <c r="AH35" s="636">
        <f t="shared" si="4"/>
        <v>-29.3</v>
      </c>
      <c r="AI35" s="890"/>
      <c r="AJ35" s="774"/>
      <c r="AK35" s="636"/>
      <c r="AL35" s="564">
        <f t="shared" si="6"/>
        <v>83800.616114000004</v>
      </c>
      <c r="AM35" s="564">
        <f t="shared" si="7"/>
        <v>122626.9320088963</v>
      </c>
      <c r="AN35" s="636">
        <f t="shared" si="8"/>
        <v>46.3</v>
      </c>
    </row>
    <row r="36" spans="1:40" s="508" customFormat="1" ht="18.75" customHeight="1" x14ac:dyDescent="0.3">
      <c r="A36" s="499" t="s">
        <v>395</v>
      </c>
      <c r="B36" s="942"/>
      <c r="C36" s="773"/>
      <c r="D36" s="503"/>
      <c r="E36" s="889">
        <v>383</v>
      </c>
      <c r="F36" s="773">
        <v>301</v>
      </c>
      <c r="G36" s="634">
        <f t="shared" si="0"/>
        <v>-21.4</v>
      </c>
      <c r="H36" s="889"/>
      <c r="I36" s="773"/>
      <c r="J36" s="503"/>
      <c r="K36" s="889"/>
      <c r="L36" s="773"/>
      <c r="M36" s="503"/>
      <c r="N36" s="889"/>
      <c r="O36" s="773"/>
      <c r="P36" s="503"/>
      <c r="Q36" s="889"/>
      <c r="R36" s="773"/>
      <c r="S36" s="503"/>
      <c r="T36" s="889"/>
      <c r="U36" s="773"/>
      <c r="V36" s="503"/>
      <c r="W36" s="889">
        <v>40.020000000000003</v>
      </c>
      <c r="X36" s="773">
        <v>30.270116425993766</v>
      </c>
      <c r="Y36" s="503">
        <f t="shared" si="2"/>
        <v>-24.4</v>
      </c>
      <c r="Z36" s="889"/>
      <c r="AA36" s="773"/>
      <c r="AB36" s="634"/>
      <c r="AC36" s="889">
        <v>4</v>
      </c>
      <c r="AD36" s="773">
        <v>0</v>
      </c>
      <c r="AE36" s="503">
        <f t="shared" si="3"/>
        <v>-100</v>
      </c>
      <c r="AF36" s="889">
        <v>153</v>
      </c>
      <c r="AG36" s="773">
        <v>123</v>
      </c>
      <c r="AH36" s="503">
        <f t="shared" si="4"/>
        <v>-19.600000000000001</v>
      </c>
      <c r="AI36" s="889"/>
      <c r="AJ36" s="773"/>
      <c r="AK36" s="503"/>
      <c r="AL36" s="632">
        <f t="shared" si="6"/>
        <v>580.02</v>
      </c>
      <c r="AM36" s="632">
        <f t="shared" si="7"/>
        <v>454.27011642599376</v>
      </c>
      <c r="AN36" s="503">
        <f t="shared" si="8"/>
        <v>-21.7</v>
      </c>
    </row>
    <row r="37" spans="1:40" s="508" customFormat="1" ht="18.75" customHeight="1" x14ac:dyDescent="0.3">
      <c r="A37" s="499" t="s">
        <v>398</v>
      </c>
      <c r="B37" s="942">
        <v>0.33600000000000002</v>
      </c>
      <c r="C37" s="773">
        <v>0</v>
      </c>
      <c r="D37" s="503">
        <f>IF(B37=0, "    ---- ", IF(ABS(ROUND(100/B37*C37-100,1))&lt;999,ROUND(100/B37*C37-100,1),IF(ROUND(100/B37*C37-100,1)&gt;999,999,-999)))</f>
        <v>-100</v>
      </c>
      <c r="E37" s="889">
        <v>651</v>
      </c>
      <c r="F37" s="773">
        <v>432</v>
      </c>
      <c r="G37" s="503">
        <f t="shared" si="0"/>
        <v>-33.6</v>
      </c>
      <c r="H37" s="889"/>
      <c r="I37" s="773"/>
      <c r="J37" s="503"/>
      <c r="K37" s="889">
        <v>4.6589999999999998</v>
      </c>
      <c r="L37" s="773">
        <v>6.2E-2</v>
      </c>
      <c r="M37" s="503">
        <f>IF(K37=0, "    ---- ", IF(ABS(ROUND(100/K37*L37-100,1))&lt;999,ROUND(100/K37*L37-100,1),IF(ROUND(100/K37*L37-100,1)&gt;999,999,-999)))</f>
        <v>-98.7</v>
      </c>
      <c r="N37" s="889">
        <v>8.1999999999999993</v>
      </c>
      <c r="O37" s="773">
        <v>10.199999999999999</v>
      </c>
      <c r="P37" s="503">
        <f>IF(N37=0, "    ---- ", IF(ABS(ROUND(100/N37*O37-100,1))&lt;999,ROUND(100/N37*O37-100,1),IF(ROUND(100/N37*O37-100,1)&gt;999,999,-999)))</f>
        <v>24.4</v>
      </c>
      <c r="Q37" s="889"/>
      <c r="R37" s="773"/>
      <c r="S37" s="503"/>
      <c r="T37" s="889"/>
      <c r="U37" s="773"/>
      <c r="V37" s="503"/>
      <c r="W37" s="889">
        <v>315.61</v>
      </c>
      <c r="X37" s="773">
        <v>286.48067589031109</v>
      </c>
      <c r="Y37" s="503">
        <f t="shared" si="2"/>
        <v>-9.1999999999999993</v>
      </c>
      <c r="Z37" s="889"/>
      <c r="AA37" s="773"/>
      <c r="AB37" s="503"/>
      <c r="AC37" s="889">
        <v>116</v>
      </c>
      <c r="AD37" s="773">
        <v>94</v>
      </c>
      <c r="AE37" s="503">
        <f t="shared" si="3"/>
        <v>-19</v>
      </c>
      <c r="AF37" s="889">
        <v>642</v>
      </c>
      <c r="AG37" s="773">
        <v>467</v>
      </c>
      <c r="AH37" s="503">
        <f t="shared" si="4"/>
        <v>-27.3</v>
      </c>
      <c r="AI37" s="889"/>
      <c r="AJ37" s="773"/>
      <c r="AK37" s="503"/>
      <c r="AL37" s="632">
        <f t="shared" si="6"/>
        <v>1737.8050000000001</v>
      </c>
      <c r="AM37" s="632">
        <f t="shared" si="7"/>
        <v>1289.7426758903111</v>
      </c>
      <c r="AN37" s="503">
        <f t="shared" si="8"/>
        <v>-25.8</v>
      </c>
    </row>
    <row r="38" spans="1:40" s="508" customFormat="1" ht="18.75" customHeight="1" x14ac:dyDescent="0.3">
      <c r="A38" s="499" t="s">
        <v>400</v>
      </c>
      <c r="B38" s="942">
        <v>29.449000000000002</v>
      </c>
      <c r="C38" s="773">
        <v>20.901367669999999</v>
      </c>
      <c r="D38" s="503">
        <f>IF(B38=0, "    ---- ", IF(ABS(ROUND(100/B38*C38-100,1))&lt;999,ROUND(100/B38*C38-100,1),IF(ROUND(100/B38*C38-100,1)&gt;999,999,-999)))</f>
        <v>-29</v>
      </c>
      <c r="E38" s="889">
        <v>6317</v>
      </c>
      <c r="F38" s="773">
        <v>4830</v>
      </c>
      <c r="G38" s="634">
        <f t="shared" si="0"/>
        <v>-23.5</v>
      </c>
      <c r="H38" s="889"/>
      <c r="I38" s="773"/>
      <c r="J38" s="503"/>
      <c r="K38" s="889"/>
      <c r="L38" s="773"/>
      <c r="M38" s="503"/>
      <c r="N38" s="889">
        <v>323.89999999999998</v>
      </c>
      <c r="O38" s="773">
        <v>263.8</v>
      </c>
      <c r="P38" s="503">
        <f>IF(N38=0, "    ---- ", IF(ABS(ROUND(100/N38*O38-100,1))&lt;999,ROUND(100/N38*O38-100,1),IF(ROUND(100/N38*O38-100,1)&gt;999,999,-999)))</f>
        <v>-18.600000000000001</v>
      </c>
      <c r="Q38" s="889"/>
      <c r="R38" s="773"/>
      <c r="S38" s="503"/>
      <c r="T38" s="889"/>
      <c r="U38" s="773"/>
      <c r="V38" s="503"/>
      <c r="W38" s="889">
        <v>3525.64</v>
      </c>
      <c r="X38" s="773">
        <v>3608.0531959999998</v>
      </c>
      <c r="Y38" s="503">
        <f t="shared" si="2"/>
        <v>2.2999999999999998</v>
      </c>
      <c r="Z38" s="889"/>
      <c r="AA38" s="773"/>
      <c r="AB38" s="634"/>
      <c r="AC38" s="889">
        <v>1298</v>
      </c>
      <c r="AD38" s="773">
        <v>966</v>
      </c>
      <c r="AE38" s="503">
        <f t="shared" si="3"/>
        <v>-25.6</v>
      </c>
      <c r="AF38" s="889">
        <v>11788</v>
      </c>
      <c r="AG38" s="773">
        <f>9622-590</f>
        <v>9032</v>
      </c>
      <c r="AH38" s="503">
        <f t="shared" si="4"/>
        <v>-23.4</v>
      </c>
      <c r="AI38" s="889"/>
      <c r="AJ38" s="773"/>
      <c r="AK38" s="503"/>
      <c r="AL38" s="632">
        <f t="shared" si="6"/>
        <v>23281.989000000001</v>
      </c>
      <c r="AM38" s="632">
        <f t="shared" si="7"/>
        <v>18720.754563670002</v>
      </c>
      <c r="AN38" s="503">
        <f t="shared" si="8"/>
        <v>-19.600000000000001</v>
      </c>
    </row>
    <row r="39" spans="1:40" s="508" customFormat="1" ht="18.75" customHeight="1" x14ac:dyDescent="0.3">
      <c r="A39" s="499" t="s">
        <v>402</v>
      </c>
      <c r="B39" s="942"/>
      <c r="C39" s="773"/>
      <c r="D39" s="503"/>
      <c r="E39" s="889"/>
      <c r="F39" s="773"/>
      <c r="G39" s="634"/>
      <c r="H39" s="889"/>
      <c r="I39" s="773"/>
      <c r="J39" s="503"/>
      <c r="K39" s="889"/>
      <c r="L39" s="773"/>
      <c r="M39" s="503"/>
      <c r="N39" s="889"/>
      <c r="O39" s="773"/>
      <c r="P39" s="503"/>
      <c r="Q39" s="889"/>
      <c r="R39" s="773"/>
      <c r="S39" s="503"/>
      <c r="T39" s="889">
        <v>48625.802113999998</v>
      </c>
      <c r="U39" s="773">
        <v>102162.16465291001</v>
      </c>
      <c r="V39" s="503">
        <f>IF(T39=0, "    ---- ", IF(ABS(ROUND(100/T39*U39-100,1))&lt;999,ROUND(100/T39*U39-100,1),IF(ROUND(100/T39*U39-100,1)&gt;999,999,-999)))</f>
        <v>110.1</v>
      </c>
      <c r="W39" s="889"/>
      <c r="X39" s="773"/>
      <c r="Y39" s="503"/>
      <c r="Z39" s="889">
        <v>8555</v>
      </c>
      <c r="AA39" s="773"/>
      <c r="AB39" s="634">
        <f>IF(Z39=0, "    ---- ", IF(ABS(ROUND(100/Z39*AA39-100,1))&lt;999,ROUND(100/Z39*AA39-100,1),IF(ROUND(100/Z39*AA39-100,1)&gt;999,999,-999)))</f>
        <v>-100</v>
      </c>
      <c r="AC39" s="889"/>
      <c r="AD39" s="773"/>
      <c r="AE39" s="503"/>
      <c r="AF39" s="889">
        <v>1020</v>
      </c>
      <c r="AG39" s="773"/>
      <c r="AH39" s="503">
        <f t="shared" si="4"/>
        <v>-100</v>
      </c>
      <c r="AI39" s="889"/>
      <c r="AJ39" s="773"/>
      <c r="AK39" s="503"/>
      <c r="AL39" s="632">
        <f t="shared" si="6"/>
        <v>58200.802113999998</v>
      </c>
      <c r="AM39" s="632">
        <f t="shared" si="7"/>
        <v>102162.16465291001</v>
      </c>
      <c r="AN39" s="503">
        <f t="shared" si="8"/>
        <v>75.5</v>
      </c>
    </row>
    <row r="40" spans="1:40" s="639" customFormat="1" ht="18.75" customHeight="1" x14ac:dyDescent="0.3">
      <c r="A40" s="635" t="s">
        <v>406</v>
      </c>
      <c r="B40" s="943">
        <v>53.637</v>
      </c>
      <c r="C40" s="774">
        <v>13.79145553</v>
      </c>
      <c r="D40" s="636">
        <f>IF(B40=0, "    ---- ", IF(ABS(ROUND(100/B40*C40-100,1))&lt;999,ROUND(100/B40*C40-100,1),IF(ROUND(100/B40*C40-100,1)&gt;999,999,-999)))</f>
        <v>-74.3</v>
      </c>
      <c r="E40" s="890">
        <v>3204</v>
      </c>
      <c r="F40" s="774">
        <v>808</v>
      </c>
      <c r="G40" s="637">
        <f t="shared" si="0"/>
        <v>-74.8</v>
      </c>
      <c r="H40" s="890">
        <v>5.9795832399999966</v>
      </c>
      <c r="I40" s="774">
        <v>0</v>
      </c>
      <c r="J40" s="636">
        <f>IF(H40=0, "    ---- ", IF(ABS(ROUND(100/H40*I40-100,1))&lt;999,ROUND(100/H40*I40-100,1),IF(ROUND(100/H40*I40-100,1)&gt;999,999,-999)))</f>
        <v>-100</v>
      </c>
      <c r="K40" s="890">
        <v>0</v>
      </c>
      <c r="L40" s="774"/>
      <c r="M40" s="636" t="str">
        <f>IF(K40=0, "    ---- ", IF(ABS(ROUND(100/K40*L40-100,1))&lt;999,ROUND(100/K40*L40-100,1),IF(ROUND(100/K40*L40-100,1)&gt;999,999,-999)))</f>
        <v xml:space="preserve">    ---- </v>
      </c>
      <c r="N40" s="890">
        <v>11.8</v>
      </c>
      <c r="O40" s="774">
        <v>0</v>
      </c>
      <c r="P40" s="636">
        <f>IF(N40=0, "    ---- ", IF(ABS(ROUND(100/N40*O40-100,1))&lt;999,ROUND(100/N40*O40-100,1),IF(ROUND(100/N40*O40-100,1)&gt;999,999,-999)))</f>
        <v>-100</v>
      </c>
      <c r="Q40" s="890"/>
      <c r="R40" s="774"/>
      <c r="S40" s="636"/>
      <c r="T40" s="890">
        <v>77396.876943130002</v>
      </c>
      <c r="U40" s="774"/>
      <c r="V40" s="636">
        <f>IF(T40=0, "    ---- ", IF(ABS(ROUND(100/T40*U40-100,1))&lt;999,ROUND(100/T40*U40-100,1),IF(ROUND(100/T40*U40-100,1)&gt;999,999,-999)))</f>
        <v>-100</v>
      </c>
      <c r="W40" s="890">
        <v>3386</v>
      </c>
      <c r="X40" s="774">
        <v>2083.4299999999998</v>
      </c>
      <c r="Y40" s="636">
        <f t="shared" si="2"/>
        <v>-38.5</v>
      </c>
      <c r="Z40" s="890">
        <v>21261</v>
      </c>
      <c r="AA40" s="774"/>
      <c r="AB40" s="637">
        <f>IF(Z40=0, "    ---- ", IF(ABS(ROUND(100/Z40*AA40-100,1))&lt;999,ROUND(100/Z40*AA40-100,1),IF(ROUND(100/Z40*AA40-100,1)&gt;999,999,-999)))</f>
        <v>-100</v>
      </c>
      <c r="AC40" s="890">
        <v>2736</v>
      </c>
      <c r="AD40" s="774">
        <v>2099</v>
      </c>
      <c r="AE40" s="636">
        <f t="shared" si="3"/>
        <v>-23.3</v>
      </c>
      <c r="AF40" s="890">
        <v>6309</v>
      </c>
      <c r="AG40" s="774">
        <v>619</v>
      </c>
      <c r="AH40" s="636">
        <f t="shared" si="4"/>
        <v>-90.2</v>
      </c>
      <c r="AI40" s="890"/>
      <c r="AJ40" s="774"/>
      <c r="AK40" s="636"/>
      <c r="AL40" s="564">
        <f t="shared" si="6"/>
        <v>114364.29352637001</v>
      </c>
      <c r="AM40" s="564">
        <f t="shared" si="7"/>
        <v>5623.2214555299997</v>
      </c>
      <c r="AN40" s="636">
        <f t="shared" si="8"/>
        <v>-95.1</v>
      </c>
    </row>
    <row r="41" spans="1:40" s="639" customFormat="1" ht="18.75" customHeight="1" x14ac:dyDescent="0.3">
      <c r="A41" s="635" t="s">
        <v>500</v>
      </c>
      <c r="B41" s="943"/>
      <c r="C41" s="774"/>
      <c r="D41" s="636"/>
      <c r="E41" s="941"/>
      <c r="F41" s="553"/>
      <c r="G41" s="637"/>
      <c r="H41" s="941"/>
      <c r="I41" s="553"/>
      <c r="J41" s="636"/>
      <c r="K41" s="890"/>
      <c r="L41" s="774"/>
      <c r="M41" s="636"/>
      <c r="N41" s="941"/>
      <c r="O41" s="553"/>
      <c r="P41" s="636"/>
      <c r="Q41" s="941"/>
      <c r="R41" s="553"/>
      <c r="S41" s="636"/>
      <c r="T41" s="890"/>
      <c r="U41" s="774">
        <v>33023.585977089999</v>
      </c>
      <c r="V41" s="636"/>
      <c r="W41" s="941"/>
      <c r="X41" s="553"/>
      <c r="Y41" s="636"/>
      <c r="Z41" s="941"/>
      <c r="AA41" s="553">
        <v>27647</v>
      </c>
      <c r="AB41" s="637" t="str">
        <f>IF(Z41=0, "    ---- ", IF(ABS(ROUND(100/Z41*AA41-100,1))&lt;999,ROUND(100/Z41*AA41-100,1),IF(ROUND(100/Z41*AA41-100,1)&gt;999,999,-999)))</f>
        <v xml:space="preserve">    ---- </v>
      </c>
      <c r="AC41" s="941"/>
      <c r="AD41" s="553"/>
      <c r="AE41" s="636"/>
      <c r="AF41" s="941"/>
      <c r="AG41" s="553">
        <v>1137</v>
      </c>
      <c r="AH41" s="636" t="str">
        <f t="shared" si="4"/>
        <v xml:space="preserve">    ---- </v>
      </c>
      <c r="AI41" s="941"/>
      <c r="AJ41" s="553"/>
      <c r="AK41" s="636"/>
      <c r="AL41" s="564">
        <f t="shared" ref="AL41" si="17">+B41+E41+H41+K41+N41+Q41+T41+AI41+W41+Z41+AC41+AF41</f>
        <v>0</v>
      </c>
      <c r="AM41" s="564">
        <f t="shared" ref="AM41" si="18">+C41+F41+I41+L41+O41+R41+U41+AJ41+X41+AA41+AD41+AG41</f>
        <v>61807.585977089999</v>
      </c>
      <c r="AN41" s="636" t="str">
        <f t="shared" ref="AN41" si="19">IF(AL41=0, "    ---- ", IF(ABS(ROUND(100/AL41*AM41-100,1))&lt;999,ROUND(100/AL41*AM41-100,1),IF(ROUND(100/AL41*AM41-100,1)&gt;999,999,-999)))</f>
        <v xml:space="preserve">    ---- </v>
      </c>
    </row>
    <row r="42" spans="1:40" s="639" customFormat="1" ht="18.75" customHeight="1" x14ac:dyDescent="0.3">
      <c r="A42" s="635" t="s">
        <v>501</v>
      </c>
      <c r="B42" s="943">
        <f>SUM(B43:B45)</f>
        <v>13.576000000000001</v>
      </c>
      <c r="C42" s="774">
        <f>SUM(C43:C45)</f>
        <v>16.841999999999999</v>
      </c>
      <c r="D42" s="636">
        <f t="shared" ref="D42:D55" si="20">IF(B42=0, "    ---- ", IF(ABS(ROUND(100/B42*C42-100,1))&lt;999,ROUND(100/B42*C42-100,1),IF(ROUND(100/B42*C42-100,1)&gt;999,999,-999)))</f>
        <v>24.1</v>
      </c>
      <c r="E42" s="890">
        <f>SUM(E43:E45)</f>
        <v>469</v>
      </c>
      <c r="F42" s="774">
        <f>SUM(F43:F45)</f>
        <v>449</v>
      </c>
      <c r="G42" s="637">
        <f t="shared" si="0"/>
        <v>-4.3</v>
      </c>
      <c r="H42" s="889"/>
      <c r="I42" s="773"/>
      <c r="J42" s="636"/>
      <c r="K42" s="890"/>
      <c r="L42" s="774"/>
      <c r="M42" s="636"/>
      <c r="N42" s="890">
        <f>SUM(N43:N45)</f>
        <v>3.6</v>
      </c>
      <c r="O42" s="774">
        <f>SUM(O43:O45)</f>
        <v>6.4</v>
      </c>
      <c r="P42" s="636">
        <f>IF(N42=0, "    ---- ", IF(ABS(ROUND(100/N42*O42-100,1))&lt;999,ROUND(100/N42*O42-100,1),IF(ROUND(100/N42*O42-100,1)&gt;999,999,-999)))</f>
        <v>77.8</v>
      </c>
      <c r="Q42" s="890"/>
      <c r="R42" s="774"/>
      <c r="S42" s="636"/>
      <c r="T42" s="890">
        <f>SUM(T43:T45)</f>
        <v>40769</v>
      </c>
      <c r="U42" s="553"/>
      <c r="V42" s="636">
        <f>IF(T42=0, "    ---- ", IF(ABS(ROUND(100/T42*U42-100,1))&lt;999,ROUND(100/T42*U42-100,1),IF(ROUND(100/T42*U42-100,1)&gt;999,999,-999)))</f>
        <v>-100</v>
      </c>
      <c r="W42" s="890">
        <f>SUM(W43:W45)</f>
        <v>791</v>
      </c>
      <c r="X42" s="774">
        <f>SUM(X43:X45)</f>
        <v>871.07414499999993</v>
      </c>
      <c r="Y42" s="636">
        <f t="shared" si="2"/>
        <v>10.1</v>
      </c>
      <c r="Z42" s="890">
        <f>SUM(Z43:Z45)</f>
        <v>9577</v>
      </c>
      <c r="AA42" s="774">
        <f>SUM(AA43:AA45)</f>
        <v>7623</v>
      </c>
      <c r="AB42" s="637">
        <f>IF(Z42=0, "    ---- ", IF(ABS(ROUND(100/Z42*AA42-100,1))&lt;999,ROUND(100/Z42*AA42-100,1),IF(ROUND(100/Z42*AA42-100,1)&gt;999,999,-999)))</f>
        <v>-20.399999999999999</v>
      </c>
      <c r="AC42" s="890">
        <f>SUM(AC43:AC45)</f>
        <v>450</v>
      </c>
      <c r="AD42" s="774">
        <f>SUM(AD43:AD45)</f>
        <v>1026</v>
      </c>
      <c r="AE42" s="636">
        <f t="shared" si="3"/>
        <v>128</v>
      </c>
      <c r="AF42" s="890">
        <f>SUM(AF43:AF45)</f>
        <v>3501.1</v>
      </c>
      <c r="AG42" s="774">
        <f>SUM(AG43:AG45)</f>
        <v>3532</v>
      </c>
      <c r="AH42" s="636">
        <f t="shared" si="4"/>
        <v>0.9</v>
      </c>
      <c r="AI42" s="889"/>
      <c r="AJ42" s="773"/>
      <c r="AK42" s="636"/>
      <c r="AL42" s="564">
        <f t="shared" si="6"/>
        <v>55574.275999999998</v>
      </c>
      <c r="AM42" s="564">
        <f t="shared" si="7"/>
        <v>13524.316145000001</v>
      </c>
      <c r="AN42" s="636">
        <f t="shared" si="8"/>
        <v>-75.7</v>
      </c>
    </row>
    <row r="43" spans="1:40" s="508" customFormat="1" ht="18.75" customHeight="1" x14ac:dyDescent="0.3">
      <c r="A43" s="499" t="s">
        <v>398</v>
      </c>
      <c r="B43" s="942"/>
      <c r="C43" s="773"/>
      <c r="D43" s="503"/>
      <c r="E43" s="889">
        <v>36</v>
      </c>
      <c r="F43" s="773">
        <v>29</v>
      </c>
      <c r="G43" s="503">
        <f t="shared" si="0"/>
        <v>-19.399999999999999</v>
      </c>
      <c r="H43" s="889"/>
      <c r="I43" s="773"/>
      <c r="J43" s="503"/>
      <c r="K43" s="889"/>
      <c r="L43" s="773"/>
      <c r="M43" s="503"/>
      <c r="N43" s="889"/>
      <c r="O43" s="773"/>
      <c r="P43" s="503"/>
      <c r="Q43" s="889"/>
      <c r="R43" s="773"/>
      <c r="S43" s="503"/>
      <c r="T43" s="889"/>
      <c r="U43" s="773"/>
      <c r="V43" s="503"/>
      <c r="W43" s="889">
        <v>0</v>
      </c>
      <c r="X43" s="773">
        <v>0.42535800000000001</v>
      </c>
      <c r="Y43" s="503" t="str">
        <f t="shared" si="2"/>
        <v xml:space="preserve">    ---- </v>
      </c>
      <c r="Z43" s="889"/>
      <c r="AA43" s="773"/>
      <c r="AB43" s="503"/>
      <c r="AC43" s="889"/>
      <c r="AD43" s="773"/>
      <c r="AE43" s="503"/>
      <c r="AF43" s="889"/>
      <c r="AG43" s="773"/>
      <c r="AH43" s="503"/>
      <c r="AI43" s="889"/>
      <c r="AJ43" s="773"/>
      <c r="AK43" s="503"/>
      <c r="AL43" s="632">
        <f t="shared" si="6"/>
        <v>36</v>
      </c>
      <c r="AM43" s="632">
        <f t="shared" si="7"/>
        <v>29.425357999999999</v>
      </c>
      <c r="AN43" s="503">
        <f t="shared" si="8"/>
        <v>-18.3</v>
      </c>
    </row>
    <row r="44" spans="1:40" s="508" customFormat="1" ht="18.75" customHeight="1" x14ac:dyDescent="0.3">
      <c r="A44" s="499" t="s">
        <v>400</v>
      </c>
      <c r="B44" s="942">
        <v>13.576000000000001</v>
      </c>
      <c r="C44" s="773">
        <v>16.841999999999999</v>
      </c>
      <c r="D44" s="503">
        <f t="shared" si="20"/>
        <v>24.1</v>
      </c>
      <c r="E44" s="889">
        <f>430+3</f>
        <v>433</v>
      </c>
      <c r="F44" s="773">
        <v>420</v>
      </c>
      <c r="G44" s="634">
        <f t="shared" si="0"/>
        <v>-3</v>
      </c>
      <c r="H44" s="889"/>
      <c r="I44" s="773"/>
      <c r="J44" s="503"/>
      <c r="K44" s="889"/>
      <c r="L44" s="773"/>
      <c r="M44" s="503"/>
      <c r="N44" s="889">
        <v>3.6</v>
      </c>
      <c r="O44" s="773">
        <v>6.4</v>
      </c>
      <c r="P44" s="636">
        <f>IF(N44=0, "    ---- ", IF(ABS(ROUND(100/N44*O44-100,1))&lt;999,ROUND(100/N44*O44-100,1),IF(ROUND(100/N44*O44-100,1)&gt;999,999,-999)))</f>
        <v>77.8</v>
      </c>
      <c r="Q44" s="889"/>
      <c r="R44" s="773"/>
      <c r="S44" s="503"/>
      <c r="T44" s="889"/>
      <c r="U44" s="773"/>
      <c r="V44" s="503"/>
      <c r="W44" s="889">
        <v>791</v>
      </c>
      <c r="X44" s="773">
        <v>870.64878699999997</v>
      </c>
      <c r="Y44" s="503">
        <f t="shared" si="2"/>
        <v>10.1</v>
      </c>
      <c r="Z44" s="889"/>
      <c r="AA44" s="773"/>
      <c r="AB44" s="634"/>
      <c r="AC44" s="889">
        <v>450</v>
      </c>
      <c r="AD44" s="773">
        <v>1026</v>
      </c>
      <c r="AE44" s="503">
        <f t="shared" si="3"/>
        <v>128</v>
      </c>
      <c r="AF44" s="889">
        <f>1536+399.1</f>
        <v>1935.1</v>
      </c>
      <c r="AG44" s="551">
        <f>3532-1838</f>
        <v>1694</v>
      </c>
      <c r="AH44" s="503">
        <f t="shared" si="4"/>
        <v>-12.5</v>
      </c>
      <c r="AI44" s="889"/>
      <c r="AJ44" s="773"/>
      <c r="AK44" s="503"/>
      <c r="AL44" s="632">
        <f t="shared" si="6"/>
        <v>3626.2759999999998</v>
      </c>
      <c r="AM44" s="632">
        <f t="shared" si="7"/>
        <v>4033.8907869999998</v>
      </c>
      <c r="AN44" s="503">
        <f t="shared" si="8"/>
        <v>11.2</v>
      </c>
    </row>
    <row r="45" spans="1:40" s="508" customFormat="1" ht="18.75" customHeight="1" x14ac:dyDescent="0.3">
      <c r="A45" s="499" t="s">
        <v>402</v>
      </c>
      <c r="B45" s="889"/>
      <c r="C45" s="773"/>
      <c r="D45" s="503"/>
      <c r="E45" s="889"/>
      <c r="F45" s="773"/>
      <c r="G45" s="634"/>
      <c r="H45" s="890"/>
      <c r="I45" s="774"/>
      <c r="J45" s="503"/>
      <c r="K45" s="889"/>
      <c r="L45" s="773"/>
      <c r="M45" s="503"/>
      <c r="N45" s="889"/>
      <c r="O45" s="773"/>
      <c r="P45" s="503"/>
      <c r="Q45" s="889"/>
      <c r="R45" s="773"/>
      <c r="S45" s="503"/>
      <c r="T45" s="889">
        <v>40769</v>
      </c>
      <c r="U45" s="773"/>
      <c r="V45" s="503">
        <f>IF(T45=0, "    ---- ", IF(ABS(ROUND(100/T45*U45-100,1))&lt;999,ROUND(100/T45*U45-100,1),IF(ROUND(100/T45*U45-100,1)&gt;999,999,-999)))</f>
        <v>-100</v>
      </c>
      <c r="W45" s="889"/>
      <c r="X45" s="773"/>
      <c r="Y45" s="503"/>
      <c r="Z45" s="889">
        <v>9577</v>
      </c>
      <c r="AA45" s="773">
        <v>7623</v>
      </c>
      <c r="AB45" s="634">
        <f>IF(Z45=0, "    ---- ", IF(ABS(ROUND(100/Z45*AA45-100,1))&lt;999,ROUND(100/Z45*AA45-100,1),IF(ROUND(100/Z45*AA45-100,1)&gt;999,999,-999)))</f>
        <v>-20.399999999999999</v>
      </c>
      <c r="AC45" s="889"/>
      <c r="AD45" s="773"/>
      <c r="AE45" s="503"/>
      <c r="AF45" s="889">
        <v>1566</v>
      </c>
      <c r="AG45" s="551">
        <v>1838</v>
      </c>
      <c r="AH45" s="503">
        <f t="shared" si="4"/>
        <v>17.399999999999999</v>
      </c>
      <c r="AI45" s="890"/>
      <c r="AJ45" s="774"/>
      <c r="AK45" s="503"/>
      <c r="AL45" s="632">
        <f t="shared" si="6"/>
        <v>51912</v>
      </c>
      <c r="AM45" s="632">
        <f t="shared" si="7"/>
        <v>9461</v>
      </c>
      <c r="AN45" s="503">
        <f t="shared" si="8"/>
        <v>-81.8</v>
      </c>
    </row>
    <row r="46" spans="1:40" s="639" customFormat="1" ht="18.75" customHeight="1" x14ac:dyDescent="0.3">
      <c r="A46" s="635" t="s">
        <v>502</v>
      </c>
      <c r="B46" s="890"/>
      <c r="C46" s="774"/>
      <c r="D46" s="636"/>
      <c r="E46" s="890">
        <v>2029</v>
      </c>
      <c r="F46" s="774">
        <f>2309</f>
        <v>2309</v>
      </c>
      <c r="G46" s="637">
        <f t="shared" si="0"/>
        <v>13.8</v>
      </c>
      <c r="H46" s="774"/>
      <c r="I46" s="774"/>
      <c r="J46" s="636"/>
      <c r="K46" s="890">
        <v>37.787999999999997</v>
      </c>
      <c r="L46" s="774">
        <v>46.220999999999997</v>
      </c>
      <c r="M46" s="636">
        <f>IF(K46=0, "    ---- ", IF(ABS(ROUND(100/K46*L46-100,1))&lt;999,ROUND(100/K46*L46-100,1),IF(ROUND(100/K46*L46-100,1)&gt;999,999,-999)))</f>
        <v>22.3</v>
      </c>
      <c r="N46" s="890"/>
      <c r="O46" s="774"/>
      <c r="P46" s="636"/>
      <c r="Q46" s="890"/>
      <c r="R46" s="774"/>
      <c r="S46" s="636"/>
      <c r="T46" s="890"/>
      <c r="U46" s="774"/>
      <c r="V46" s="636"/>
      <c r="W46" s="890"/>
      <c r="X46" s="774"/>
      <c r="Y46" s="636"/>
      <c r="Z46" s="890">
        <v>352</v>
      </c>
      <c r="AA46" s="774">
        <v>358</v>
      </c>
      <c r="AB46" s="637">
        <f>IF(Z46=0, "    ---- ", IF(ABS(ROUND(100/Z46*AA46-100,1))&lt;999,ROUND(100/Z46*AA46-100,1),IF(ROUND(100/Z46*AA46-100,1)&gt;999,999,-999)))</f>
        <v>1.7</v>
      </c>
      <c r="AC46" s="890"/>
      <c r="AD46" s="774"/>
      <c r="AE46" s="636"/>
      <c r="AF46" s="890">
        <v>661</v>
      </c>
      <c r="AG46" s="774">
        <v>706</v>
      </c>
      <c r="AH46" s="636">
        <f t="shared" si="4"/>
        <v>6.8</v>
      </c>
      <c r="AI46" s="774"/>
      <c r="AJ46" s="774"/>
      <c r="AK46" s="636"/>
      <c r="AL46" s="564">
        <f t="shared" si="6"/>
        <v>3079.788</v>
      </c>
      <c r="AM46" s="564">
        <f t="shared" si="7"/>
        <v>3419.221</v>
      </c>
      <c r="AN46" s="636">
        <f t="shared" si="8"/>
        <v>11</v>
      </c>
    </row>
    <row r="47" spans="1:40" s="639" customFormat="1" ht="18.75" customHeight="1" x14ac:dyDescent="0.3">
      <c r="A47" s="635"/>
      <c r="B47" s="774"/>
      <c r="C47" s="774"/>
      <c r="D47" s="636"/>
      <c r="E47" s="890"/>
      <c r="F47" s="774"/>
      <c r="G47" s="637"/>
      <c r="H47" s="774"/>
      <c r="I47" s="774"/>
      <c r="J47" s="636"/>
      <c r="K47" s="890"/>
      <c r="L47" s="774"/>
      <c r="M47" s="636"/>
      <c r="N47" s="774"/>
      <c r="O47" s="774"/>
      <c r="P47" s="636"/>
      <c r="Q47" s="890"/>
      <c r="R47" s="774"/>
      <c r="S47" s="636"/>
      <c r="T47" s="890"/>
      <c r="U47" s="774"/>
      <c r="V47" s="636"/>
      <c r="W47" s="774"/>
      <c r="X47" s="774"/>
      <c r="Y47" s="636"/>
      <c r="Z47" s="890"/>
      <c r="AA47" s="774"/>
      <c r="AB47" s="637"/>
      <c r="AC47" s="890"/>
      <c r="AD47" s="774"/>
      <c r="AE47" s="636"/>
      <c r="AF47" s="774"/>
      <c r="AG47" s="774"/>
      <c r="AH47" s="636"/>
      <c r="AI47" s="774"/>
      <c r="AJ47" s="774"/>
      <c r="AK47" s="636"/>
      <c r="AL47" s="564"/>
      <c r="AM47" s="564"/>
      <c r="AN47" s="636"/>
    </row>
    <row r="48" spans="1:40" s="639" customFormat="1" ht="18.75" customHeight="1" x14ac:dyDescent="0.3">
      <c r="A48" s="635" t="s">
        <v>407</v>
      </c>
      <c r="B48" s="774">
        <f>SUM(B11+B35+B40+B41+B42+B46)</f>
        <v>1398.8029999999999</v>
      </c>
      <c r="C48" s="774">
        <f>SUM(C11+C35+C40+C41+C42+C46)</f>
        <v>1480.9648232</v>
      </c>
      <c r="D48" s="636">
        <f t="shared" si="20"/>
        <v>5.9</v>
      </c>
      <c r="E48" s="890">
        <f>SUM(E11+E35+E40+E42+E46)</f>
        <v>199001.32772345998</v>
      </c>
      <c r="F48" s="774">
        <f>SUM(F11+F35+F40+F42+F46)</f>
        <v>190600</v>
      </c>
      <c r="G48" s="637">
        <f t="shared" si="0"/>
        <v>-4.2</v>
      </c>
      <c r="H48" s="774">
        <f t="shared" ref="H48:I48" si="21">SUM(H11+H35+H40+H41+H42+H46)</f>
        <v>7495.2263417699996</v>
      </c>
      <c r="I48" s="774">
        <f t="shared" si="21"/>
        <v>8169.6949893499996</v>
      </c>
      <c r="J48" s="636">
        <f>IF(H48=0, "    ---- ", IF(ABS(ROUND(100/H48*I48-100,1))&lt;999,ROUND(100/H48*I48-100,1),IF(ROUND(100/H48*I48-100,1)&gt;999,999,-999)))</f>
        <v>9</v>
      </c>
      <c r="K48" s="890">
        <f>SUM(K11+K35+K40+K42+K46)</f>
        <v>1211.8690000000004</v>
      </c>
      <c r="L48" s="774">
        <f>SUM(L11+L35+L40+L42+L46)</f>
        <v>1442.097</v>
      </c>
      <c r="M48" s="636">
        <f>IF(K48=0, "    ---- ", IF(ABS(ROUND(100/K48*L48-100,1))&lt;999,ROUND(100/K48*L48-100,1),IF(ROUND(100/K48*L48-100,1)&gt;999,999,-999)))</f>
        <v>19</v>
      </c>
      <c r="N48" s="774">
        <f t="shared" ref="N48:O48" si="22">SUM(N11+N35+N40+N41+N42+N46)</f>
        <v>8242</v>
      </c>
      <c r="O48" s="774">
        <f t="shared" si="22"/>
        <v>8842.7999999999993</v>
      </c>
      <c r="P48" s="636">
        <f>IF(N48=0, "    ---- ", IF(ABS(ROUND(100/N48*O48-100,1))&lt;999,ROUND(100/N48*O48-100,1),IF(ROUND(100/N48*O48-100,1)&gt;999,999,-999)))</f>
        <v>7.3</v>
      </c>
      <c r="Q48" s="890">
        <f>SUM(Q11+Q35+Q40+Q42+Q46)</f>
        <v>38.507252789999995</v>
      </c>
      <c r="R48" s="774">
        <f>SUM(R11+R35+R40+R42+R46)</f>
        <v>32.941000000000003</v>
      </c>
      <c r="S48" s="636">
        <f>IF(Q48=0, "    ---- ", IF(ABS(ROUND(100/Q48*R48-100,1))&lt;999,ROUND(100/Q48*R48-100,1),IF(ROUND(100/Q48*R48-100,1)&gt;999,999,-999)))</f>
        <v>-14.5</v>
      </c>
      <c r="T48" s="890">
        <f>SUM(T11+T35+T40+T42+T46)</f>
        <v>651519.76253624004</v>
      </c>
      <c r="U48" s="774">
        <f>SUM(U11+U35+U40+U42+U46)</f>
        <v>618687.46903357992</v>
      </c>
      <c r="V48" s="636">
        <f>IF(T48=0, "    ---- ", IF(ABS(ROUND(100/T48*U48-100,1))&lt;999,ROUND(100/T48*U48-100,1),IF(ROUND(100/T48*U48-100,1)&gt;999,999,-999)))</f>
        <v>-5</v>
      </c>
      <c r="W48" s="774">
        <f t="shared" ref="W48:X48" si="23">SUM(W11+W35+W40+W41+W42+W46)</f>
        <v>55807.94</v>
      </c>
      <c r="X48" s="774">
        <f t="shared" si="23"/>
        <v>54578.191823201116</v>
      </c>
      <c r="Y48" s="636">
        <f t="shared" si="2"/>
        <v>-2.2000000000000002</v>
      </c>
      <c r="Z48" s="890">
        <f>SUM(Z11+Z35+Z40+Z42+Z46)</f>
        <v>111837</v>
      </c>
      <c r="AA48" s="774">
        <f>SUM(AA11+AA35+AA40+AA41+AA42+AA46)</f>
        <v>113673</v>
      </c>
      <c r="AB48" s="637">
        <f>IF(Z48=0, "    ---- ", IF(ABS(ROUND(100/Z48*AA48-100,1))&lt;999,ROUND(100/Z48*AA48-100,1),IF(ROUND(100/Z48*AA48-100,1)&gt;999,999,-999)))</f>
        <v>1.6</v>
      </c>
      <c r="AC48" s="890">
        <f>SUM(AC11+AC35+AC40+AC42+AC46)</f>
        <v>22380</v>
      </c>
      <c r="AD48" s="774">
        <f>SUM(AD11+AD35+AD40+AD42+AD46)</f>
        <v>23228</v>
      </c>
      <c r="AE48" s="636">
        <f t="shared" si="3"/>
        <v>3.8</v>
      </c>
      <c r="AF48" s="774">
        <f t="shared" ref="AF48:AG48" si="24">SUM(AF11+AF35+AF40+AF41+AF42+AF46)</f>
        <v>204759.1</v>
      </c>
      <c r="AG48" s="774">
        <f t="shared" si="24"/>
        <v>200885</v>
      </c>
      <c r="AH48" s="636">
        <f>SUM(AH11+AH35+AH40+AH42+AH46)</f>
        <v>-109.3</v>
      </c>
      <c r="AI48" s="774"/>
      <c r="AJ48" s="774">
        <f t="shared" ref="AJ48" si="25">SUM(AJ11+AJ35+AJ40+AJ41+AJ42+AJ46)</f>
        <v>7</v>
      </c>
      <c r="AK48" s="636" t="str">
        <f>IF(AI48=0, "    ---- ", IF(ABS(ROUND(100/AI48*AJ48-100,1))&lt;999,ROUND(100/AI48*AJ48-100,1),IF(ROUND(100/AI48*AJ48-100,1)&gt;999,999,-999)))</f>
        <v xml:space="preserve">    ---- </v>
      </c>
      <c r="AL48" s="564">
        <f t="shared" ref="AL48:AM55" si="26">+B48+E48+H48+K48+N48+Q48+T48+AI48+W48+Z48+AC48+AF48</f>
        <v>1263691.5358542602</v>
      </c>
      <c r="AM48" s="564">
        <f t="shared" si="26"/>
        <v>1221627.1586693311</v>
      </c>
      <c r="AN48" s="636">
        <f t="shared" si="8"/>
        <v>-3.3</v>
      </c>
    </row>
    <row r="49" spans="1:40" s="508" customFormat="1" ht="18.75" customHeight="1" x14ac:dyDescent="0.3">
      <c r="A49" s="499" t="s">
        <v>395</v>
      </c>
      <c r="B49" s="773">
        <f>SUM(B12+B36)</f>
        <v>248.87899999999999</v>
      </c>
      <c r="C49" s="773">
        <f>SUM(C12+C36)</f>
        <v>246.971</v>
      </c>
      <c r="D49" s="503">
        <f t="shared" si="20"/>
        <v>-0.8</v>
      </c>
      <c r="E49" s="889">
        <f>SUM(E12+E36)</f>
        <v>10311.551937550001</v>
      </c>
      <c r="F49" s="773">
        <f>SUM(F12+F36)</f>
        <v>8665</v>
      </c>
      <c r="G49" s="634">
        <f t="shared" si="0"/>
        <v>-16</v>
      </c>
      <c r="H49" s="773">
        <f>SUM(H12+H36)</f>
        <v>650.79192044000001</v>
      </c>
      <c r="I49" s="773">
        <f>SUM(I12+I36)</f>
        <v>715.74279810999997</v>
      </c>
      <c r="J49" s="503">
        <f>IF(H49=0, "    ---- ", IF(ABS(ROUND(100/H49*I49-100,1))&lt;999,ROUND(100/H49*I49-100,1),IF(ROUND(100/H49*I49-100,1)&gt;999,999,-999)))</f>
        <v>10</v>
      </c>
      <c r="K49" s="889">
        <f>SUM(K12+K36)</f>
        <v>68.747</v>
      </c>
      <c r="L49" s="773">
        <f>SUM(L12+L36)</f>
        <v>64.188000000000002</v>
      </c>
      <c r="M49" s="503">
        <f>IF(K49=0, "    ---- ", IF(ABS(ROUND(100/K49*L49-100,1))&lt;999,ROUND(100/K49*L49-100,1),IF(ROUND(100/K49*L49-100,1)&gt;999,999,-999)))</f>
        <v>-6.6</v>
      </c>
      <c r="N49" s="773">
        <f>SUM(N12+N36)</f>
        <v>0</v>
      </c>
      <c r="O49" s="773">
        <f>SUM(O12+O36)</f>
        <v>0</v>
      </c>
      <c r="P49" s="503" t="str">
        <f>IF(N49=0, "    ---- ", IF(ABS(ROUND(100/N49*O49-100,1))&lt;999,ROUND(100/N49*O49-100,1),IF(ROUND(100/N49*O49-100,1)&gt;999,999,-999)))</f>
        <v xml:space="preserve">    ---- </v>
      </c>
      <c r="Q49" s="889">
        <f>SUM(Q12+Q36)</f>
        <v>20.282084000000001</v>
      </c>
      <c r="R49" s="773">
        <f>SUM(R12+R36)</f>
        <v>14.717000000000001</v>
      </c>
      <c r="S49" s="503">
        <f>IF(Q49=0, "    ---- ", IF(ABS(ROUND(100/Q49*R49-100,1))&lt;999,ROUND(100/Q49*R49-100,1),IF(ROUND(100/Q49*R49-100,1)&gt;999,999,-999)))</f>
        <v>-27.4</v>
      </c>
      <c r="T49" s="889"/>
      <c r="U49" s="773"/>
      <c r="V49" s="503"/>
      <c r="W49" s="773">
        <f>SUM(W12+W36)</f>
        <v>726.6</v>
      </c>
      <c r="X49" s="773">
        <f>SUM(X12+X36)</f>
        <v>692.7935762108176</v>
      </c>
      <c r="Y49" s="503">
        <f t="shared" si="2"/>
        <v>-4.7</v>
      </c>
      <c r="Z49" s="889"/>
      <c r="AA49" s="773"/>
      <c r="AB49" s="634"/>
      <c r="AC49" s="889">
        <f>SUM(AC12+AC36)</f>
        <v>386</v>
      </c>
      <c r="AD49" s="773">
        <f>SUM(AD12+AD36)</f>
        <v>343</v>
      </c>
      <c r="AE49" s="503">
        <f t="shared" si="3"/>
        <v>-11.1</v>
      </c>
      <c r="AF49" s="773">
        <f>SUM(AF12+AF36)</f>
        <v>4153</v>
      </c>
      <c r="AG49" s="773">
        <f>SUM(AG12+AG36)</f>
        <v>4267</v>
      </c>
      <c r="AH49" s="503">
        <f>SUM(AH12+AH36)</f>
        <v>-16</v>
      </c>
      <c r="AI49" s="773"/>
      <c r="AJ49" s="773">
        <f>SUM(AJ12+AJ36)</f>
        <v>6</v>
      </c>
      <c r="AK49" s="503" t="str">
        <f t="shared" ref="AK49:AK50" si="27">IF(AI49=0, "    ---- ", IF(ABS(ROUND(100/AI49*AJ49-100,1))&lt;999,ROUND(100/AI49*AJ49-100,1),IF(ROUND(100/AI49*AJ49-100,1)&gt;999,999,-999)))</f>
        <v xml:space="preserve">    ---- </v>
      </c>
      <c r="AL49" s="632">
        <f t="shared" si="26"/>
        <v>16565.851941990004</v>
      </c>
      <c r="AM49" s="632">
        <f t="shared" si="26"/>
        <v>15015.412374320817</v>
      </c>
      <c r="AN49" s="503">
        <f t="shared" si="8"/>
        <v>-9.4</v>
      </c>
    </row>
    <row r="50" spans="1:40" s="508" customFormat="1" ht="18.75" customHeight="1" x14ac:dyDescent="0.3">
      <c r="A50" s="499" t="s">
        <v>398</v>
      </c>
      <c r="B50" s="773">
        <f>SUM(B15+B37+B43)</f>
        <v>150.35500000000002</v>
      </c>
      <c r="C50" s="773">
        <f>SUM(C15+C37+C43)</f>
        <v>210.49</v>
      </c>
      <c r="D50" s="503">
        <f t="shared" si="20"/>
        <v>40</v>
      </c>
      <c r="E50" s="889">
        <f>SUM(E15+E37+E43)</f>
        <v>22715.337746069996</v>
      </c>
      <c r="F50" s="773">
        <f>SUM(F15+F37+F43)</f>
        <v>21329</v>
      </c>
      <c r="G50" s="634">
        <f t="shared" si="0"/>
        <v>-6.1</v>
      </c>
      <c r="H50" s="773">
        <f>SUM(H15+H37+H43)</f>
        <v>3665.6077474800004</v>
      </c>
      <c r="I50" s="773">
        <f>SUM(I15+I37+I43)</f>
        <v>4167.7111907199996</v>
      </c>
      <c r="J50" s="503">
        <f>IF(H50=0, "    ---- ", IF(ABS(ROUND(100/H50*I50-100,1))&lt;999,ROUND(100/H50*I50-100,1),IF(ROUND(100/H50*I50-100,1)&gt;999,999,-999)))</f>
        <v>13.7</v>
      </c>
      <c r="K50" s="889">
        <f>SUM(K15+K37+K43)</f>
        <v>966.26400000000001</v>
      </c>
      <c r="L50" s="773">
        <f>SUM(L15+L37+L43)</f>
        <v>1172.452</v>
      </c>
      <c r="M50" s="503">
        <f>IF(K50=0, "    ---- ", IF(ABS(ROUND(100/K50*L50-100,1))&lt;999,ROUND(100/K50*L50-100,1),IF(ROUND(100/K50*L50-100,1)&gt;999,999,-999)))</f>
        <v>21.3</v>
      </c>
      <c r="N50" s="773">
        <f>SUM(N15+N37+N43)</f>
        <v>2636.1</v>
      </c>
      <c r="O50" s="773">
        <f>SUM(O15+O37+O43)</f>
        <v>3054.1</v>
      </c>
      <c r="P50" s="503">
        <f>IF(N50=0, "    ---- ", IF(ABS(ROUND(100/N50*O50-100,1))&lt;999,ROUND(100/N50*O50-100,1),IF(ROUND(100/N50*O50-100,1)&gt;999,999,-999)))</f>
        <v>15.9</v>
      </c>
      <c r="Q50" s="889">
        <f>SUM(Q15+Q37+Q43)</f>
        <v>1.728453</v>
      </c>
      <c r="R50" s="773">
        <f>SUM(R15+R37+R43)</f>
        <v>1.728</v>
      </c>
      <c r="S50" s="503">
        <f>IF(Q50=0, "    ---- ", IF(ABS(ROUND(100/Q50*R50-100,1))&lt;999,ROUND(100/Q50*R50-100,1),IF(ROUND(100/Q50*R50-100,1)&gt;999,999,-999)))</f>
        <v>0</v>
      </c>
      <c r="T50" s="889"/>
      <c r="U50" s="773"/>
      <c r="V50" s="503"/>
      <c r="W50" s="773">
        <f>SUM(W15+W37+W43)</f>
        <v>3907.82</v>
      </c>
      <c r="X50" s="773">
        <f>SUM(X15+X37+X43)</f>
        <v>3926.6060330503733</v>
      </c>
      <c r="Y50" s="503">
        <f t="shared" si="2"/>
        <v>0.5</v>
      </c>
      <c r="Z50" s="889"/>
      <c r="AA50" s="773"/>
      <c r="AB50" s="634"/>
      <c r="AC50" s="889">
        <f>SUM(AC15+AC37+AC43)</f>
        <v>2656</v>
      </c>
      <c r="AD50" s="773">
        <f>SUM(AD15+AD37+AD43)</f>
        <v>2426</v>
      </c>
      <c r="AE50" s="503">
        <f t="shared" si="3"/>
        <v>-8.6999999999999993</v>
      </c>
      <c r="AF50" s="773">
        <f>SUM(AF15+AF37+AF43)</f>
        <v>8383</v>
      </c>
      <c r="AG50" s="773">
        <f>SUM(AG15+AG37+AG43)</f>
        <v>7614</v>
      </c>
      <c r="AH50" s="503">
        <f>SUM(AH15+AH37+AH43)</f>
        <v>-35</v>
      </c>
      <c r="AI50" s="773"/>
      <c r="AJ50" s="773">
        <f>SUM(AJ15+AJ37+AJ43)</f>
        <v>1</v>
      </c>
      <c r="AK50" s="503" t="str">
        <f t="shared" si="27"/>
        <v xml:space="preserve">    ---- </v>
      </c>
      <c r="AL50" s="632">
        <f t="shared" si="26"/>
        <v>45082.212946549997</v>
      </c>
      <c r="AM50" s="632">
        <f t="shared" si="26"/>
        <v>43903.087223770373</v>
      </c>
      <c r="AN50" s="503">
        <f t="shared" si="8"/>
        <v>-2.6</v>
      </c>
    </row>
    <row r="51" spans="1:40" s="508" customFormat="1" ht="18.75" customHeight="1" x14ac:dyDescent="0.3">
      <c r="A51" s="499" t="s">
        <v>399</v>
      </c>
      <c r="B51" s="773">
        <f>SUM(B18)</f>
        <v>1.6990000000000001</v>
      </c>
      <c r="C51" s="773">
        <f>SUM(C18)</f>
        <v>0.52500000000000002</v>
      </c>
      <c r="D51" s="503">
        <f t="shared" si="20"/>
        <v>-69.099999999999994</v>
      </c>
      <c r="E51" s="889">
        <f>SUM(E18)</f>
        <v>241.43803983999999</v>
      </c>
      <c r="F51" s="773">
        <f>SUM(F18)</f>
        <v>216</v>
      </c>
      <c r="G51" s="503">
        <f t="shared" si="0"/>
        <v>-10.5</v>
      </c>
      <c r="H51" s="773">
        <f>SUM(H18)</f>
        <v>2549.9973124099997</v>
      </c>
      <c r="I51" s="773">
        <f>SUM(I18)</f>
        <v>2653.1449614600001</v>
      </c>
      <c r="J51" s="503">
        <f>IF(H51=0, "    ---- ", IF(ABS(ROUND(100/H51*I51-100,1))&lt;999,ROUND(100/H51*I51-100,1),IF(ROUND(100/H51*I51-100,1)&gt;999,999,-999)))</f>
        <v>4</v>
      </c>
      <c r="K51" s="889">
        <f>SUM(K18)</f>
        <v>37.341999999999999</v>
      </c>
      <c r="L51" s="773">
        <f>SUM(L18)</f>
        <v>54.695</v>
      </c>
      <c r="M51" s="503">
        <f>IF(K51=0, "    ---- ", IF(ABS(ROUND(100/K51*L51-100,1))&lt;999,ROUND(100/K51*L51-100,1),IF(ROUND(100/K51*L51-100,1)&gt;999,999,-999)))</f>
        <v>46.5</v>
      </c>
      <c r="N51" s="773">
        <f>SUM(N18)</f>
        <v>0</v>
      </c>
      <c r="O51" s="773">
        <f>SUM(O18)</f>
        <v>0</v>
      </c>
      <c r="P51" s="503" t="str">
        <f>IF(N51=0, "    ---- ", IF(ABS(ROUND(100/N51*O51-100,1))&lt;999,ROUND(100/N51*O51-100,1),IF(ROUND(100/N51*O51-100,1)&gt;999,999,-999)))</f>
        <v xml:space="preserve">    ---- </v>
      </c>
      <c r="Q51" s="889">
        <f>SUM(Q18)</f>
        <v>16.49671579</v>
      </c>
      <c r="R51" s="773">
        <f>SUM(R18)</f>
        <v>16.495999999999999</v>
      </c>
      <c r="S51" s="503">
        <f>IF(Q51=0, "    ---- ", IF(ABS(ROUND(100/Q51*R51-100,1))&lt;999,ROUND(100/Q51*R51-100,1),IF(ROUND(100/Q51*R51-100,1)&gt;999,999,-999)))</f>
        <v>0</v>
      </c>
      <c r="T51" s="889">
        <f>SUM(T18)</f>
        <v>0.93028330000000004</v>
      </c>
      <c r="U51" s="773">
        <f>1</f>
        <v>1</v>
      </c>
      <c r="V51" s="503">
        <f>IF(T51=0, "    ---- ", IF(ABS(ROUND(100/T51*U51-100,1))&lt;999,ROUND(100/T51*U51-100,1),IF(ROUND(100/T51*U51-100,1)&gt;999,999,-999)))</f>
        <v>7.5</v>
      </c>
      <c r="W51" s="773"/>
      <c r="X51" s="773"/>
      <c r="Y51" s="503"/>
      <c r="Z51" s="889"/>
      <c r="AA51" s="773"/>
      <c r="AB51" s="503"/>
      <c r="AC51" s="889">
        <f>SUM(AC18)</f>
        <v>41</v>
      </c>
      <c r="AD51" s="773">
        <f>SUM(AD18)</f>
        <v>2</v>
      </c>
      <c r="AE51" s="503">
        <f t="shared" si="3"/>
        <v>-95.1</v>
      </c>
      <c r="AF51" s="773">
        <f>SUM(AF18)</f>
        <v>1515</v>
      </c>
      <c r="AG51" s="773">
        <f>SUM(AG18)</f>
        <v>1661</v>
      </c>
      <c r="AH51" s="503">
        <f>SUM(AH18)</f>
        <v>9.6</v>
      </c>
      <c r="AI51" s="773"/>
      <c r="AJ51" s="773"/>
      <c r="AK51" s="503"/>
      <c r="AL51" s="632">
        <f t="shared" si="26"/>
        <v>4403.90335134</v>
      </c>
      <c r="AM51" s="632">
        <f t="shared" si="26"/>
        <v>4604.8609614600009</v>
      </c>
      <c r="AN51" s="503">
        <f t="shared" si="8"/>
        <v>4.5999999999999996</v>
      </c>
    </row>
    <row r="52" spans="1:40" s="508" customFormat="1" ht="18.75" customHeight="1" x14ac:dyDescent="0.3">
      <c r="A52" s="499" t="s">
        <v>400</v>
      </c>
      <c r="B52" s="773">
        <f>SUM(B19+B38+B44)</f>
        <v>898.83499999999992</v>
      </c>
      <c r="C52" s="773">
        <f>SUM(C19+C38+C44)</f>
        <v>964.46336767000003</v>
      </c>
      <c r="D52" s="503">
        <f t="shared" si="20"/>
        <v>7.3</v>
      </c>
      <c r="E52" s="889">
        <f>SUM(E19+E38+E44)</f>
        <v>160491</v>
      </c>
      <c r="F52" s="773">
        <f>SUM(F19+F38+F44)</f>
        <v>157263</v>
      </c>
      <c r="G52" s="634">
        <f t="shared" si="0"/>
        <v>-2</v>
      </c>
      <c r="H52" s="773"/>
      <c r="I52" s="773"/>
      <c r="J52" s="503"/>
      <c r="K52" s="889"/>
      <c r="L52" s="773"/>
      <c r="M52" s="503"/>
      <c r="N52" s="773">
        <f>SUM(N19+N38+N44)</f>
        <v>5594.1</v>
      </c>
      <c r="O52" s="773">
        <f>SUM(O19+O38+O44)</f>
        <v>5788.7</v>
      </c>
      <c r="P52" s="503">
        <f>IF(N52=0, "    ---- ", IF(ABS(ROUND(100/N52*O52-100,1))&lt;999,ROUND(100/N52*O52-100,1),IF(ROUND(100/N52*O52-100,1)&gt;999,999,-999)))</f>
        <v>3.5</v>
      </c>
      <c r="Q52" s="889"/>
      <c r="R52" s="773"/>
      <c r="S52" s="503"/>
      <c r="T52" s="889"/>
      <c r="U52" s="773"/>
      <c r="V52" s="503"/>
      <c r="W52" s="773">
        <f>SUM(W19+W38+W44)</f>
        <v>47728.72</v>
      </c>
      <c r="X52" s="773">
        <f>SUM(X19+X38+X44)</f>
        <v>47811.631195524984</v>
      </c>
      <c r="Y52" s="503">
        <f t="shared" si="2"/>
        <v>0.2</v>
      </c>
      <c r="Z52" s="889"/>
      <c r="AA52" s="773"/>
      <c r="AB52" s="634"/>
      <c r="AC52" s="889">
        <f>SUM(AC19+AC38+AC44)</f>
        <v>16561</v>
      </c>
      <c r="AD52" s="773">
        <f>SUM(AD19+AD38+AD44)</f>
        <v>18358</v>
      </c>
      <c r="AE52" s="503">
        <f t="shared" si="3"/>
        <v>10.9</v>
      </c>
      <c r="AF52" s="773">
        <f>SUM(AF19+AF38+AF44)</f>
        <v>171899.1</v>
      </c>
      <c r="AG52" s="773">
        <f>SUM(AG19+AG38+AG44)</f>
        <v>169617</v>
      </c>
      <c r="AH52" s="503">
        <f>SUM(AH19+AH38+AH44)</f>
        <v>-35.4</v>
      </c>
      <c r="AI52" s="773"/>
      <c r="AJ52" s="773"/>
      <c r="AK52" s="503" t="str">
        <f>IF(AI52=0, "    ---- ", IF(ABS(ROUND(100/AI52*AJ52-100,1))&lt;999,ROUND(100/AI52*AJ52-100,1),IF(ROUND(100/AI52*AJ52-100,1)&gt;999,999,-999)))</f>
        <v xml:space="preserve">    ---- </v>
      </c>
      <c r="AL52" s="632">
        <f t="shared" si="26"/>
        <v>403172.755</v>
      </c>
      <c r="AM52" s="632">
        <f t="shared" si="26"/>
        <v>399802.79456319497</v>
      </c>
      <c r="AN52" s="503">
        <f t="shared" si="8"/>
        <v>-0.8</v>
      </c>
    </row>
    <row r="53" spans="1:40" s="508" customFormat="1" ht="18.75" customHeight="1" x14ac:dyDescent="0.3">
      <c r="A53" s="499" t="s">
        <v>402</v>
      </c>
      <c r="B53" s="773"/>
      <c r="C53" s="773"/>
      <c r="D53" s="503"/>
      <c r="E53" s="889"/>
      <c r="F53" s="773"/>
      <c r="G53" s="634"/>
      <c r="H53" s="773"/>
      <c r="I53" s="773"/>
      <c r="J53" s="503"/>
      <c r="K53" s="889"/>
      <c r="L53" s="773"/>
      <c r="M53" s="503"/>
      <c r="N53" s="773"/>
      <c r="O53" s="773"/>
      <c r="P53" s="503"/>
      <c r="Q53" s="889"/>
      <c r="R53" s="773"/>
      <c r="S53" s="503"/>
      <c r="T53" s="889">
        <f>SUM(T21+T39+T45)</f>
        <v>574121.95530981</v>
      </c>
      <c r="U53" s="773">
        <v>651709.92861380987</v>
      </c>
      <c r="V53" s="503">
        <f>IF(T53=0, "    ---- ", IF(ABS(ROUND(100/T53*U53-100,1))&lt;999,ROUND(100/T53*U53-100,1),IF(ROUND(100/T53*U53-100,1)&gt;999,999,-999)))</f>
        <v>13.5</v>
      </c>
      <c r="W53" s="773"/>
      <c r="X53" s="773"/>
      <c r="Y53" s="503"/>
      <c r="Z53" s="889">
        <f>SUM(Z21+Z39+Z45)</f>
        <v>90224</v>
      </c>
      <c r="AA53" s="551">
        <f>SUM(AA21+AA39+AA45)</f>
        <v>85668</v>
      </c>
      <c r="AB53" s="634">
        <f>IF(Z53=0, "    ---- ", IF(ABS(ROUND(100/Z53*AA53-100,1))&lt;999,ROUND(100/Z53*AA53-100,1),IF(ROUND(100/Z53*AA53-100,1)&gt;999,999,-999)))</f>
        <v>-5</v>
      </c>
      <c r="AC53" s="889"/>
      <c r="AD53" s="773"/>
      <c r="AE53" s="503"/>
      <c r="AF53" s="773">
        <f>SUM(AF21+AF39+AF45)</f>
        <v>11839</v>
      </c>
      <c r="AG53" s="773">
        <f>SUM(AG21+AG39+AG45)</f>
        <v>15264</v>
      </c>
      <c r="AH53" s="503">
        <f>SUM(AH21+AH39+AH45)</f>
        <v>-37.5</v>
      </c>
      <c r="AI53" s="773"/>
      <c r="AJ53" s="773"/>
      <c r="AK53" s="503"/>
      <c r="AL53" s="632">
        <f t="shared" si="26"/>
        <v>676184.95530981</v>
      </c>
      <c r="AM53" s="632">
        <f t="shared" si="26"/>
        <v>752641.92861380987</v>
      </c>
      <c r="AN53" s="503">
        <f t="shared" si="8"/>
        <v>11.3</v>
      </c>
    </row>
    <row r="54" spans="1:40" s="508" customFormat="1" ht="18.75" customHeight="1" x14ac:dyDescent="0.3">
      <c r="A54" s="499" t="s">
        <v>403</v>
      </c>
      <c r="B54" s="773">
        <f>SUM(B22)</f>
        <v>45.398000000000003</v>
      </c>
      <c r="C54" s="773">
        <f>SUM(C22)</f>
        <v>44.723999999999997</v>
      </c>
      <c r="D54" s="503">
        <f t="shared" si="20"/>
        <v>-1.5</v>
      </c>
      <c r="E54" s="889">
        <f>SUM(E22)</f>
        <v>9</v>
      </c>
      <c r="F54" s="773">
        <f>SUM(F22)</f>
        <v>10</v>
      </c>
      <c r="G54" s="503">
        <f t="shared" si="0"/>
        <v>11.1</v>
      </c>
      <c r="H54" s="773">
        <f>SUM(H22)</f>
        <v>622.84977819999995</v>
      </c>
      <c r="I54" s="773">
        <f>SUM(I22)</f>
        <v>633.09603905999995</v>
      </c>
      <c r="J54" s="503">
        <f>IF(H54=0, "    ---- ", IF(ABS(ROUND(100/H54*I54-100,1))&lt;999,ROUND(100/H54*I54-100,1),IF(ROUND(100/H54*I54-100,1)&gt;999,999,-999)))</f>
        <v>1.6</v>
      </c>
      <c r="K54" s="889">
        <f>SUM(K22)</f>
        <v>101.72799999999999</v>
      </c>
      <c r="L54" s="773">
        <f>SUM(L22)</f>
        <v>104.541</v>
      </c>
      <c r="M54" s="503">
        <f>IF(K54=0, "    ---- ", IF(ABS(ROUND(100/K54*L54-100,1))&lt;999,ROUND(100/K54*L54-100,1),IF(ROUND(100/K54*L54-100,1)&gt;999,999,-999)))</f>
        <v>2.8</v>
      </c>
      <c r="N54" s="773"/>
      <c r="O54" s="773"/>
      <c r="P54" s="503"/>
      <c r="Q54" s="889"/>
      <c r="R54" s="773"/>
      <c r="S54" s="503"/>
      <c r="T54" s="889"/>
      <c r="U54" s="773"/>
      <c r="V54" s="503"/>
      <c r="W54" s="773">
        <f>SUM(W22)</f>
        <v>58.8</v>
      </c>
      <c r="X54" s="773">
        <f>SUM(X22)</f>
        <v>63.731018414938163</v>
      </c>
      <c r="Y54" s="503">
        <f t="shared" si="2"/>
        <v>8.4</v>
      </c>
      <c r="Z54" s="889"/>
      <c r="AA54" s="551">
        <f>SUM(AA22)</f>
        <v>0</v>
      </c>
      <c r="AB54" s="503"/>
      <c r="AC54" s="889"/>
      <c r="AD54" s="773"/>
      <c r="AE54" s="503"/>
      <c r="AF54" s="773"/>
      <c r="AG54" s="773"/>
      <c r="AH54" s="503"/>
      <c r="AI54" s="773"/>
      <c r="AJ54" s="773"/>
      <c r="AK54" s="503"/>
      <c r="AL54" s="632">
        <f t="shared" si="26"/>
        <v>837.77577819999988</v>
      </c>
      <c r="AM54" s="632">
        <f t="shared" si="26"/>
        <v>856.09205747493809</v>
      </c>
      <c r="AN54" s="503">
        <f t="shared" si="8"/>
        <v>2.2000000000000002</v>
      </c>
    </row>
    <row r="55" spans="1:40" s="508" customFormat="1" ht="18.75" customHeight="1" x14ac:dyDescent="0.3">
      <c r="A55" s="640" t="s">
        <v>503</v>
      </c>
      <c r="B55" s="922">
        <f t="shared" ref="B55:C55" si="28">SUM(B40+B41+B46)</f>
        <v>53.637</v>
      </c>
      <c r="C55" s="922">
        <f t="shared" si="28"/>
        <v>13.79145553</v>
      </c>
      <c r="D55" s="641">
        <f t="shared" si="20"/>
        <v>-74.3</v>
      </c>
      <c r="E55" s="922">
        <f t="shared" ref="E55:F55" si="29">SUM(E40+E41+E46)</f>
        <v>5233</v>
      </c>
      <c r="F55" s="922">
        <f t="shared" si="29"/>
        <v>3117</v>
      </c>
      <c r="G55" s="641">
        <f t="shared" si="0"/>
        <v>-40.4</v>
      </c>
      <c r="H55" s="922">
        <f t="shared" ref="H55:I55" si="30">SUM(H40+H41+H46)</f>
        <v>5.9795832399999966</v>
      </c>
      <c r="I55" s="922">
        <f t="shared" si="30"/>
        <v>0</v>
      </c>
      <c r="J55" s="641">
        <f>IF(H55=0, "    ---- ", IF(ABS(ROUND(100/H55*I55-100,1))&lt;999,ROUND(100/H55*I55-100,1),IF(ROUND(100/H55*I55-100,1)&gt;999,999,-999)))</f>
        <v>-100</v>
      </c>
      <c r="K55" s="922">
        <f t="shared" ref="K55:L55" si="31">SUM(K40+K41+K46)</f>
        <v>37.787999999999997</v>
      </c>
      <c r="L55" s="922">
        <f t="shared" si="31"/>
        <v>46.220999999999997</v>
      </c>
      <c r="M55" s="641">
        <f>IF(K55=0, "    ---- ", IF(ABS(ROUND(100/K55*L55-100,1))&lt;999,ROUND(100/K55*L55-100,1),IF(ROUND(100/K55*L55-100,1)&gt;999,999,-999)))</f>
        <v>22.3</v>
      </c>
      <c r="N55" s="922">
        <f t="shared" ref="N55:O55" si="32">SUM(N40+N41+N46)</f>
        <v>11.8</v>
      </c>
      <c r="O55" s="922">
        <f t="shared" si="32"/>
        <v>0</v>
      </c>
      <c r="P55" s="641">
        <f>IF(N55=0, "    ---- ", IF(ABS(ROUND(100/N55*O55-100,1))&lt;999,ROUND(100/N55*O55-100,1),IF(ROUND(100/N55*O55-100,1)&gt;999,999,-999)))</f>
        <v>-100</v>
      </c>
      <c r="Q55" s="922"/>
      <c r="R55" s="775"/>
      <c r="S55" s="641"/>
      <c r="T55" s="922">
        <f>SUM(T40+T41+T46)</f>
        <v>77396.876943130002</v>
      </c>
      <c r="U55" s="922">
        <f>SUM(U40+U41+U46)</f>
        <v>33023.585977089999</v>
      </c>
      <c r="V55" s="641">
        <f>IF(T55=0, "    ---- ", IF(ABS(ROUND(100/T55*U55-100,1))&lt;999,ROUND(100/T55*U55-100,1),IF(ROUND(100/T55*U55-100,1)&gt;999,999,-999)))</f>
        <v>-57.3</v>
      </c>
      <c r="W55" s="922">
        <f t="shared" ref="W55:X55" si="33">SUM(W40+W41+W46)</f>
        <v>3386</v>
      </c>
      <c r="X55" s="922">
        <f t="shared" si="33"/>
        <v>2083.4299999999998</v>
      </c>
      <c r="Y55" s="641">
        <f t="shared" si="2"/>
        <v>-38.5</v>
      </c>
      <c r="Z55" s="775">
        <f>SUM(Z40+Z41+Z46)</f>
        <v>21613</v>
      </c>
      <c r="AA55" s="557">
        <f>SUM(AA40+AA41+AA46)</f>
        <v>28005</v>
      </c>
      <c r="AB55" s="641">
        <f>IF(Z55=0, "    ---- ", IF(ABS(ROUND(100/Z55*AA55-100,1))&lt;999,ROUND(100/Z55*AA55-100,1),IF(ROUND(100/Z55*AA55-100,1)&gt;999,999,-999)))</f>
        <v>29.6</v>
      </c>
      <c r="AC55" s="922">
        <f t="shared" ref="AC55:AD55" si="34">SUM(AC40+AC41+AC46)</f>
        <v>2736</v>
      </c>
      <c r="AD55" s="922">
        <f t="shared" si="34"/>
        <v>2099</v>
      </c>
      <c r="AE55" s="641">
        <f t="shared" si="3"/>
        <v>-23.3</v>
      </c>
      <c r="AF55" s="922">
        <f t="shared" ref="AF55:AG55" si="35">SUM(AF40+AF41+AF46)</f>
        <v>6970</v>
      </c>
      <c r="AG55" s="922">
        <f t="shared" si="35"/>
        <v>2462</v>
      </c>
      <c r="AH55" s="641">
        <f>SUM(AH40+AH46)</f>
        <v>-83.4</v>
      </c>
      <c r="AI55" s="775"/>
      <c r="AJ55" s="775"/>
      <c r="AK55" s="641"/>
      <c r="AL55" s="642">
        <f t="shared" si="26"/>
        <v>117444.08152637001</v>
      </c>
      <c r="AM55" s="642">
        <f t="shared" si="26"/>
        <v>70850.028432619991</v>
      </c>
      <c r="AN55" s="641">
        <f t="shared" si="8"/>
        <v>-39.700000000000003</v>
      </c>
    </row>
    <row r="56" spans="1:40" s="508" customFormat="1" ht="18.75" customHeight="1" x14ac:dyDescent="0.3">
      <c r="A56" s="514" t="s">
        <v>245</v>
      </c>
      <c r="B56" s="643"/>
      <c r="C56" s="643"/>
      <c r="D56" s="643"/>
      <c r="E56" s="643"/>
      <c r="F56" s="643"/>
      <c r="G56" s="643"/>
      <c r="H56" s="643"/>
      <c r="I56" s="643"/>
      <c r="J56" s="643"/>
      <c r="K56" s="643"/>
      <c r="L56" s="643"/>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3"/>
      <c r="AL56" s="643"/>
      <c r="AM56" s="643"/>
      <c r="AN56" s="643"/>
    </row>
    <row r="57" spans="1:40" s="508" customFormat="1" ht="18.75" customHeight="1" x14ac:dyDescent="0.3">
      <c r="A57" s="514" t="s">
        <v>246</v>
      </c>
      <c r="B57" s="643"/>
      <c r="C57" s="643"/>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3"/>
      <c r="AL57" s="643"/>
      <c r="AM57" s="643"/>
      <c r="AN57" s="643"/>
    </row>
    <row r="58" spans="1:40" s="508" customFormat="1" ht="18.75" customHeight="1" x14ac:dyDescent="0.3">
      <c r="T58" s="514"/>
      <c r="W58" s="514"/>
      <c r="AF58" s="514"/>
      <c r="AL58" s="514"/>
    </row>
    <row r="59" spans="1:40" s="606" customFormat="1" ht="18.75" x14ac:dyDescent="0.3"/>
    <row r="60" spans="1:40" s="606" customFormat="1" ht="18.75" x14ac:dyDescent="0.3"/>
    <row r="61" spans="1:40" s="606" customFormat="1" ht="18.75" x14ac:dyDescent="0.3"/>
    <row r="62" spans="1:40" s="606" customFormat="1" ht="18.75" x14ac:dyDescent="0.3"/>
    <row r="63" spans="1:40" s="606" customFormat="1" ht="18.75" x14ac:dyDescent="0.3"/>
    <row r="64" spans="1:40" s="606" customFormat="1" ht="18.75" x14ac:dyDescent="0.3"/>
    <row r="65" spans="1:40" s="606" customFormat="1" ht="18.75" x14ac:dyDescent="0.3"/>
    <row r="66" spans="1:40" s="606" customFormat="1" ht="18.75" x14ac:dyDescent="0.3"/>
    <row r="67" spans="1:40" s="606" customFormat="1" ht="18.75" x14ac:dyDescent="0.3"/>
    <row r="68" spans="1:40" s="606" customFormat="1" ht="18.75" x14ac:dyDescent="0.3"/>
    <row r="69" spans="1:40" s="606" customFormat="1" ht="18.75" x14ac:dyDescent="0.3"/>
    <row r="70" spans="1:40" s="606" customFormat="1" ht="18.75" x14ac:dyDescent="0.3"/>
    <row r="71" spans="1:40" s="606" customFormat="1" ht="18.75" x14ac:dyDescent="0.3"/>
    <row r="72" spans="1:40" s="606" customFormat="1" ht="18.75" x14ac:dyDescent="0.3"/>
    <row r="73" spans="1:40" s="606" customFormat="1" ht="18.75" x14ac:dyDescent="0.3">
      <c r="A73" s="607"/>
      <c r="B73" s="607"/>
      <c r="C73" s="607"/>
      <c r="D73" s="607"/>
      <c r="E73" s="607"/>
      <c r="F73" s="607"/>
      <c r="G73" s="607"/>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7"/>
      <c r="AL73" s="607"/>
      <c r="AM73" s="607"/>
      <c r="AN73" s="607"/>
    </row>
    <row r="74" spans="1:40" s="606" customFormat="1" ht="18.75" x14ac:dyDescent="0.3">
      <c r="A74" s="607"/>
      <c r="B74" s="607"/>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row>
    <row r="75" spans="1:40" s="606" customFormat="1" ht="18.75" x14ac:dyDescent="0.3">
      <c r="A75" s="607"/>
      <c r="B75" s="607"/>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7"/>
      <c r="AL75" s="607"/>
      <c r="AM75" s="607"/>
      <c r="AN75" s="607"/>
    </row>
    <row r="76" spans="1:40" s="606" customFormat="1" ht="18.75" x14ac:dyDescent="0.3">
      <c r="A76" s="607"/>
      <c r="B76" s="607"/>
      <c r="C76" s="607"/>
      <c r="D76" s="607"/>
      <c r="E76" s="607"/>
      <c r="F76" s="607"/>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7"/>
      <c r="AL76" s="607"/>
      <c r="AM76" s="607"/>
      <c r="AN76" s="607"/>
    </row>
    <row r="77" spans="1:40" s="606" customFormat="1" ht="18.75" x14ac:dyDescent="0.3"/>
    <row r="78" spans="1:40" s="606" customFormat="1" ht="18.75" x14ac:dyDescent="0.3"/>
    <row r="79" spans="1:40" s="606" customFormat="1" ht="18.75" x14ac:dyDescent="0.3"/>
    <row r="80" spans="1:40" s="606" customFormat="1" ht="18.75" x14ac:dyDescent="0.3"/>
    <row r="81" s="606" customFormat="1" ht="18.75" x14ac:dyDescent="0.3"/>
    <row r="82" s="606" customFormat="1" ht="18.75" x14ac:dyDescent="0.3"/>
    <row r="83" s="606" customFormat="1" ht="18.75" x14ac:dyDescent="0.3"/>
    <row r="84" s="606" customFormat="1" ht="18.75" x14ac:dyDescent="0.3"/>
    <row r="85" s="606" customFormat="1" ht="18.75" x14ac:dyDescent="0.3"/>
    <row r="86" s="606" customFormat="1" ht="18.75" x14ac:dyDescent="0.3"/>
    <row r="87" s="606" customFormat="1" ht="18.75" x14ac:dyDescent="0.3"/>
    <row r="88" s="606" customFormat="1" ht="18.75" x14ac:dyDescent="0.3"/>
  </sheetData>
  <mergeCells count="32">
    <mergeCell ref="H6:J6"/>
    <mergeCell ref="AZ6:BB6"/>
    <mergeCell ref="AI6:AK6"/>
    <mergeCell ref="W6:Y6"/>
    <mergeCell ref="Z6:AB6"/>
    <mergeCell ref="AC6:AE6"/>
    <mergeCell ref="AF6:AH6"/>
    <mergeCell ref="AL6:AN6"/>
    <mergeCell ref="AQ6:AS6"/>
    <mergeCell ref="AT6:AV6"/>
    <mergeCell ref="AW6:AY6"/>
    <mergeCell ref="AQ5:AS5"/>
    <mergeCell ref="AT5:AV5"/>
    <mergeCell ref="AW5:AY5"/>
    <mergeCell ref="AZ5:BB5"/>
    <mergeCell ref="B6:D6"/>
    <mergeCell ref="E6:G6"/>
    <mergeCell ref="K6:M6"/>
    <mergeCell ref="N6:P6"/>
    <mergeCell ref="Q6:S6"/>
    <mergeCell ref="T6:V6"/>
    <mergeCell ref="Z5:AB5"/>
    <mergeCell ref="AC5:AE5"/>
    <mergeCell ref="AF5:AH5"/>
    <mergeCell ref="AL5:AN5"/>
    <mergeCell ref="AI5:AK5"/>
    <mergeCell ref="B5:D5"/>
    <mergeCell ref="E5:G5"/>
    <mergeCell ref="K5:M5"/>
    <mergeCell ref="N5:P5"/>
    <mergeCell ref="Q5:S5"/>
    <mergeCell ref="H5:J5"/>
  </mergeCells>
  <conditionalFormatting sqref="B48">
    <cfRule type="expression" dxfId="118" priority="203">
      <formula>#REF!="54≠55+56+57+58+59+60+61"</formula>
    </cfRule>
  </conditionalFormatting>
  <conditionalFormatting sqref="N11">
    <cfRule type="expression" dxfId="117" priority="138">
      <formula>#REF!="11≠12+15+18+19+21+22"</formula>
    </cfRule>
  </conditionalFormatting>
  <conditionalFormatting sqref="N23">
    <cfRule type="expression" dxfId="116" priority="139">
      <formula>#REF!="23≠24+27+30+31+33+34"</formula>
    </cfRule>
  </conditionalFormatting>
  <conditionalFormatting sqref="N35">
    <cfRule type="expression" dxfId="115" priority="140">
      <formula>#REF!="35≠36+37+38+39"</formula>
    </cfRule>
  </conditionalFormatting>
  <conditionalFormatting sqref="N42">
    <cfRule type="expression" dxfId="114" priority="141">
      <formula>#REF!="48≠49+50+51"</formula>
    </cfRule>
  </conditionalFormatting>
  <conditionalFormatting sqref="W11">
    <cfRule type="expression" dxfId="113" priority="130">
      <formula>#REF!="11≠12+15+18+19+21+22"</formula>
    </cfRule>
  </conditionalFormatting>
  <conditionalFormatting sqref="W23">
    <cfRule type="expression" dxfId="112" priority="131">
      <formula>#REF!="23≠24+27+30+31+33+34"</formula>
    </cfRule>
  </conditionalFormatting>
  <conditionalFormatting sqref="W35">
    <cfRule type="expression" dxfId="111" priority="132">
      <formula>#REF!="35≠36+37+38+39"</formula>
    </cfRule>
  </conditionalFormatting>
  <conditionalFormatting sqref="W42">
    <cfRule type="expression" dxfId="110" priority="133">
      <formula>#REF!="48≠49+50+51"</formula>
    </cfRule>
  </conditionalFormatting>
  <conditionalFormatting sqref="C48">
    <cfRule type="expression" dxfId="109" priority="129">
      <formula>#REF!="54≠55+56+57+58+59+60+61"</formula>
    </cfRule>
  </conditionalFormatting>
  <conditionalFormatting sqref="H48:I48">
    <cfRule type="expression" dxfId="108" priority="127">
      <formula>#REF!="54≠55+56+57+58+59+60+61"</formula>
    </cfRule>
  </conditionalFormatting>
  <conditionalFormatting sqref="N48:O48">
    <cfRule type="expression" dxfId="107" priority="125">
      <formula>#REF!="54≠55+56+57+58+59+60+61"</formula>
    </cfRule>
  </conditionalFormatting>
  <conditionalFormatting sqref="W48:X48">
    <cfRule type="expression" dxfId="106" priority="122">
      <formula>#REF!="54≠55+56+57+58+59+60+61"</formula>
    </cfRule>
  </conditionalFormatting>
  <conditionalFormatting sqref="AF48:AG48">
    <cfRule type="expression" dxfId="105" priority="119">
      <formula>#REF!="54≠55+56+57+58+59+60+61"</formula>
    </cfRule>
  </conditionalFormatting>
  <conditionalFormatting sqref="AI48:AJ48">
    <cfRule type="expression" dxfId="104" priority="118">
      <formula>#REF!="54≠55+56+57+58+59+60+61"</formula>
    </cfRule>
  </conditionalFormatting>
  <conditionalFormatting sqref="Z11">
    <cfRule type="expression" dxfId="103" priority="108">
      <formula>#REF!="11≠12+15+18+19+21+22"</formula>
    </cfRule>
  </conditionalFormatting>
  <conditionalFormatting sqref="Z23">
    <cfRule type="expression" dxfId="102" priority="109">
      <formula>#REF!="23≠24+27+30+31+33+34"</formula>
    </cfRule>
  </conditionalFormatting>
  <conditionalFormatting sqref="Z35">
    <cfRule type="expression" dxfId="101" priority="110">
      <formula>#REF!="35≠36+37+38+39"</formula>
    </cfRule>
  </conditionalFormatting>
  <conditionalFormatting sqref="Z42">
    <cfRule type="expression" dxfId="100" priority="111">
      <formula>#REF!="48≠49+50+51"</formula>
    </cfRule>
  </conditionalFormatting>
  <conditionalFormatting sqref="AF11">
    <cfRule type="expression" dxfId="99" priority="101">
      <formula>#REF!="11≠12+15+18+19+21+22"</formula>
    </cfRule>
  </conditionalFormatting>
  <conditionalFormatting sqref="AF23">
    <cfRule type="expression" dxfId="98" priority="100">
      <formula>#REF!="23≠24+27+30+31+33+34"</formula>
    </cfRule>
  </conditionalFormatting>
  <conditionalFormatting sqref="AF35">
    <cfRule type="expression" dxfId="97" priority="106">
      <formula>#REF!="35≠36+37+38+39"</formula>
    </cfRule>
  </conditionalFormatting>
  <conditionalFormatting sqref="AF42">
    <cfRule type="expression" dxfId="96" priority="107">
      <formula>#REF!="48≠49+50+51"</formula>
    </cfRule>
  </conditionalFormatting>
  <conditionalFormatting sqref="H11">
    <cfRule type="expression" dxfId="95" priority="82">
      <formula>#REF!="11≠12+15+18+19+21+22"</formula>
    </cfRule>
  </conditionalFormatting>
  <conditionalFormatting sqref="H23">
    <cfRule type="expression" dxfId="94" priority="83">
      <formula>#REF!="23≠24+27+30+31+33+34"</formula>
    </cfRule>
  </conditionalFormatting>
  <conditionalFormatting sqref="H35">
    <cfRule type="expression" dxfId="93" priority="84">
      <formula>#REF!="35≠36+37+38+39"</formula>
    </cfRule>
  </conditionalFormatting>
  <conditionalFormatting sqref="H41">
    <cfRule type="expression" dxfId="92" priority="85">
      <formula>#REF!="48≠49+50+51"</formula>
    </cfRule>
  </conditionalFormatting>
  <conditionalFormatting sqref="E11">
    <cfRule type="expression" dxfId="91" priority="50">
      <formula>#REF!="11≠12+15+18+19+21+22"</formula>
    </cfRule>
  </conditionalFormatting>
  <conditionalFormatting sqref="E23">
    <cfRule type="expression" dxfId="90" priority="51">
      <formula>#REF!="23≠24+27+30+31+33+34"</formula>
    </cfRule>
  </conditionalFormatting>
  <conditionalFormatting sqref="E35">
    <cfRule type="expression" dxfId="89" priority="52">
      <formula>#REF!="35≠36+37+38+39"</formula>
    </cfRule>
  </conditionalFormatting>
  <conditionalFormatting sqref="E42">
    <cfRule type="expression" dxfId="88" priority="53">
      <formula>#REF!="48≠49+50+51"</formula>
    </cfRule>
  </conditionalFormatting>
  <conditionalFormatting sqref="AC11">
    <cfRule type="expression" dxfId="87" priority="40">
      <formula>#REF!="11≠12+15+18+19+21+22"</formula>
    </cfRule>
  </conditionalFormatting>
  <conditionalFormatting sqref="AC23">
    <cfRule type="expression" dxfId="86" priority="41">
      <formula>#REF!="23≠24+27+30+31+33+34"</formula>
    </cfRule>
  </conditionalFormatting>
  <conditionalFormatting sqref="AC35">
    <cfRule type="expression" dxfId="85" priority="42">
      <formula>#REF!="35≠36+37+38+39"</formula>
    </cfRule>
  </conditionalFormatting>
  <conditionalFormatting sqref="AC42">
    <cfRule type="expression" dxfId="84" priority="43">
      <formula>#REF!="48≠49+50+51"</formula>
    </cfRule>
  </conditionalFormatting>
  <conditionalFormatting sqref="Q11">
    <cfRule type="expression" dxfId="83" priority="30">
      <formula>#REF!="11≠12+15+18+19+21+22"</formula>
    </cfRule>
  </conditionalFormatting>
  <conditionalFormatting sqref="Q23">
    <cfRule type="expression" dxfId="82" priority="31">
      <formula>#REF!="23≠24+27+30+31+33+34"</formula>
    </cfRule>
  </conditionalFormatting>
  <conditionalFormatting sqref="Q35">
    <cfRule type="expression" dxfId="81" priority="32">
      <formula>#REF!="35≠36+37+38+39"</formula>
    </cfRule>
  </conditionalFormatting>
  <conditionalFormatting sqref="Q42">
    <cfRule type="expression" dxfId="80" priority="33">
      <formula>#REF!="48≠49+50+51"</formula>
    </cfRule>
  </conditionalFormatting>
  <conditionalFormatting sqref="B11">
    <cfRule type="expression" dxfId="79" priority="22">
      <formula>#REF!="11≠12+15+18+19+21+22"</formula>
    </cfRule>
  </conditionalFormatting>
  <conditionalFormatting sqref="B23">
    <cfRule type="expression" dxfId="78" priority="23">
      <formula>#REF!="23≠24+27+30+31+33+34"</formula>
    </cfRule>
  </conditionalFormatting>
  <conditionalFormatting sqref="B35">
    <cfRule type="expression" dxfId="77" priority="24">
      <formula>#REF!="35≠36+37+38+39"</formula>
    </cfRule>
  </conditionalFormatting>
  <conditionalFormatting sqref="B42">
    <cfRule type="expression" dxfId="76" priority="25">
      <formula>#REF!="48≠49+50+51"</formula>
    </cfRule>
  </conditionalFormatting>
  <conditionalFormatting sqref="K11">
    <cfRule type="expression" dxfId="75" priority="11">
      <formula>#REF!="11≠12+15+18+19+21+22"</formula>
    </cfRule>
  </conditionalFormatting>
  <conditionalFormatting sqref="K23">
    <cfRule type="expression" dxfId="74" priority="12">
      <formula>#REF!="23≠24+27+30+31+33+34"</formula>
    </cfRule>
  </conditionalFormatting>
  <conditionalFormatting sqref="K35">
    <cfRule type="expression" dxfId="73" priority="13">
      <formula>#REF!="35≠36+37+38+39"</formula>
    </cfRule>
  </conditionalFormatting>
  <conditionalFormatting sqref="K42">
    <cfRule type="expression" dxfId="72" priority="14">
      <formula>#REF!="48≠49+50+51"</formula>
    </cfRule>
  </conditionalFormatting>
  <conditionalFormatting sqref="T42">
    <cfRule type="expression" dxfId="71" priority="1">
      <formula>#REF!="48≠49+50+51"</formula>
    </cfRule>
  </conditionalFormatting>
  <conditionalFormatting sqref="T11">
    <cfRule type="expression" dxfId="70" priority="2">
      <formula>#REF!="11≠12+15+18+19+21+22"</formula>
    </cfRule>
  </conditionalFormatting>
  <conditionalFormatting sqref="T23">
    <cfRule type="expression" dxfId="69" priority="3">
      <formula>#REF!="23≠24+27+30+31+33+34"</formula>
    </cfRule>
  </conditionalFormatting>
  <conditionalFormatting sqref="T35">
    <cfRule type="expression" dxfId="68" priority="4">
      <formula>#REF!="35≠36+37+38+39"</formula>
    </cfRule>
  </conditionalFormatting>
  <conditionalFormatting sqref="O11 X11 AA11 AG11 F11 AD11 R11 C11 AL11:AM55 L11 U11">
    <cfRule type="expression" dxfId="67" priority="1653">
      <formula>#REF!="11≠12+15+18+19+21+22"</formula>
    </cfRule>
  </conditionalFormatting>
  <conditionalFormatting sqref="AH48 Z48:AA48 E48:F48 AC48:AD48 Q48:R48 K48:L48 T48:U48">
    <cfRule type="expression" dxfId="66" priority="1655">
      <formula>#REF!="54≠55+56+57+58+59+60+61"</formula>
    </cfRule>
  </conditionalFormatting>
  <conditionalFormatting sqref="O23 X23 AA23 AG23 F23 AD23 R23 C23 L23 U23">
    <cfRule type="expression" dxfId="65" priority="1657">
      <formula>#REF!="23≠24+27+30+31+33+34"</formula>
    </cfRule>
  </conditionalFormatting>
  <conditionalFormatting sqref="O35 X35 AA35 AG35 F35 AD35 R35 C35 L35 U35">
    <cfRule type="expression" dxfId="64" priority="1658">
      <formula>#REF!="35≠36+37+38+39"</formula>
    </cfRule>
  </conditionalFormatting>
  <conditionalFormatting sqref="O42 X42 AA42 AG42 F42 AD42 R42 C42 L42 U42">
    <cfRule type="expression" dxfId="63" priority="1659">
      <formula>#REF!="48≠49+50+51"</formula>
    </cfRule>
  </conditionalFormatting>
  <conditionalFormatting sqref="I11 AI11:AJ11">
    <cfRule type="expression" dxfId="62" priority="1674">
      <formula>#REF!="11≠12+15+18+19+21+22"</formula>
    </cfRule>
  </conditionalFormatting>
  <conditionalFormatting sqref="I23 AI23:AJ23">
    <cfRule type="expression" dxfId="61" priority="1675">
      <formula>#REF!="23≠24+27+30+31+33+34"</formula>
    </cfRule>
  </conditionalFormatting>
  <conditionalFormatting sqref="I35 AI35:AJ35">
    <cfRule type="expression" dxfId="60" priority="1676">
      <formula>#REF!="35≠36+37+38+39"</formula>
    </cfRule>
  </conditionalFormatting>
  <conditionalFormatting sqref="I41 AI41:AJ41">
    <cfRule type="expression" dxfId="59" priority="1677">
      <formula>#REF!="48≠49+50+51"</formula>
    </cfRule>
  </conditionalFormatting>
  <hyperlinks>
    <hyperlink ref="B1" location="Innhold!A1" display="Tilbake" xr:uid="{00000000-0004-0000-23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3" manualBreakCount="3">
    <brk id="13" min="1" max="63" man="1"/>
    <brk id="34" min="1" max="63" man="1"/>
    <brk id="37" min="1"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sheetView>
  </sheetViews>
  <sheetFormatPr baseColWidth="10" defaultColWidth="11.42578125" defaultRowHeight="12.75" x14ac:dyDescent="0.2"/>
  <cols>
    <col min="1" max="1" width="49" style="86" customWidth="1"/>
    <col min="2" max="3" width="15.7109375" style="86" customWidth="1"/>
    <col min="4" max="4" width="8.7109375" style="86" customWidth="1"/>
    <col min="5" max="5" width="12.140625" style="86" bestFit="1" customWidth="1"/>
    <col min="6" max="6" width="4.7109375" style="86" customWidth="1"/>
    <col min="7" max="7" width="18.42578125" style="86" customWidth="1"/>
    <col min="8" max="8" width="17.7109375" style="86" customWidth="1"/>
    <col min="9" max="9" width="8.7109375" style="86" customWidth="1"/>
    <col min="10" max="10" width="12.140625" style="86" bestFit="1" customWidth="1"/>
    <col min="11" max="11" width="13.42578125" style="86" hidden="1" customWidth="1"/>
    <col min="12" max="12" width="14.7109375" style="187" hidden="1" customWidth="1"/>
    <col min="13" max="13" width="13.7109375" style="187" hidden="1" customWidth="1"/>
    <col min="14" max="15" width="15.7109375" style="187" hidden="1" customWidth="1"/>
    <col min="16" max="16" width="11.42578125" style="86" hidden="1" customWidth="1"/>
    <col min="17" max="19" width="11.42578125" style="86" customWidth="1"/>
    <col min="20" max="16384" width="11.42578125" style="86"/>
  </cols>
  <sheetData>
    <row r="1" spans="1:16" ht="20.25" x14ac:dyDescent="0.3">
      <c r="A1" s="79" t="s">
        <v>75</v>
      </c>
      <c r="B1" s="73" t="s">
        <v>52</v>
      </c>
      <c r="C1" s="74"/>
      <c r="D1" s="74"/>
      <c r="E1" s="74"/>
      <c r="F1" s="74"/>
      <c r="G1" s="74"/>
      <c r="H1" s="74"/>
      <c r="I1" s="74"/>
      <c r="J1" s="74"/>
      <c r="K1" s="74"/>
    </row>
    <row r="2" spans="1:16" ht="20.25" x14ac:dyDescent="0.3">
      <c r="A2" s="79" t="s">
        <v>76</v>
      </c>
      <c r="B2" s="74"/>
      <c r="C2" s="74"/>
      <c r="D2" s="74"/>
      <c r="E2" s="74"/>
      <c r="F2" s="74"/>
      <c r="G2" s="74"/>
      <c r="H2" s="74"/>
      <c r="I2" s="74"/>
      <c r="J2" s="74"/>
      <c r="K2" s="74"/>
    </row>
    <row r="3" spans="1:16" ht="18.75" x14ac:dyDescent="0.3">
      <c r="A3" s="989" t="s">
        <v>77</v>
      </c>
      <c r="B3" s="989"/>
      <c r="C3" s="74"/>
      <c r="D3" s="74"/>
      <c r="E3" s="74"/>
      <c r="F3" s="74"/>
      <c r="G3" s="74"/>
      <c r="H3" s="74"/>
      <c r="I3" s="74"/>
      <c r="J3" s="74"/>
      <c r="K3" s="74"/>
    </row>
    <row r="4" spans="1:16" ht="18.75" x14ac:dyDescent="0.3">
      <c r="A4" s="81" t="s">
        <v>347</v>
      </c>
      <c r="B4" s="82"/>
      <c r="C4" s="83"/>
      <c r="D4" s="83"/>
      <c r="E4" s="84"/>
      <c r="F4" s="85"/>
      <c r="G4" s="82"/>
      <c r="H4" s="83"/>
      <c r="I4" s="83"/>
      <c r="J4" s="84"/>
      <c r="K4" s="111"/>
      <c r="L4" s="210"/>
      <c r="M4" s="211"/>
      <c r="N4" s="212"/>
      <c r="O4" s="211"/>
    </row>
    <row r="5" spans="1:16" ht="22.5" x14ac:dyDescent="0.3">
      <c r="A5" s="87"/>
      <c r="B5" s="990" t="s">
        <v>78</v>
      </c>
      <c r="C5" s="991"/>
      <c r="D5" s="991"/>
      <c r="E5" s="992"/>
      <c r="F5" s="89"/>
      <c r="G5" s="990" t="s">
        <v>454</v>
      </c>
      <c r="H5" s="991"/>
      <c r="I5" s="991"/>
      <c r="J5" s="992"/>
      <c r="K5" s="88"/>
      <c r="L5" s="993" t="s">
        <v>132</v>
      </c>
      <c r="M5" s="988"/>
      <c r="N5" s="987" t="s">
        <v>133</v>
      </c>
      <c r="O5" s="988"/>
    </row>
    <row r="6" spans="1:16" ht="18.75" x14ac:dyDescent="0.3">
      <c r="A6" s="90"/>
      <c r="B6" s="91"/>
      <c r="C6" s="92"/>
      <c r="D6" s="92" t="s">
        <v>79</v>
      </c>
      <c r="E6" s="93" t="s">
        <v>29</v>
      </c>
      <c r="F6" s="94"/>
      <c r="G6" s="91"/>
      <c r="H6" s="92"/>
      <c r="I6" s="92" t="s">
        <v>79</v>
      </c>
      <c r="J6" s="93" t="s">
        <v>29</v>
      </c>
      <c r="K6" s="99"/>
      <c r="L6" s="213"/>
      <c r="M6" s="214"/>
      <c r="N6" s="215"/>
      <c r="O6" s="214"/>
    </row>
    <row r="7" spans="1:16" ht="15.75" x14ac:dyDescent="0.25">
      <c r="A7" s="95" t="s">
        <v>80</v>
      </c>
      <c r="B7" s="96">
        <v>2021</v>
      </c>
      <c r="C7" s="96">
        <v>2022</v>
      </c>
      <c r="D7" s="97" t="s">
        <v>81</v>
      </c>
      <c r="E7" s="98" t="s">
        <v>30</v>
      </c>
      <c r="F7" s="94"/>
      <c r="G7" s="96">
        <v>2021</v>
      </c>
      <c r="H7" s="96">
        <v>2022</v>
      </c>
      <c r="I7" s="97" t="s">
        <v>81</v>
      </c>
      <c r="J7" s="98" t="s">
        <v>30</v>
      </c>
      <c r="K7" s="99"/>
      <c r="L7" s="216">
        <v>2015</v>
      </c>
      <c r="M7" s="217">
        <v>2016</v>
      </c>
      <c r="N7" s="218">
        <v>2015</v>
      </c>
      <c r="O7" s="217">
        <v>2016</v>
      </c>
      <c r="P7" s="86" t="s">
        <v>136</v>
      </c>
    </row>
    <row r="8" spans="1:16" ht="18.75" x14ac:dyDescent="0.3">
      <c r="A8" s="100" t="s">
        <v>0</v>
      </c>
      <c r="B8" s="128"/>
      <c r="C8" s="102"/>
      <c r="D8" s="103"/>
      <c r="E8" s="409"/>
      <c r="F8" s="176"/>
      <c r="G8" s="128"/>
      <c r="H8" s="128"/>
      <c r="I8" s="102"/>
      <c r="J8" s="409"/>
      <c r="K8" s="138"/>
      <c r="L8" s="219" t="s">
        <v>0</v>
      </c>
      <c r="M8" s="220"/>
      <c r="N8" s="221"/>
      <c r="O8" s="220"/>
      <c r="P8" s="86" t="s">
        <v>144</v>
      </c>
    </row>
    <row r="9" spans="1:16" ht="18.75" x14ac:dyDescent="0.3">
      <c r="A9" s="192" t="s">
        <v>471</v>
      </c>
      <c r="B9" s="176">
        <f>'Codan Forsikring'!B7+'Codan Forsikring'!B22+'Codan Forsikring'!B36+'Codan Forsikring'!B47+'Codan Forsikring'!B66+'Codan Forsikring'!B134</f>
        <v>82704</v>
      </c>
      <c r="C9" s="176">
        <f>'Codan Forsikring'!C7+'Codan Forsikring'!C22+'Codan Forsikring'!C36+'Codan Forsikring'!C47+'Codan Forsikring'!C66+'Codan Forsikring'!C134</f>
        <v>0</v>
      </c>
      <c r="D9" s="103">
        <f t="shared" ref="D9" si="0">IF(B9=0, "    ---- ", IF(ABS(ROUND(100/B9*C9-100,1))&lt;999,ROUND(100/B9*C9-100,1),IF(ROUND(100/B9*C9-100,1)&gt;999,999,-999)))</f>
        <v>-100</v>
      </c>
      <c r="E9" s="409">
        <f t="shared" ref="E9:E33" si="1">100/C$34*C9</f>
        <v>0</v>
      </c>
      <c r="F9" s="102"/>
      <c r="G9" s="176">
        <f>'Codan Forsikring'!B10+'Codan Forsikring'!B29+'Codan Forsikring'!B37+'Codan Forsikring'!B87+'Codan Forsikring'!B135</f>
        <v>0</v>
      </c>
      <c r="H9" s="176">
        <f>'Codan Forsikring'!C10+'Codan Forsikring'!C29+'Codan Forsikring'!C37+'Codan Forsikring'!C87+'Codan Forsikring'!C135</f>
        <v>0</v>
      </c>
      <c r="I9" s="103"/>
      <c r="J9" s="411">
        <f>100/H$34*H9</f>
        <v>0</v>
      </c>
      <c r="K9" s="138"/>
      <c r="L9" s="219"/>
      <c r="M9" s="220"/>
      <c r="N9" s="222"/>
      <c r="O9" s="220"/>
    </row>
    <row r="10" spans="1:16" ht="18.75" x14ac:dyDescent="0.3">
      <c r="A10" s="192" t="s">
        <v>515</v>
      </c>
      <c r="B10" s="176">
        <f>'Storebrand Danica Pensjon'!B7+'Storebrand Danica Pensjon'!B22+'Storebrand Danica Pensjon'!B36+'Storebrand Danica Pensjon'!B47+'Storebrand Danica Pensjon'!B66+'Storebrand Danica Pensjon'!B134</f>
        <v>434013.95000000007</v>
      </c>
      <c r="C10" s="176">
        <f>'Storebrand Danica Pensjon'!C7+'Storebrand Danica Pensjon'!C22+'Storebrand Danica Pensjon'!C36+'Storebrand Danica Pensjon'!C47+'Storebrand Danica Pensjon'!C66+'Storebrand Danica Pensjon'!C134</f>
        <v>446524.26718999993</v>
      </c>
      <c r="D10" s="103">
        <f t="shared" ref="D10:D32" si="2">IF(B10=0, "    ---- ", IF(ABS(ROUND(100/B10*C10-100,1))&lt;999,ROUND(100/B10*C10-100,1),IF(ROUND(100/B10*C10-100,1)&gt;999,999,-999)))</f>
        <v>2.9</v>
      </c>
      <c r="E10" s="409">
        <f t="shared" si="1"/>
        <v>0.55665475956288579</v>
      </c>
      <c r="F10" s="102"/>
      <c r="G10" s="176">
        <f>'Storebrand Danica Pensjon'!B10+'Storebrand Danica Pensjon'!B29+'Storebrand Danica Pensjon'!B37+'Storebrand Danica Pensjon'!B87+'Storebrand Danica Pensjon'!B135</f>
        <v>1398802.868</v>
      </c>
      <c r="H10" s="176">
        <f>'Storebrand Danica Pensjon'!C10+'Storebrand Danica Pensjon'!C29+'Storebrand Danica Pensjon'!C37+'Storebrand Danica Pensjon'!C87+'Storebrand Danica Pensjon'!C135</f>
        <v>1474107.35818</v>
      </c>
      <c r="I10" s="103">
        <f t="shared" ref="I10:I29" si="3">IF(G10=0, "    ---- ", IF(ABS(ROUND(100/G10*H10-100,1))&lt;999,ROUND(100/G10*H10-100,1),IF(ROUND(100/G10*H10-100,1)&gt;999,999,-999)))</f>
        <v>5.4</v>
      </c>
      <c r="J10" s="411">
        <f t="shared" ref="J10:J33" si="4">100/H$34*H10</f>
        <v>0.11918334522425644</v>
      </c>
      <c r="K10" s="206" t="s">
        <v>140</v>
      </c>
      <c r="L10" s="222" t="e">
        <f ca="1">INDIRECT("'" &amp;#REF! &amp; "'!" &amp; $P$7)</f>
        <v>#REF!</v>
      </c>
      <c r="M10" s="220" t="e">
        <f ca="1">INDIRECT("'" &amp;#REF! &amp; "'!" &amp; $P$8)</f>
        <v>#REF!</v>
      </c>
      <c r="N10" s="222" t="e">
        <f ca="1">INDIRECT("'" &amp;#REF! &amp; "'!" &amp; $P$10)</f>
        <v>#REF!</v>
      </c>
      <c r="O10" s="220" t="e">
        <f ca="1">INDIRECT("'" &amp;#REF! &amp; "'!" &amp; $P$11)</f>
        <v>#REF!</v>
      </c>
      <c r="P10" s="86" t="s">
        <v>147</v>
      </c>
    </row>
    <row r="11" spans="1:16" ht="18.75" x14ac:dyDescent="0.3">
      <c r="A11" s="192" t="s">
        <v>82</v>
      </c>
      <c r="B11" s="176">
        <f>'DNB Livsforsikring'!B7+'DNB Livsforsikring'!B22+'DNB Livsforsikring'!B36+'DNB Livsforsikring'!B47+'DNB Livsforsikring'!B66+'DNB Livsforsikring'!B134</f>
        <v>3243248.1995000001</v>
      </c>
      <c r="C11" s="176">
        <f>'DNB Livsforsikring'!C7+'DNB Livsforsikring'!C22+'DNB Livsforsikring'!C36+'DNB Livsforsikring'!C47+'DNB Livsforsikring'!C66+'DNB Livsforsikring'!C134</f>
        <v>3309302.7250000001</v>
      </c>
      <c r="D11" s="103">
        <f t="shared" si="2"/>
        <v>2</v>
      </c>
      <c r="E11" s="409">
        <f t="shared" si="1"/>
        <v>4.1255072748864317</v>
      </c>
      <c r="F11" s="102"/>
      <c r="G11" s="176">
        <f>'DNB Livsforsikring'!B10+'DNB Livsforsikring'!B29+'DNB Livsforsikring'!B37+'DNB Livsforsikring'!B87+'DNB Livsforsikring'!B135</f>
        <v>193517916</v>
      </c>
      <c r="H11" s="176">
        <f>'DNB Livsforsikring'!C10+'DNB Livsforsikring'!C29+'DNB Livsforsikring'!C37+'DNB Livsforsikring'!C87+'DNB Livsforsikring'!C135</f>
        <v>187258081.98107001</v>
      </c>
      <c r="I11" s="103">
        <f t="shared" si="3"/>
        <v>-3.2</v>
      </c>
      <c r="J11" s="411">
        <f t="shared" si="4"/>
        <v>15.140040178848883</v>
      </c>
      <c r="K11" s="207" t="s">
        <v>141</v>
      </c>
      <c r="L11" s="222">
        <f ca="1">INDIRECT("'" &amp; $A10 &amp; "'!" &amp; $P$7)</f>
        <v>0</v>
      </c>
      <c r="M11" s="220">
        <f ca="1">INDIRECT("'" &amp; $A10 &amp; "'!" &amp; $P$8)</f>
        <v>0</v>
      </c>
      <c r="N11" s="222">
        <f ca="1">INDIRECT("'" &amp; $A10 &amp; "'!" &amp; $P$10)</f>
        <v>0</v>
      </c>
      <c r="O11" s="220">
        <f ca="1">INDIRECT("'" &amp; $A10 &amp; "'!" &amp; $P$11)</f>
        <v>0</v>
      </c>
      <c r="P11" s="86" t="s">
        <v>152</v>
      </c>
    </row>
    <row r="12" spans="1:16" ht="18.75" x14ac:dyDescent="0.3">
      <c r="A12" s="192" t="s">
        <v>83</v>
      </c>
      <c r="B12" s="176">
        <f>'Eika Forsikring AS'!B7+'Eika Forsikring AS'!B22+'Eika Forsikring AS'!B36+'Eika Forsikring AS'!B47+'Eika Forsikring AS'!B66+'Eika Forsikring AS'!B134</f>
        <v>375779</v>
      </c>
      <c r="C12" s="176">
        <f>'Eika Forsikring AS'!C7+'Eika Forsikring AS'!C22+'Eika Forsikring AS'!C36+'Eika Forsikring AS'!C47+'Eika Forsikring AS'!C66+'Eika Forsikring AS'!C134</f>
        <v>422091</v>
      </c>
      <c r="D12" s="103">
        <f t="shared" si="2"/>
        <v>12.3</v>
      </c>
      <c r="E12" s="409">
        <f t="shared" si="1"/>
        <v>0.52619528519080672</v>
      </c>
      <c r="F12" s="102"/>
      <c r="G12" s="176">
        <f>'Eika Forsikring AS'!B10+'Eika Forsikring AS'!B29+'Eika Forsikring AS'!B37+'Eika Forsikring AS'!B87+'Eika Forsikring AS'!B135</f>
        <v>572507</v>
      </c>
      <c r="H12" s="176">
        <f>'Eika Forsikring AS'!C10+'Eika Forsikring AS'!C29+'Eika Forsikring AS'!C37+'Eika Forsikring AS'!C87+'Eika Forsikring AS'!C135</f>
        <v>620181</v>
      </c>
      <c r="I12" s="103">
        <f t="shared" si="3"/>
        <v>8.3000000000000007</v>
      </c>
      <c r="J12" s="411">
        <f t="shared" si="4"/>
        <v>5.0142376546972608E-2</v>
      </c>
      <c r="K12" s="86" t="s">
        <v>134</v>
      </c>
      <c r="L12" s="222">
        <f ca="1">INDIRECT("'" &amp; $A11 &amp; "'!" &amp; $P$7)</f>
        <v>0</v>
      </c>
      <c r="M12" s="220">
        <f ca="1">INDIRECT("'" &amp; $A11 &amp; "'!" &amp; $P$8)</f>
        <v>0</v>
      </c>
      <c r="N12" s="222">
        <f ca="1">INDIRECT("'" &amp; $A11 &amp; "'!" &amp; $P$10)</f>
        <v>0</v>
      </c>
      <c r="O12" s="220">
        <f ca="1">INDIRECT("'" &amp; $A11 &amp; "'!" &amp; $P$11)</f>
        <v>0</v>
      </c>
    </row>
    <row r="13" spans="1:16" ht="18.75" x14ac:dyDescent="0.3">
      <c r="A13" s="192" t="s">
        <v>472</v>
      </c>
      <c r="B13" s="176">
        <f>'Euro Accident'!B7+'Euro Accident'!B22+'Euro Accident'!B36+'Euro Accident'!B47+'Euro Accident'!B66+'Euro Accident'!B134</f>
        <v>10960</v>
      </c>
      <c r="C13" s="176">
        <f>'Euro Accident'!C7+'Euro Accident'!C22+'Euro Accident'!C36+'Euro Accident'!C47+'Euro Accident'!C66+'Euro Accident'!C134</f>
        <v>32885</v>
      </c>
      <c r="D13" s="103">
        <f t="shared" ref="D13" si="5">IF(B13=0, "    ---- ", IF(ABS(ROUND(100/B13*C13-100,1))&lt;999,ROUND(100/B13*C13-100,1),IF(ROUND(100/B13*C13-100,1)&gt;999,999,-999)))</f>
        <v>200</v>
      </c>
      <c r="E13" s="409">
        <f t="shared" si="1"/>
        <v>4.0995737775739546E-2</v>
      </c>
      <c r="F13" s="102"/>
      <c r="G13" s="176">
        <f>'Euro Accident'!B10+'Euro Accident'!B29+'Euro Accident'!B37+'Euro Accident'!B87+'Euro Accident'!B135</f>
        <v>0</v>
      </c>
      <c r="H13" s="176">
        <f>'Euro Accident'!C10+'Euro Accident'!C29+'Euro Accident'!C37+'Euro Accident'!C87+'Euro Accident'!C135</f>
        <v>0</v>
      </c>
      <c r="I13" s="103"/>
      <c r="J13" s="411">
        <f t="shared" si="4"/>
        <v>0</v>
      </c>
      <c r="L13" s="222"/>
      <c r="M13" s="220"/>
      <c r="N13" s="222"/>
      <c r="O13" s="220"/>
    </row>
    <row r="14" spans="1:16" ht="18.75" x14ac:dyDescent="0.3">
      <c r="A14" s="107" t="s">
        <v>459</v>
      </c>
      <c r="B14" s="176">
        <f>'Fremtind Livsforsikring'!B7+'Fremtind Livsforsikring'!B22+'Fremtind Livsforsikring'!B36+'Fremtind Livsforsikring'!B47+'Fremtind Livsforsikring'!B66+'Fremtind Livsforsikring'!B134</f>
        <v>3074791.8314700001</v>
      </c>
      <c r="C14" s="176">
        <f>'Fremtind Livsforsikring'!C7+'Fremtind Livsforsikring'!C22+'Fremtind Livsforsikring'!C36+'Fremtind Livsforsikring'!C47+'Fremtind Livsforsikring'!C66+'Fremtind Livsforsikring'!C134</f>
        <v>3294986.7741700001</v>
      </c>
      <c r="D14" s="103">
        <f t="shared" si="2"/>
        <v>7.2</v>
      </c>
      <c r="E14" s="409">
        <f t="shared" si="1"/>
        <v>4.1076604460514901</v>
      </c>
      <c r="F14" s="102"/>
      <c r="G14" s="176">
        <f>'Fremtind Livsforsikring'!B10+'Fremtind Livsforsikring'!B29+'Fremtind Livsforsikring'!B37+'Fremtind Livsforsikring'!B87+'Fremtind Livsforsikring'!B135</f>
        <v>4274504.1585400002</v>
      </c>
      <c r="H14" s="176">
        <f>'Fremtind Livsforsikring'!C10+'Fremtind Livsforsikring'!C29+'Fremtind Livsforsikring'!C37+'Fremtind Livsforsikring'!C87+'Fremtind Livsforsikring'!C135</f>
        <v>4825016.0006900001</v>
      </c>
      <c r="I14" s="103">
        <f t="shared" si="3"/>
        <v>12.9</v>
      </c>
      <c r="J14" s="411">
        <f t="shared" si="4"/>
        <v>0.39010832184759908</v>
      </c>
      <c r="K14" s="86" t="s">
        <v>142</v>
      </c>
      <c r="L14" s="222">
        <f ca="1">INDIRECT("'" &amp; $A12 &amp; "'!" &amp; $P$7)</f>
        <v>0</v>
      </c>
      <c r="M14" s="220">
        <f ca="1">INDIRECT("'" &amp; $A12 &amp; "'!" &amp; $P$8)</f>
        <v>0</v>
      </c>
      <c r="N14" s="222">
        <f ca="1">INDIRECT("'" &amp; $A12 &amp; "'!" &amp; $P$10)</f>
        <v>0</v>
      </c>
      <c r="O14" s="220">
        <f ca="1">INDIRECT("'" &amp; $A12 &amp; "'!" &amp; $P$11)</f>
        <v>0</v>
      </c>
    </row>
    <row r="15" spans="1:16" ht="18.75" x14ac:dyDescent="0.3">
      <c r="A15" s="192" t="s">
        <v>84</v>
      </c>
      <c r="B15" s="177">
        <f>'Frende Livsforsikring'!B7+'Frende Livsforsikring'!B22+'Frende Livsforsikring'!B36+'Frende Livsforsikring'!B47+'Frende Livsforsikring'!B66+'Frende Livsforsikring'!B134</f>
        <v>458515</v>
      </c>
      <c r="C15" s="177">
        <f>'Frende Livsforsikring'!C7+'Frende Livsforsikring'!C22+'Frende Livsforsikring'!C36+'Frende Livsforsikring'!C47+'Frende Livsforsikring'!C66+'Frende Livsforsikring'!C134</f>
        <v>505151</v>
      </c>
      <c r="D15" s="103">
        <f t="shared" si="2"/>
        <v>10.199999999999999</v>
      </c>
      <c r="E15" s="409">
        <f t="shared" si="1"/>
        <v>0.62974115655017804</v>
      </c>
      <c r="F15" s="102"/>
      <c r="G15" s="176">
        <f>'Frende Livsforsikring'!B10+'Frende Livsforsikring'!B29+'Frende Livsforsikring'!B37+'Frende Livsforsikring'!B87+'Frende Livsforsikring'!B135</f>
        <v>1050219</v>
      </c>
      <c r="H15" s="176">
        <f>'Frende Livsforsikring'!C10+'Frende Livsforsikring'!C29+'Frende Livsforsikring'!C37+'Frende Livsforsikring'!C87+'Frende Livsforsikring'!C135</f>
        <v>1264588</v>
      </c>
      <c r="I15" s="103">
        <f t="shared" si="3"/>
        <v>20.399999999999999</v>
      </c>
      <c r="J15" s="411">
        <f t="shared" si="4"/>
        <v>0.10224345420576089</v>
      </c>
      <c r="L15" s="222"/>
      <c r="M15" s="220"/>
      <c r="N15" s="222"/>
      <c r="O15" s="220"/>
    </row>
    <row r="16" spans="1:16" ht="18.75" x14ac:dyDescent="0.3">
      <c r="A16" s="192" t="s">
        <v>85</v>
      </c>
      <c r="B16" s="176">
        <f>'Frende Skadeforsikring'!B7+'Frende Skadeforsikring'!B22+'Frende Skadeforsikring'!B36+'Frende Skadeforsikring'!B47+'Frende Skadeforsikring'!B66+'Frende Skadeforsikring'!B134</f>
        <v>7999.02</v>
      </c>
      <c r="C16" s="176">
        <f>'Frende Skadeforsikring'!C7+'Frende Skadeforsikring'!C22+'Frende Skadeforsikring'!C36+'Frende Skadeforsikring'!C47+'Frende Skadeforsikring'!C66+'Frende Skadeforsikring'!C134</f>
        <v>9115.4689999999991</v>
      </c>
      <c r="D16" s="103">
        <f t="shared" si="2"/>
        <v>14</v>
      </c>
      <c r="E16" s="409">
        <f t="shared" si="1"/>
        <v>1.1363703111658286E-2</v>
      </c>
      <c r="F16" s="102"/>
      <c r="G16" s="176">
        <f>'Frende Skadeforsikring'!B10+'Frende Skadeforsikring'!B29+'Frende Skadeforsikring'!B37+'Frende Skadeforsikring'!B87+'Frende Skadeforsikring'!B135</f>
        <v>0</v>
      </c>
      <c r="H16" s="176">
        <f>'Frende Skadeforsikring'!C10+'Frende Skadeforsikring'!C29+'Frende Skadeforsikring'!C37+'Frende Skadeforsikring'!C87+'Frende Skadeforsikring'!C135</f>
        <v>0</v>
      </c>
      <c r="I16" s="103"/>
      <c r="J16" s="411">
        <f t="shared" si="4"/>
        <v>0</v>
      </c>
      <c r="K16" s="86" t="s">
        <v>135</v>
      </c>
      <c r="L16" s="222">
        <f t="shared" ref="L16:L32" ca="1" si="6">INDIRECT("'" &amp; $A15 &amp; "'!" &amp; $P$7)</f>
        <v>0</v>
      </c>
      <c r="M16" s="220">
        <f t="shared" ref="M16:M32" ca="1" si="7">INDIRECT("'" &amp; $A15 &amp; "'!" &amp; $P$8)</f>
        <v>0</v>
      </c>
      <c r="N16" s="222">
        <f t="shared" ref="N16:N32" ca="1" si="8">INDIRECT("'" &amp; $A15 &amp; "'!" &amp; $P$10)</f>
        <v>0</v>
      </c>
      <c r="O16" s="220">
        <f t="shared" ref="O16:O32" ca="1" si="9">INDIRECT("'" &amp; $A15 &amp; "'!" &amp; $P$11)</f>
        <v>0</v>
      </c>
    </row>
    <row r="17" spans="1:18" ht="18.75" x14ac:dyDescent="0.3">
      <c r="A17" s="192" t="s">
        <v>86</v>
      </c>
      <c r="B17" s="176">
        <f>'Gjensidige Forsikring'!B7+'Gjensidige Forsikring'!B22+'Gjensidige Forsikring'!B36+'Gjensidige Forsikring'!B47+'Gjensidige Forsikring'!B66+'Gjensidige Forsikring'!B134</f>
        <v>1910669.1639999999</v>
      </c>
      <c r="C17" s="176">
        <f>'Gjensidige Forsikring'!C7+'Gjensidige Forsikring'!C22+'Gjensidige Forsikring'!C36+'Gjensidige Forsikring'!C47+'Gjensidige Forsikring'!C66+'Gjensidige Forsikring'!C134</f>
        <v>2060959.4780000001</v>
      </c>
      <c r="D17" s="103">
        <f t="shared" si="2"/>
        <v>7.9</v>
      </c>
      <c r="E17" s="409">
        <f t="shared" si="1"/>
        <v>2.5692733564395032</v>
      </c>
      <c r="F17" s="102"/>
      <c r="G17" s="176">
        <f>'Gjensidige Forsikring'!B10+'Gjensidige Forsikring'!B29+'Gjensidige Forsikring'!B37+'Gjensidige Forsikring'!B87+'Gjensidige Forsikring'!B135</f>
        <v>1138879</v>
      </c>
      <c r="H17" s="176">
        <f>'Gjensidige Forsikring'!C10+'Gjensidige Forsikring'!C29+'Gjensidige Forsikring'!C37+'Gjensidige Forsikring'!C87+'Gjensidige Forsikring'!C135</f>
        <v>1222155.4060398501</v>
      </c>
      <c r="I17" s="103">
        <f t="shared" si="3"/>
        <v>7.3</v>
      </c>
      <c r="J17" s="411">
        <f t="shared" si="4"/>
        <v>9.881272816898351E-2</v>
      </c>
      <c r="K17" s="86" t="s">
        <v>143</v>
      </c>
      <c r="L17" s="222">
        <f t="shared" ca="1" si="6"/>
        <v>0</v>
      </c>
      <c r="M17" s="220">
        <f t="shared" ca="1" si="7"/>
        <v>0</v>
      </c>
      <c r="N17" s="222">
        <f t="shared" ca="1" si="8"/>
        <v>0</v>
      </c>
      <c r="O17" s="220">
        <f t="shared" ca="1" si="9"/>
        <v>0</v>
      </c>
    </row>
    <row r="18" spans="1:18" ht="18.75" x14ac:dyDescent="0.3">
      <c r="A18" s="192" t="s">
        <v>87</v>
      </c>
      <c r="B18" s="176">
        <f>'Gjensidige Pensjon'!B7+'Gjensidige Pensjon'!B22+'Gjensidige Pensjon'!B36+'Gjensidige Pensjon'!B47+'Gjensidige Pensjon'!B66+'Gjensidige Pensjon'!B134</f>
        <v>726294</v>
      </c>
      <c r="C18" s="176">
        <f>'Gjensidige Pensjon'!C7+'Gjensidige Pensjon'!C22+'Gjensidige Pensjon'!C36+'Gjensidige Pensjon'!C47+'Gjensidige Pensjon'!C66+'Gjensidige Pensjon'!C134</f>
        <v>822113</v>
      </c>
      <c r="D18" s="103">
        <f t="shared" si="2"/>
        <v>13.2</v>
      </c>
      <c r="E18" s="409">
        <f t="shared" si="1"/>
        <v>1.0248784847202848</v>
      </c>
      <c r="F18" s="102"/>
      <c r="G18" s="176">
        <f>'Gjensidige Pensjon'!B10+'Gjensidige Pensjon'!B29+'Gjensidige Pensjon'!B37+'Gjensidige Pensjon'!B87+'Gjensidige Pensjon'!B135</f>
        <v>8230173</v>
      </c>
      <c r="H18" s="176">
        <f>'Gjensidige Pensjon'!C10+'Gjensidige Pensjon'!C29+'Gjensidige Pensjon'!C37+'Gjensidige Pensjon'!C87+'Gjensidige Pensjon'!C135</f>
        <v>8842879</v>
      </c>
      <c r="I18" s="103">
        <f t="shared" si="3"/>
        <v>7.4</v>
      </c>
      <c r="J18" s="411">
        <f t="shared" si="4"/>
        <v>0.71495735692856854</v>
      </c>
      <c r="K18" s="86" t="s">
        <v>136</v>
      </c>
      <c r="L18" s="222">
        <f t="shared" ca="1" si="6"/>
        <v>0</v>
      </c>
      <c r="M18" s="220">
        <f t="shared" ca="1" si="7"/>
        <v>0</v>
      </c>
      <c r="N18" s="222">
        <f t="shared" ca="1" si="8"/>
        <v>0</v>
      </c>
      <c r="O18" s="220">
        <f t="shared" ca="1" si="9"/>
        <v>0</v>
      </c>
    </row>
    <row r="19" spans="1:18" ht="18.75" x14ac:dyDescent="0.3">
      <c r="A19" s="192" t="s">
        <v>88</v>
      </c>
      <c r="B19" s="176">
        <f>'Handelsbanken Liv'!B7+'Handelsbanken Liv'!B22+'Handelsbanken Liv'!B36+'Handelsbanken Liv'!B47+'Handelsbanken Liv'!B66+'Handelsbanken Liv'!B134</f>
        <v>34165.241999999998</v>
      </c>
      <c r="C19" s="176">
        <f>'Handelsbanken Liv'!C7+'Handelsbanken Liv'!C22+'Handelsbanken Liv'!C36+'Handelsbanken Liv'!C47+'Handelsbanken Liv'!C66+'Handelsbanken Liv'!C134</f>
        <v>37620.57</v>
      </c>
      <c r="D19" s="103">
        <f t="shared" si="2"/>
        <v>10.1</v>
      </c>
      <c r="E19" s="409">
        <f t="shared" si="1"/>
        <v>4.6899286078572411E-2</v>
      </c>
      <c r="F19" s="102"/>
      <c r="G19" s="176">
        <f>'Handelsbanken Liv'!B10+'Handelsbanken Liv'!B29+'Handelsbanken Liv'!B37+'Handelsbanken Liv'!B87+'Handelsbanken Liv'!B135</f>
        <v>22010.537</v>
      </c>
      <c r="H19" s="176">
        <f>'Handelsbanken Liv'!C10+'Handelsbanken Liv'!C29+'Handelsbanken Liv'!C37+'Handelsbanken Liv'!C87+'Handelsbanken Liv'!C135</f>
        <v>15305</v>
      </c>
      <c r="I19" s="103">
        <f t="shared" si="3"/>
        <v>-30.5</v>
      </c>
      <c r="J19" s="411">
        <f t="shared" si="4"/>
        <v>1.2374275784834037E-3</v>
      </c>
      <c r="K19" s="86" t="s">
        <v>144</v>
      </c>
      <c r="L19" s="222">
        <f t="shared" ca="1" si="6"/>
        <v>0</v>
      </c>
      <c r="M19" s="220">
        <f t="shared" ca="1" si="7"/>
        <v>0</v>
      </c>
      <c r="N19" s="222">
        <f t="shared" ca="1" si="8"/>
        <v>0</v>
      </c>
      <c r="O19" s="220">
        <f t="shared" ca="1" si="9"/>
        <v>0</v>
      </c>
    </row>
    <row r="20" spans="1:18" ht="18.75" x14ac:dyDescent="0.3">
      <c r="A20" s="192" t="s">
        <v>89</v>
      </c>
      <c r="B20" s="176">
        <f>'If Skadeforsikring NUF'!B7+'If Skadeforsikring NUF'!B22+'If Skadeforsikring NUF'!B36+'If Skadeforsikring NUF'!B47+'If Skadeforsikring NUF'!B66+'If Skadeforsikring NUF'!B134</f>
        <v>535456.72047683294</v>
      </c>
      <c r="C20" s="176">
        <f>'If Skadeforsikring NUF'!C7+'If Skadeforsikring NUF'!C22+'If Skadeforsikring NUF'!C36+'If Skadeforsikring NUF'!C47+'If Skadeforsikring NUF'!C66+'If Skadeforsikring NUF'!C134</f>
        <v>594471.87462945096</v>
      </c>
      <c r="D20" s="103">
        <f t="shared" si="2"/>
        <v>11</v>
      </c>
      <c r="E20" s="409">
        <f t="shared" si="1"/>
        <v>0.74109208111179214</v>
      </c>
      <c r="F20" s="102"/>
      <c r="G20" s="176">
        <f>'If Skadeforsikring NUF'!B10+'If Skadeforsikring NUF'!B29+'If Skadeforsikring NUF'!B37+'If Skadeforsikring NUF'!B87+'If Skadeforsikring NUF'!B135</f>
        <v>556565.27800000005</v>
      </c>
      <c r="H20" s="176">
        <f>'If Skadeforsikring NUF'!C10+'If Skadeforsikring NUF'!C29+'If Skadeforsikring NUF'!C37+'If Skadeforsikring NUF'!C87+'If Skadeforsikring NUF'!C135</f>
        <v>549814.80638066796</v>
      </c>
      <c r="I20" s="103">
        <f t="shared" si="3"/>
        <v>-1.2</v>
      </c>
      <c r="J20" s="411">
        <f t="shared" si="4"/>
        <v>4.445318552590339E-2</v>
      </c>
      <c r="K20" s="138"/>
      <c r="L20" s="222">
        <f t="shared" ca="1" si="6"/>
        <v>0</v>
      </c>
      <c r="M20" s="220">
        <f t="shared" ca="1" si="7"/>
        <v>0</v>
      </c>
      <c r="N20" s="222">
        <f t="shared" ca="1" si="8"/>
        <v>0</v>
      </c>
      <c r="O20" s="220">
        <f t="shared" ca="1" si="9"/>
        <v>0</v>
      </c>
    </row>
    <row r="21" spans="1:18" ht="18.75" x14ac:dyDescent="0.3">
      <c r="A21" s="192" t="s">
        <v>63</v>
      </c>
      <c r="B21" s="176">
        <f>KLP!B7+KLP!B22+KLP!B36+KLP!B47+KLP!B66+KLP!B134</f>
        <v>50026045.50818</v>
      </c>
      <c r="C21" s="176">
        <f>KLP!C7+KLP!C22+KLP!C36+KLP!C47+KLP!C66+KLP!C134</f>
        <v>49973107.937069997</v>
      </c>
      <c r="D21" s="103">
        <f t="shared" si="2"/>
        <v>-0.1</v>
      </c>
      <c r="E21" s="409">
        <f t="shared" si="1"/>
        <v>62.29844697664133</v>
      </c>
      <c r="F21" s="102"/>
      <c r="G21" s="176">
        <f>KLP!B10+KLP!B29+KLP!B37+KLP!B87+KLP!B135</f>
        <v>574122994.44806004</v>
      </c>
      <c r="H21" s="176">
        <f>KLP!C10+KLP!C29+KLP!C37+KLP!C87+KLP!C135</f>
        <v>651711055.01066995</v>
      </c>
      <c r="I21" s="103">
        <f t="shared" si="3"/>
        <v>13.5</v>
      </c>
      <c r="J21" s="411">
        <f t="shared" si="4"/>
        <v>52.691619253362795</v>
      </c>
      <c r="K21" s="138"/>
      <c r="L21" s="222" t="e">
        <f ca="1">INDIRECT("'" &amp;#REF! &amp; "'!" &amp; $P$7)</f>
        <v>#REF!</v>
      </c>
      <c r="M21" s="220" t="e">
        <f ca="1">INDIRECT("'" &amp;#REF! &amp; "'!" &amp; $P$8)</f>
        <v>#REF!</v>
      </c>
      <c r="N21" s="222" t="e">
        <f ca="1">INDIRECT("'" &amp;#REF! &amp; "'!" &amp; $P$10)</f>
        <v>#REF!</v>
      </c>
      <c r="O21" s="220" t="e">
        <f ca="1">INDIRECT("'" &amp;#REF! &amp; "'!" &amp; $P$11)</f>
        <v>#REF!</v>
      </c>
    </row>
    <row r="22" spans="1:18" ht="18.75" x14ac:dyDescent="0.3">
      <c r="A22" s="107" t="s">
        <v>90</v>
      </c>
      <c r="B22" s="176">
        <f>'KLP Skadeforsikring AS'!B7+'KLP Skadeforsikring AS'!B22+'KLP Skadeforsikring AS'!B36+'KLP Skadeforsikring AS'!B47+'KLP Skadeforsikring AS'!B66+'KLP Skadeforsikring AS'!B134</f>
        <v>253776.878</v>
      </c>
      <c r="C22" s="176">
        <f>'KLP Skadeforsikring AS'!C7+'KLP Skadeforsikring AS'!C22+'KLP Skadeforsikring AS'!C36+'KLP Skadeforsikring AS'!C47+'KLP Skadeforsikring AS'!C66+'KLP Skadeforsikring AS'!C134</f>
        <v>318629.58999999997</v>
      </c>
      <c r="D22" s="103">
        <f t="shared" si="2"/>
        <v>25.6</v>
      </c>
      <c r="E22" s="409">
        <f t="shared" si="1"/>
        <v>0.39721621162327508</v>
      </c>
      <c r="F22" s="102"/>
      <c r="G22" s="176">
        <f>'KLP Skadeforsikring AS'!B10+'KLP Skadeforsikring AS'!B29+'KLP Skadeforsikring AS'!B37+'KLP Skadeforsikring AS'!B87+'KLP Skadeforsikring AS'!B135</f>
        <v>72087.316999999995</v>
      </c>
      <c r="H22" s="176">
        <f>'KLP Skadeforsikring AS'!C10+'KLP Skadeforsikring AS'!C29+'KLP Skadeforsikring AS'!C37+'KLP Skadeforsikring AS'!C87+'KLP Skadeforsikring AS'!C135</f>
        <v>105413.077</v>
      </c>
      <c r="I22" s="103">
        <f t="shared" si="3"/>
        <v>46.2</v>
      </c>
      <c r="J22" s="411">
        <f t="shared" si="4"/>
        <v>8.5227735127471147E-3</v>
      </c>
      <c r="K22" s="138"/>
      <c r="L22" s="222">
        <f ca="1">INDIRECT("'" &amp; $A33 &amp; "'!" &amp; $P$7)</f>
        <v>0</v>
      </c>
      <c r="M22" s="220">
        <f ca="1">INDIRECT("'" &amp; $A33 &amp; "'!" &amp; $P$8)</f>
        <v>0</v>
      </c>
      <c r="N22" s="222">
        <f ca="1">INDIRECT("'" &amp; $A33 &amp; "'!" &amp; $P$10)</f>
        <v>0</v>
      </c>
      <c r="O22" s="220">
        <f ca="1">INDIRECT("'" &amp; $A33 &amp; "'!" &amp; $P$11)</f>
        <v>0</v>
      </c>
    </row>
    <row r="23" spans="1:18" ht="18.75" x14ac:dyDescent="0.3">
      <c r="A23" s="107" t="s">
        <v>466</v>
      </c>
      <c r="B23" s="176">
        <f>'Landkreditt Forsikring'!B7+'Landkreditt Forsikring'!B22+'Landkreditt Forsikring'!B36+'Landkreditt Forsikring'!B47+'Landkreditt Forsikring'!B66+'Landkreditt Forsikring'!B134</f>
        <v>112320</v>
      </c>
      <c r="C23" s="176">
        <f>'Landkreditt Forsikring'!C7+'Landkreditt Forsikring'!C22+'Landkreditt Forsikring'!C36+'Landkreditt Forsikring'!C47+'Landkreditt Forsikring'!C66+'Landkreditt Forsikring'!C134</f>
        <v>101798</v>
      </c>
      <c r="D23" s="103">
        <f t="shared" si="2"/>
        <v>-9.4</v>
      </c>
      <c r="E23" s="409">
        <f t="shared" si="1"/>
        <v>0.12690540106719581</v>
      </c>
      <c r="F23" s="102"/>
      <c r="G23" s="176">
        <f>'Landkreditt Forsikring'!B10+'Landkreditt Forsikring'!B29+'Landkreditt Forsikring'!B37+'Landkreditt Forsikring'!B87+'Landkreditt Forsikring'!B135</f>
        <v>0</v>
      </c>
      <c r="H23" s="176">
        <f>'Landkreditt Forsikring'!C10+'Landkreditt Forsikring'!C29+'Landkreditt Forsikring'!C37+'Landkreditt Forsikring'!C87+'Landkreditt Forsikring'!C135</f>
        <v>0</v>
      </c>
      <c r="I23" s="103"/>
      <c r="J23" s="411">
        <f t="shared" si="4"/>
        <v>0</v>
      </c>
      <c r="K23" s="138"/>
      <c r="L23" s="222">
        <f t="shared" ca="1" si="6"/>
        <v>0</v>
      </c>
      <c r="M23" s="220">
        <f t="shared" ca="1" si="7"/>
        <v>0</v>
      </c>
      <c r="N23" s="222">
        <f t="shared" ca="1" si="8"/>
        <v>0</v>
      </c>
      <c r="O23" s="220">
        <f t="shared" ca="1" si="9"/>
        <v>0</v>
      </c>
    </row>
    <row r="24" spans="1:18" ht="18.75" x14ac:dyDescent="0.3">
      <c r="A24" s="107" t="s">
        <v>476</v>
      </c>
      <c r="B24" s="176">
        <f>'Ly Forsikring'!B7+'Ly Forsikring'!B22+'Ly Forsikring'!B36+'Ly Forsikring'!B47+'Ly Forsikring'!B66+'Ly Forsikring'!B134</f>
        <v>0</v>
      </c>
      <c r="C24" s="176">
        <f>'Ly Forsikring'!C7+'Ly Forsikring'!C22+'Ly Forsikring'!C36+'Ly Forsikring'!C47+'Ly Forsikring'!C66+'Ly Forsikring'!C134</f>
        <v>22009</v>
      </c>
      <c r="D24" s="103" t="str">
        <f t="shared" ref="D24" si="10">IF(B24=0, "    ---- ", IF(ABS(ROUND(100/B24*C24-100,1))&lt;999,ROUND(100/B24*C24-100,1),IF(ROUND(100/B24*C24-100,1)&gt;999,999,-999)))</f>
        <v xml:space="preserve">    ---- </v>
      </c>
      <c r="E24" s="409">
        <f t="shared" si="1"/>
        <v>2.7437287295309462E-2</v>
      </c>
      <c r="F24" s="102"/>
      <c r="G24" s="176">
        <f>'Ly Forsikring'!B10+'Ly Forsikring'!B29+'Ly Forsikring'!B37+'Ly Forsikring'!B87+'Ly Forsikring'!B135</f>
        <v>0</v>
      </c>
      <c r="H24" s="176">
        <f>'Ly Forsikring'!C10+'Ly Forsikring'!C29+'Ly Forsikring'!C37+'Ly Forsikring'!C87+'Ly Forsikring'!C135</f>
        <v>0</v>
      </c>
      <c r="I24" s="103"/>
      <c r="J24" s="411">
        <f t="shared" si="4"/>
        <v>0</v>
      </c>
      <c r="K24" s="138"/>
      <c r="L24" s="222"/>
      <c r="M24" s="220"/>
      <c r="N24" s="222"/>
      <c r="O24" s="220"/>
    </row>
    <row r="25" spans="1:18" ht="18.75" x14ac:dyDescent="0.3">
      <c r="A25" s="107" t="s">
        <v>91</v>
      </c>
      <c r="B25" s="176">
        <f>'Nordea Liv '!B7+'Nordea Liv '!B22+'Nordea Liv '!B36+'Nordea Liv '!B47+'Nordea Liv '!B66+'Nordea Liv '!B134</f>
        <v>1552615</v>
      </c>
      <c r="C25" s="176">
        <f>'Nordea Liv '!C7+'Nordea Liv '!C22+'Nordea Liv '!C36+'Nordea Liv '!C47+'Nordea Liv '!C66+'Nordea Liv '!C134</f>
        <v>1622443.7601219299</v>
      </c>
      <c r="D25" s="103">
        <f t="shared" si="2"/>
        <v>4.5</v>
      </c>
      <c r="E25" s="409">
        <f t="shared" si="1"/>
        <v>2.0226023702552385</v>
      </c>
      <c r="F25" s="102"/>
      <c r="G25" s="177">
        <f>'Nordea Liv '!B10+'Nordea Liv '!B29+'Nordea Liv '!B37+'Nordea Liv '!B87+'Nordea Liv '!B135</f>
        <v>55808862</v>
      </c>
      <c r="H25" s="177">
        <f>'Nordea Liv '!C10+'Nordea Liv '!C29+'Nordea Liv '!C37+'Nordea Liv '!C87+'Nordea Liv '!C135</f>
        <v>54578179.999995381</v>
      </c>
      <c r="I25" s="103">
        <f t="shared" si="3"/>
        <v>-2.2000000000000002</v>
      </c>
      <c r="J25" s="411">
        <f t="shared" si="4"/>
        <v>4.4127112130300956</v>
      </c>
      <c r="K25" s="138"/>
      <c r="L25" s="222">
        <f ca="1">INDIRECT("'" &amp; $A23 &amp; "'!" &amp; $P$7)</f>
        <v>0</v>
      </c>
      <c r="M25" s="220">
        <f ca="1">INDIRECT("'" &amp; $A23 &amp; "'!" &amp; $P$8)</f>
        <v>0</v>
      </c>
      <c r="N25" s="222">
        <f ca="1">INDIRECT("'" &amp; $A23 &amp; "'!" &amp; $P$10)</f>
        <v>0</v>
      </c>
      <c r="O25" s="220">
        <f ca="1">INDIRECT("'" &amp; $A23 &amp; "'!" &amp; $P$11)</f>
        <v>0</v>
      </c>
    </row>
    <row r="26" spans="1:18" ht="18.75" x14ac:dyDescent="0.3">
      <c r="A26" s="107" t="s">
        <v>92</v>
      </c>
      <c r="B26" s="176">
        <f>'Oslo Pensjonsforsikring'!B7+'Oslo Pensjonsforsikring'!B22+'Oslo Pensjonsforsikring'!B36+'Oslo Pensjonsforsikring'!B47+'Oslo Pensjonsforsikring'!B66+'Oslo Pensjonsforsikring'!B134</f>
        <v>7476722</v>
      </c>
      <c r="C26" s="176">
        <f>'Oslo Pensjonsforsikring'!C7+'Oslo Pensjonsforsikring'!C22+'Oslo Pensjonsforsikring'!C36+'Oslo Pensjonsforsikring'!C47+'Oslo Pensjonsforsikring'!C66+'Oslo Pensjonsforsikring'!C134</f>
        <v>8323811</v>
      </c>
      <c r="D26" s="103">
        <f t="shared" si="2"/>
        <v>11.3</v>
      </c>
      <c r="E26" s="409">
        <f t="shared" si="1"/>
        <v>10.37679103088996</v>
      </c>
      <c r="F26" s="102"/>
      <c r="G26" s="176">
        <f>'Oslo Pensjonsforsikring'!B10+'Oslo Pensjonsforsikring'!B29+'Oslo Pensjonsforsikring'!B37+'Oslo Pensjonsforsikring'!B87+'Oslo Pensjonsforsikring'!B135</f>
        <v>102259830</v>
      </c>
      <c r="H26" s="176">
        <f>'Oslo Pensjonsforsikring'!C10+'Oslo Pensjonsforsikring'!C29+'Oslo Pensjonsforsikring'!C37+'Oslo Pensjonsforsikring'!C87+'Oslo Pensjonsforsikring'!C135</f>
        <v>106050686</v>
      </c>
      <c r="I26" s="103">
        <f t="shared" si="3"/>
        <v>3.7</v>
      </c>
      <c r="J26" s="411">
        <f t="shared" si="4"/>
        <v>8.5743249639649655</v>
      </c>
      <c r="K26" s="138"/>
      <c r="L26" s="222">
        <f t="shared" ca="1" si="6"/>
        <v>0</v>
      </c>
      <c r="M26" s="220">
        <f t="shared" ca="1" si="7"/>
        <v>0</v>
      </c>
      <c r="N26" s="222">
        <f t="shared" ca="1" si="8"/>
        <v>0</v>
      </c>
      <c r="O26" s="220">
        <f t="shared" ca="1" si="9"/>
        <v>0</v>
      </c>
    </row>
    <row r="27" spans="1:18" ht="18.75" x14ac:dyDescent="0.3">
      <c r="A27" s="107" t="s">
        <v>425</v>
      </c>
      <c r="B27" s="176">
        <f>'Protector Forsikring'!B7+'Protector Forsikring'!B22+'Protector Forsikring'!B36+'Protector Forsikring'!B47+'Protector Forsikring'!B66+'Protector Forsikring'!B134</f>
        <v>331132.55263506202</v>
      </c>
      <c r="C27" s="176">
        <f>'Protector Forsikring'!C7+'Protector Forsikring'!C22+'Protector Forsikring'!C36+'Protector Forsikring'!C47+'Protector Forsikring'!C66+'Protector Forsikring'!C134</f>
        <v>356049.57687832625</v>
      </c>
      <c r="D27" s="103">
        <f t="shared" si="2"/>
        <v>7.5</v>
      </c>
      <c r="E27" s="409">
        <f t="shared" si="1"/>
        <v>0.44386544287264346</v>
      </c>
      <c r="F27" s="102"/>
      <c r="G27" s="176">
        <f>'Protector Forsikring'!B10+'Protector Forsikring'!B29+'Protector Forsikring'!B37+'Protector Forsikring'!B87+'Protector Forsikring'!B135</f>
        <v>0</v>
      </c>
      <c r="H27" s="176">
        <f>'Protector Forsikring'!C10+'Protector Forsikring'!C29+'Protector Forsikring'!C37+'Protector Forsikring'!C87+'Protector Forsikring'!C135</f>
        <v>0</v>
      </c>
      <c r="I27" s="103"/>
      <c r="J27" s="411">
        <f t="shared" si="4"/>
        <v>0</v>
      </c>
      <c r="K27" s="138"/>
      <c r="L27" s="222">
        <f t="shared" ca="1" si="6"/>
        <v>0</v>
      </c>
      <c r="M27" s="220">
        <f t="shared" ca="1" si="7"/>
        <v>0</v>
      </c>
      <c r="N27" s="222">
        <f t="shared" ca="1" si="8"/>
        <v>0</v>
      </c>
      <c r="O27" s="220">
        <f t="shared" ca="1" si="9"/>
        <v>0</v>
      </c>
    </row>
    <row r="28" spans="1:18" ht="18.75" x14ac:dyDescent="0.3">
      <c r="A28" s="192" t="s">
        <v>475</v>
      </c>
      <c r="B28" s="176">
        <f>'Sparebank 1 Forsikring'!B7+'Sparebank 1 Forsikring'!B22+'Sparebank 1 Forsikring'!B36+'Sparebank 1 Forsikring'!B47+'Sparebank 1 Forsikring'!B66+'Sparebank 1 Forsikring'!B134</f>
        <v>799976.18833000003</v>
      </c>
      <c r="C28" s="176">
        <f>'Sparebank 1 Forsikring'!C7+'Sparebank 1 Forsikring'!C22+'Sparebank 1 Forsikring'!C36+'Sparebank 1 Forsikring'!C47+'Sparebank 1 Forsikring'!C66+'Sparebank 1 Forsikring'!C134</f>
        <v>803617.72874000005</v>
      </c>
      <c r="D28" s="103">
        <f t="shared" si="2"/>
        <v>0.5</v>
      </c>
      <c r="E28" s="409">
        <f t="shared" si="1"/>
        <v>1.0018215502314256</v>
      </c>
      <c r="F28" s="102"/>
      <c r="G28" s="176">
        <f>'Sparebank 1 Forsikring'!B10+'Sparebank 1 Forsikring'!B29+'Sparebank 1 Forsikring'!B37+'Sparebank 1 Forsikring'!B87+'Sparebank 1 Forsikring'!B135</f>
        <v>20710069.296859998</v>
      </c>
      <c r="H28" s="176">
        <f>'Sparebank 1 Forsikring'!C10+'Sparebank 1 Forsikring'!C29+'Sparebank 1 Forsikring'!C37+'Sparebank 1 Forsikring'!C87+'Sparebank 1 Forsikring'!C135</f>
        <v>20441957</v>
      </c>
      <c r="I28" s="103">
        <f t="shared" si="3"/>
        <v>-1.3</v>
      </c>
      <c r="J28" s="411">
        <f t="shared" si="4"/>
        <v>1.6527567036897657</v>
      </c>
      <c r="K28" s="138"/>
      <c r="L28" s="222">
        <f t="shared" ca="1" si="6"/>
        <v>0</v>
      </c>
      <c r="M28" s="220">
        <f t="shared" ca="1" si="7"/>
        <v>0</v>
      </c>
      <c r="N28" s="222">
        <f t="shared" ca="1" si="8"/>
        <v>0</v>
      </c>
      <c r="O28" s="220">
        <f t="shared" ca="1" si="9"/>
        <v>0</v>
      </c>
    </row>
    <row r="29" spans="1:18" ht="18.75" x14ac:dyDescent="0.3">
      <c r="A29" s="107" t="s">
        <v>93</v>
      </c>
      <c r="B29" s="176">
        <f>'Storebrand Livsforsikring'!B7+'Storebrand Livsforsikring'!B22+'Storebrand Livsforsikring'!B36+'Storebrand Livsforsikring'!B47+'Storebrand Livsforsikring'!B66+'Storebrand Livsforsikring'!B134</f>
        <v>5938754.0609999998</v>
      </c>
      <c r="C29" s="176">
        <f>'Storebrand Livsforsikring'!C7+'Storebrand Livsforsikring'!C22+'Storebrand Livsforsikring'!C36+'Storebrand Livsforsikring'!C47+'Storebrand Livsforsikring'!C66+'Storebrand Livsforsikring'!C134</f>
        <v>6462440.2763999999</v>
      </c>
      <c r="D29" s="103">
        <f t="shared" si="2"/>
        <v>8.8000000000000007</v>
      </c>
      <c r="E29" s="409">
        <f t="shared" si="1"/>
        <v>8.0563328861995487</v>
      </c>
      <c r="F29" s="102"/>
      <c r="G29" s="176">
        <f>'Storebrand Livsforsikring'!B10+'Storebrand Livsforsikring'!B29+'Storebrand Livsforsikring'!B37+'Storebrand Livsforsikring'!B87+'Storebrand Livsforsikring'!B135</f>
        <v>196253398.08000004</v>
      </c>
      <c r="H29" s="176">
        <f>'Storebrand Livsforsikring'!C10+'Storebrand Livsforsikring'!C29+'Storebrand Livsforsikring'!C37+'Storebrand Livsforsikring'!C87+'Storebrand Livsforsikring'!C135</f>
        <v>197874814.02292997</v>
      </c>
      <c r="I29" s="103">
        <f t="shared" si="3"/>
        <v>0.8</v>
      </c>
      <c r="J29" s="411">
        <f t="shared" si="4"/>
        <v>15.998415678487296</v>
      </c>
      <c r="K29" s="138"/>
      <c r="L29" s="222">
        <f t="shared" ca="1" si="6"/>
        <v>0</v>
      </c>
      <c r="M29" s="220">
        <f t="shared" ca="1" si="7"/>
        <v>0</v>
      </c>
      <c r="N29" s="222">
        <f t="shared" ca="1" si="8"/>
        <v>0</v>
      </c>
      <c r="O29" s="220">
        <f t="shared" ca="1" si="9"/>
        <v>0</v>
      </c>
    </row>
    <row r="30" spans="1:18" ht="18.75" x14ac:dyDescent="0.3">
      <c r="A30" s="107" t="s">
        <v>94</v>
      </c>
      <c r="B30" s="176">
        <f>'Telenor Forsikring'!B7+'Telenor Forsikring'!B22+'Telenor Forsikring'!B36+'Telenor Forsikring'!B47+'Telenor Forsikring'!B66+'Telenor Forsikring'!B134</f>
        <v>1344</v>
      </c>
      <c r="C30" s="176">
        <f>'Telenor Forsikring'!C7+'Telenor Forsikring'!C22+'Telenor Forsikring'!C36+'Telenor Forsikring'!C47+'Telenor Forsikring'!C66+'Telenor Forsikring'!C134</f>
        <v>8426</v>
      </c>
      <c r="D30" s="103">
        <f t="shared" si="2"/>
        <v>526.9</v>
      </c>
      <c r="E30" s="409">
        <f t="shared" si="1"/>
        <v>1.0504183867975716E-2</v>
      </c>
      <c r="F30" s="102"/>
      <c r="G30" s="176">
        <f>'Telenor Forsikring'!B10+'Telenor Forsikring'!B29+'Telenor Forsikring'!B37+'Telenor Forsikring'!B87+'Telenor Forsikring'!B135</f>
        <v>0</v>
      </c>
      <c r="H30" s="176">
        <f>'Telenor Forsikring'!C10+'Telenor Forsikring'!C29+'Telenor Forsikring'!C37+'Telenor Forsikring'!C87+'Telenor Forsikring'!C135</f>
        <v>0</v>
      </c>
      <c r="I30" s="103"/>
      <c r="J30" s="411">
        <f t="shared" si="4"/>
        <v>0</v>
      </c>
      <c r="K30" s="138"/>
      <c r="L30" s="222">
        <f t="shared" ca="1" si="6"/>
        <v>0</v>
      </c>
      <c r="M30" s="220">
        <f t="shared" ca="1" si="7"/>
        <v>0</v>
      </c>
      <c r="N30" s="222">
        <f t="shared" ca="1" si="8"/>
        <v>0</v>
      </c>
      <c r="O30" s="220">
        <f t="shared" ca="1" si="9"/>
        <v>0</v>
      </c>
      <c r="R30" s="754"/>
    </row>
    <row r="31" spans="1:18" ht="18.75" x14ac:dyDescent="0.3">
      <c r="A31" s="107" t="s">
        <v>95</v>
      </c>
      <c r="B31" s="176">
        <f>'Tryg Forsikring'!B7+'Tryg Forsikring'!B22+'Tryg Forsikring'!B36+'Tryg Forsikring'!B47+'Tryg Forsikring'!B66+'Tryg Forsikring'!B134</f>
        <v>589319.00377000007</v>
      </c>
      <c r="C31" s="176">
        <f>'Tryg Forsikring'!C7+'Tryg Forsikring'!C22+'Tryg Forsikring'!C36+'Tryg Forsikring'!C47+'Tryg Forsikring'!C66+'Tryg Forsikring'!C134</f>
        <v>683873</v>
      </c>
      <c r="D31" s="103">
        <f t="shared" si="2"/>
        <v>16</v>
      </c>
      <c r="E31" s="409">
        <f t="shared" si="1"/>
        <v>0.85254304941183912</v>
      </c>
      <c r="F31" s="102"/>
      <c r="G31" s="982"/>
      <c r="I31" s="103"/>
      <c r="J31" s="411">
        <f t="shared" si="4"/>
        <v>0</v>
      </c>
      <c r="K31" s="206"/>
      <c r="L31" s="222">
        <f t="shared" ca="1" si="6"/>
        <v>0</v>
      </c>
      <c r="M31" s="220">
        <f t="shared" ca="1" si="7"/>
        <v>0</v>
      </c>
      <c r="N31" s="222">
        <f t="shared" ca="1" si="8"/>
        <v>0</v>
      </c>
      <c r="O31" s="220">
        <f t="shared" ca="1" si="9"/>
        <v>0</v>
      </c>
    </row>
    <row r="32" spans="1:18" ht="18.75" x14ac:dyDescent="0.3">
      <c r="A32" s="192" t="s">
        <v>469</v>
      </c>
      <c r="B32" s="176">
        <f>'WaterCircles F'!B7+'WaterCircles F'!B22+'WaterCircles F'!B36+'WaterCircles F'!B47+'WaterCircles F'!B66+'WaterCircles F'!B136</f>
        <v>1909</v>
      </c>
      <c r="C32" s="176">
        <f>'WaterCircles F'!C7+'WaterCircles F'!C22+'WaterCircles F'!C36+'WaterCircles F'!C47+'WaterCircles F'!C66+'WaterCircles F'!C136</f>
        <v>2052</v>
      </c>
      <c r="D32" s="103">
        <f t="shared" si="2"/>
        <v>7.5</v>
      </c>
      <c r="E32" s="409">
        <f t="shared" si="1"/>
        <v>2.55810411785974E-3</v>
      </c>
      <c r="F32" s="192"/>
      <c r="G32" s="102">
        <f>'WaterCircles F'!B10+'WaterCircles F'!B29+'WaterCircles F'!B37+'WaterCircles F'!B87+'WaterCircles F'!B135</f>
        <v>0</v>
      </c>
      <c r="H32" s="102">
        <f>'WaterCircles F'!C10+'WaterCircles F'!C29+'WaterCircles F'!C37+'WaterCircles F'!C87+'WaterCircles F'!C135</f>
        <v>0</v>
      </c>
      <c r="I32" s="103"/>
      <c r="J32" s="411">
        <f t="shared" si="4"/>
        <v>0</v>
      </c>
      <c r="K32" s="206"/>
      <c r="L32" s="222">
        <f t="shared" ca="1" si="6"/>
        <v>0</v>
      </c>
      <c r="M32" s="220">
        <f t="shared" ca="1" si="7"/>
        <v>0</v>
      </c>
      <c r="N32" s="222">
        <f t="shared" ca="1" si="8"/>
        <v>0</v>
      </c>
      <c r="O32" s="220">
        <f t="shared" ca="1" si="9"/>
        <v>0</v>
      </c>
    </row>
    <row r="33" spans="1:21" ht="18.75" x14ac:dyDescent="0.3">
      <c r="A33" s="107" t="s">
        <v>477</v>
      </c>
      <c r="B33" s="176">
        <f>'Youplus Livsforsikring'!B7+'Youplus Livsforsikring'!B22+'Youplus Livsforsikring'!B36+'Youplus Livsforsikring'!B47+'Youplus Livsforsikring'!B66+'Youplus Livsforsikring'!B134</f>
        <v>0</v>
      </c>
      <c r="C33" s="176">
        <f>'Youplus Livsforsikring'!C7+'Youplus Livsforsikring'!C22+'Youplus Livsforsikring'!C36+'Youplus Livsforsikring'!C47+'Youplus Livsforsikring'!C66+'Youplus Livsforsikring'!C134</f>
        <v>2177</v>
      </c>
      <c r="D33" s="103" t="str">
        <f>IF(B33=0, "    ---- ", IF(ABS(ROUND(100/B33*C33-100,1))&lt;999,ROUND(100/B33*C33-100,1),IF(ROUND(100/B33*C33-100,1)&gt;999,999,-999)))</f>
        <v xml:space="preserve">    ---- </v>
      </c>
      <c r="E33" s="409">
        <f t="shared" si="1"/>
        <v>2.7139340470665953E-3</v>
      </c>
      <c r="F33" s="102"/>
      <c r="G33" s="176">
        <f>'Youplus Livsforsikring'!B10+'Youplus Livsforsikring'!B29+'Youplus Livsforsikring'!B37+'Youplus Livsforsikring'!B87+'Youplus Livsforsikring'!B135</f>
        <v>0</v>
      </c>
      <c r="H33" s="176">
        <f>'Youplus Livsforsikring'!C10+'Youplus Livsforsikring'!C29+'Youplus Livsforsikring'!C37+'Youplus Livsforsikring'!C87+'Youplus Livsforsikring'!C135</f>
        <v>5826</v>
      </c>
      <c r="I33" s="103" t="str">
        <f>IF(G33=0, "    ---- ", IF(ABS(ROUND(100/G33*H33-100,1))&lt;999,ROUND(100/G33*H33-100,1),IF(ROUND(100/G33*H33-100,1)&gt;999,999,-999)))</f>
        <v xml:space="preserve">    ---- </v>
      </c>
      <c r="J33" s="411">
        <f t="shared" si="4"/>
        <v>4.7103907691893566E-4</v>
      </c>
      <c r="K33" s="138"/>
      <c r="L33" s="222">
        <f ca="1">INDIRECT("'" &amp; $A21 &amp; "'!" &amp; $P$7)</f>
        <v>0</v>
      </c>
      <c r="M33" s="220">
        <f ca="1">INDIRECT("'" &amp; $A21 &amp; "'!" &amp; $P$8)</f>
        <v>0</v>
      </c>
      <c r="N33" s="222">
        <f ca="1">INDIRECT("'" &amp; $A21 &amp; "'!" &amp; $P$10)</f>
        <v>0</v>
      </c>
      <c r="O33" s="220">
        <f ca="1">INDIRECT("'" &amp; $A21 &amp; "'!" &amp; $P$11)</f>
        <v>0</v>
      </c>
    </row>
    <row r="34" spans="1:21" s="110" customFormat="1" ht="18.75" x14ac:dyDescent="0.3">
      <c r="A34" s="136" t="s">
        <v>96</v>
      </c>
      <c r="B34" s="178">
        <f>SUM(B9:B33)</f>
        <v>77978510.31936188</v>
      </c>
      <c r="C34" s="241">
        <f>SUM(C9:C33)</f>
        <v>80215656.0271997</v>
      </c>
      <c r="D34" s="103">
        <f t="shared" ref="D34" si="11">IF(B34=0, "    ---- ", IF(ABS(ROUND(100/B34*C34-100,1))&lt;999,ROUND(100/B34*C34-100,1),IF(ROUND(100/B34*C34-100,1)&gt;999,999,-999)))</f>
        <v>2.9</v>
      </c>
      <c r="E34" s="410">
        <f>SUM(E9:E33)</f>
        <v>100.00000000000001</v>
      </c>
      <c r="F34" s="108"/>
      <c r="G34" s="178">
        <f>SUM(G9:G33)</f>
        <v>1159988817.9834599</v>
      </c>
      <c r="H34" s="178">
        <f>SUM(H9:H33)</f>
        <v>1236840059.6629558</v>
      </c>
      <c r="I34" s="103">
        <f t="shared" ref="I34" si="12">IF(G34=0, "    ---- ", IF(ABS(ROUND(100/G34*H34-100,1))&lt;999,ROUND(100/G34*H34-100,1),IF(ROUND(100/G34*H34-100,1)&gt;999,999,-999)))</f>
        <v>6.6</v>
      </c>
      <c r="J34" s="978">
        <f>SUM(J9:J33)</f>
        <v>99.999999999999986</v>
      </c>
      <c r="K34" s="208"/>
      <c r="L34" s="222" t="e">
        <f ca="1">SUM(L10:L32)</f>
        <v>#REF!</v>
      </c>
      <c r="M34" s="220" t="e">
        <f ca="1">SUM(M10:M32)</f>
        <v>#REF!</v>
      </c>
      <c r="N34" s="222" t="e">
        <f ca="1">SUM(N10:N32)</f>
        <v>#REF!</v>
      </c>
      <c r="O34" s="220" t="e">
        <f ca="1">SUM(O10:O32)</f>
        <v>#REF!</v>
      </c>
      <c r="U34" s="204"/>
    </row>
    <row r="35" spans="1:21" ht="18.75" x14ac:dyDescent="0.3">
      <c r="A35" s="85"/>
      <c r="B35" s="176"/>
      <c r="C35" s="138"/>
      <c r="D35" s="103"/>
      <c r="E35" s="409"/>
      <c r="F35" s="102"/>
      <c r="G35" s="176"/>
      <c r="H35" s="102"/>
      <c r="I35" s="103"/>
      <c r="J35" s="409"/>
      <c r="K35" s="206"/>
      <c r="L35" s="219" t="s">
        <v>1</v>
      </c>
      <c r="M35" s="220"/>
      <c r="N35" s="222"/>
      <c r="O35" s="220"/>
    </row>
    <row r="36" spans="1:21" ht="18.75" x14ac:dyDescent="0.3">
      <c r="A36" s="100" t="s">
        <v>1</v>
      </c>
      <c r="B36" s="176"/>
      <c r="C36" s="138"/>
      <c r="D36" s="103"/>
      <c r="E36" s="409"/>
      <c r="F36" s="102"/>
      <c r="G36" s="176"/>
      <c r="H36" s="102"/>
      <c r="I36" s="103"/>
      <c r="J36" s="409"/>
      <c r="K36" s="206"/>
      <c r="L36" s="223">
        <v>2015</v>
      </c>
      <c r="M36" s="224">
        <v>2016</v>
      </c>
      <c r="N36" s="223">
        <v>2015</v>
      </c>
      <c r="O36" s="224">
        <v>2016</v>
      </c>
      <c r="P36" s="86" t="s">
        <v>148</v>
      </c>
    </row>
    <row r="37" spans="1:21" ht="18.75" x14ac:dyDescent="0.3">
      <c r="A37" s="192" t="s">
        <v>515</v>
      </c>
      <c r="B37" s="129">
        <f>'Storebrand Danica Pensjon'!F7+'Storebrand Danica Pensjon'!F22+'Storebrand Danica Pensjon'!F66+'Storebrand Danica Pensjon'!F134</f>
        <v>2301876.503</v>
      </c>
      <c r="C37" s="129">
        <f>'Storebrand Danica Pensjon'!G7+'Storebrand Danica Pensjon'!G22+'Storebrand Danica Pensjon'!G66+'Storebrand Danica Pensjon'!G134</f>
        <v>2459229.94924</v>
      </c>
      <c r="D37" s="103">
        <f t="shared" ref="D37:D46" si="13">IF(B37=0, "    ---- ", IF(ABS(ROUND(100/B37*C37-100,1))&lt;999,ROUND(100/B37*C37-100,1),IF(ROUND(100/B37*C37-100,1)&gt;999,999,-999)))</f>
        <v>6.8</v>
      </c>
      <c r="E37" s="409">
        <f t="shared" ref="E37:E45" si="14">100/C$46*C37</f>
        <v>4.5487934703592456</v>
      </c>
      <c r="F37" s="102"/>
      <c r="G37" s="176">
        <f>'Storebrand Danica Pensjon'!F10+'Storebrand Danica Pensjon'!F29+'Storebrand Danica Pensjon'!F87+'Storebrand Danica Pensjon'!F135</f>
        <v>29361437.739999998</v>
      </c>
      <c r="H37" s="176">
        <f>'Storebrand Danica Pensjon'!G10+'Storebrand Danica Pensjon'!G29+'Storebrand Danica Pensjon'!G87+'Storebrand Danica Pensjon'!G135</f>
        <v>26879329.206100002</v>
      </c>
      <c r="I37" s="103">
        <f t="shared" ref="I37:I46" si="15">IF(G37=0, "    ---- ", IF(ABS(ROUND(100/G37*H37-100,1))&lt;999,ROUND(100/G37*H37-100,1),IF(ROUND(100/G37*H37-100,1)&gt;999,999,-999)))</f>
        <v>-8.5</v>
      </c>
      <c r="J37" s="409">
        <f t="shared" ref="J37:J45" si="16">100/H$46*H37</f>
        <v>4.9799471887468663</v>
      </c>
      <c r="K37" s="206" t="s">
        <v>137</v>
      </c>
      <c r="L37" s="222">
        <f t="shared" ref="L37:L45" ca="1" si="17">INDIRECT("'" &amp; $A37 &amp; "'!" &amp; $P$36)</f>
        <v>0</v>
      </c>
      <c r="M37" s="220">
        <f t="shared" ref="M37:M45" ca="1" si="18">INDIRECT("'" &amp; $A37 &amp; "'!" &amp; $P$37)</f>
        <v>0</v>
      </c>
      <c r="N37" s="222">
        <f t="shared" ref="N37:N45" ca="1" si="19">INDIRECT("'" &amp; $A37 &amp; "'!" &amp; $P$38)</f>
        <v>0</v>
      </c>
      <c r="O37" s="220">
        <f ca="1">INDIRECT("'"&amp;$A37&amp;"'!"&amp;$P$39)</f>
        <v>0</v>
      </c>
      <c r="P37" s="86" t="s">
        <v>150</v>
      </c>
    </row>
    <row r="38" spans="1:21" ht="18.75" x14ac:dyDescent="0.3">
      <c r="A38" s="85" t="s">
        <v>82</v>
      </c>
      <c r="B38" s="129">
        <f>'DNB Livsforsikring'!F7+'DNB Livsforsikring'!F22+'DNB Livsforsikring'!F66+'DNB Livsforsikring'!F134</f>
        <v>11851242.041999999</v>
      </c>
      <c r="C38" s="129">
        <f>'DNB Livsforsikring'!G7+'DNB Livsforsikring'!G22+'DNB Livsforsikring'!G66+'DNB Livsforsikring'!G134</f>
        <v>13338462.421</v>
      </c>
      <c r="D38" s="103">
        <f t="shared" si="13"/>
        <v>12.5</v>
      </c>
      <c r="E38" s="409">
        <f t="shared" si="14"/>
        <v>24.671914386870423</v>
      </c>
      <c r="F38" s="102"/>
      <c r="G38" s="176">
        <f>'DNB Livsforsikring'!F10+'DNB Livsforsikring'!F29+'DNB Livsforsikring'!F87+'DNB Livsforsikring'!F135</f>
        <v>138747409.08115</v>
      </c>
      <c r="H38" s="176">
        <f>'DNB Livsforsikring'!G10+'DNB Livsforsikring'!G29+'DNB Livsforsikring'!G87+'DNB Livsforsikring'!G135</f>
        <v>138259318.398</v>
      </c>
      <c r="I38" s="103">
        <f t="shared" si="15"/>
        <v>-0.4</v>
      </c>
      <c r="J38" s="409">
        <f t="shared" si="16"/>
        <v>25.615375245968718</v>
      </c>
      <c r="K38" s="86" t="s">
        <v>145</v>
      </c>
      <c r="L38" s="222">
        <f t="shared" ca="1" si="17"/>
        <v>0</v>
      </c>
      <c r="M38" s="220">
        <f t="shared" ca="1" si="18"/>
        <v>0</v>
      </c>
      <c r="N38" s="222">
        <f t="shared" ca="1" si="19"/>
        <v>0</v>
      </c>
      <c r="O38" s="220">
        <f ca="1">INDIRECT("'"&amp;$A38&amp;"'!"&amp;$P$39)</f>
        <v>0</v>
      </c>
      <c r="P38" s="86" t="s">
        <v>149</v>
      </c>
    </row>
    <row r="39" spans="1:21" ht="18.75" x14ac:dyDescent="0.3">
      <c r="A39" s="106" t="s">
        <v>84</v>
      </c>
      <c r="B39" s="129">
        <f>'Frende Livsforsikring'!F7+'Frende Livsforsikring'!F22+'Frende Livsforsikring'!F66+'Frende Livsforsikring'!F134</f>
        <v>0</v>
      </c>
      <c r="C39" s="129">
        <f>'Frende Livsforsikring'!G7+'Frende Livsforsikring'!G22+'Frende Livsforsikring'!G66+'Frende Livsforsikring'!G134</f>
        <v>0</v>
      </c>
      <c r="D39" s="103"/>
      <c r="E39" s="409">
        <f t="shared" si="14"/>
        <v>0</v>
      </c>
      <c r="F39" s="102"/>
      <c r="G39" s="176">
        <f>'Frende Livsforsikring'!F10+'Frende Livsforsikring'!F29+'Frende Livsforsikring'!F87+'Frende Livsforsikring'!F135</f>
        <v>0</v>
      </c>
      <c r="H39" s="176">
        <f>'Frende Livsforsikring'!G10+'Frende Livsforsikring'!G29+'Frende Livsforsikring'!G87+'Frende Livsforsikring'!G135</f>
        <v>0</v>
      </c>
      <c r="I39" s="103"/>
      <c r="J39" s="409">
        <f t="shared" si="16"/>
        <v>0</v>
      </c>
      <c r="K39" s="86" t="s">
        <v>138</v>
      </c>
      <c r="L39" s="222">
        <f t="shared" ca="1" si="17"/>
        <v>0</v>
      </c>
      <c r="M39" s="220">
        <f t="shared" ca="1" si="18"/>
        <v>0</v>
      </c>
      <c r="N39" s="222">
        <f t="shared" ca="1" si="19"/>
        <v>0</v>
      </c>
      <c r="O39" s="220">
        <f t="shared" ref="O39:O45" ca="1" si="20">INDIRECT("'"&amp;$A39&amp;"'!"&amp;$P$39)</f>
        <v>0</v>
      </c>
      <c r="P39" s="86" t="s">
        <v>151</v>
      </c>
    </row>
    <row r="40" spans="1:21" ht="18.75" x14ac:dyDescent="0.3">
      <c r="A40" s="106" t="s">
        <v>87</v>
      </c>
      <c r="B40" s="129">
        <f>'Gjensidige Pensjon'!F7+'Gjensidige Pensjon'!F22+'Gjensidige Pensjon'!F66+'Gjensidige Pensjon'!F134</f>
        <v>3714294</v>
      </c>
      <c r="C40" s="129">
        <f>'Gjensidige Pensjon'!G7+'Gjensidige Pensjon'!G22+'Gjensidige Pensjon'!G66+'Gjensidige Pensjon'!G134</f>
        <v>4461954</v>
      </c>
      <c r="D40" s="103">
        <f t="shared" si="13"/>
        <v>20.100000000000001</v>
      </c>
      <c r="E40" s="409">
        <f t="shared" si="14"/>
        <v>8.2531961789566477</v>
      </c>
      <c r="F40" s="102"/>
      <c r="G40" s="176">
        <f>'Gjensidige Pensjon'!F10+'Gjensidige Pensjon'!F29+'Gjensidige Pensjon'!F87+'Gjensidige Pensjon'!F135</f>
        <v>43184431</v>
      </c>
      <c r="H40" s="176">
        <f>'Gjensidige Pensjon'!G10+'Gjensidige Pensjon'!G29+'Gjensidige Pensjon'!G87+'Gjensidige Pensjon'!G135</f>
        <v>45973809</v>
      </c>
      <c r="I40" s="103">
        <f t="shared" si="15"/>
        <v>6.5</v>
      </c>
      <c r="J40" s="409">
        <f t="shared" si="16"/>
        <v>8.5175913107823398</v>
      </c>
      <c r="K40" s="86" t="s">
        <v>146</v>
      </c>
      <c r="L40" s="222">
        <f t="shared" ca="1" si="17"/>
        <v>0</v>
      </c>
      <c r="M40" s="220">
        <f t="shared" ca="1" si="18"/>
        <v>0</v>
      </c>
      <c r="N40" s="222">
        <f t="shared" ca="1" si="19"/>
        <v>0</v>
      </c>
      <c r="O40" s="220">
        <f t="shared" ca="1" si="20"/>
        <v>0</v>
      </c>
    </row>
    <row r="41" spans="1:21" ht="18.75" x14ac:dyDescent="0.3">
      <c r="A41" s="106" t="s">
        <v>63</v>
      </c>
      <c r="B41" s="129">
        <f>KLP!F7+KLP!F22+KLP!F66+KLP!F134</f>
        <v>135009.071</v>
      </c>
      <c r="C41" s="129">
        <f>KLP!G7+KLP!G22+KLP!G66+KLP!G134</f>
        <v>163946.05499999999</v>
      </c>
      <c r="D41" s="103">
        <f t="shared" si="13"/>
        <v>21.4</v>
      </c>
      <c r="E41" s="409">
        <f t="shared" si="14"/>
        <v>0.30324807353034483</v>
      </c>
      <c r="F41" s="102"/>
      <c r="G41" s="176">
        <f>KLP!F10+KLP!F29+KLP!F87+KLP!F135</f>
        <v>2234333.4679299998</v>
      </c>
      <c r="H41" s="176">
        <f>KLP!G10+KLP!G29+KLP!G87+KLP!G135</f>
        <v>2551713.4049300002</v>
      </c>
      <c r="I41" s="103">
        <f t="shared" si="15"/>
        <v>14.2</v>
      </c>
      <c r="J41" s="409">
        <f t="shared" si="16"/>
        <v>0.47275725893059217</v>
      </c>
      <c r="K41" s="86" t="s">
        <v>139</v>
      </c>
      <c r="L41" s="222">
        <f t="shared" ca="1" si="17"/>
        <v>0</v>
      </c>
      <c r="M41" s="220">
        <f t="shared" ca="1" si="18"/>
        <v>0</v>
      </c>
      <c r="N41" s="222">
        <f t="shared" ca="1" si="19"/>
        <v>0</v>
      </c>
      <c r="O41" s="220">
        <f t="shared" ca="1" si="20"/>
        <v>0</v>
      </c>
    </row>
    <row r="42" spans="1:21" ht="18.75" x14ac:dyDescent="0.3">
      <c r="A42" s="106" t="s">
        <v>91</v>
      </c>
      <c r="B42" s="129">
        <f>'Nordea Liv '!F7+'Nordea Liv '!F22+'Nordea Liv '!F66+'Nordea Liv '!F134</f>
        <v>17865814</v>
      </c>
      <c r="C42" s="129">
        <f>'Nordea Liv '!G7+'Nordea Liv '!G22+'Nordea Liv '!G66+'Nordea Liv '!G134</f>
        <v>13776102.835759997</v>
      </c>
      <c r="D42" s="103">
        <f t="shared" si="13"/>
        <v>-22.9</v>
      </c>
      <c r="E42" s="409">
        <f t="shared" si="14"/>
        <v>25.481410002211639</v>
      </c>
      <c r="F42" s="102"/>
      <c r="G42" s="176">
        <f>'Nordea Liv '!F10+'Nordea Liv '!F29+'Nordea Liv '!F87+'Nordea Liv '!F135</f>
        <v>125405208.52</v>
      </c>
      <c r="H42" s="176">
        <f>'Nordea Liv '!G10+'Nordea Liv '!G29+'Nordea Liv '!G87+'Nordea Liv '!G135</f>
        <v>118066460.00000003</v>
      </c>
      <c r="I42" s="103">
        <f t="shared" si="15"/>
        <v>-5.9</v>
      </c>
      <c r="J42" s="409">
        <f t="shared" si="16"/>
        <v>21.874233953310917</v>
      </c>
      <c r="K42" s="206"/>
      <c r="L42" s="222">
        <f t="shared" ca="1" si="17"/>
        <v>0</v>
      </c>
      <c r="M42" s="220">
        <f t="shared" ca="1" si="18"/>
        <v>0</v>
      </c>
      <c r="N42" s="222">
        <f t="shared" ca="1" si="19"/>
        <v>0</v>
      </c>
      <c r="O42" s="220">
        <f t="shared" ca="1" si="20"/>
        <v>0</v>
      </c>
    </row>
    <row r="43" spans="1:21" ht="18.75" x14ac:dyDescent="0.3">
      <c r="A43" s="106" t="s">
        <v>70</v>
      </c>
      <c r="B43" s="129">
        <f>'SHB Liv'!F7+'SHB Liv'!F22+'SHB Liv'!F66+'SHB Liv'!F134</f>
        <v>178297.44472</v>
      </c>
      <c r="C43" s="129">
        <f>'SHB Liv'!G7+'SHB Liv'!G22+'SHB Liv'!G66+'SHB Liv'!G134</f>
        <v>95313</v>
      </c>
      <c r="D43" s="103">
        <f t="shared" si="13"/>
        <v>-46.5</v>
      </c>
      <c r="E43" s="409">
        <f t="shared" si="14"/>
        <v>0.17629874431804876</v>
      </c>
      <c r="F43" s="102"/>
      <c r="G43" s="176">
        <f>'SHB Liv'!F10+'SHB Liv'!F29+'SHB Liv'!F87+'SHB Liv'!F135</f>
        <v>3211246.3059999999</v>
      </c>
      <c r="H43" s="176">
        <f>'SHB Liv'!G10+'SHB Liv'!G29+'SHB Liv'!G87+'SHB Liv'!G135</f>
        <v>59412</v>
      </c>
      <c r="I43" s="103">
        <f t="shared" si="15"/>
        <v>-98.1</v>
      </c>
      <c r="J43" s="409">
        <f t="shared" si="16"/>
        <v>1.1007291889958486E-2</v>
      </c>
      <c r="K43" s="206"/>
      <c r="L43" s="222">
        <f t="shared" ca="1" si="17"/>
        <v>0</v>
      </c>
      <c r="M43" s="220">
        <f t="shared" ca="1" si="18"/>
        <v>0</v>
      </c>
      <c r="N43" s="222">
        <f t="shared" ca="1" si="19"/>
        <v>0</v>
      </c>
      <c r="O43" s="220">
        <f t="shared" ca="1" si="20"/>
        <v>0</v>
      </c>
    </row>
    <row r="44" spans="1:21" ht="18.75" x14ac:dyDescent="0.3">
      <c r="A44" s="85" t="s">
        <v>475</v>
      </c>
      <c r="B44" s="129">
        <f>'Sparebank 1 Forsikring'!F7+'Sparebank 1 Forsikring'!F22+'Sparebank 1 Forsikring'!F66+'Sparebank 1 Forsikring'!F134</f>
        <v>5555744.3693300001</v>
      </c>
      <c r="C44" s="129">
        <f>'Sparebank 1 Forsikring'!G7+'Sparebank 1 Forsikring'!G22+'Sparebank 1 Forsikring'!G66+'Sparebank 1 Forsikring'!G134</f>
        <v>6297690.6937600002</v>
      </c>
      <c r="D44" s="103">
        <f t="shared" si="13"/>
        <v>13.4</v>
      </c>
      <c r="E44" s="409">
        <f t="shared" si="14"/>
        <v>11.648725372334827</v>
      </c>
      <c r="F44" s="102"/>
      <c r="G44" s="176">
        <f>'Sparebank 1 Forsikring'!F10+'Sparebank 1 Forsikring'!F29+'Sparebank 1 Forsikring'!F87+'Sparebank 1 Forsikring'!F135</f>
        <v>56140255.507399999</v>
      </c>
      <c r="H44" s="176">
        <f>'Sparebank 1 Forsikring'!G10+'Sparebank 1 Forsikring'!G29+'Sparebank 1 Forsikring'!G87+'Sparebank 1 Forsikring'!G135</f>
        <v>55379613</v>
      </c>
      <c r="I44" s="103">
        <f t="shared" si="15"/>
        <v>-1.4</v>
      </c>
      <c r="J44" s="409">
        <f t="shared" si="16"/>
        <v>10.26020947020702</v>
      </c>
      <c r="K44" s="138"/>
      <c r="L44" s="222">
        <f t="shared" ca="1" si="17"/>
        <v>0</v>
      </c>
      <c r="M44" s="220">
        <f t="shared" ca="1" si="18"/>
        <v>0</v>
      </c>
      <c r="N44" s="222">
        <f t="shared" ca="1" si="19"/>
        <v>0</v>
      </c>
      <c r="O44" s="220">
        <f t="shared" ca="1" si="20"/>
        <v>0</v>
      </c>
    </row>
    <row r="45" spans="1:21" ht="18.75" x14ac:dyDescent="0.3">
      <c r="A45" s="85" t="s">
        <v>93</v>
      </c>
      <c r="B45" s="129">
        <f>'Storebrand Livsforsikring'!F7+'Storebrand Livsforsikring'!F22+'Storebrand Livsforsikring'!F66+'Storebrand Livsforsikring'!F134</f>
        <v>13164375.305</v>
      </c>
      <c r="C45" s="129">
        <f>'Storebrand Livsforsikring'!G7+'Storebrand Livsforsikring'!G22+'Storebrand Livsforsikring'!G66+'Storebrand Livsforsikring'!G134</f>
        <v>13470646.969049999</v>
      </c>
      <c r="D45" s="103">
        <f t="shared" si="13"/>
        <v>2.2999999999999998</v>
      </c>
      <c r="E45" s="409">
        <f t="shared" si="14"/>
        <v>24.916413771418842</v>
      </c>
      <c r="F45" s="102"/>
      <c r="G45" s="176">
        <f>'Storebrand Livsforsikring'!F10+'Storebrand Livsforsikring'!F29+'Storebrand Livsforsikring'!F87+'Storebrand Livsforsikring'!F135</f>
        <v>157892391.24199998</v>
      </c>
      <c r="H45" s="176">
        <f>'Storebrand Livsforsikring'!G10+'Storebrand Livsforsikring'!G29+'Storebrand Livsforsikring'!G87+'Storebrand Livsforsikring'!G135</f>
        <v>152581635.26245999</v>
      </c>
      <c r="I45" s="103">
        <f t="shared" si="15"/>
        <v>-3.4</v>
      </c>
      <c r="J45" s="409">
        <f t="shared" si="16"/>
        <v>28.268878280163594</v>
      </c>
      <c r="K45" s="138"/>
      <c r="L45" s="222">
        <f t="shared" ca="1" si="17"/>
        <v>0</v>
      </c>
      <c r="M45" s="220">
        <f t="shared" ca="1" si="18"/>
        <v>0</v>
      </c>
      <c r="N45" s="222">
        <f t="shared" ca="1" si="19"/>
        <v>0</v>
      </c>
      <c r="O45" s="220">
        <f t="shared" ca="1" si="20"/>
        <v>0</v>
      </c>
    </row>
    <row r="46" spans="1:21" s="110" customFormat="1" ht="18.75" x14ac:dyDescent="0.3">
      <c r="A46" s="100" t="s">
        <v>97</v>
      </c>
      <c r="B46" s="241">
        <f>SUM(B37:B45)</f>
        <v>54766652.73505</v>
      </c>
      <c r="C46" s="241">
        <f>SUM(C37:C45)</f>
        <v>54063345.92380999</v>
      </c>
      <c r="D46" s="103">
        <f t="shared" si="13"/>
        <v>-1.3</v>
      </c>
      <c r="E46" s="410">
        <f>SUM(E37:E45)</f>
        <v>100.00000000000003</v>
      </c>
      <c r="F46" s="108"/>
      <c r="G46" s="178">
        <f>SUM(G37:G45)</f>
        <v>556176712.86448002</v>
      </c>
      <c r="H46" s="178">
        <f>SUM(H37:H45)</f>
        <v>539751290.27148998</v>
      </c>
      <c r="I46" s="103">
        <f t="shared" si="15"/>
        <v>-3</v>
      </c>
      <c r="J46" s="410">
        <f>SUM(J37:J45)</f>
        <v>100</v>
      </c>
      <c r="K46" s="138"/>
      <c r="L46" s="222">
        <f ca="1">SUM(L37:L45)</f>
        <v>0</v>
      </c>
      <c r="M46" s="220">
        <f ca="1">SUM(M37:M45)</f>
        <v>0</v>
      </c>
      <c r="N46" s="222">
        <f ca="1">SUM(N37:N45)</f>
        <v>0</v>
      </c>
      <c r="O46" s="220">
        <f ca="1">SUM(O37:O45)</f>
        <v>0</v>
      </c>
    </row>
    <row r="47" spans="1:21" ht="18.75" x14ac:dyDescent="0.3">
      <c r="A47" s="100"/>
      <c r="B47" s="129"/>
      <c r="C47" s="108"/>
      <c r="D47" s="109"/>
      <c r="E47" s="409"/>
      <c r="F47" s="108"/>
      <c r="G47" s="178"/>
      <c r="H47" s="108"/>
      <c r="I47" s="109"/>
      <c r="J47" s="410"/>
      <c r="K47" s="138"/>
      <c r="L47" s="219" t="s">
        <v>98</v>
      </c>
      <c r="M47" s="225"/>
      <c r="N47" s="226"/>
      <c r="O47" s="225"/>
    </row>
    <row r="48" spans="1:21" ht="18.75" x14ac:dyDescent="0.3">
      <c r="A48" s="85"/>
      <c r="B48" s="129"/>
      <c r="C48" s="102"/>
      <c r="D48" s="103"/>
      <c r="E48" s="409"/>
      <c r="F48" s="102"/>
      <c r="G48" s="176"/>
      <c r="H48" s="102"/>
      <c r="I48" s="103"/>
      <c r="J48" s="409"/>
      <c r="K48" s="138"/>
      <c r="L48" s="223">
        <v>2015</v>
      </c>
      <c r="M48" s="224">
        <v>2016</v>
      </c>
      <c r="N48" s="223">
        <v>2015</v>
      </c>
      <c r="O48" s="224">
        <v>2016</v>
      </c>
    </row>
    <row r="49" spans="1:20" ht="18.75" x14ac:dyDescent="0.3">
      <c r="A49" s="100" t="s">
        <v>98</v>
      </c>
      <c r="B49" s="129"/>
      <c r="C49" s="102"/>
      <c r="D49" s="103"/>
      <c r="E49" s="409"/>
      <c r="F49" s="102"/>
      <c r="G49" s="176"/>
      <c r="H49" s="102"/>
      <c r="I49" s="103"/>
      <c r="J49" s="409"/>
      <c r="K49" s="138"/>
      <c r="L49" s="222"/>
      <c r="M49" s="220"/>
      <c r="N49" s="222"/>
      <c r="O49" s="220"/>
      <c r="P49" s="206"/>
      <c r="Q49" s="206"/>
      <c r="R49" s="206"/>
      <c r="S49" s="181"/>
      <c r="T49" s="138"/>
    </row>
    <row r="50" spans="1:20" ht="18.75" x14ac:dyDescent="0.3">
      <c r="A50" s="85" t="s">
        <v>471</v>
      </c>
      <c r="B50" s="129">
        <f>B9</f>
        <v>82704</v>
      </c>
      <c r="C50" s="129">
        <f>C9</f>
        <v>0</v>
      </c>
      <c r="D50" s="103">
        <f t="shared" ref="D50" si="21">IF(B50=0, "    ---- ", IF(ABS(ROUND(100/B50*C50-100,1))&lt;999,ROUND(100/B50*C50-100,1),IF(ROUND(100/B50*C50-100,1)&gt;999,999,-999)))</f>
        <v>-100</v>
      </c>
      <c r="E50" s="409">
        <f t="shared" ref="E50:E73" si="22">100/C$76*C50</f>
        <v>0</v>
      </c>
      <c r="F50" s="102"/>
      <c r="G50" s="176">
        <f>G9</f>
        <v>0</v>
      </c>
      <c r="H50" s="176">
        <f>H9</f>
        <v>0</v>
      </c>
      <c r="I50" s="103"/>
      <c r="J50" s="409">
        <f t="shared" ref="J50:J73" si="23">100/H$76*H50</f>
        <v>0</v>
      </c>
      <c r="K50" s="138"/>
      <c r="L50" s="222" t="e">
        <f ca="1">L10</f>
        <v>#REF!</v>
      </c>
      <c r="M50" s="227" t="e">
        <f ca="1">M10</f>
        <v>#REF!</v>
      </c>
      <c r="N50" s="222" t="e">
        <f ca="1">N10</f>
        <v>#REF!</v>
      </c>
      <c r="O50" s="227" t="e">
        <f ca="1">O10</f>
        <v>#REF!</v>
      </c>
      <c r="P50" s="206"/>
      <c r="Q50" s="206"/>
      <c r="R50" s="206"/>
      <c r="S50" s="181"/>
      <c r="T50" s="138"/>
    </row>
    <row r="51" spans="1:20" ht="18.75" x14ac:dyDescent="0.3">
      <c r="A51" s="192" t="s">
        <v>515</v>
      </c>
      <c r="B51" s="129">
        <f>B10+B37</f>
        <v>2735890.4530000002</v>
      </c>
      <c r="C51" s="102">
        <f>C10+C37</f>
        <v>2905754.21643</v>
      </c>
      <c r="D51" s="103">
        <f t="shared" ref="D51:D74" si="24">IF(B51=0, "    ---- ", IF(ABS(ROUND(100/B51*C51-100,1))&lt;999,ROUND(100/B51*C51-100,1),IF(ROUND(100/B51*C51-100,1)&gt;999,999,-999)))</f>
        <v>6.2</v>
      </c>
      <c r="E51" s="409">
        <f t="shared" si="22"/>
        <v>2.1639676898180511</v>
      </c>
      <c r="F51" s="102"/>
      <c r="G51" s="176">
        <f>G10+G37</f>
        <v>30760240.607999999</v>
      </c>
      <c r="H51" s="176">
        <f>H10+H37</f>
        <v>28353436.564280003</v>
      </c>
      <c r="I51" s="103">
        <f t="shared" ref="I51:I71" si="25">IF(G51=0, "    ---- ", IF(ABS(ROUND(100/G51*H51-100,1))&lt;999,ROUND(100/G51*H51-100,1),IF(ROUND(100/G51*H51-100,1)&gt;999,999,-999)))</f>
        <v>-7.8</v>
      </c>
      <c r="J51" s="409">
        <f t="shared" si="23"/>
        <v>1.595945886223425</v>
      </c>
      <c r="K51" s="138"/>
      <c r="L51" s="222">
        <f ca="1">L11+L37</f>
        <v>0</v>
      </c>
      <c r="M51" s="220">
        <f ca="1">M11+M37</f>
        <v>0</v>
      </c>
      <c r="N51" s="222">
        <f ca="1">N11+N37</f>
        <v>0</v>
      </c>
      <c r="O51" s="220">
        <f ca="1">O11+O37</f>
        <v>0</v>
      </c>
      <c r="P51" s="206"/>
      <c r="Q51" s="206"/>
      <c r="R51" s="206"/>
      <c r="S51" s="181"/>
      <c r="T51" s="138"/>
    </row>
    <row r="52" spans="1:20" ht="18.75" x14ac:dyDescent="0.3">
      <c r="A52" s="85" t="s">
        <v>82</v>
      </c>
      <c r="B52" s="129">
        <f>B11+B38</f>
        <v>15094490.2415</v>
      </c>
      <c r="C52" s="102">
        <f>+C11+C38</f>
        <v>16647765.146</v>
      </c>
      <c r="D52" s="103">
        <f t="shared" si="24"/>
        <v>10.3</v>
      </c>
      <c r="E52" s="409">
        <f t="shared" si="22"/>
        <v>12.397891631689195</v>
      </c>
      <c r="F52" s="102"/>
      <c r="G52" s="176">
        <f>+G11+G38</f>
        <v>332265325.08115</v>
      </c>
      <c r="H52" s="176">
        <f>+H11+H38</f>
        <v>325517400.37907004</v>
      </c>
      <c r="I52" s="103">
        <f t="shared" si="25"/>
        <v>-2</v>
      </c>
      <c r="J52" s="409">
        <f t="shared" si="23"/>
        <v>18.322581633141535</v>
      </c>
      <c r="K52" s="138"/>
      <c r="L52" s="222">
        <f ca="1">L12+L38</f>
        <v>0</v>
      </c>
      <c r="M52" s="220">
        <f ca="1">+M12+M38</f>
        <v>0</v>
      </c>
      <c r="N52" s="222">
        <f ca="1">+N12+N38</f>
        <v>0</v>
      </c>
      <c r="O52" s="220">
        <f ca="1">+O12+O38</f>
        <v>0</v>
      </c>
      <c r="P52" s="206"/>
      <c r="Q52" s="206"/>
      <c r="R52" s="206"/>
      <c r="S52" s="181"/>
      <c r="T52" s="138"/>
    </row>
    <row r="53" spans="1:20" ht="18.75" x14ac:dyDescent="0.3">
      <c r="A53" s="85" t="s">
        <v>83</v>
      </c>
      <c r="B53" s="129">
        <f t="shared" ref="B53:C55" si="26">B12</f>
        <v>375779</v>
      </c>
      <c r="C53" s="102">
        <f t="shared" si="26"/>
        <v>422091</v>
      </c>
      <c r="D53" s="103">
        <f t="shared" si="24"/>
        <v>12.3</v>
      </c>
      <c r="E53" s="409">
        <f t="shared" si="22"/>
        <v>0.31433879747929283</v>
      </c>
      <c r="F53" s="102"/>
      <c r="G53" s="176">
        <f t="shared" ref="G53:H55" si="27">G12</f>
        <v>572507</v>
      </c>
      <c r="H53" s="176">
        <f t="shared" si="27"/>
        <v>620181</v>
      </c>
      <c r="I53" s="103">
        <f t="shared" si="25"/>
        <v>8.3000000000000007</v>
      </c>
      <c r="J53" s="409">
        <f t="shared" si="23"/>
        <v>3.4908477969505143E-2</v>
      </c>
      <c r="K53" s="138"/>
      <c r="L53" s="222">
        <f ca="1">L14</f>
        <v>0</v>
      </c>
      <c r="M53" s="220">
        <f ca="1">M14</f>
        <v>0</v>
      </c>
      <c r="N53" s="222">
        <f ca="1">N14</f>
        <v>0</v>
      </c>
      <c r="O53" s="220">
        <f ca="1">+O14+O39</f>
        <v>0</v>
      </c>
      <c r="P53" s="206"/>
      <c r="Q53" s="206"/>
      <c r="R53" s="206"/>
      <c r="S53" s="181"/>
      <c r="T53" s="138"/>
    </row>
    <row r="54" spans="1:20" ht="18.75" x14ac:dyDescent="0.3">
      <c r="A54" s="85" t="s">
        <v>472</v>
      </c>
      <c r="B54" s="129">
        <f t="shared" si="26"/>
        <v>10960</v>
      </c>
      <c r="C54" s="129">
        <f t="shared" si="26"/>
        <v>32885</v>
      </c>
      <c r="D54" s="103">
        <f t="shared" ref="D54" si="28">IF(B54=0, "    ---- ", IF(ABS(ROUND(100/B54*C54-100,1))&lt;999,ROUND(100/B54*C54-100,1),IF(ROUND(100/B54*C54-100,1)&gt;999,999,-999)))</f>
        <v>200</v>
      </c>
      <c r="E54" s="409">
        <f t="shared" si="22"/>
        <v>2.4490053934119762E-2</v>
      </c>
      <c r="F54" s="102"/>
      <c r="G54" s="176">
        <f t="shared" si="27"/>
        <v>0</v>
      </c>
      <c r="H54" s="176">
        <f t="shared" si="27"/>
        <v>0</v>
      </c>
      <c r="I54" s="103"/>
      <c r="J54" s="409">
        <f t="shared" si="23"/>
        <v>0</v>
      </c>
      <c r="K54" s="138"/>
      <c r="L54" s="222"/>
      <c r="M54" s="220"/>
      <c r="N54" s="222"/>
      <c r="O54" s="220"/>
      <c r="P54" s="206"/>
      <c r="Q54" s="206"/>
      <c r="R54" s="206"/>
      <c r="S54" s="181"/>
      <c r="T54" s="138"/>
    </row>
    <row r="55" spans="1:20" ht="18.75" x14ac:dyDescent="0.3">
      <c r="A55" s="106" t="s">
        <v>459</v>
      </c>
      <c r="B55" s="129">
        <f t="shared" si="26"/>
        <v>3074791.8314700001</v>
      </c>
      <c r="C55" s="129">
        <f t="shared" si="26"/>
        <v>3294986.7741700001</v>
      </c>
      <c r="D55" s="103">
        <f t="shared" ref="D55" si="29">IF(B55=0, "    ---- ", IF(ABS(ROUND(100/B55*C55-100,1))&lt;999,ROUND(100/B55*C55-100,1),IF(ROUND(100/B55*C55-100,1)&gt;999,999,-999)))</f>
        <v>7.2</v>
      </c>
      <c r="E55" s="409">
        <f t="shared" si="22"/>
        <v>2.453836211392264</v>
      </c>
      <c r="F55" s="102"/>
      <c r="G55" s="176">
        <f t="shared" si="27"/>
        <v>4274504.1585400002</v>
      </c>
      <c r="H55" s="176">
        <f t="shared" si="27"/>
        <v>4825016.0006900001</v>
      </c>
      <c r="I55" s="103">
        <f t="shared" ref="I55" si="30">IF(G55=0, "    ---- ", IF(ABS(ROUND(100/G55*H55-100,1))&lt;999,ROUND(100/G55*H55-100,1),IF(ROUND(100/G55*H55-100,1)&gt;999,999,-999)))</f>
        <v>12.9</v>
      </c>
      <c r="J55" s="409">
        <f t="shared" si="23"/>
        <v>0.27158839881034191</v>
      </c>
      <c r="K55" s="138"/>
      <c r="L55" s="222"/>
      <c r="M55" s="220"/>
      <c r="N55" s="222"/>
      <c r="O55" s="220"/>
      <c r="P55" s="206"/>
      <c r="Q55" s="206"/>
      <c r="R55" s="206"/>
      <c r="S55" s="181"/>
      <c r="T55" s="138"/>
    </row>
    <row r="56" spans="1:20" ht="18.75" x14ac:dyDescent="0.3">
      <c r="A56" s="106" t="s">
        <v>84</v>
      </c>
      <c r="B56" s="129">
        <f>B15+B39</f>
        <v>458515</v>
      </c>
      <c r="C56" s="104">
        <f>C15+C39</f>
        <v>505151</v>
      </c>
      <c r="D56" s="105">
        <f t="shared" si="24"/>
        <v>10.199999999999999</v>
      </c>
      <c r="E56" s="411">
        <f t="shared" si="22"/>
        <v>0.37619508088412751</v>
      </c>
      <c r="F56" s="104"/>
      <c r="G56" s="177">
        <f>G15+G39</f>
        <v>1050219</v>
      </c>
      <c r="H56" s="177">
        <f>H15+H39</f>
        <v>1264588</v>
      </c>
      <c r="I56" s="103">
        <f t="shared" si="25"/>
        <v>20.399999999999999</v>
      </c>
      <c r="J56" s="409">
        <f t="shared" si="23"/>
        <v>7.1180578473865802E-2</v>
      </c>
      <c r="K56" s="138"/>
      <c r="L56" s="222">
        <f ca="1">L16+L39</f>
        <v>0</v>
      </c>
      <c r="M56" s="220">
        <f ca="1">M16+M39</f>
        <v>0</v>
      </c>
      <c r="N56" s="222">
        <f ca="1">N16+N39</f>
        <v>0</v>
      </c>
      <c r="O56" s="220">
        <f ca="1">O16+O39</f>
        <v>0</v>
      </c>
      <c r="P56" s="209"/>
      <c r="Q56" s="209"/>
      <c r="R56" s="209"/>
      <c r="S56" s="181"/>
      <c r="T56" s="138"/>
    </row>
    <row r="57" spans="1:20" ht="18.75" x14ac:dyDescent="0.3">
      <c r="A57" s="106" t="s">
        <v>85</v>
      </c>
      <c r="B57" s="129">
        <f>B16</f>
        <v>7999.02</v>
      </c>
      <c r="C57" s="104">
        <f>C16</f>
        <v>9115.4689999999991</v>
      </c>
      <c r="D57" s="105">
        <f t="shared" si="24"/>
        <v>14</v>
      </c>
      <c r="E57" s="411">
        <f t="shared" si="22"/>
        <v>6.7884545368647325E-3</v>
      </c>
      <c r="F57" s="104"/>
      <c r="G57" s="177">
        <f>G16</f>
        <v>0</v>
      </c>
      <c r="H57" s="177">
        <f>H16</f>
        <v>0</v>
      </c>
      <c r="I57" s="103"/>
      <c r="J57" s="409">
        <f t="shared" si="23"/>
        <v>0</v>
      </c>
      <c r="K57" s="138"/>
      <c r="L57" s="222">
        <f ca="1">L17</f>
        <v>0</v>
      </c>
      <c r="M57" s="220">
        <f ca="1">M17</f>
        <v>0</v>
      </c>
      <c r="N57" s="222">
        <f ca="1">N17</f>
        <v>0</v>
      </c>
      <c r="O57" s="220">
        <f ca="1">O17</f>
        <v>0</v>
      </c>
      <c r="P57" s="209"/>
      <c r="Q57" s="209"/>
      <c r="R57" s="209"/>
      <c r="S57" s="181"/>
      <c r="T57" s="138"/>
    </row>
    <row r="58" spans="1:20" ht="18.75" x14ac:dyDescent="0.3">
      <c r="A58" s="85" t="s">
        <v>86</v>
      </c>
      <c r="B58" s="102">
        <f>B17</f>
        <v>1910669.1639999999</v>
      </c>
      <c r="C58" s="102">
        <f>+C17</f>
        <v>2060959.4780000001</v>
      </c>
      <c r="D58" s="103">
        <f t="shared" si="24"/>
        <v>7.9</v>
      </c>
      <c r="E58" s="409">
        <f t="shared" si="22"/>
        <v>1.5348337774746941</v>
      </c>
      <c r="F58" s="102"/>
      <c r="G58" s="176">
        <f>+G17</f>
        <v>1138879</v>
      </c>
      <c r="H58" s="176">
        <f>+H17</f>
        <v>1222155.4060398501</v>
      </c>
      <c r="I58" s="103">
        <f t="shared" si="25"/>
        <v>7.3</v>
      </c>
      <c r="J58" s="409">
        <f t="shared" si="23"/>
        <v>6.8792151109198313E-2</v>
      </c>
      <c r="K58" s="138"/>
      <c r="L58" s="222">
        <f ca="1">L18</f>
        <v>0</v>
      </c>
      <c r="M58" s="220">
        <f ca="1">+M18</f>
        <v>0</v>
      </c>
      <c r="N58" s="222">
        <f ca="1">+N18</f>
        <v>0</v>
      </c>
      <c r="O58" s="220">
        <f ca="1">+O18</f>
        <v>0</v>
      </c>
      <c r="P58" s="206"/>
      <c r="Q58" s="206"/>
      <c r="R58" s="206"/>
      <c r="S58" s="181"/>
      <c r="T58" s="138"/>
    </row>
    <row r="59" spans="1:20" ht="18.75" x14ac:dyDescent="0.3">
      <c r="A59" s="85" t="s">
        <v>87</v>
      </c>
      <c r="B59" s="102">
        <f>B18+B40</f>
        <v>4440588</v>
      </c>
      <c r="C59" s="102">
        <f>C18+C40</f>
        <v>5284067</v>
      </c>
      <c r="D59" s="103">
        <f t="shared" si="24"/>
        <v>19</v>
      </c>
      <c r="E59" s="409">
        <f t="shared" si="22"/>
        <v>3.9351402104759741</v>
      </c>
      <c r="F59" s="102"/>
      <c r="G59" s="176">
        <f>G18+G40</f>
        <v>51414604</v>
      </c>
      <c r="H59" s="176">
        <f>H18+H40</f>
        <v>54816688</v>
      </c>
      <c r="I59" s="103">
        <f t="shared" si="25"/>
        <v>6.6</v>
      </c>
      <c r="J59" s="409">
        <f t="shared" si="23"/>
        <v>3.085497855318426</v>
      </c>
      <c r="K59" s="138"/>
      <c r="L59" s="222">
        <f ca="1">L19+L40</f>
        <v>0</v>
      </c>
      <c r="M59" s="220">
        <f ca="1">M19+M40</f>
        <v>0</v>
      </c>
      <c r="N59" s="222">
        <f ca="1">N19+N40</f>
        <v>0</v>
      </c>
      <c r="O59" s="220">
        <f ca="1">O19+O40</f>
        <v>0</v>
      </c>
      <c r="P59" s="206"/>
      <c r="Q59" s="206"/>
      <c r="R59" s="206"/>
      <c r="S59" s="181"/>
      <c r="T59" s="138"/>
    </row>
    <row r="60" spans="1:20" ht="18.75" x14ac:dyDescent="0.3">
      <c r="A60" s="85" t="s">
        <v>88</v>
      </c>
      <c r="B60" s="102">
        <f>B19</f>
        <v>34165.241999999998</v>
      </c>
      <c r="C60" s="102">
        <f>+C19</f>
        <v>37620.57</v>
      </c>
      <c r="D60" s="103">
        <f t="shared" si="24"/>
        <v>10.1</v>
      </c>
      <c r="E60" s="409">
        <f t="shared" si="22"/>
        <v>2.8016718513982908E-2</v>
      </c>
      <c r="F60" s="102"/>
      <c r="G60" s="176">
        <f>+G19</f>
        <v>22010.537</v>
      </c>
      <c r="H60" s="176">
        <f>+H19</f>
        <v>15305</v>
      </c>
      <c r="I60" s="103">
        <f t="shared" si="25"/>
        <v>-30.5</v>
      </c>
      <c r="J60" s="409">
        <f t="shared" si="23"/>
        <v>8.6148117295318009E-4</v>
      </c>
      <c r="K60" s="138"/>
      <c r="L60" s="222">
        <f ca="1">L20</f>
        <v>0</v>
      </c>
      <c r="M60" s="220">
        <f ca="1">+M20</f>
        <v>0</v>
      </c>
      <c r="N60" s="222">
        <f ca="1">+N20</f>
        <v>0</v>
      </c>
      <c r="O60" s="220">
        <f ca="1">+O20</f>
        <v>0</v>
      </c>
      <c r="P60" s="206"/>
      <c r="Q60" s="206"/>
      <c r="R60" s="206"/>
      <c r="S60" s="181"/>
      <c r="T60" s="138"/>
    </row>
    <row r="61" spans="1:20" ht="18.75" x14ac:dyDescent="0.3">
      <c r="A61" s="85" t="s">
        <v>89</v>
      </c>
      <c r="B61" s="102">
        <f>B20</f>
        <v>535456.72047683294</v>
      </c>
      <c r="C61" s="102">
        <f>+C20</f>
        <v>594471.87462945096</v>
      </c>
      <c r="D61" s="103">
        <f t="shared" si="24"/>
        <v>11</v>
      </c>
      <c r="E61" s="409">
        <f t="shared" si="22"/>
        <v>0.44271395079800929</v>
      </c>
      <c r="F61" s="102"/>
      <c r="G61" s="176">
        <f>+G20</f>
        <v>556565.27800000005</v>
      </c>
      <c r="H61" s="176">
        <f>+H20</f>
        <v>549814.80638066796</v>
      </c>
      <c r="I61" s="103">
        <f t="shared" si="25"/>
        <v>-1.2</v>
      </c>
      <c r="J61" s="409">
        <f t="shared" si="23"/>
        <v>3.0947736315442235E-2</v>
      </c>
      <c r="K61" s="138"/>
      <c r="L61" s="222" t="e">
        <f>#REF!</f>
        <v>#REF!</v>
      </c>
      <c r="M61" s="220" t="e">
        <f>+#REF!</f>
        <v>#REF!</v>
      </c>
      <c r="N61" s="222" t="e">
        <f>+#REF!</f>
        <v>#REF!</v>
      </c>
      <c r="O61" s="220" t="e">
        <f>+#REF!</f>
        <v>#REF!</v>
      </c>
      <c r="P61" s="206"/>
      <c r="Q61" s="206"/>
      <c r="R61" s="206"/>
      <c r="S61" s="181"/>
      <c r="T61" s="138"/>
    </row>
    <row r="62" spans="1:20" ht="18.75" x14ac:dyDescent="0.3">
      <c r="A62" s="85" t="s">
        <v>63</v>
      </c>
      <c r="B62" s="104">
        <f>B21+B41</f>
        <v>50161054.579180002</v>
      </c>
      <c r="C62" s="104">
        <f>C21+C41</f>
        <v>50137053.992069997</v>
      </c>
      <c r="D62" s="105">
        <f t="shared" si="24"/>
        <v>0</v>
      </c>
      <c r="E62" s="411">
        <f t="shared" si="22"/>
        <v>37.337970392691766</v>
      </c>
      <c r="F62" s="104"/>
      <c r="G62" s="177">
        <f>G21+G41</f>
        <v>576357327.91599</v>
      </c>
      <c r="H62" s="177">
        <f>H21+H41</f>
        <v>654262768.41559994</v>
      </c>
      <c r="I62" s="103">
        <f t="shared" si="25"/>
        <v>13.5</v>
      </c>
      <c r="J62" s="409">
        <f t="shared" si="23"/>
        <v>36.82685770364364</v>
      </c>
      <c r="K62" s="138"/>
      <c r="L62" s="222">
        <f ca="1">L33+L41</f>
        <v>0</v>
      </c>
      <c r="M62" s="220">
        <f ca="1">M33+M41</f>
        <v>0</v>
      </c>
      <c r="N62" s="222">
        <f ca="1">N33+N41</f>
        <v>0</v>
      </c>
      <c r="O62" s="220">
        <f ca="1">O33+O41</f>
        <v>0</v>
      </c>
      <c r="P62" s="209"/>
      <c r="Q62" s="209"/>
      <c r="R62" s="209"/>
      <c r="S62" s="181"/>
      <c r="T62" s="138"/>
    </row>
    <row r="63" spans="1:20" ht="18.75" x14ac:dyDescent="0.3">
      <c r="A63" s="85" t="s">
        <v>90</v>
      </c>
      <c r="B63" s="102">
        <f t="shared" ref="B63:C65" si="31">B22</f>
        <v>253776.878</v>
      </c>
      <c r="C63" s="102">
        <f t="shared" si="31"/>
        <v>318629.58999999997</v>
      </c>
      <c r="D63" s="103">
        <f t="shared" si="24"/>
        <v>25.6</v>
      </c>
      <c r="E63" s="409">
        <f t="shared" si="22"/>
        <v>0.23728921526855606</v>
      </c>
      <c r="F63" s="102"/>
      <c r="G63" s="176">
        <f t="shared" ref="G63:H65" si="32">G22</f>
        <v>72087.316999999995</v>
      </c>
      <c r="H63" s="176">
        <f t="shared" si="32"/>
        <v>105413.077</v>
      </c>
      <c r="I63" s="103">
        <f t="shared" si="25"/>
        <v>46.2</v>
      </c>
      <c r="J63" s="409">
        <f t="shared" si="23"/>
        <v>5.933445358939163E-3</v>
      </c>
      <c r="K63" s="138"/>
      <c r="L63" s="222">
        <f ca="1">L23</f>
        <v>0</v>
      </c>
      <c r="M63" s="220">
        <f ca="1">M23</f>
        <v>0</v>
      </c>
      <c r="N63" s="222">
        <f ca="1">N23</f>
        <v>0</v>
      </c>
      <c r="O63" s="220">
        <f ca="1">O23</f>
        <v>0</v>
      </c>
      <c r="P63" s="206"/>
      <c r="Q63" s="206"/>
      <c r="R63" s="206"/>
      <c r="S63" s="181"/>
      <c r="T63" s="138"/>
    </row>
    <row r="64" spans="1:20" ht="18.75" x14ac:dyDescent="0.3">
      <c r="A64" s="107" t="s">
        <v>466</v>
      </c>
      <c r="B64" s="102">
        <f t="shared" si="31"/>
        <v>112320</v>
      </c>
      <c r="C64" s="102">
        <f t="shared" si="31"/>
        <v>101798</v>
      </c>
      <c r="D64" s="103">
        <f t="shared" si="24"/>
        <v>-9.4</v>
      </c>
      <c r="E64" s="409">
        <f t="shared" si="22"/>
        <v>7.5810810715691762E-2</v>
      </c>
      <c r="F64" s="102"/>
      <c r="G64" s="176">
        <f t="shared" si="32"/>
        <v>0</v>
      </c>
      <c r="H64" s="176">
        <f t="shared" si="32"/>
        <v>0</v>
      </c>
      <c r="I64" s="103"/>
      <c r="J64" s="409">
        <f t="shared" si="23"/>
        <v>0</v>
      </c>
      <c r="K64" s="138"/>
      <c r="L64" s="222">
        <f ca="1">L25</f>
        <v>0</v>
      </c>
      <c r="M64" s="220">
        <f ca="1">M25</f>
        <v>0</v>
      </c>
      <c r="N64" s="222">
        <f ca="1">N25</f>
        <v>0</v>
      </c>
      <c r="O64" s="220">
        <f ca="1">O25</f>
        <v>0</v>
      </c>
      <c r="P64" s="206"/>
      <c r="Q64" s="206"/>
      <c r="R64" s="206"/>
      <c r="S64" s="181"/>
      <c r="T64" s="138"/>
    </row>
    <row r="65" spans="1:240" ht="18.75" x14ac:dyDescent="0.3">
      <c r="A65" s="107" t="s">
        <v>476</v>
      </c>
      <c r="B65" s="102">
        <f t="shared" si="31"/>
        <v>0</v>
      </c>
      <c r="C65" s="102">
        <f t="shared" si="31"/>
        <v>22009</v>
      </c>
      <c r="D65" s="103" t="str">
        <f t="shared" ref="D65" si="33">IF(B65=0, "    ---- ", IF(ABS(ROUND(100/B65*C65-100,1))&lt;999,ROUND(100/B65*C65-100,1),IF(ROUND(100/B65*C65-100,1)&gt;999,999,-999)))</f>
        <v xml:space="preserve">    ---- </v>
      </c>
      <c r="E65" s="409">
        <f t="shared" si="22"/>
        <v>1.6390500137936501E-2</v>
      </c>
      <c r="F65" s="102"/>
      <c r="G65" s="176">
        <f t="shared" si="32"/>
        <v>0</v>
      </c>
      <c r="H65" s="176">
        <f t="shared" si="32"/>
        <v>0</v>
      </c>
      <c r="I65" s="103"/>
      <c r="J65" s="409">
        <f t="shared" si="23"/>
        <v>0</v>
      </c>
      <c r="K65" s="138"/>
      <c r="L65" s="222"/>
      <c r="M65" s="220"/>
      <c r="N65" s="222"/>
      <c r="O65" s="220"/>
      <c r="P65" s="206"/>
      <c r="Q65" s="206"/>
      <c r="R65" s="206"/>
      <c r="S65" s="181"/>
      <c r="T65" s="138"/>
    </row>
    <row r="66" spans="1:240" ht="18.75" x14ac:dyDescent="0.3">
      <c r="A66" s="106" t="s">
        <v>65</v>
      </c>
      <c r="B66" s="102">
        <f>B25+B42</f>
        <v>19418429</v>
      </c>
      <c r="C66" s="102">
        <f>+C25+C42</f>
        <v>15398546.595881928</v>
      </c>
      <c r="D66" s="103">
        <f t="shared" si="24"/>
        <v>-20.7</v>
      </c>
      <c r="E66" s="409">
        <f t="shared" si="22"/>
        <v>11.467575996357144</v>
      </c>
      <c r="F66" s="102"/>
      <c r="G66" s="176">
        <f>+G25+G42</f>
        <v>181214070.51999998</v>
      </c>
      <c r="H66" s="176">
        <f>+H25+H42</f>
        <v>172644639.99999541</v>
      </c>
      <c r="I66" s="103">
        <f t="shared" si="25"/>
        <v>-4.7</v>
      </c>
      <c r="J66" s="409">
        <f t="shared" si="23"/>
        <v>9.7177462901846159</v>
      </c>
      <c r="K66" s="138"/>
      <c r="L66" s="222">
        <f ca="1">L26+L42</f>
        <v>0</v>
      </c>
      <c r="M66" s="220">
        <f ca="1">+M26+M42</f>
        <v>0</v>
      </c>
      <c r="N66" s="222">
        <f ca="1">+N26+N42</f>
        <v>0</v>
      </c>
      <c r="O66" s="220">
        <f ca="1">+O26+O42</f>
        <v>0</v>
      </c>
      <c r="P66" s="206"/>
      <c r="Q66" s="206"/>
      <c r="R66" s="206"/>
      <c r="S66" s="181"/>
      <c r="T66" s="138"/>
    </row>
    <row r="67" spans="1:240" ht="18.75" customHeight="1" x14ac:dyDescent="0.3">
      <c r="A67" s="106" t="s">
        <v>92</v>
      </c>
      <c r="B67" s="102">
        <f>B26</f>
        <v>7476722</v>
      </c>
      <c r="C67" s="102">
        <f>C26</f>
        <v>8323811</v>
      </c>
      <c r="D67" s="103">
        <f t="shared" si="24"/>
        <v>11.3</v>
      </c>
      <c r="E67" s="409">
        <f t="shared" si="22"/>
        <v>6.1988925141377331</v>
      </c>
      <c r="F67" s="102"/>
      <c r="G67" s="176">
        <f>G26</f>
        <v>102259830</v>
      </c>
      <c r="H67" s="176">
        <f>H26</f>
        <v>106050686</v>
      </c>
      <c r="I67" s="103">
        <f t="shared" si="25"/>
        <v>3.7</v>
      </c>
      <c r="J67" s="409">
        <f t="shared" si="23"/>
        <v>5.9693348165808162</v>
      </c>
      <c r="K67" s="138"/>
      <c r="L67" s="222">
        <f ca="1">L27</f>
        <v>0</v>
      </c>
      <c r="M67" s="220">
        <f ca="1">M27</f>
        <v>0</v>
      </c>
      <c r="N67" s="222">
        <f ca="1">N27</f>
        <v>0</v>
      </c>
      <c r="O67" s="220">
        <f ca="1">O27</f>
        <v>0</v>
      </c>
      <c r="P67" s="206"/>
      <c r="Q67" s="206"/>
      <c r="R67" s="206"/>
      <c r="S67" s="181"/>
      <c r="T67" s="138"/>
    </row>
    <row r="68" spans="1:240" ht="18.75" customHeight="1" x14ac:dyDescent="0.3">
      <c r="A68" s="106" t="s">
        <v>425</v>
      </c>
      <c r="B68" s="102">
        <f>B27</f>
        <v>331132.55263506202</v>
      </c>
      <c r="C68" s="102">
        <f>C27</f>
        <v>356049.57687832625</v>
      </c>
      <c r="D68" s="103">
        <f t="shared" ref="D68" si="34">IF(B68=0, "    ---- ", IF(ABS(ROUND(100/B68*C68-100,1))&lt;999,ROUND(100/B68*C68-100,1),IF(ROUND(100/B68*C68-100,1)&gt;999,999,-999)))</f>
        <v>7.5</v>
      </c>
      <c r="E68" s="409">
        <f t="shared" si="22"/>
        <v>0.26515655590605841</v>
      </c>
      <c r="F68" s="102"/>
      <c r="G68" s="176">
        <f>G27</f>
        <v>0</v>
      </c>
      <c r="H68" s="176">
        <f>H27</f>
        <v>0</v>
      </c>
      <c r="I68" s="103"/>
      <c r="J68" s="409">
        <f t="shared" si="23"/>
        <v>0</v>
      </c>
      <c r="K68" s="138"/>
      <c r="L68" s="222"/>
      <c r="M68" s="220"/>
      <c r="N68" s="222"/>
      <c r="O68" s="220"/>
      <c r="P68" s="206"/>
      <c r="Q68" s="206"/>
      <c r="R68" s="206"/>
      <c r="S68" s="181"/>
      <c r="T68" s="138"/>
    </row>
    <row r="69" spans="1:240" ht="18.75" customHeight="1" x14ac:dyDescent="0.3">
      <c r="A69" s="106" t="s">
        <v>70</v>
      </c>
      <c r="B69" s="102">
        <f>B43</f>
        <v>178297.44472</v>
      </c>
      <c r="C69" s="102">
        <f>C43</f>
        <v>95313</v>
      </c>
      <c r="D69" s="103">
        <f t="shared" si="24"/>
        <v>-46.5</v>
      </c>
      <c r="E69" s="409">
        <f t="shared" si="22"/>
        <v>7.0981313991873407E-2</v>
      </c>
      <c r="F69" s="102"/>
      <c r="G69" s="176">
        <f>G43</f>
        <v>3211246.3059999999</v>
      </c>
      <c r="H69" s="176">
        <f>H43</f>
        <v>59412</v>
      </c>
      <c r="I69" s="103">
        <f t="shared" si="25"/>
        <v>-98.1</v>
      </c>
      <c r="J69" s="409">
        <f t="shared" si="23"/>
        <v>3.344156775399826E-3</v>
      </c>
      <c r="K69" s="138"/>
      <c r="L69" s="222">
        <f ca="1">L43</f>
        <v>0</v>
      </c>
      <c r="M69" s="220">
        <f ca="1">M43</f>
        <v>0</v>
      </c>
      <c r="N69" s="222">
        <f ca="1">N43</f>
        <v>0</v>
      </c>
      <c r="O69" s="220">
        <f ca="1">O43</f>
        <v>0</v>
      </c>
      <c r="P69" s="206"/>
      <c r="Q69" s="206"/>
      <c r="R69" s="206"/>
      <c r="S69" s="181"/>
      <c r="T69" s="138"/>
    </row>
    <row r="70" spans="1:240" ht="18.75" customHeight="1" x14ac:dyDescent="0.3">
      <c r="A70" s="85" t="s">
        <v>475</v>
      </c>
      <c r="B70" s="102">
        <f>B28+B44</f>
        <v>6355720.5576600004</v>
      </c>
      <c r="C70" s="102">
        <f>+C28+C44</f>
        <v>7101308.4225000003</v>
      </c>
      <c r="D70" s="103">
        <f t="shared" si="24"/>
        <v>11.7</v>
      </c>
      <c r="E70" s="409">
        <f t="shared" si="22"/>
        <v>5.2884727465362307</v>
      </c>
      <c r="F70" s="102"/>
      <c r="G70" s="176">
        <f>+G28+G44</f>
        <v>76850324.804260001</v>
      </c>
      <c r="H70" s="176">
        <f>+H28+H44</f>
        <v>75821570</v>
      </c>
      <c r="I70" s="103">
        <f t="shared" si="25"/>
        <v>-1.3</v>
      </c>
      <c r="J70" s="409">
        <f t="shared" si="23"/>
        <v>4.2678115033486863</v>
      </c>
      <c r="K70" s="138"/>
      <c r="L70" s="222">
        <f ca="1">L29+L44</f>
        <v>0</v>
      </c>
      <c r="M70" s="220">
        <f t="shared" ref="M70:O71" ca="1" si="35">+M29+M44</f>
        <v>0</v>
      </c>
      <c r="N70" s="222">
        <f t="shared" ca="1" si="35"/>
        <v>0</v>
      </c>
      <c r="O70" s="220">
        <f t="shared" ca="1" si="35"/>
        <v>0</v>
      </c>
      <c r="P70" s="206"/>
      <c r="Q70" s="206"/>
      <c r="R70" s="206"/>
      <c r="S70" s="181"/>
      <c r="T70" s="138"/>
    </row>
    <row r="71" spans="1:240" ht="18.75" customHeight="1" x14ac:dyDescent="0.3">
      <c r="A71" s="106" t="s">
        <v>93</v>
      </c>
      <c r="B71" s="102">
        <f>B45+B29</f>
        <v>19103129.366</v>
      </c>
      <c r="C71" s="102">
        <f>+C29+C45</f>
        <v>19933087.245449997</v>
      </c>
      <c r="D71" s="103">
        <f t="shared" si="24"/>
        <v>4.3</v>
      </c>
      <c r="E71" s="409">
        <f t="shared" si="22"/>
        <v>14.844530385117384</v>
      </c>
      <c r="F71" s="102"/>
      <c r="G71" s="176">
        <f>+G29+G45</f>
        <v>354145789.32200003</v>
      </c>
      <c r="H71" s="176">
        <f>+H29+H45</f>
        <v>350456449.28538996</v>
      </c>
      <c r="I71" s="103">
        <f t="shared" si="25"/>
        <v>-1</v>
      </c>
      <c r="J71" s="409">
        <f t="shared" si="23"/>
        <v>19.726339954223093</v>
      </c>
      <c r="K71" s="138"/>
      <c r="L71" s="222">
        <f ca="1">L45+L30</f>
        <v>0</v>
      </c>
      <c r="M71" s="220">
        <f t="shared" ca="1" si="35"/>
        <v>0</v>
      </c>
      <c r="N71" s="222">
        <f t="shared" ca="1" si="35"/>
        <v>0</v>
      </c>
      <c r="O71" s="220">
        <f t="shared" ca="1" si="35"/>
        <v>0</v>
      </c>
      <c r="P71" s="206"/>
      <c r="Q71" s="206"/>
      <c r="R71" s="206"/>
      <c r="S71" s="181"/>
      <c r="T71" s="138"/>
    </row>
    <row r="72" spans="1:240" ht="18.75" customHeight="1" x14ac:dyDescent="0.3">
      <c r="A72" s="106" t="s">
        <v>94</v>
      </c>
      <c r="B72" s="102">
        <f>B30</f>
        <v>1344</v>
      </c>
      <c r="C72" s="102">
        <f>+C30</f>
        <v>8426</v>
      </c>
      <c r="D72" s="103">
        <f t="shared" si="24"/>
        <v>526.9</v>
      </c>
      <c r="E72" s="409">
        <f t="shared" si="22"/>
        <v>6.2749945096211984E-3</v>
      </c>
      <c r="F72" s="102"/>
      <c r="G72" s="176">
        <f t="shared" ref="G72:H74" si="36">+G30</f>
        <v>0</v>
      </c>
      <c r="H72" s="176">
        <f t="shared" si="36"/>
        <v>0</v>
      </c>
      <c r="I72" s="103"/>
      <c r="J72" s="409">
        <f t="shared" si="23"/>
        <v>0</v>
      </c>
      <c r="K72" s="138"/>
      <c r="L72" s="222">
        <f ca="1">L31</f>
        <v>0</v>
      </c>
      <c r="M72" s="220">
        <f t="shared" ref="M72:O73" ca="1" si="37">+M31</f>
        <v>0</v>
      </c>
      <c r="N72" s="222">
        <f t="shared" ca="1" si="37"/>
        <v>0</v>
      </c>
      <c r="O72" s="220">
        <f t="shared" ca="1" si="37"/>
        <v>0</v>
      </c>
      <c r="P72" s="206"/>
      <c r="Q72" s="206"/>
      <c r="R72" s="206"/>
      <c r="S72" s="181"/>
      <c r="T72" s="138"/>
    </row>
    <row r="73" spans="1:240" ht="18.75" customHeight="1" x14ac:dyDescent="0.3">
      <c r="A73" s="106" t="s">
        <v>95</v>
      </c>
      <c r="B73" s="102">
        <f>B31</f>
        <v>589319.00377000007</v>
      </c>
      <c r="C73" s="102">
        <f>+C31</f>
        <v>683873</v>
      </c>
      <c r="D73" s="103">
        <f t="shared" si="24"/>
        <v>16</v>
      </c>
      <c r="E73" s="409">
        <f t="shared" si="22"/>
        <v>0.50929258488941109</v>
      </c>
      <c r="F73" s="102"/>
      <c r="G73" s="176">
        <f t="shared" si="36"/>
        <v>0</v>
      </c>
      <c r="H73" s="176">
        <f t="shared" si="36"/>
        <v>0</v>
      </c>
      <c r="I73" s="103"/>
      <c r="J73" s="409">
        <f t="shared" si="23"/>
        <v>0</v>
      </c>
      <c r="K73" s="138"/>
      <c r="L73" s="222">
        <f ca="1">L32</f>
        <v>0</v>
      </c>
      <c r="M73" s="220">
        <f t="shared" ca="1" si="37"/>
        <v>0</v>
      </c>
      <c r="N73" s="222">
        <f t="shared" ca="1" si="37"/>
        <v>0</v>
      </c>
      <c r="O73" s="220">
        <f t="shared" ca="1" si="37"/>
        <v>0</v>
      </c>
      <c r="P73" s="206"/>
      <c r="Q73" s="206"/>
      <c r="R73" s="206"/>
      <c r="S73" s="181"/>
      <c r="T73" s="138"/>
    </row>
    <row r="74" spans="1:240" ht="18.75" x14ac:dyDescent="0.3">
      <c r="A74" s="192" t="s">
        <v>469</v>
      </c>
      <c r="B74" s="102">
        <f>B32</f>
        <v>1909</v>
      </c>
      <c r="C74" s="102">
        <f>C32</f>
        <v>2052</v>
      </c>
      <c r="D74" s="103">
        <f t="shared" si="24"/>
        <v>7.5</v>
      </c>
      <c r="E74" s="409">
        <f t="shared" ref="E74" si="38">100/C$34*C74</f>
        <v>2.55810411785974E-3</v>
      </c>
      <c r="F74" s="192"/>
      <c r="G74" s="176">
        <f t="shared" si="36"/>
        <v>0</v>
      </c>
      <c r="H74" s="176">
        <f t="shared" si="36"/>
        <v>0</v>
      </c>
      <c r="I74" s="192"/>
      <c r="J74" s="409">
        <f t="shared" ref="J74" si="39">100/H$34*H74</f>
        <v>0</v>
      </c>
      <c r="K74" s="206"/>
      <c r="L74" s="222">
        <f t="shared" ref="L74" ca="1" si="40">INDIRECT("'" &amp; $A73 &amp; "'!" &amp; $P$7)</f>
        <v>0</v>
      </c>
      <c r="M74" s="220">
        <f t="shared" ref="M74" ca="1" si="41">INDIRECT("'" &amp; $A73 &amp; "'!" &amp; $P$8)</f>
        <v>0</v>
      </c>
      <c r="N74" s="222">
        <f t="shared" ref="N74" ca="1" si="42">INDIRECT("'" &amp; $A73 &amp; "'!" &amp; $P$10)</f>
        <v>0</v>
      </c>
      <c r="O74" s="220">
        <f t="shared" ref="O74" ca="1" si="43">INDIRECT("'" &amp; $A73 &amp; "'!" &amp; $P$11)</f>
        <v>0</v>
      </c>
    </row>
    <row r="75" spans="1:240" ht="18.75" x14ac:dyDescent="0.3">
      <c r="A75" s="106" t="s">
        <v>477</v>
      </c>
      <c r="B75" s="102">
        <f>B33</f>
        <v>0</v>
      </c>
      <c r="C75" s="102">
        <f>+C33</f>
        <v>2177</v>
      </c>
      <c r="D75" s="103" t="str">
        <f>IF(B75=0, "    ---- ", IF(ABS(ROUND(100/B75*C75-100,1))&lt;999,ROUND(100/B75*C75-100,1),IF(ROUND(100/B75*C75-100,1)&gt;999,999,-999)))</f>
        <v xml:space="preserve">    ---- </v>
      </c>
      <c r="E75" s="409">
        <f>100/C$76*C75</f>
        <v>1.6212512517737182E-3</v>
      </c>
      <c r="F75" s="102"/>
      <c r="G75" s="176">
        <f>G33</f>
        <v>0</v>
      </c>
      <c r="H75" s="176">
        <f>H33</f>
        <v>5826</v>
      </c>
      <c r="I75" s="103" t="str">
        <f>IF(G75=0, "    ---- ", IF(ABS(ROUND(100/G75*H75-100,1))&lt;999,ROUND(100/G75*H75-100,1),IF(ROUND(100/G75*H75-100,1)&gt;999,999,-999)))</f>
        <v xml:space="preserve">    ---- </v>
      </c>
      <c r="J75" s="409">
        <f>100/H$76*H75</f>
        <v>3.279313501225238E-4</v>
      </c>
      <c r="K75" s="138"/>
      <c r="L75" s="222" t="e">
        <f ca="1">L22+#REF!</f>
        <v>#REF!</v>
      </c>
      <c r="M75" s="220" t="e">
        <f ca="1">+M22+#REF!</f>
        <v>#REF!</v>
      </c>
      <c r="N75" s="222" t="e">
        <f ca="1">N22+#REF!</f>
        <v>#REF!</v>
      </c>
      <c r="O75" s="220" t="e">
        <f ca="1">O22+#REF!</f>
        <v>#REF!</v>
      </c>
      <c r="P75" s="206"/>
      <c r="Q75" s="206"/>
      <c r="R75" s="206"/>
      <c r="S75" s="181"/>
      <c r="T75" s="138"/>
    </row>
    <row r="76" spans="1:240" s="110" customFormat="1" ht="18.75" customHeight="1" x14ac:dyDescent="0.3">
      <c r="A76" s="112" t="s">
        <v>2</v>
      </c>
      <c r="B76" s="113">
        <f>SUM(B50:B75)</f>
        <v>132745163.05441189</v>
      </c>
      <c r="C76" s="113">
        <f>SUM(C50:C75)</f>
        <v>134279001.95100969</v>
      </c>
      <c r="D76" s="114">
        <f>IF(B76=0, "    ---- ", IF(ABS(ROUND(100/B76*C76-100,1))&lt;999,ROUND(100/B76*C76-100,1),IF(ROUND(100/B76*C76-100,1)&gt;999,999,-999)))</f>
        <v>1.2</v>
      </c>
      <c r="E76" s="412">
        <f>SUM(E50:E75)</f>
        <v>100.00102994262564</v>
      </c>
      <c r="F76" s="108"/>
      <c r="G76" s="180">
        <f>SUM(G50:G75)</f>
        <v>1716165530.84794</v>
      </c>
      <c r="H76" s="180">
        <f>SUM(H50:H75)</f>
        <v>1776591349.9344459</v>
      </c>
      <c r="I76" s="114">
        <f>IF(G76=0, "    ---- ", IF(ABS(ROUND(100/G76*H76-100,1))&lt;999,ROUND(100/G76*H76-100,1),IF(ROUND(100/G76*H76-100,1)&gt;999,999,-999)))</f>
        <v>3.5</v>
      </c>
      <c r="J76" s="412">
        <f>SUM(J50:J75)</f>
        <v>100</v>
      </c>
      <c r="K76" s="179"/>
      <c r="L76" s="228" t="e">
        <f ca="1">SUM(L50:L73)</f>
        <v>#REF!</v>
      </c>
      <c r="M76" s="229" t="e">
        <f ca="1">SUM(M50:M73)</f>
        <v>#REF!</v>
      </c>
      <c r="N76" s="228" t="e">
        <f ca="1">SUM(N50:N73)</f>
        <v>#REF!</v>
      </c>
      <c r="O76" s="229" t="e">
        <f ca="1">SUM(O50:O73)</f>
        <v>#REF!</v>
      </c>
      <c r="P76" s="208"/>
      <c r="Q76" s="208"/>
      <c r="R76" s="208"/>
      <c r="S76" s="137"/>
      <c r="T76" s="179"/>
    </row>
    <row r="77" spans="1:240" ht="18.75" customHeight="1" x14ac:dyDescent="0.3">
      <c r="A77" s="111" t="s">
        <v>99</v>
      </c>
      <c r="B77" s="111"/>
      <c r="C77" s="111"/>
      <c r="D77" s="111"/>
      <c r="E77" s="111"/>
      <c r="F77" s="111"/>
      <c r="G77" s="111"/>
      <c r="H77" s="111"/>
      <c r="I77" s="111"/>
      <c r="J77" s="111"/>
      <c r="K77" s="111"/>
      <c r="L77" s="185"/>
      <c r="M77" s="185"/>
      <c r="N77" s="185"/>
      <c r="O77" s="185"/>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c r="FF77" s="111"/>
      <c r="FG77" s="111"/>
      <c r="FH77" s="111"/>
      <c r="FI77" s="111"/>
      <c r="FJ77" s="111"/>
      <c r="FK77" s="111"/>
      <c r="FL77" s="111"/>
      <c r="FM77" s="111"/>
      <c r="FN77" s="111"/>
      <c r="FO77" s="111"/>
      <c r="FP77" s="111"/>
      <c r="FQ77" s="111"/>
      <c r="FR77" s="111"/>
      <c r="FS77" s="111"/>
      <c r="FT77" s="111"/>
      <c r="FU77" s="111"/>
      <c r="FV77" s="111"/>
      <c r="FW77" s="111"/>
      <c r="FX77" s="111"/>
      <c r="FY77" s="111"/>
      <c r="FZ77" s="111"/>
      <c r="GA77" s="111"/>
      <c r="GB77" s="111"/>
      <c r="GC77" s="111"/>
      <c r="GD77" s="111"/>
      <c r="GE77" s="111"/>
      <c r="GF77" s="111"/>
      <c r="GG77" s="111"/>
      <c r="GH77" s="111"/>
      <c r="GI77" s="111"/>
      <c r="GJ77" s="111"/>
      <c r="GK77" s="111"/>
      <c r="GL77" s="111"/>
      <c r="GM77" s="111"/>
      <c r="GN77" s="111"/>
      <c r="GO77" s="111"/>
      <c r="GP77" s="111"/>
      <c r="GQ77" s="111"/>
      <c r="GR77" s="111"/>
      <c r="GS77" s="111"/>
      <c r="GT77" s="111"/>
      <c r="GU77" s="111"/>
      <c r="GV77" s="111"/>
      <c r="GW77" s="111"/>
      <c r="GX77" s="111"/>
      <c r="GY77" s="111"/>
      <c r="GZ77" s="111"/>
      <c r="HA77" s="111"/>
      <c r="HB77" s="111"/>
      <c r="HC77" s="111"/>
      <c r="HD77" s="111"/>
      <c r="HE77" s="111"/>
      <c r="HF77" s="111"/>
      <c r="HG77" s="111"/>
      <c r="HH77" s="111"/>
      <c r="HI77" s="111"/>
      <c r="HJ77" s="111"/>
      <c r="HK77" s="111"/>
      <c r="HL77" s="111"/>
      <c r="HM77" s="111"/>
      <c r="HN77" s="111"/>
      <c r="HO77" s="111"/>
      <c r="HP77" s="111"/>
      <c r="HQ77" s="111"/>
      <c r="HR77" s="111"/>
      <c r="HS77" s="111"/>
      <c r="HT77" s="111"/>
      <c r="HU77" s="111"/>
      <c r="HV77" s="111"/>
      <c r="HW77" s="111"/>
      <c r="HX77" s="111"/>
      <c r="HY77" s="111"/>
      <c r="HZ77" s="111"/>
      <c r="IA77" s="111"/>
      <c r="IB77" s="111"/>
      <c r="IC77" s="111"/>
      <c r="ID77" s="111"/>
      <c r="IE77" s="111"/>
      <c r="IF77" s="111"/>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customHeight="1" x14ac:dyDescent="0.3">
      <c r="A80" s="74"/>
      <c r="B80" s="76"/>
      <c r="C80" s="76"/>
      <c r="D80" s="74"/>
      <c r="E80" s="74"/>
      <c r="F80" s="74"/>
      <c r="G80" s="76"/>
      <c r="H80" s="76"/>
      <c r="I80" s="74"/>
      <c r="J80" s="74"/>
      <c r="K80" s="74"/>
    </row>
    <row r="81" spans="1:11" ht="18.75" customHeight="1" x14ac:dyDescent="0.3">
      <c r="A81" s="74"/>
      <c r="B81" s="74"/>
      <c r="C81" s="74"/>
      <c r="D81" s="74"/>
      <c r="E81" s="74"/>
      <c r="F81" s="74"/>
      <c r="G81" s="74"/>
      <c r="H81" s="74"/>
      <c r="I81" s="74"/>
      <c r="J81" s="74"/>
      <c r="K81" s="74"/>
    </row>
    <row r="82" spans="1:11" ht="18.75" customHeight="1" x14ac:dyDescent="0.3">
      <c r="A82" s="74"/>
      <c r="B82" s="74"/>
      <c r="C82" s="74"/>
      <c r="D82" s="74"/>
      <c r="E82" s="74"/>
      <c r="F82" s="74"/>
      <c r="G82" s="74"/>
      <c r="H82" s="74"/>
      <c r="I82" s="74"/>
      <c r="J82" s="74"/>
      <c r="K82" s="74"/>
    </row>
    <row r="83" spans="1:11" ht="18.75" customHeight="1" x14ac:dyDescent="0.3">
      <c r="A83" s="74"/>
      <c r="B83" s="74"/>
      <c r="C83" s="74"/>
      <c r="D83" s="74"/>
      <c r="E83" s="74"/>
      <c r="F83" s="74"/>
      <c r="G83" s="74"/>
      <c r="H83" s="74"/>
      <c r="I83" s="74"/>
      <c r="J83" s="74"/>
      <c r="K83" s="74"/>
    </row>
    <row r="84" spans="1:11" ht="18.75" customHeight="1"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111"/>
      <c r="B102" s="111"/>
      <c r="C102" s="111"/>
      <c r="D102" s="111"/>
      <c r="E102" s="111"/>
      <c r="F102" s="111"/>
      <c r="G102" s="111"/>
      <c r="H102" s="111"/>
      <c r="I102" s="111"/>
      <c r="J102" s="111"/>
      <c r="K102" s="111"/>
    </row>
    <row r="103" spans="1:11" ht="18.75" x14ac:dyDescent="0.3">
      <c r="A103" s="115"/>
      <c r="B103" s="116"/>
      <c r="C103" s="116"/>
      <c r="D103" s="116"/>
      <c r="E103" s="74"/>
      <c r="F103" s="74"/>
      <c r="G103" s="74"/>
      <c r="H103" s="74"/>
      <c r="I103" s="74"/>
      <c r="J103" s="75"/>
      <c r="K103" s="75"/>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row r="112" spans="1:11" ht="18.75" x14ac:dyDescent="0.3">
      <c r="A112" s="74"/>
      <c r="B112" s="74"/>
      <c r="C112" s="74"/>
      <c r="D112" s="74"/>
      <c r="E112" s="74"/>
      <c r="F112" s="74"/>
      <c r="G112" s="74"/>
      <c r="H112" s="74"/>
      <c r="I112" s="74"/>
      <c r="J112" s="74"/>
      <c r="K112" s="74"/>
    </row>
    <row r="113" spans="1:11" ht="18.75" x14ac:dyDescent="0.3">
      <c r="A113" s="74"/>
      <c r="B113" s="74"/>
      <c r="C113" s="74"/>
      <c r="D113" s="74"/>
      <c r="E113" s="74"/>
      <c r="F113" s="74"/>
      <c r="G113" s="74"/>
      <c r="H113" s="74"/>
      <c r="I113" s="74"/>
      <c r="J113" s="74"/>
      <c r="K113" s="74"/>
    </row>
    <row r="114" spans="1:11" ht="18.75" x14ac:dyDescent="0.3">
      <c r="A114" s="74"/>
      <c r="B114" s="74"/>
      <c r="C114" s="74"/>
      <c r="D114" s="74"/>
      <c r="E114" s="74"/>
      <c r="F114" s="74"/>
      <c r="G114" s="74"/>
      <c r="H114" s="74"/>
      <c r="I114" s="74"/>
      <c r="J114" s="74"/>
      <c r="K114" s="74"/>
    </row>
    <row r="115" spans="1:11" ht="18.75" x14ac:dyDescent="0.3">
      <c r="A115" s="74"/>
      <c r="B115" s="74"/>
      <c r="C115" s="74"/>
      <c r="D115" s="74"/>
      <c r="E115" s="74"/>
      <c r="F115" s="74"/>
      <c r="G115" s="74"/>
      <c r="H115" s="74"/>
      <c r="I115" s="74"/>
      <c r="J115" s="74"/>
      <c r="K115"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J76"/>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2.5703125" defaultRowHeight="15.75" x14ac:dyDescent="0.25"/>
  <cols>
    <col min="1" max="1" width="77.7109375" style="644" customWidth="1"/>
    <col min="2" max="31" width="11.7109375" style="644" customWidth="1"/>
    <col min="32" max="32" width="13" style="644" customWidth="1"/>
    <col min="33" max="33" width="13.28515625" style="644" customWidth="1"/>
    <col min="34" max="36" width="11.7109375" style="644" customWidth="1"/>
    <col min="37" max="37" width="7.7109375" style="644" customWidth="1"/>
    <col min="38" max="39" width="11.7109375" style="644" customWidth="1"/>
    <col min="40" max="40" width="7.7109375" style="644" customWidth="1"/>
    <col min="41" max="16384" width="12.5703125" style="644"/>
  </cols>
  <sheetData>
    <row r="1" spans="1:36" ht="20.25" customHeight="1" x14ac:dyDescent="0.3">
      <c r="A1" s="618" t="s">
        <v>167</v>
      </c>
      <c r="B1" s="456" t="s">
        <v>52</v>
      </c>
    </row>
    <row r="2" spans="1:36" ht="20.100000000000001" customHeight="1" x14ac:dyDescent="0.3">
      <c r="A2" s="645" t="s">
        <v>409</v>
      </c>
    </row>
    <row r="3" spans="1:36" ht="20.100000000000001" customHeight="1" x14ac:dyDescent="0.3">
      <c r="A3" s="977" t="s">
        <v>498</v>
      </c>
      <c r="AI3" s="646"/>
    </row>
    <row r="4" spans="1:36" ht="18.75" customHeight="1" x14ac:dyDescent="0.25">
      <c r="A4" s="647" t="s">
        <v>347</v>
      </c>
      <c r="B4" s="648"/>
      <c r="C4" s="649"/>
      <c r="D4" s="650"/>
      <c r="E4" s="649"/>
      <c r="F4" s="649"/>
      <c r="G4" s="649"/>
      <c r="H4" s="649"/>
      <c r="I4" s="649"/>
      <c r="J4" s="650"/>
      <c r="K4" s="649"/>
      <c r="L4" s="649"/>
      <c r="M4" s="650"/>
      <c r="N4" s="649"/>
      <c r="O4" s="649"/>
      <c r="P4" s="650"/>
      <c r="Q4" s="648"/>
      <c r="R4" s="649"/>
      <c r="S4" s="650"/>
      <c r="T4" s="648"/>
      <c r="U4" s="649"/>
      <c r="V4" s="650"/>
      <c r="W4" s="648"/>
      <c r="X4" s="649"/>
      <c r="Y4" s="650"/>
      <c r="Z4" s="648"/>
      <c r="AA4" s="649"/>
      <c r="AB4" s="650"/>
      <c r="AC4" s="648"/>
      <c r="AD4" s="649"/>
      <c r="AE4" s="650"/>
      <c r="AF4" s="648"/>
      <c r="AG4" s="649"/>
      <c r="AH4" s="650"/>
      <c r="AI4" s="646"/>
      <c r="AJ4" s="646"/>
    </row>
    <row r="5" spans="1:36" ht="18.75" customHeight="1" x14ac:dyDescent="0.3">
      <c r="A5" s="651" t="s">
        <v>410</v>
      </c>
      <c r="B5" s="1022" t="s">
        <v>504</v>
      </c>
      <c r="C5" s="1023"/>
      <c r="D5" s="1024"/>
      <c r="E5" s="1034" t="s">
        <v>170</v>
      </c>
      <c r="F5" s="1035"/>
      <c r="G5" s="1036"/>
      <c r="H5" s="1034" t="s">
        <v>171</v>
      </c>
      <c r="I5" s="1035"/>
      <c r="J5" s="1036"/>
      <c r="K5" s="1060" t="s">
        <v>172</v>
      </c>
      <c r="L5" s="1061"/>
      <c r="M5" s="1062"/>
      <c r="N5" s="937"/>
      <c r="O5" s="937"/>
      <c r="P5" s="938"/>
      <c r="Q5" s="1060" t="s">
        <v>173</v>
      </c>
      <c r="R5" s="1061"/>
      <c r="S5" s="1062"/>
      <c r="T5" s="1060"/>
      <c r="U5" s="1061"/>
      <c r="V5" s="1062"/>
      <c r="W5" s="1034" t="s">
        <v>67</v>
      </c>
      <c r="X5" s="1035"/>
      <c r="Y5" s="1036"/>
      <c r="Z5" s="1060" t="s">
        <v>71</v>
      </c>
      <c r="AA5" s="1061"/>
      <c r="AB5" s="1062"/>
      <c r="AC5" s="1060" t="s">
        <v>390</v>
      </c>
      <c r="AD5" s="1061"/>
      <c r="AE5" s="1062"/>
      <c r="AF5" s="1060" t="s">
        <v>280</v>
      </c>
      <c r="AG5" s="1061"/>
      <c r="AH5" s="1062"/>
      <c r="AI5" s="646"/>
      <c r="AJ5" s="646"/>
    </row>
    <row r="6" spans="1:36" ht="18.75" customHeight="1" x14ac:dyDescent="0.3">
      <c r="A6" s="652" t="s">
        <v>391</v>
      </c>
      <c r="B6" s="1031" t="s">
        <v>177</v>
      </c>
      <c r="C6" s="1032"/>
      <c r="D6" s="1033"/>
      <c r="E6" s="1043" t="s">
        <v>176</v>
      </c>
      <c r="F6" s="1044"/>
      <c r="G6" s="1045"/>
      <c r="H6" s="1043" t="s">
        <v>176</v>
      </c>
      <c r="I6" s="1044"/>
      <c r="J6" s="1045"/>
      <c r="K6" s="1063" t="s">
        <v>177</v>
      </c>
      <c r="L6" s="1064"/>
      <c r="M6" s="1065"/>
      <c r="N6" s="935"/>
      <c r="O6" s="935" t="s">
        <v>63</v>
      </c>
      <c r="P6" s="936"/>
      <c r="Q6" s="1063" t="s">
        <v>65</v>
      </c>
      <c r="R6" s="1064"/>
      <c r="S6" s="1065"/>
      <c r="T6" s="1063" t="s">
        <v>70</v>
      </c>
      <c r="U6" s="1064"/>
      <c r="V6" s="1065"/>
      <c r="W6" s="1043" t="s">
        <v>474</v>
      </c>
      <c r="X6" s="1044"/>
      <c r="Y6" s="1045"/>
      <c r="Z6" s="1063" t="s">
        <v>176</v>
      </c>
      <c r="AA6" s="1064"/>
      <c r="AB6" s="1065"/>
      <c r="AC6" s="1063" t="s">
        <v>411</v>
      </c>
      <c r="AD6" s="1064"/>
      <c r="AE6" s="1065"/>
      <c r="AF6" s="1063" t="s">
        <v>412</v>
      </c>
      <c r="AG6" s="1064"/>
      <c r="AH6" s="1065"/>
      <c r="AI6" s="646"/>
      <c r="AJ6" s="646"/>
    </row>
    <row r="7" spans="1:36" ht="18.75" customHeight="1" x14ac:dyDescent="0.3">
      <c r="A7" s="652"/>
      <c r="B7" s="627"/>
      <c r="C7" s="627"/>
      <c r="D7" s="496" t="s">
        <v>79</v>
      </c>
      <c r="E7" s="627"/>
      <c r="F7" s="627"/>
      <c r="G7" s="496" t="s">
        <v>79</v>
      </c>
      <c r="H7" s="627"/>
      <c r="I7" s="627"/>
      <c r="J7" s="496" t="s">
        <v>79</v>
      </c>
      <c r="K7" s="627"/>
      <c r="L7" s="627"/>
      <c r="M7" s="496" t="s">
        <v>79</v>
      </c>
      <c r="N7" s="627"/>
      <c r="O7" s="627"/>
      <c r="P7" s="496" t="s">
        <v>79</v>
      </c>
      <c r="Q7" s="627"/>
      <c r="R7" s="627"/>
      <c r="S7" s="496" t="s">
        <v>79</v>
      </c>
      <c r="T7" s="627"/>
      <c r="U7" s="627"/>
      <c r="V7" s="496" t="s">
        <v>79</v>
      </c>
      <c r="W7" s="627"/>
      <c r="X7" s="627"/>
      <c r="Y7" s="496" t="s">
        <v>79</v>
      </c>
      <c r="Z7" s="627"/>
      <c r="AA7" s="627"/>
      <c r="AB7" s="496" t="s">
        <v>79</v>
      </c>
      <c r="AC7" s="627"/>
      <c r="AD7" s="627"/>
      <c r="AE7" s="496" t="s">
        <v>79</v>
      </c>
      <c r="AF7" s="627"/>
      <c r="AG7" s="627"/>
      <c r="AH7" s="496" t="s">
        <v>79</v>
      </c>
      <c r="AI7" s="646"/>
      <c r="AJ7" s="646"/>
    </row>
    <row r="8" spans="1:36" ht="18.75" customHeight="1" x14ac:dyDescent="0.25">
      <c r="A8" s="653" t="s">
        <v>283</v>
      </c>
      <c r="B8" s="629">
        <v>2021</v>
      </c>
      <c r="C8" s="629">
        <v>2022</v>
      </c>
      <c r="D8" s="497" t="s">
        <v>81</v>
      </c>
      <c r="E8" s="629">
        <f>$B$8</f>
        <v>2021</v>
      </c>
      <c r="F8" s="629">
        <f>$C$8</f>
        <v>2022</v>
      </c>
      <c r="G8" s="497" t="s">
        <v>81</v>
      </c>
      <c r="H8" s="629">
        <f>$B$8</f>
        <v>2021</v>
      </c>
      <c r="I8" s="629">
        <f>$C$8</f>
        <v>2022</v>
      </c>
      <c r="J8" s="497" t="s">
        <v>81</v>
      </c>
      <c r="K8" s="629">
        <f>$B$8</f>
        <v>2021</v>
      </c>
      <c r="L8" s="629">
        <f>$C$8</f>
        <v>2022</v>
      </c>
      <c r="M8" s="497" t="s">
        <v>81</v>
      </c>
      <c r="N8" s="629">
        <f>$B$8</f>
        <v>2021</v>
      </c>
      <c r="O8" s="629">
        <f>$C$8</f>
        <v>2022</v>
      </c>
      <c r="P8" s="497" t="s">
        <v>81</v>
      </c>
      <c r="Q8" s="629">
        <f>$B$8</f>
        <v>2021</v>
      </c>
      <c r="R8" s="629">
        <f>$C$8</f>
        <v>2022</v>
      </c>
      <c r="S8" s="497" t="s">
        <v>81</v>
      </c>
      <c r="T8" s="629">
        <f>$B$8</f>
        <v>2021</v>
      </c>
      <c r="U8" s="629">
        <f>$C$8</f>
        <v>2022</v>
      </c>
      <c r="V8" s="497" t="s">
        <v>81</v>
      </c>
      <c r="W8" s="629">
        <f>$B$8</f>
        <v>2021</v>
      </c>
      <c r="X8" s="629">
        <f>$C$8</f>
        <v>2022</v>
      </c>
      <c r="Y8" s="497" t="s">
        <v>81</v>
      </c>
      <c r="Z8" s="629">
        <f>$B$8</f>
        <v>2021</v>
      </c>
      <c r="AA8" s="629">
        <f>$C$8</f>
        <v>2022</v>
      </c>
      <c r="AB8" s="497" t="s">
        <v>81</v>
      </c>
      <c r="AC8" s="629">
        <f>$B$8</f>
        <v>2021</v>
      </c>
      <c r="AD8" s="629">
        <f>$C$8</f>
        <v>2022</v>
      </c>
      <c r="AE8" s="497" t="s">
        <v>81</v>
      </c>
      <c r="AF8" s="629">
        <f>$B$8</f>
        <v>2021</v>
      </c>
      <c r="AG8" s="629">
        <f>$C$8</f>
        <v>2022</v>
      </c>
      <c r="AH8" s="497" t="s">
        <v>81</v>
      </c>
      <c r="AI8" s="646"/>
      <c r="AJ8" s="646"/>
    </row>
    <row r="9" spans="1:36" s="660" customFormat="1" ht="18.75" customHeight="1" x14ac:dyDescent="0.3">
      <c r="A9" s="654"/>
      <c r="B9" s="891"/>
      <c r="C9" s="776"/>
      <c r="D9" s="439"/>
      <c r="E9" s="891"/>
      <c r="F9" s="776"/>
      <c r="G9" s="439"/>
      <c r="H9" s="776"/>
      <c r="I9" s="776"/>
      <c r="J9" s="439"/>
      <c r="K9" s="891"/>
      <c r="L9" s="776"/>
      <c r="M9" s="439"/>
      <c r="N9" s="891"/>
      <c r="O9" s="776"/>
      <c r="P9" s="439"/>
      <c r="Q9" s="891"/>
      <c r="R9" s="776"/>
      <c r="S9" s="658"/>
      <c r="T9" s="891"/>
      <c r="U9" s="776"/>
      <c r="V9" s="658"/>
      <c r="W9" s="891"/>
      <c r="X9" s="776"/>
      <c r="Y9" s="658"/>
      <c r="Z9" s="891"/>
      <c r="AA9" s="776"/>
      <c r="AB9" s="658"/>
      <c r="AC9" s="656"/>
      <c r="AD9" s="656"/>
      <c r="AE9" s="439"/>
      <c r="AF9" s="657"/>
      <c r="AG9" s="657"/>
      <c r="AH9" s="439"/>
      <c r="AI9" s="659"/>
      <c r="AJ9" s="659"/>
    </row>
    <row r="10" spans="1:36" s="667" customFormat="1" ht="18.75" customHeight="1" x14ac:dyDescent="0.3">
      <c r="A10" s="509" t="s">
        <v>413</v>
      </c>
      <c r="B10" s="892"/>
      <c r="C10" s="777"/>
      <c r="D10" s="662"/>
      <c r="E10" s="892"/>
      <c r="F10" s="777"/>
      <c r="G10" s="662"/>
      <c r="H10" s="777"/>
      <c r="I10" s="777"/>
      <c r="J10" s="662"/>
      <c r="K10" s="892"/>
      <c r="L10" s="777"/>
      <c r="M10" s="662"/>
      <c r="N10" s="892"/>
      <c r="O10" s="777"/>
      <c r="P10" s="662"/>
      <c r="Q10" s="892"/>
      <c r="R10" s="777"/>
      <c r="S10" s="665"/>
      <c r="T10" s="892"/>
      <c r="U10" s="777"/>
      <c r="V10" s="665"/>
      <c r="W10" s="892"/>
      <c r="X10" s="777"/>
      <c r="Y10" s="665"/>
      <c r="Z10" s="892"/>
      <c r="AA10" s="777"/>
      <c r="AB10" s="665"/>
      <c r="AC10" s="663"/>
      <c r="AD10" s="663"/>
      <c r="AE10" s="662"/>
      <c r="AF10" s="664"/>
      <c r="AG10" s="664"/>
      <c r="AH10" s="662"/>
      <c r="AI10" s="666"/>
      <c r="AJ10" s="666"/>
    </row>
    <row r="11" spans="1:36" s="667" customFormat="1" ht="18.75" customHeight="1" x14ac:dyDescent="0.3">
      <c r="A11" s="635" t="s">
        <v>414</v>
      </c>
      <c r="B11" s="892">
        <f>SUM(B12:B15)</f>
        <v>29295.978999999999</v>
      </c>
      <c r="C11" s="777">
        <f>SUM(C12:C15)</f>
        <v>26815.154170260001</v>
      </c>
      <c r="D11" s="662">
        <f>IF(B11=0, "    ---- ", IF(ABS(ROUND(100/B11*C11-100,1))&lt;999,ROUND(100/B11*C11-100,1),IF(ROUND(100/B11*C11-100,1)&gt;999,999,-999)))</f>
        <v>-8.5</v>
      </c>
      <c r="E11" s="892">
        <f>SUM(E12:E15)</f>
        <v>138235.45699999999</v>
      </c>
      <c r="F11" s="777">
        <f>SUM(F12:F15)</f>
        <v>137699</v>
      </c>
      <c r="G11" s="662">
        <f>IF(E11=0, "    ---- ", IF(ABS(ROUND(100/E11*F11-100,1))&lt;999,ROUND(100/E11*F11-100,1),IF(ROUND(100/E11*F11-100,1)&gt;999,999,-999)))</f>
        <v>-0.4</v>
      </c>
      <c r="H11" s="777"/>
      <c r="I11" s="777"/>
      <c r="J11" s="662"/>
      <c r="K11" s="892">
        <f>SUM(K12:K15)</f>
        <v>42940.200000000004</v>
      </c>
      <c r="L11" s="777">
        <f>SUM(L12:L15)</f>
        <v>45699.1</v>
      </c>
      <c r="M11" s="662">
        <f>IF(K11=0, "    ---- ", IF(ABS(ROUND(100/K11*L11-100,1))&lt;999,ROUND(100/K11*L11-100,1),IF(ROUND(100/K11*L11-100,1)&gt;999,999,-999)))</f>
        <v>6.4</v>
      </c>
      <c r="N11" s="892">
        <f>SUM(N12:N15)</f>
        <v>1549.1708050100001</v>
      </c>
      <c r="O11" s="777">
        <f>SUM(O12:O15)</f>
        <v>2004.85734701</v>
      </c>
      <c r="P11" s="662">
        <f>IF(N11=0, "    ---- ", IF(ABS(ROUND(100/N11*O11-100,1))&lt;999,ROUND(100/N11*O11-100,1),IF(ROUND(100/N11*O11-100,1)&gt;999,999,-999)))</f>
        <v>29.4</v>
      </c>
      <c r="Q11" s="892">
        <f>SUM(Q12:Q15)</f>
        <v>125405</v>
      </c>
      <c r="R11" s="777">
        <f>SUM(R12:R15)</f>
        <v>118066.45996802999</v>
      </c>
      <c r="S11" s="668">
        <f>IF(Q11=0, "    ---- ", IF(ABS(ROUND(100/Q11*R11-100,1))&lt;999,ROUND(100/Q11*R11-100,1),IF(ROUND(100/Q11*R11-100,1)&gt;999,999,-999)))</f>
        <v>-5.9</v>
      </c>
      <c r="T11" s="892">
        <f>SUM(T12:T15)</f>
        <v>3211.24630639</v>
      </c>
      <c r="U11" s="777">
        <f>SUM(U12:U15)</f>
        <v>432.11299999999994</v>
      </c>
      <c r="V11" s="668">
        <f>IF(T11=0, "    ---- ", IF(ABS(ROUND(100/T11*U11-100,1))&lt;999,ROUND(100/T11*U11-100,1),IF(ROUND(100/T11*U11-100,1)&gt;999,999,-999)))</f>
        <v>-86.5</v>
      </c>
      <c r="W11" s="892">
        <f>SUM(W12:W15)</f>
        <v>56544</v>
      </c>
      <c r="X11" s="777">
        <f>SUM(X12:X15)</f>
        <v>54728</v>
      </c>
      <c r="Y11" s="668">
        <f>IF(W11=0, "    ---- ", IF(ABS(ROUND(100/W11*X11-100,1))&lt;999,ROUND(100/W11*X11-100,1),IF(ROUND(100/W11*X11-100,1)&gt;999,999,-999)))</f>
        <v>-3.2</v>
      </c>
      <c r="Z11" s="892">
        <f>SUM(Z12:Z15)</f>
        <v>157873</v>
      </c>
      <c r="AA11" s="777">
        <f>SUM(AA12:AA15)</f>
        <v>152572</v>
      </c>
      <c r="AB11" s="668">
        <f t="shared" ref="AB11:AB39" si="0">IF(Z11=0, "    ---- ", IF(ABS(ROUND(100/Z11*AA11-100,1))&lt;999,ROUND(100/Z11*AA11-100,1),IF(ROUND(100/Z11*AA11-100,1)&gt;999,999,-999)))</f>
        <v>-3.4</v>
      </c>
      <c r="AC11" s="661">
        <f>+B11+E11+H11+K11+N11+Q11+T11+W11+Z11</f>
        <v>555054.05311139999</v>
      </c>
      <c r="AD11" s="661">
        <f>+C11+F11+I11+L11+O11+R11+U11+X11+AA11</f>
        <v>538016.68448529998</v>
      </c>
      <c r="AE11" s="662">
        <f>IF(AC11=0, "    ---- ", IF(ABS(ROUND(100/AC11*AD11-100,1))&lt;999,ROUND(100/AC11*AD11-100,1),IF(ROUND(100/AC11*AD11-100,1)&gt;999,999,-999)))</f>
        <v>-3.1</v>
      </c>
      <c r="AF11" s="669"/>
      <c r="AG11" s="669"/>
      <c r="AH11" s="669"/>
      <c r="AI11" s="638"/>
      <c r="AJ11" s="666"/>
    </row>
    <row r="12" spans="1:36" s="673" customFormat="1" ht="18.75" customHeight="1" x14ac:dyDescent="0.3">
      <c r="A12" s="499" t="s">
        <v>395</v>
      </c>
      <c r="B12" s="891">
        <v>3261.5079999999998</v>
      </c>
      <c r="C12" s="776">
        <v>2830.3670441600002</v>
      </c>
      <c r="D12" s="439">
        <f>IF(B12=0, "    ---- ", IF(ABS(ROUND(100/B12*C12-100,1))&lt;999,ROUND(100/B12*C12-100,1),IF(ROUND(100/B12*C12-100,1)&gt;999,999,-999)))</f>
        <v>-13.2</v>
      </c>
      <c r="E12" s="891">
        <v>7736</v>
      </c>
      <c r="F12" s="776">
        <v>7060</v>
      </c>
      <c r="G12" s="439">
        <f>IF(E12=0, "    ---- ", IF(ABS(ROUND(100/E12*F12-100,1))&lt;999,ROUND(100/E12*F12-100,1),IF(ROUND(100/E12*F12-100,1)&gt;999,999,-999)))</f>
        <v>-8.6999999999999993</v>
      </c>
      <c r="H12" s="776"/>
      <c r="I12" s="776"/>
      <c r="J12" s="439"/>
      <c r="K12" s="891">
        <v>1033.7</v>
      </c>
      <c r="L12" s="776">
        <v>2039.6</v>
      </c>
      <c r="M12" s="439">
        <f>IF(K12=0, "    ---- ", IF(ABS(ROUND(100/K12*L12-100,1))&lt;999,ROUND(100/K12*L12-100,1),IF(ROUND(100/K12*L12-100,1)&gt;999,999,-999)))</f>
        <v>97.3</v>
      </c>
      <c r="N12" s="891"/>
      <c r="O12" s="776"/>
      <c r="P12" s="439"/>
      <c r="Q12" s="891">
        <v>48705</v>
      </c>
      <c r="R12" s="776">
        <v>44238.277178554999</v>
      </c>
      <c r="S12" s="670">
        <f>IF(Q12=0, "    ---- ", IF(ABS(ROUND(100/Q12*R12-100,1))&lt;999,ROUND(100/Q12*R12-100,1),IF(ROUND(100/Q12*R12-100,1)&gt;999,999,-999)))</f>
        <v>-9.1999999999999993</v>
      </c>
      <c r="T12" s="891">
        <v>1306.99288422</v>
      </c>
      <c r="U12" s="776">
        <v>-2.9390000000000001</v>
      </c>
      <c r="V12" s="670">
        <f>IF(T12=0, "    ---- ", IF(ABS(ROUND(100/T12*U12-100,1))&lt;999,ROUND(100/T12*U12-100,1),IF(ROUND(100/T12*U12-100,1)&gt;999,999,-999)))</f>
        <v>-100.2</v>
      </c>
      <c r="W12" s="891">
        <v>4295</v>
      </c>
      <c r="X12" s="776">
        <v>4219</v>
      </c>
      <c r="Y12" s="670">
        <f>IF(W12=0, "    ---- ", IF(ABS(ROUND(100/W12*X12-100,1))&lt;999,ROUND(100/W12*X12-100,1),IF(ROUND(100/W12*X12-100,1)&gt;999,999,-999)))</f>
        <v>-1.8</v>
      </c>
      <c r="Z12" s="891">
        <v>10975</v>
      </c>
      <c r="AA12" s="776">
        <f>10384-AA22</f>
        <v>10379</v>
      </c>
      <c r="AB12" s="670">
        <f t="shared" si="0"/>
        <v>-5.4</v>
      </c>
      <c r="AC12" s="655">
        <f t="shared" ref="AC12:AD42" si="1">+B12+E12+H12+K12+N12+Q12+T12+W12+Z12</f>
        <v>77313.200884220001</v>
      </c>
      <c r="AD12" s="655">
        <f t="shared" si="1"/>
        <v>70763.305222715004</v>
      </c>
      <c r="AE12" s="439">
        <f>IF(AC12=0, "    ---- ", IF(ABS(ROUND(100/AC12*AD12-100,1))&lt;999,ROUND(100/AC12*AD12-100,1),IF(ROUND(100/AC12*AD12-100,1)&gt;999,999,-999)))</f>
        <v>-8.5</v>
      </c>
      <c r="AF12" s="671"/>
      <c r="AG12" s="671"/>
      <c r="AH12" s="671"/>
      <c r="AI12" s="672"/>
      <c r="AJ12" s="672"/>
    </row>
    <row r="13" spans="1:36" s="673" customFormat="1" ht="18.75" customHeight="1" x14ac:dyDescent="0.3">
      <c r="A13" s="499" t="s">
        <v>398</v>
      </c>
      <c r="B13" s="891">
        <v>2315.0729999999999</v>
      </c>
      <c r="C13" s="776">
        <v>1892.0528737</v>
      </c>
      <c r="D13" s="439">
        <f>IF(B13=0, "    ---- ", IF(ABS(ROUND(100/B13*C13-100,1))&lt;999,ROUND(100/B13*C13-100,1),IF(ROUND(100/B13*C13-100,1)&gt;999,999,-999)))</f>
        <v>-18.3</v>
      </c>
      <c r="E13" s="891">
        <v>6070.4570000000003</v>
      </c>
      <c r="F13" s="776">
        <v>5165</v>
      </c>
      <c r="G13" s="439">
        <f>IF(E13=0, "    ---- ", IF(ABS(ROUND(100/E13*F13-100,1))&lt;999,ROUND(100/E13*F13-100,1),IF(ROUND(100/E13*F13-100,1)&gt;999,999,-999)))</f>
        <v>-14.9</v>
      </c>
      <c r="H13" s="777"/>
      <c r="I13" s="776"/>
      <c r="J13" s="439"/>
      <c r="K13" s="891">
        <v>1887.4</v>
      </c>
      <c r="L13" s="776">
        <v>2187.6</v>
      </c>
      <c r="M13" s="439">
        <f>IF(K13=0, "    ---- ", IF(ABS(ROUND(100/K13*L13-100,1))&lt;999,ROUND(100/K13*L13-100,1),IF(ROUND(100/K13*L13-100,1)&gt;999,999,-999)))</f>
        <v>15.9</v>
      </c>
      <c r="N13" s="891"/>
      <c r="O13" s="776"/>
      <c r="P13" s="439"/>
      <c r="Q13" s="891">
        <v>5685</v>
      </c>
      <c r="R13" s="776">
        <v>5182.9406684977857</v>
      </c>
      <c r="S13" s="439">
        <f>IF(Q13=0, "    ---- ", IF(ABS(ROUND(100/Q13*R13-100,1))&lt;999,ROUND(100/Q13*R13-100,1),IF(ROUND(100/Q13*R13-100,1)&gt;999,999,-999)))</f>
        <v>-8.8000000000000007</v>
      </c>
      <c r="T13" s="891">
        <v>1143.6275013200002</v>
      </c>
      <c r="U13" s="776">
        <v>272.34399999999999</v>
      </c>
      <c r="V13" s="439">
        <f>IF(T13=0, "    ---- ", IF(ABS(ROUND(100/T13*U13-100,1))&lt;999,ROUND(100/T13*U13-100,1),IF(ROUND(100/T13*U13-100,1)&gt;999,999,-999)))</f>
        <v>-76.2</v>
      </c>
      <c r="W13" s="891">
        <v>3992</v>
      </c>
      <c r="X13" s="776">
        <v>3703</v>
      </c>
      <c r="Y13" s="439">
        <f>IF(W13=0, "    ---- ", IF(ABS(ROUND(100/W13*X13-100,1))&lt;999,ROUND(100/W13*X13-100,1),IF(ROUND(100/W13*X13-100,1)&gt;999,999,-999)))</f>
        <v>-7.2</v>
      </c>
      <c r="Z13" s="891">
        <v>6720</v>
      </c>
      <c r="AA13" s="776">
        <f>6242-AA23</f>
        <v>6238</v>
      </c>
      <c r="AB13" s="439">
        <f t="shared" si="0"/>
        <v>-7.2</v>
      </c>
      <c r="AC13" s="655">
        <f t="shared" si="1"/>
        <v>27813.55750132</v>
      </c>
      <c r="AD13" s="655">
        <f t="shared" si="1"/>
        <v>24640.937542197786</v>
      </c>
      <c r="AE13" s="439">
        <f>IF(AC13=0, "    ---- ", IF(ABS(ROUND(100/AC13*AD13-100,1))&lt;999,ROUND(100/AC13*AD13-100,1),IF(ROUND(100/AC13*AD13-100,1)&gt;999,999,-999)))</f>
        <v>-11.4</v>
      </c>
      <c r="AF13" s="671"/>
      <c r="AG13" s="671"/>
      <c r="AH13" s="671"/>
      <c r="AI13" s="672"/>
      <c r="AJ13" s="672"/>
    </row>
    <row r="14" spans="1:36" s="673" customFormat="1" ht="18.75" customHeight="1" x14ac:dyDescent="0.3">
      <c r="A14" s="499" t="s">
        <v>400</v>
      </c>
      <c r="B14" s="891">
        <f>19027.417+232.656+4459.325</f>
        <v>23719.398000000001</v>
      </c>
      <c r="C14" s="776">
        <f>26815.15417026-C12-C13</f>
        <v>22092.734252400001</v>
      </c>
      <c r="D14" s="439">
        <f>IF(B14=0, "    ---- ", IF(ABS(ROUND(100/B14*C14-100,1))&lt;999,ROUND(100/B14*C14-100,1),IF(ROUND(100/B14*C14-100,1)&gt;999,999,-999)))</f>
        <v>-6.9</v>
      </c>
      <c r="E14" s="891">
        <f>124940-511</f>
        <v>124429</v>
      </c>
      <c r="F14" s="776">
        <f>126034-560</f>
        <v>125474</v>
      </c>
      <c r="G14" s="439">
        <f>IF(E14=0, "    ---- ", IF(ABS(ROUND(100/E14*F14-100,1))&lt;999,ROUND(100/E14*F14-100,1),IF(ROUND(100/E14*F14-100,1)&gt;999,999,-999)))</f>
        <v>0.8</v>
      </c>
      <c r="H14" s="777"/>
      <c r="I14" s="776"/>
      <c r="J14" s="439"/>
      <c r="K14" s="891">
        <v>40019.100000000006</v>
      </c>
      <c r="L14" s="776">
        <v>41471.9</v>
      </c>
      <c r="M14" s="439">
        <f>IF(K14=0, "    ---- ", IF(ABS(ROUND(100/K14*L14-100,1))&lt;999,ROUND(100/K14*L14-100,1),IF(ROUND(100/K14*L14-100,1)&gt;999,999,-999)))</f>
        <v>3.6</v>
      </c>
      <c r="N14" s="891"/>
      <c r="O14" s="776"/>
      <c r="P14" s="439"/>
      <c r="Q14" s="891">
        <v>71015</v>
      </c>
      <c r="R14" s="776">
        <v>68645.2421209772</v>
      </c>
      <c r="S14" s="439">
        <f>IF(Q14=0, "    ---- ", IF(ABS(ROUND(100/Q14*R14-100,1))&lt;999,ROUND(100/Q14*R14-100,1),IF(ROUND(100/Q14*R14-100,1)&gt;999,999,-999)))</f>
        <v>-3.3</v>
      </c>
      <c r="T14" s="891">
        <v>760.62592084999994</v>
      </c>
      <c r="U14" s="776">
        <v>162.708</v>
      </c>
      <c r="V14" s="439">
        <f>IF(T14=0, "    ---- ", IF(ABS(ROUND(100/T14*U14-100,1))&lt;999,ROUND(100/T14*U14-100,1),IF(ROUND(100/T14*U14-100,1)&gt;999,999,-999)))</f>
        <v>-78.599999999999994</v>
      </c>
      <c r="W14" s="891">
        <v>48257</v>
      </c>
      <c r="X14" s="776">
        <v>46806</v>
      </c>
      <c r="Y14" s="439">
        <f>IF(W14=0, "    ---- ", IF(ABS(ROUND(100/W14*X14-100,1))&lt;999,ROUND(100/W14*X14-100,1),IF(ROUND(100/W14*X14-100,1)&gt;999,999,-999)))</f>
        <v>-3</v>
      </c>
      <c r="Z14" s="891">
        <v>140178</v>
      </c>
      <c r="AA14" s="776">
        <f>135955-AA24</f>
        <v>135955</v>
      </c>
      <c r="AB14" s="439">
        <f t="shared" si="0"/>
        <v>-3</v>
      </c>
      <c r="AC14" s="655">
        <f t="shared" si="1"/>
        <v>448378.12392084999</v>
      </c>
      <c r="AD14" s="655">
        <f t="shared" si="1"/>
        <v>440607.58437337721</v>
      </c>
      <c r="AE14" s="439">
        <f t="shared" ref="AE14:AE42" si="2">IF(AC14=0, "    ---- ", IF(ABS(ROUND(100/AC14*AD14-100,1))&lt;999,ROUND(100/AC14*AD14-100,1),IF(ROUND(100/AC14*AD14-100,1)&gt;999,999,-999)))</f>
        <v>-1.7</v>
      </c>
      <c r="AF14" s="671"/>
      <c r="AG14" s="671"/>
      <c r="AH14" s="671"/>
      <c r="AI14" s="672"/>
      <c r="AJ14" s="672"/>
    </row>
    <row r="15" spans="1:36" s="673" customFormat="1" ht="18.75" customHeight="1" x14ac:dyDescent="0.3">
      <c r="A15" s="499" t="s">
        <v>402</v>
      </c>
      <c r="B15" s="891"/>
      <c r="C15" s="776"/>
      <c r="D15" s="439"/>
      <c r="E15" s="891"/>
      <c r="F15" s="776"/>
      <c r="G15" s="439"/>
      <c r="H15" s="776"/>
      <c r="I15" s="776"/>
      <c r="J15" s="439"/>
      <c r="K15" s="891"/>
      <c r="L15" s="776"/>
      <c r="M15" s="439"/>
      <c r="N15" s="891">
        <v>1549.1708050100001</v>
      </c>
      <c r="O15" s="776">
        <v>2004.85734701</v>
      </c>
      <c r="P15" s="439">
        <f>IF(N15=0, "    ---- ", IF(ABS(ROUND(100/N15*O15-100,1))&lt;999,ROUND(100/N15*O15-100,1),IF(ROUND(100/N15*O15-100,1)&gt;999,999,-999)))</f>
        <v>29.4</v>
      </c>
      <c r="Q15" s="891"/>
      <c r="R15" s="776"/>
      <c r="S15" s="439"/>
      <c r="T15" s="891"/>
      <c r="U15" s="776"/>
      <c r="V15" s="439"/>
      <c r="W15" s="891"/>
      <c r="X15" s="776"/>
      <c r="Y15" s="439"/>
      <c r="Z15" s="891"/>
      <c r="AA15" s="776"/>
      <c r="AB15" s="439"/>
      <c r="AC15" s="655">
        <f t="shared" si="1"/>
        <v>1549.1708050100001</v>
      </c>
      <c r="AD15" s="655">
        <f t="shared" si="1"/>
        <v>2004.85734701</v>
      </c>
      <c r="AE15" s="439">
        <f t="shared" si="2"/>
        <v>29.4</v>
      </c>
      <c r="AF15" s="671"/>
      <c r="AG15" s="671"/>
      <c r="AH15" s="671"/>
      <c r="AI15" s="672"/>
      <c r="AJ15" s="672"/>
    </row>
    <row r="16" spans="1:36" s="667" customFormat="1" ht="18.75" customHeight="1" x14ac:dyDescent="0.3">
      <c r="A16" s="635" t="s">
        <v>404</v>
      </c>
      <c r="B16" s="892"/>
      <c r="C16" s="777"/>
      <c r="D16" s="662"/>
      <c r="E16" s="892"/>
      <c r="F16" s="777"/>
      <c r="G16" s="662"/>
      <c r="H16" s="777"/>
      <c r="I16" s="777"/>
      <c r="J16" s="662"/>
      <c r="K16" s="892">
        <f>SUM(K17:K20)</f>
        <v>42938.9</v>
      </c>
      <c r="L16" s="777">
        <f>SUM(L17:L20)</f>
        <v>45699.1</v>
      </c>
      <c r="M16" s="662">
        <f>IF(K16=0, "    ---- ", IF(ABS(ROUND(100/K16*L16-100,1))&lt;999,ROUND(100/K16*L16-100,1),IF(ROUND(100/K16*L16-100,1)&gt;999,999,-999)))</f>
        <v>6.4</v>
      </c>
      <c r="N16" s="892">
        <f>SUM(N17:N20)</f>
        <v>1549.1708050100001</v>
      </c>
      <c r="O16" s="777">
        <f>SUM(O17:O20)</f>
        <v>2004.85734701</v>
      </c>
      <c r="P16" s="662">
        <f>IF(N16=0, "    ---- ", IF(ABS(ROUND(100/N16*O16-100,1))&lt;999,ROUND(100/N16*O16-100,1),IF(ROUND(100/N16*O16-100,1)&gt;999,999,-999)))</f>
        <v>29.4</v>
      </c>
      <c r="Q16" s="892">
        <f>SUM(Q17:Q20)</f>
        <v>125405</v>
      </c>
      <c r="R16" s="777">
        <v>118066.45996802999</v>
      </c>
      <c r="S16" s="662">
        <f>IF(Q16=0, "    ---- ", IF(ABS(ROUND(100/Q16*R16-100,1))&lt;999,ROUND(100/Q16*R16-100,1),IF(ROUND(100/Q16*R16-100,1)&gt;999,999,-999)))</f>
        <v>-5.9</v>
      </c>
      <c r="T16" s="892"/>
      <c r="U16" s="777"/>
      <c r="V16" s="662"/>
      <c r="W16" s="892"/>
      <c r="X16" s="777"/>
      <c r="Y16" s="662"/>
      <c r="Z16" s="892">
        <f>SUM(Z17:Z20)</f>
        <v>157873</v>
      </c>
      <c r="AA16" s="777">
        <v>152572</v>
      </c>
      <c r="AB16" s="662">
        <f t="shared" si="0"/>
        <v>-3.4</v>
      </c>
      <c r="AC16" s="661">
        <f t="shared" si="1"/>
        <v>327766.07080501004</v>
      </c>
      <c r="AD16" s="661">
        <f t="shared" si="1"/>
        <v>318342.41731504002</v>
      </c>
      <c r="AE16" s="662">
        <f t="shared" si="2"/>
        <v>-2.9</v>
      </c>
      <c r="AF16" s="669"/>
      <c r="AG16" s="669"/>
      <c r="AH16" s="669"/>
      <c r="AI16" s="638"/>
      <c r="AJ16" s="666"/>
    </row>
    <row r="17" spans="1:36" s="673" customFormat="1" ht="18.75" customHeight="1" x14ac:dyDescent="0.3">
      <c r="A17" s="499" t="s">
        <v>395</v>
      </c>
      <c r="B17" s="891"/>
      <c r="C17" s="776"/>
      <c r="D17" s="439"/>
      <c r="E17" s="891"/>
      <c r="F17" s="776"/>
      <c r="G17" s="439"/>
      <c r="H17" s="776"/>
      <c r="I17" s="776"/>
      <c r="J17" s="439"/>
      <c r="K17" s="891">
        <v>1033.7</v>
      </c>
      <c r="L17" s="776">
        <v>2039.6</v>
      </c>
      <c r="M17" s="439">
        <f>IF(K17=0, "    ---- ", IF(ABS(ROUND(100/K17*L17-100,1))&lt;999,ROUND(100/K17*L17-100,1),IF(ROUND(100/K17*L17-100,1)&gt;999,999,-999)))</f>
        <v>97.3</v>
      </c>
      <c r="N17" s="891"/>
      <c r="O17" s="776"/>
      <c r="P17" s="439"/>
      <c r="Q17" s="891">
        <v>48705</v>
      </c>
      <c r="R17" s="776">
        <v>44238.277178554999</v>
      </c>
      <c r="S17" s="439">
        <f>IF(Q17=0, "    ---- ", IF(ABS(ROUND(100/Q17*R17-100,1))&lt;999,ROUND(100/Q17*R17-100,1),IF(ROUND(100/Q17*R17-100,1)&gt;999,999,-999)))</f>
        <v>-9.1999999999999993</v>
      </c>
      <c r="T17" s="891"/>
      <c r="U17" s="776"/>
      <c r="V17" s="439"/>
      <c r="W17" s="891"/>
      <c r="X17" s="776"/>
      <c r="Y17" s="439"/>
      <c r="Z17" s="891">
        <f>+Z12</f>
        <v>10975</v>
      </c>
      <c r="AA17" s="776">
        <f t="shared" ref="AA17:AA19" si="3">+AA12</f>
        <v>10379</v>
      </c>
      <c r="AB17" s="439">
        <f t="shared" si="0"/>
        <v>-5.4</v>
      </c>
      <c r="AC17" s="655">
        <f t="shared" si="1"/>
        <v>60713.7</v>
      </c>
      <c r="AD17" s="655">
        <f t="shared" si="1"/>
        <v>56656.877178554998</v>
      </c>
      <c r="AE17" s="439">
        <f t="shared" si="2"/>
        <v>-6.7</v>
      </c>
      <c r="AF17" s="671"/>
      <c r="AG17" s="671"/>
      <c r="AH17" s="671"/>
      <c r="AI17" s="672"/>
      <c r="AJ17" s="672"/>
    </row>
    <row r="18" spans="1:36" s="673" customFormat="1" ht="18.75" customHeight="1" x14ac:dyDescent="0.3">
      <c r="A18" s="499" t="s">
        <v>398</v>
      </c>
      <c r="B18" s="891"/>
      <c r="C18" s="776"/>
      <c r="D18" s="439"/>
      <c r="E18" s="891"/>
      <c r="F18" s="776"/>
      <c r="G18" s="439"/>
      <c r="H18" s="776"/>
      <c r="I18" s="776"/>
      <c r="J18" s="439"/>
      <c r="K18" s="891">
        <v>1887.4</v>
      </c>
      <c r="L18" s="776">
        <v>2187.6</v>
      </c>
      <c r="M18" s="439">
        <f>IF(K18=0, "    ---- ", IF(ABS(ROUND(100/K18*L18-100,1))&lt;999,ROUND(100/K18*L18-100,1),IF(ROUND(100/K18*L18-100,1)&gt;999,999,-999)))</f>
        <v>15.9</v>
      </c>
      <c r="N18" s="891"/>
      <c r="O18" s="776"/>
      <c r="P18" s="439"/>
      <c r="Q18" s="891">
        <v>5685</v>
      </c>
      <c r="R18" s="776">
        <v>5182.9406684977857</v>
      </c>
      <c r="S18" s="439">
        <f>IF(Q18=0, "    ---- ", IF(ABS(ROUND(100/Q18*R18-100,1))&lt;999,ROUND(100/Q18*R18-100,1),IF(ROUND(100/Q18*R18-100,1)&gt;999,999,-999)))</f>
        <v>-8.8000000000000007</v>
      </c>
      <c r="T18" s="891"/>
      <c r="U18" s="776"/>
      <c r="V18" s="439"/>
      <c r="W18" s="891"/>
      <c r="X18" s="776"/>
      <c r="Y18" s="439"/>
      <c r="Z18" s="891">
        <f>+Z13</f>
        <v>6720</v>
      </c>
      <c r="AA18" s="776">
        <f t="shared" si="3"/>
        <v>6238</v>
      </c>
      <c r="AB18" s="439">
        <f t="shared" si="0"/>
        <v>-7.2</v>
      </c>
      <c r="AC18" s="655">
        <f t="shared" si="1"/>
        <v>14292.4</v>
      </c>
      <c r="AD18" s="655">
        <f t="shared" si="1"/>
        <v>13608.540668497786</v>
      </c>
      <c r="AE18" s="439">
        <f t="shared" si="2"/>
        <v>-4.8</v>
      </c>
      <c r="AF18" s="671"/>
      <c r="AG18" s="671"/>
      <c r="AH18" s="671"/>
      <c r="AI18" s="672"/>
      <c r="AJ18" s="672"/>
    </row>
    <row r="19" spans="1:36" s="673" customFormat="1" ht="18.75" customHeight="1" x14ac:dyDescent="0.3">
      <c r="A19" s="499" t="s">
        <v>400</v>
      </c>
      <c r="B19" s="891"/>
      <c r="C19" s="776"/>
      <c r="D19" s="439"/>
      <c r="E19" s="891"/>
      <c r="F19" s="776"/>
      <c r="G19" s="439"/>
      <c r="H19" s="776"/>
      <c r="I19" s="776"/>
      <c r="J19" s="439"/>
      <c r="K19" s="891">
        <v>40017.800000000003</v>
      </c>
      <c r="L19" s="776">
        <v>41471.9</v>
      </c>
      <c r="M19" s="439">
        <f>IF(K19=0, "    ---- ", IF(ABS(ROUND(100/K19*L19-100,1))&lt;999,ROUND(100/K19*L19-100,1),IF(ROUND(100/K19*L19-100,1)&gt;999,999,-999)))</f>
        <v>3.6</v>
      </c>
      <c r="N19" s="891"/>
      <c r="O19" s="776"/>
      <c r="P19" s="439"/>
      <c r="Q19" s="891">
        <v>71015</v>
      </c>
      <c r="R19" s="776">
        <v>68645.2421209772</v>
      </c>
      <c r="S19" s="439">
        <f>IF(Q19=0, "    ---- ", IF(ABS(ROUND(100/Q19*R19-100,1))&lt;999,ROUND(100/Q19*R19-100,1),IF(ROUND(100/Q19*R19-100,1)&gt;999,999,-999)))</f>
        <v>-3.3</v>
      </c>
      <c r="T19" s="891"/>
      <c r="U19" s="776"/>
      <c r="V19" s="439"/>
      <c r="W19" s="891"/>
      <c r="X19" s="776"/>
      <c r="Y19" s="439"/>
      <c r="Z19" s="891">
        <f>+Z14</f>
        <v>140178</v>
      </c>
      <c r="AA19" s="776">
        <f t="shared" si="3"/>
        <v>135955</v>
      </c>
      <c r="AB19" s="439">
        <f t="shared" si="0"/>
        <v>-3</v>
      </c>
      <c r="AC19" s="655">
        <f t="shared" si="1"/>
        <v>251210.8</v>
      </c>
      <c r="AD19" s="655">
        <f t="shared" si="1"/>
        <v>246072.14212097719</v>
      </c>
      <c r="AE19" s="439">
        <f t="shared" si="2"/>
        <v>-2</v>
      </c>
      <c r="AF19" s="671"/>
      <c r="AG19" s="671"/>
      <c r="AH19" s="671"/>
      <c r="AI19" s="672"/>
      <c r="AJ19" s="672"/>
    </row>
    <row r="20" spans="1:36" s="673" customFormat="1" ht="18.75" customHeight="1" x14ac:dyDescent="0.3">
      <c r="A20" s="499" t="s">
        <v>402</v>
      </c>
      <c r="B20" s="891"/>
      <c r="C20" s="776"/>
      <c r="D20" s="439"/>
      <c r="E20" s="891"/>
      <c r="F20" s="776"/>
      <c r="G20" s="439"/>
      <c r="H20" s="776"/>
      <c r="I20" s="776"/>
      <c r="J20" s="439"/>
      <c r="K20" s="891"/>
      <c r="L20" s="776"/>
      <c r="M20" s="439"/>
      <c r="N20" s="891">
        <v>1549.1708050100001</v>
      </c>
      <c r="O20" s="776">
        <v>2004.85734701</v>
      </c>
      <c r="P20" s="439">
        <f>IF(N20=0, "    ---- ", IF(ABS(ROUND(100/N20*O20-100,1))&lt;999,ROUND(100/N20*O20-100,1),IF(ROUND(100/N20*O20-100,1)&gt;999,999,-999)))</f>
        <v>29.4</v>
      </c>
      <c r="Q20" s="891"/>
      <c r="R20" s="776"/>
      <c r="S20" s="439"/>
      <c r="T20" s="891"/>
      <c r="U20" s="776"/>
      <c r="V20" s="439"/>
      <c r="W20" s="891"/>
      <c r="X20" s="776"/>
      <c r="Y20" s="439"/>
      <c r="Z20" s="891"/>
      <c r="AA20" s="776"/>
      <c r="AB20" s="439"/>
      <c r="AC20" s="655">
        <f t="shared" si="1"/>
        <v>1549.1708050100001</v>
      </c>
      <c r="AD20" s="655">
        <f t="shared" si="1"/>
        <v>2004.85734701</v>
      </c>
      <c r="AE20" s="439">
        <f t="shared" si="2"/>
        <v>29.4</v>
      </c>
      <c r="AF20" s="671"/>
      <c r="AG20" s="671"/>
      <c r="AH20" s="671"/>
      <c r="AI20" s="672"/>
      <c r="AJ20" s="672"/>
    </row>
    <row r="21" spans="1:36" s="667" customFormat="1" ht="18.75" customHeight="1" x14ac:dyDescent="0.3">
      <c r="A21" s="635" t="s">
        <v>415</v>
      </c>
      <c r="B21" s="892"/>
      <c r="C21" s="777"/>
      <c r="D21" s="662"/>
      <c r="E21" s="892"/>
      <c r="F21" s="777"/>
      <c r="G21" s="662"/>
      <c r="H21" s="777"/>
      <c r="I21" s="777"/>
      <c r="J21" s="662"/>
      <c r="K21" s="892"/>
      <c r="L21" s="777"/>
      <c r="M21" s="662"/>
      <c r="N21" s="892"/>
      <c r="O21" s="777"/>
      <c r="P21" s="662"/>
      <c r="Q21" s="892"/>
      <c r="R21" s="777"/>
      <c r="S21" s="662"/>
      <c r="T21" s="892"/>
      <c r="U21" s="777"/>
      <c r="V21" s="662"/>
      <c r="W21" s="892"/>
      <c r="X21" s="777"/>
      <c r="Y21" s="662"/>
      <c r="Z21" s="892"/>
      <c r="AA21" s="777">
        <v>9</v>
      </c>
      <c r="AB21" s="662" t="str">
        <f t="shared" si="0"/>
        <v xml:space="preserve">    ---- </v>
      </c>
      <c r="AC21" s="661">
        <f t="shared" si="1"/>
        <v>0</v>
      </c>
      <c r="AD21" s="661">
        <f t="shared" si="1"/>
        <v>9</v>
      </c>
      <c r="AE21" s="662" t="str">
        <f t="shared" si="2"/>
        <v xml:space="preserve">    ---- </v>
      </c>
      <c r="AF21" s="669"/>
      <c r="AG21" s="669"/>
      <c r="AH21" s="669"/>
      <c r="AI21" s="638"/>
      <c r="AJ21" s="666"/>
    </row>
    <row r="22" spans="1:36" s="673" customFormat="1" ht="18.75" customHeight="1" x14ac:dyDescent="0.3">
      <c r="A22" s="499" t="s">
        <v>395</v>
      </c>
      <c r="B22" s="891"/>
      <c r="C22" s="776"/>
      <c r="D22" s="439"/>
      <c r="E22" s="891"/>
      <c r="F22" s="776"/>
      <c r="G22" s="439"/>
      <c r="H22" s="776"/>
      <c r="I22" s="776"/>
      <c r="J22" s="439"/>
      <c r="K22" s="891"/>
      <c r="L22" s="776"/>
      <c r="M22" s="439"/>
      <c r="N22" s="891"/>
      <c r="O22" s="776"/>
      <c r="P22" s="439"/>
      <c r="Q22" s="891"/>
      <c r="R22" s="776"/>
      <c r="S22" s="439"/>
      <c r="T22" s="891"/>
      <c r="U22" s="776"/>
      <c r="V22" s="439"/>
      <c r="W22" s="891"/>
      <c r="X22" s="776"/>
      <c r="Y22" s="439"/>
      <c r="Z22" s="891"/>
      <c r="AA22" s="776">
        <v>5</v>
      </c>
      <c r="AB22" s="439" t="str">
        <f t="shared" si="0"/>
        <v xml:space="preserve">    ---- </v>
      </c>
      <c r="AC22" s="655">
        <f t="shared" si="1"/>
        <v>0</v>
      </c>
      <c r="AD22" s="655">
        <f t="shared" si="1"/>
        <v>5</v>
      </c>
      <c r="AE22" s="439" t="str">
        <f t="shared" si="2"/>
        <v xml:space="preserve">    ---- </v>
      </c>
      <c r="AF22" s="671"/>
      <c r="AG22" s="671"/>
      <c r="AH22" s="671"/>
      <c r="AI22" s="672"/>
      <c r="AJ22" s="672"/>
    </row>
    <row r="23" spans="1:36" s="673" customFormat="1" ht="18.75" customHeight="1" x14ac:dyDescent="0.3">
      <c r="A23" s="499" t="s">
        <v>398</v>
      </c>
      <c r="B23" s="891"/>
      <c r="C23" s="776"/>
      <c r="D23" s="439"/>
      <c r="E23" s="891"/>
      <c r="F23" s="776"/>
      <c r="G23" s="439"/>
      <c r="H23" s="776"/>
      <c r="I23" s="776"/>
      <c r="J23" s="439"/>
      <c r="K23" s="891"/>
      <c r="L23" s="776"/>
      <c r="M23" s="439"/>
      <c r="N23" s="891"/>
      <c r="O23" s="776"/>
      <c r="P23" s="439"/>
      <c r="Q23" s="891"/>
      <c r="R23" s="776"/>
      <c r="S23" s="439"/>
      <c r="T23" s="891"/>
      <c r="U23" s="776"/>
      <c r="V23" s="439"/>
      <c r="W23" s="891"/>
      <c r="X23" s="776"/>
      <c r="Y23" s="439"/>
      <c r="Z23" s="891"/>
      <c r="AA23" s="776">
        <v>4</v>
      </c>
      <c r="AB23" s="439" t="str">
        <f t="shared" si="0"/>
        <v xml:space="preserve">    ---- </v>
      </c>
      <c r="AC23" s="655">
        <f t="shared" si="1"/>
        <v>0</v>
      </c>
      <c r="AD23" s="655">
        <f t="shared" si="1"/>
        <v>4</v>
      </c>
      <c r="AE23" s="439" t="str">
        <f t="shared" si="2"/>
        <v xml:space="preserve">    ---- </v>
      </c>
      <c r="AF23" s="671"/>
      <c r="AG23" s="671"/>
      <c r="AH23" s="671"/>
      <c r="AI23" s="672"/>
      <c r="AJ23" s="672"/>
    </row>
    <row r="24" spans="1:36" s="673" customFormat="1" ht="18.75" customHeight="1" x14ac:dyDescent="0.3">
      <c r="A24" s="499" t="s">
        <v>400</v>
      </c>
      <c r="B24" s="891"/>
      <c r="C24" s="776"/>
      <c r="D24" s="439"/>
      <c r="E24" s="891"/>
      <c r="F24" s="776"/>
      <c r="G24" s="439"/>
      <c r="H24" s="776"/>
      <c r="I24" s="776"/>
      <c r="J24" s="439"/>
      <c r="K24" s="891"/>
      <c r="L24" s="776"/>
      <c r="M24" s="439"/>
      <c r="N24" s="891"/>
      <c r="O24" s="776"/>
      <c r="P24" s="439"/>
      <c r="Q24" s="891"/>
      <c r="R24" s="776"/>
      <c r="S24" s="439"/>
      <c r="T24" s="891"/>
      <c r="U24" s="776"/>
      <c r="V24" s="439"/>
      <c r="W24" s="891"/>
      <c r="X24" s="776"/>
      <c r="Y24" s="439"/>
      <c r="Z24" s="891"/>
      <c r="AA24" s="776"/>
      <c r="AB24" s="439"/>
      <c r="AC24" s="655">
        <f t="shared" si="1"/>
        <v>0</v>
      </c>
      <c r="AD24" s="655">
        <f t="shared" si="1"/>
        <v>0</v>
      </c>
      <c r="AE24" s="439" t="str">
        <f t="shared" si="2"/>
        <v xml:space="preserve">    ---- </v>
      </c>
      <c r="AF24" s="671"/>
      <c r="AG24" s="671"/>
      <c r="AH24" s="671"/>
      <c r="AI24" s="672"/>
      <c r="AJ24" s="672"/>
    </row>
    <row r="25" spans="1:36" s="673" customFormat="1" ht="18.75" customHeight="1" x14ac:dyDescent="0.3">
      <c r="A25" s="499" t="s">
        <v>402</v>
      </c>
      <c r="B25" s="891"/>
      <c r="C25" s="776"/>
      <c r="D25" s="439"/>
      <c r="E25" s="891"/>
      <c r="F25" s="776"/>
      <c r="G25" s="439"/>
      <c r="H25" s="776"/>
      <c r="I25" s="776"/>
      <c r="J25" s="439"/>
      <c r="K25" s="891"/>
      <c r="L25" s="776"/>
      <c r="M25" s="439"/>
      <c r="N25" s="891"/>
      <c r="O25" s="776"/>
      <c r="P25" s="439"/>
      <c r="Q25" s="891"/>
      <c r="R25" s="776"/>
      <c r="S25" s="439"/>
      <c r="T25" s="891"/>
      <c r="U25" s="776"/>
      <c r="V25" s="439"/>
      <c r="W25" s="891"/>
      <c r="X25" s="776"/>
      <c r="Y25" s="439"/>
      <c r="Z25" s="891"/>
      <c r="AA25" s="776"/>
      <c r="AB25" s="439"/>
      <c r="AC25" s="655">
        <f t="shared" si="1"/>
        <v>0</v>
      </c>
      <c r="AD25" s="655">
        <f t="shared" si="1"/>
        <v>0</v>
      </c>
      <c r="AE25" s="439" t="str">
        <f t="shared" si="2"/>
        <v xml:space="preserve">    ---- </v>
      </c>
      <c r="AF25" s="671"/>
      <c r="AG25" s="671"/>
      <c r="AH25" s="671"/>
      <c r="AI25" s="672"/>
      <c r="AJ25" s="672"/>
    </row>
    <row r="26" spans="1:36" s="667" customFormat="1" ht="18.75" customHeight="1" x14ac:dyDescent="0.3">
      <c r="A26" s="674" t="s">
        <v>416</v>
      </c>
      <c r="B26" s="892"/>
      <c r="C26" s="777"/>
      <c r="D26" s="662"/>
      <c r="E26" s="892"/>
      <c r="F26" s="777"/>
      <c r="G26" s="662"/>
      <c r="H26" s="777"/>
      <c r="I26" s="777"/>
      <c r="J26" s="662"/>
      <c r="K26" s="892"/>
      <c r="L26" s="777"/>
      <c r="M26" s="662"/>
      <c r="N26" s="892">
        <f>SUM(N27:N30)</f>
        <v>186</v>
      </c>
      <c r="O26" s="777">
        <f>SUM(O27:O30)</f>
        <v>61.466611999999998</v>
      </c>
      <c r="P26" s="662">
        <f>IF(N26=0, "    ---- ", IF(ABS(ROUND(100/N26*O26-100,1))&lt;999,ROUND(100/N26*O26-100,1),IF(ROUND(100/N26*O26-100,1)&gt;999,999,-999)))</f>
        <v>-67</v>
      </c>
      <c r="Q26" s="892"/>
      <c r="R26" s="777"/>
      <c r="S26" s="662"/>
      <c r="T26" s="892"/>
      <c r="U26" s="777"/>
      <c r="V26" s="662"/>
      <c r="W26" s="892">
        <f>SUM(W27:W30)</f>
        <v>40</v>
      </c>
      <c r="X26" s="777"/>
      <c r="Y26" s="662">
        <f>IF(W26=0, "    ---- ", IF(ABS(ROUND(100/W26*X26-100,1))&lt;999,ROUND(100/W26*X26-100,1),IF(ROUND(100/W26*X26-100,1)&gt;999,999,-999)))</f>
        <v>-100</v>
      </c>
      <c r="Z26" s="892"/>
      <c r="AA26" s="777"/>
      <c r="AB26" s="662"/>
      <c r="AC26" s="661">
        <f t="shared" si="1"/>
        <v>226</v>
      </c>
      <c r="AD26" s="661">
        <f t="shared" si="1"/>
        <v>61.466611999999998</v>
      </c>
      <c r="AE26" s="662">
        <f t="shared" si="2"/>
        <v>-72.8</v>
      </c>
      <c r="AF26" s="669"/>
      <c r="AG26" s="669"/>
      <c r="AH26" s="669"/>
      <c r="AI26" s="638"/>
      <c r="AJ26" s="666"/>
    </row>
    <row r="27" spans="1:36" s="673" customFormat="1" ht="18.75" customHeight="1" x14ac:dyDescent="0.3">
      <c r="A27" s="499" t="s">
        <v>395</v>
      </c>
      <c r="B27" s="891"/>
      <c r="C27" s="776"/>
      <c r="D27" s="439"/>
      <c r="E27" s="891"/>
      <c r="F27" s="776"/>
      <c r="G27" s="439"/>
      <c r="H27" s="776"/>
      <c r="I27" s="776"/>
      <c r="J27" s="439"/>
      <c r="K27" s="891"/>
      <c r="L27" s="776"/>
      <c r="M27" s="439"/>
      <c r="N27" s="891"/>
      <c r="O27" s="776"/>
      <c r="P27" s="439"/>
      <c r="Q27" s="891"/>
      <c r="R27" s="776"/>
      <c r="S27" s="439"/>
      <c r="T27" s="891"/>
      <c r="U27" s="776"/>
      <c r="V27" s="439"/>
      <c r="W27" s="891"/>
      <c r="X27" s="776"/>
      <c r="Y27" s="439"/>
      <c r="Z27" s="891"/>
      <c r="AA27" s="776"/>
      <c r="AB27" s="439"/>
      <c r="AC27" s="655">
        <f t="shared" si="1"/>
        <v>0</v>
      </c>
      <c r="AD27" s="655">
        <f t="shared" si="1"/>
        <v>0</v>
      </c>
      <c r="AE27" s="439" t="str">
        <f t="shared" si="2"/>
        <v xml:space="preserve">    ---- </v>
      </c>
      <c r="AF27" s="671"/>
      <c r="AG27" s="671"/>
      <c r="AH27" s="671"/>
      <c r="AI27" s="672"/>
      <c r="AJ27" s="672"/>
    </row>
    <row r="28" spans="1:36" s="673" customFormat="1" ht="18.75" customHeight="1" x14ac:dyDescent="0.3">
      <c r="A28" s="499" t="s">
        <v>398</v>
      </c>
      <c r="B28" s="891"/>
      <c r="C28" s="776"/>
      <c r="D28" s="439"/>
      <c r="E28" s="891"/>
      <c r="F28" s="776"/>
      <c r="G28" s="439"/>
      <c r="H28" s="776"/>
      <c r="I28" s="776"/>
      <c r="J28" s="439"/>
      <c r="K28" s="891"/>
      <c r="L28" s="776"/>
      <c r="M28" s="439"/>
      <c r="N28" s="891"/>
      <c r="O28" s="776"/>
      <c r="P28" s="439"/>
      <c r="Q28" s="891"/>
      <c r="R28" s="776"/>
      <c r="S28" s="439"/>
      <c r="T28" s="891"/>
      <c r="U28" s="776"/>
      <c r="V28" s="439"/>
      <c r="W28" s="891"/>
      <c r="X28" s="776"/>
      <c r="Y28" s="439"/>
      <c r="Z28" s="891"/>
      <c r="AA28" s="776"/>
      <c r="AB28" s="439"/>
      <c r="AC28" s="655">
        <f t="shared" si="1"/>
        <v>0</v>
      </c>
      <c r="AD28" s="655">
        <f t="shared" si="1"/>
        <v>0</v>
      </c>
      <c r="AE28" s="439" t="str">
        <f t="shared" si="2"/>
        <v xml:space="preserve">    ---- </v>
      </c>
      <c r="AF28" s="671"/>
      <c r="AG28" s="671"/>
      <c r="AH28" s="671"/>
      <c r="AI28" s="672"/>
      <c r="AJ28" s="672"/>
    </row>
    <row r="29" spans="1:36" s="673" customFormat="1" ht="18.75" customHeight="1" x14ac:dyDescent="0.3">
      <c r="A29" s="499" t="s">
        <v>400</v>
      </c>
      <c r="B29" s="891"/>
      <c r="C29" s="776"/>
      <c r="D29" s="439"/>
      <c r="E29" s="891"/>
      <c r="F29" s="776"/>
      <c r="G29" s="439"/>
      <c r="H29" s="776"/>
      <c r="I29" s="776"/>
      <c r="J29" s="439"/>
      <c r="K29" s="891"/>
      <c r="L29" s="776"/>
      <c r="M29" s="439"/>
      <c r="N29" s="891"/>
      <c r="O29" s="776"/>
      <c r="P29" s="439"/>
      <c r="Q29" s="891"/>
      <c r="R29" s="776"/>
      <c r="S29" s="439"/>
      <c r="T29" s="891"/>
      <c r="U29" s="776"/>
      <c r="V29" s="439"/>
      <c r="W29" s="891">
        <v>40</v>
      </c>
      <c r="X29" s="776"/>
      <c r="Y29" s="439">
        <f>IF(W29=0, "    ---- ", IF(ABS(ROUND(100/W29*X29-100,1))&lt;999,ROUND(100/W29*X29-100,1),IF(ROUND(100/W29*X29-100,1)&gt;999,999,-999)))</f>
        <v>-100</v>
      </c>
      <c r="Z29" s="891"/>
      <c r="AA29" s="776"/>
      <c r="AB29" s="439"/>
      <c r="AC29" s="655">
        <f t="shared" si="1"/>
        <v>40</v>
      </c>
      <c r="AD29" s="655">
        <f t="shared" si="1"/>
        <v>0</v>
      </c>
      <c r="AE29" s="439">
        <f t="shared" si="2"/>
        <v>-100</v>
      </c>
      <c r="AF29" s="671"/>
      <c r="AG29" s="671"/>
      <c r="AH29" s="671"/>
      <c r="AI29" s="672"/>
      <c r="AJ29" s="672"/>
    </row>
    <row r="30" spans="1:36" s="673" customFormat="1" ht="18.75" customHeight="1" x14ac:dyDescent="0.3">
      <c r="A30" s="499" t="s">
        <v>402</v>
      </c>
      <c r="B30" s="891"/>
      <c r="C30" s="776"/>
      <c r="D30" s="439"/>
      <c r="E30" s="891"/>
      <c r="F30" s="776"/>
      <c r="G30" s="439"/>
      <c r="H30" s="776"/>
      <c r="I30" s="776"/>
      <c r="J30" s="439"/>
      <c r="K30" s="891"/>
      <c r="L30" s="776"/>
      <c r="M30" s="439"/>
      <c r="N30" s="891">
        <v>186</v>
      </c>
      <c r="O30" s="776">
        <v>61.466611999999998</v>
      </c>
      <c r="P30" s="439">
        <f>IF(N30=0, "    ---- ", IF(ABS(ROUND(100/N30*O30-100,1))&lt;999,ROUND(100/N30*O30-100,1),IF(ROUND(100/N30*O30-100,1)&gt;999,999,-999)))</f>
        <v>-67</v>
      </c>
      <c r="Q30" s="891"/>
      <c r="R30" s="776"/>
      <c r="S30" s="439"/>
      <c r="T30" s="891"/>
      <c r="U30" s="776"/>
      <c r="V30" s="439"/>
      <c r="W30" s="891"/>
      <c r="X30" s="776"/>
      <c r="Y30" s="439"/>
      <c r="Z30" s="891"/>
      <c r="AA30" s="776"/>
      <c r="AB30" s="439"/>
      <c r="AC30" s="655">
        <f t="shared" si="1"/>
        <v>186</v>
      </c>
      <c r="AD30" s="655">
        <f t="shared" si="1"/>
        <v>61.466611999999998</v>
      </c>
      <c r="AE30" s="439">
        <f t="shared" si="2"/>
        <v>-67</v>
      </c>
      <c r="AF30" s="671"/>
      <c r="AG30" s="671"/>
      <c r="AH30" s="671"/>
      <c r="AI30" s="672"/>
      <c r="AJ30" s="672"/>
    </row>
    <row r="31" spans="1:36" s="667" customFormat="1" ht="18.75" customHeight="1" x14ac:dyDescent="0.3">
      <c r="A31" s="674" t="s">
        <v>417</v>
      </c>
      <c r="B31" s="892">
        <f>SUM(B32:B34)</f>
        <v>65.459000000000003</v>
      </c>
      <c r="C31" s="777">
        <f>SUM(C32:C34)</f>
        <v>64.175035840000007</v>
      </c>
      <c r="D31" s="662">
        <f>IF(B31=0, "    ---- ", IF(ABS(ROUND(100/B31*C31-100,1))&lt;999,ROUND(100/B31*C31-100,1),IF(ROUND(100/B31*C31-100,1)&gt;999,999,-999)))</f>
        <v>-2</v>
      </c>
      <c r="E31" s="892">
        <f>SUM(E32:E34)</f>
        <v>512</v>
      </c>
      <c r="F31" s="777">
        <f>SUM(F32:F34)</f>
        <v>560</v>
      </c>
      <c r="G31" s="662">
        <f>IF(E31=0, "    ---- ", IF(ABS(ROUND(100/E31*F31-100,1))&lt;999,ROUND(100/E31*F31-100,1),IF(ROUND(100/E31*F31-100,1)&gt;999,999,-999)))</f>
        <v>9.4</v>
      </c>
      <c r="H31" s="777"/>
      <c r="I31" s="777"/>
      <c r="J31" s="662"/>
      <c r="K31" s="892">
        <f>SUM(K32:K34)</f>
        <v>244.2</v>
      </c>
      <c r="L31" s="777">
        <f>SUM(L32:L34)</f>
        <v>275.10000000000002</v>
      </c>
      <c r="M31" s="662">
        <f>IF(K31=0, "    ---- ", IF(ABS(ROUND(100/K31*L31-100,1))&lt;999,ROUND(100/K31*L31-100,1),IF(ROUND(100/K31*L31-100,1)&gt;999,999,-999)))</f>
        <v>12.7</v>
      </c>
      <c r="N31" s="892">
        <f>SUM(N32:N34)</f>
        <v>499</v>
      </c>
      <c r="O31" s="777">
        <f>SUM(O32:O34)</f>
        <v>546.85605792000001</v>
      </c>
      <c r="P31" s="662">
        <f>IF(N31=0, "    ---- ", IF(ABS(ROUND(100/N31*O31-100,1))&lt;999,ROUND(100/N31*O31-100,1),IF(ROUND(100/N31*O31-100,1)&gt;999,999,-999)))</f>
        <v>9.6</v>
      </c>
      <c r="Q31" s="892"/>
      <c r="R31" s="777"/>
      <c r="S31" s="662"/>
      <c r="T31" s="892"/>
      <c r="U31" s="777"/>
      <c r="V31" s="662"/>
      <c r="W31" s="892">
        <f>SUM(W32:W34)</f>
        <v>704</v>
      </c>
      <c r="X31" s="777">
        <f>SUM(X32:X34)</f>
        <v>652</v>
      </c>
      <c r="Y31" s="662">
        <f>IF(W31=0, "    ---- ", IF(ABS(ROUND(100/W31*X31-100,1))&lt;999,ROUND(100/W31*X31-100,1),IF(ROUND(100/W31*X31-100,1)&gt;999,999,-999)))</f>
        <v>-7.4</v>
      </c>
      <c r="Z31" s="892"/>
      <c r="AA31" s="777"/>
      <c r="AB31" s="662"/>
      <c r="AC31" s="661">
        <f t="shared" si="1"/>
        <v>2024.6590000000001</v>
      </c>
      <c r="AD31" s="661">
        <f t="shared" si="1"/>
        <v>2098.1310937600001</v>
      </c>
      <c r="AE31" s="662">
        <f t="shared" si="2"/>
        <v>3.6</v>
      </c>
      <c r="AF31" s="669"/>
      <c r="AG31" s="669"/>
      <c r="AH31" s="669"/>
      <c r="AI31" s="638"/>
      <c r="AJ31" s="666"/>
    </row>
    <row r="32" spans="1:36" s="673" customFormat="1" ht="18.75" customHeight="1" x14ac:dyDescent="0.3">
      <c r="A32" s="499" t="s">
        <v>398</v>
      </c>
      <c r="B32" s="891"/>
      <c r="C32" s="776"/>
      <c r="D32" s="439"/>
      <c r="E32" s="891"/>
      <c r="F32" s="776"/>
      <c r="G32" s="439"/>
      <c r="H32" s="776"/>
      <c r="I32" s="776"/>
      <c r="J32" s="439"/>
      <c r="K32" s="891"/>
      <c r="L32" s="776"/>
      <c r="M32" s="439"/>
      <c r="N32" s="891"/>
      <c r="O32" s="776"/>
      <c r="P32" s="439"/>
      <c r="Q32" s="891"/>
      <c r="R32" s="776"/>
      <c r="S32" s="439"/>
      <c r="T32" s="891"/>
      <c r="U32" s="776"/>
      <c r="V32" s="439"/>
      <c r="W32" s="891"/>
      <c r="X32" s="776"/>
      <c r="Y32" s="439"/>
      <c r="Z32" s="891"/>
      <c r="AA32" s="776"/>
      <c r="AB32" s="439"/>
      <c r="AC32" s="655">
        <f t="shared" si="1"/>
        <v>0</v>
      </c>
      <c r="AD32" s="655">
        <f t="shared" si="1"/>
        <v>0</v>
      </c>
      <c r="AE32" s="439" t="str">
        <f t="shared" si="2"/>
        <v xml:space="preserve">    ---- </v>
      </c>
      <c r="AF32" s="671"/>
      <c r="AG32" s="671"/>
      <c r="AH32" s="671"/>
      <c r="AI32" s="672"/>
      <c r="AJ32" s="672"/>
    </row>
    <row r="33" spans="1:36" s="673" customFormat="1" ht="18.75" customHeight="1" x14ac:dyDescent="0.3">
      <c r="A33" s="499" t="s">
        <v>400</v>
      </c>
      <c r="B33" s="891">
        <v>65.459000000000003</v>
      </c>
      <c r="C33" s="776">
        <v>64.175035840000007</v>
      </c>
      <c r="D33" s="439">
        <f>IF(B33=0, "    ---- ", IF(ABS(ROUND(100/B33*C33-100,1))&lt;999,ROUND(100/B33*C33-100,1),IF(ROUND(100/B33*C33-100,1)&gt;999,999,-999)))</f>
        <v>-2</v>
      </c>
      <c r="E33" s="891">
        <v>512</v>
      </c>
      <c r="F33" s="776">
        <v>560</v>
      </c>
      <c r="G33" s="439">
        <f>IF(E33=0, "    ---- ", IF(ABS(ROUND(100/E33*F33-100,1))&lt;999,ROUND(100/E33*F33-100,1),IF(ROUND(100/E33*F33-100,1)&gt;999,999,-999)))</f>
        <v>9.4</v>
      </c>
      <c r="H33" s="776"/>
      <c r="I33" s="776"/>
      <c r="J33" s="439"/>
      <c r="K33" s="891">
        <v>244.2</v>
      </c>
      <c r="L33" s="776">
        <v>275.10000000000002</v>
      </c>
      <c r="M33" s="439">
        <f>IF(K33=0, "    ---- ", IF(ABS(ROUND(100/K33*L33-100,1))&lt;999,ROUND(100/K33*L33-100,1),IF(ROUND(100/K33*L33-100,1)&gt;999,999,-999)))</f>
        <v>12.7</v>
      </c>
      <c r="N33" s="891"/>
      <c r="O33" s="776"/>
      <c r="P33" s="439"/>
      <c r="Q33" s="891"/>
      <c r="R33" s="776"/>
      <c r="S33" s="439"/>
      <c r="T33" s="891"/>
      <c r="U33" s="776"/>
      <c r="V33" s="439"/>
      <c r="W33" s="891">
        <v>704</v>
      </c>
      <c r="X33" s="776">
        <v>652</v>
      </c>
      <c r="Y33" s="439">
        <f>IF(W33=0, "    ---- ", IF(ABS(ROUND(100/W33*X33-100,1))&lt;999,ROUND(100/W33*X33-100,1),IF(ROUND(100/W33*X33-100,1)&gt;999,999,-999)))</f>
        <v>-7.4</v>
      </c>
      <c r="Z33" s="891"/>
      <c r="AA33" s="776"/>
      <c r="AB33" s="439"/>
      <c r="AC33" s="655">
        <f t="shared" si="1"/>
        <v>1525.6590000000001</v>
      </c>
      <c r="AD33" s="655">
        <f t="shared" si="1"/>
        <v>1551.2750358399999</v>
      </c>
      <c r="AE33" s="439">
        <f t="shared" si="2"/>
        <v>1.7</v>
      </c>
      <c r="AF33" s="671"/>
      <c r="AG33" s="671"/>
      <c r="AH33" s="671"/>
      <c r="AI33" s="672"/>
      <c r="AJ33" s="672"/>
    </row>
    <row r="34" spans="1:36" s="673" customFormat="1" ht="18.75" customHeight="1" x14ac:dyDescent="0.3">
      <c r="A34" s="499" t="s">
        <v>402</v>
      </c>
      <c r="B34" s="891"/>
      <c r="C34" s="776"/>
      <c r="D34" s="439"/>
      <c r="E34" s="776"/>
      <c r="F34" s="776"/>
      <c r="G34" s="439"/>
      <c r="H34" s="776"/>
      <c r="I34" s="776"/>
      <c r="J34" s="439"/>
      <c r="K34" s="891"/>
      <c r="L34" s="776"/>
      <c r="M34" s="439"/>
      <c r="N34" s="891">
        <v>499</v>
      </c>
      <c r="O34" s="776">
        <v>546.85605792000001</v>
      </c>
      <c r="P34" s="439">
        <f>IF(N34=0, "    ---- ", IF(ABS(ROUND(100/N34*O34-100,1))&lt;999,ROUND(100/N34*O34-100,1),IF(ROUND(100/N34*O34-100,1)&gt;999,999,-999)))</f>
        <v>9.6</v>
      </c>
      <c r="Q34" s="776"/>
      <c r="R34" s="776"/>
      <c r="S34" s="439"/>
      <c r="T34" s="891"/>
      <c r="U34" s="776"/>
      <c r="V34" s="439"/>
      <c r="W34" s="776"/>
      <c r="X34" s="776"/>
      <c r="Y34" s="439"/>
      <c r="Z34" s="776"/>
      <c r="AA34" s="776"/>
      <c r="AB34" s="439"/>
      <c r="AC34" s="655">
        <f t="shared" si="1"/>
        <v>499</v>
      </c>
      <c r="AD34" s="655">
        <f t="shared" si="1"/>
        <v>546.85605792000001</v>
      </c>
      <c r="AE34" s="439">
        <f t="shared" si="2"/>
        <v>9.6</v>
      </c>
      <c r="AF34" s="675"/>
      <c r="AG34" s="671"/>
      <c r="AH34" s="671"/>
      <c r="AI34" s="672"/>
      <c r="AJ34" s="672"/>
    </row>
    <row r="35" spans="1:36" s="667" customFormat="1" ht="18.75" customHeight="1" x14ac:dyDescent="0.3">
      <c r="A35" s="674" t="s">
        <v>418</v>
      </c>
      <c r="B35" s="777">
        <f>SUM(B11+B21+B26+B31)</f>
        <v>29361.437999999998</v>
      </c>
      <c r="C35" s="777">
        <f>SUM(C11+C21+C26+C31)</f>
        <v>26879.329206099999</v>
      </c>
      <c r="D35" s="662">
        <f>IF(B35=0, "    ---- ", IF(ABS(ROUND(100/B35*C35-100,1))&lt;999,ROUND(100/B35*C35-100,1),IF(ROUND(100/B35*C35-100,1)&gt;999,999,-999)))</f>
        <v>-8.5</v>
      </c>
      <c r="E35" s="777">
        <f>SUM(E11+E21+E26+E31)</f>
        <v>138747.45699999999</v>
      </c>
      <c r="F35" s="777">
        <f>SUM(F11+F21+F26+F31)</f>
        <v>138259</v>
      </c>
      <c r="G35" s="662">
        <f>IF(E35=0, "    ---- ", IF(ABS(ROUND(100/E35*F35-100,1))&lt;999,ROUND(100/E35*F35-100,1),IF(ROUND(100/E35*F35-100,1)&gt;999,999,-999)))</f>
        <v>-0.4</v>
      </c>
      <c r="H35" s="777"/>
      <c r="I35" s="777"/>
      <c r="J35" s="662"/>
      <c r="K35" s="777">
        <f>SUM(K11+K21+K26+K31)</f>
        <v>43184.4</v>
      </c>
      <c r="L35" s="777">
        <f>SUM(L11+L21+L26+L31)</f>
        <v>45974.2</v>
      </c>
      <c r="M35" s="662">
        <f>IF(K35=0, "    ---- ", IF(ABS(ROUND(100/K35*L35-100,1))&lt;999,ROUND(100/K35*L35-100,1),IF(ROUND(100/K35*L35-100,1)&gt;999,999,-999)))</f>
        <v>6.5</v>
      </c>
      <c r="N35" s="777">
        <f>SUM(N11+N21+N26+N31)</f>
        <v>2234.1708050100001</v>
      </c>
      <c r="O35" s="777">
        <f>SUM(O11+O21+O26+O31)</f>
        <v>2613.1800169300004</v>
      </c>
      <c r="P35" s="662">
        <f>IF(N35=0, "    ---- ", IF(ABS(ROUND(100/N35*O35-100,1))&lt;999,ROUND(100/N35*O35-100,1),IF(ROUND(100/N35*O35-100,1)&gt;999,999,-999)))</f>
        <v>17</v>
      </c>
      <c r="Q35" s="777">
        <f>SUM(Q11+Q21+Q26+Q31)</f>
        <v>125405</v>
      </c>
      <c r="R35" s="777">
        <f>SUM(R11+R21+R26+R31)</f>
        <v>118066.45996802999</v>
      </c>
      <c r="S35" s="662">
        <f>IF(Q35=0, "    ---- ", IF(ABS(ROUND(100/Q35*R35-100,1))&lt;999,ROUND(100/Q35*R35-100,1),IF(ROUND(100/Q35*R35-100,1)&gt;999,999,-999)))</f>
        <v>-5.9</v>
      </c>
      <c r="T35" s="892">
        <f>SUM(T11+T21+T26+T31)</f>
        <v>3211.24630639</v>
      </c>
      <c r="U35" s="777">
        <f>SUM(U11+U21+U26+U31)</f>
        <v>432.11299999999994</v>
      </c>
      <c r="V35" s="662">
        <f>IF(T35=0, "    ---- ", IF(ABS(ROUND(100/T35*U35-100,1))&lt;999,ROUND(100/T35*U35-100,1),IF(ROUND(100/T35*U35-100,1)&gt;999,999,-999)))</f>
        <v>-86.5</v>
      </c>
      <c r="W35" s="777">
        <f>SUM(W11+W21+W26+W31)</f>
        <v>57288</v>
      </c>
      <c r="X35" s="777">
        <f>SUM(X11+X21+X26+X31)</f>
        <v>55380</v>
      </c>
      <c r="Y35" s="662">
        <f>IF(W35=0, "    ---- ", IF(ABS(ROUND(100/W35*X35-100,1))&lt;999,ROUND(100/W35*X35-100,1),IF(ROUND(100/W35*X35-100,1)&gt;999,999,-999)))</f>
        <v>-3.3</v>
      </c>
      <c r="Z35" s="777">
        <f>SUM(Z11+Z21+Z26+Z31)</f>
        <v>157873</v>
      </c>
      <c r="AA35" s="777">
        <f>SUM(AA11+AA21+AA26+AA31)</f>
        <v>152581</v>
      </c>
      <c r="AB35" s="662">
        <f t="shared" si="0"/>
        <v>-3.4</v>
      </c>
      <c r="AC35" s="661">
        <f t="shared" si="1"/>
        <v>557304.71211139997</v>
      </c>
      <c r="AD35" s="661">
        <f t="shared" si="1"/>
        <v>540185.28219106002</v>
      </c>
      <c r="AE35" s="662">
        <f t="shared" si="2"/>
        <v>-3.1</v>
      </c>
      <c r="AF35" s="661">
        <f>AC35+'Tabell 7a'!AL48</f>
        <v>1820996.2479656602</v>
      </c>
      <c r="AG35" s="662">
        <f>AD35+'Tabell 7a'!AM48</f>
        <v>1761812.4408603911</v>
      </c>
      <c r="AH35" s="662">
        <f t="shared" ref="AH35:AH42" si="4">IF(AF35=0, "    ---- ", IF(ABS(ROUND(100/AF35*AG35-100,1))&lt;999,ROUND(100/AF35*AG35-100,1),IF(ROUND(100/AF35*AG35-100,1)&gt;999,999,-999)))</f>
        <v>-3.3</v>
      </c>
      <c r="AI35" s="638"/>
      <c r="AJ35" s="666"/>
    </row>
    <row r="36" spans="1:36" s="673" customFormat="1" ht="18.75" customHeight="1" x14ac:dyDescent="0.3">
      <c r="A36" s="499" t="s">
        <v>395</v>
      </c>
      <c r="B36" s="776">
        <f>SUM(B12+B22+B27)</f>
        <v>3261.5079999999998</v>
      </c>
      <c r="C36" s="776">
        <f>SUM(C12+C22+C27)</f>
        <v>2830.3670441600002</v>
      </c>
      <c r="D36" s="439">
        <f>IF(B36=0, "    ---- ", IF(ABS(ROUND(100/B36*C36-100,1))&lt;999,ROUND(100/B36*C36-100,1),IF(ROUND(100/B36*C36-100,1)&gt;999,999,-999)))</f>
        <v>-13.2</v>
      </c>
      <c r="E36" s="776">
        <f>SUM(E12+E22+E27)</f>
        <v>7736</v>
      </c>
      <c r="F36" s="776">
        <f>SUM(F12+F22+F27)</f>
        <v>7060</v>
      </c>
      <c r="G36" s="439">
        <f>IF(E36=0, "    ---- ", IF(ABS(ROUND(100/E36*F36-100,1))&lt;999,ROUND(100/E36*F36-100,1),IF(ROUND(100/E36*F36-100,1)&gt;999,999,-999)))</f>
        <v>-8.6999999999999993</v>
      </c>
      <c r="H36" s="776"/>
      <c r="I36" s="776"/>
      <c r="J36" s="439"/>
      <c r="K36" s="776">
        <f>SUM(K12+K22+K27)</f>
        <v>1033.7</v>
      </c>
      <c r="L36" s="776">
        <f>SUM(L12+L22+L27)</f>
        <v>2039.6</v>
      </c>
      <c r="M36" s="439">
        <f>IF(K36=0, "    ---- ", IF(ABS(ROUND(100/K36*L36-100,1))&lt;999,ROUND(100/K36*L36-100,1),IF(ROUND(100/K36*L36-100,1)&gt;999,999,-999)))</f>
        <v>97.3</v>
      </c>
      <c r="N36" s="776"/>
      <c r="O36" s="776"/>
      <c r="P36" s="439"/>
      <c r="Q36" s="776">
        <f>SUM(Q12+Q22+Q27)</f>
        <v>48705</v>
      </c>
      <c r="R36" s="776">
        <f>SUM(R12+R22+R27)</f>
        <v>44238.277178554999</v>
      </c>
      <c r="S36" s="439">
        <f>IF(Q36=0, "    ---- ", IF(ABS(ROUND(100/Q36*R36-100,1))&lt;999,ROUND(100/Q36*R36-100,1),IF(ROUND(100/Q36*R36-100,1)&gt;999,999,-999)))</f>
        <v>-9.1999999999999993</v>
      </c>
      <c r="T36" s="891">
        <f>SUM(T12+T22+T27)</f>
        <v>1306.99288422</v>
      </c>
      <c r="U36" s="776">
        <f>SUM(U12+U22+U27)</f>
        <v>-2.9390000000000001</v>
      </c>
      <c r="V36" s="439">
        <f>IF(T36=0, "    ---- ", IF(ABS(ROUND(100/T36*U36-100,1))&lt;999,ROUND(100/T36*U36-100,1),IF(ROUND(100/T36*U36-100,1)&gt;999,999,-999)))</f>
        <v>-100.2</v>
      </c>
      <c r="W36" s="776">
        <f>SUM(W12+W22+W27)</f>
        <v>4295</v>
      </c>
      <c r="X36" s="776">
        <f>SUM(X12+X22+X27)</f>
        <v>4219</v>
      </c>
      <c r="Y36" s="439">
        <f>IF(W36=0, "    ---- ", IF(ABS(ROUND(100/W36*X36-100,1))&lt;999,ROUND(100/W36*X36-100,1),IF(ROUND(100/W36*X36-100,1)&gt;999,999,-999)))</f>
        <v>-1.8</v>
      </c>
      <c r="Z36" s="776">
        <f>SUM(Z12+Z22+Z27)</f>
        <v>10975</v>
      </c>
      <c r="AA36" s="776">
        <f>SUM(AA12+AA22+AA27)</f>
        <v>10384</v>
      </c>
      <c r="AB36" s="439">
        <f t="shared" si="0"/>
        <v>-5.4</v>
      </c>
      <c r="AC36" s="655">
        <f t="shared" si="1"/>
        <v>77313.200884220001</v>
      </c>
      <c r="AD36" s="655">
        <f t="shared" si="1"/>
        <v>70768.305222715004</v>
      </c>
      <c r="AE36" s="439">
        <f t="shared" si="2"/>
        <v>-8.5</v>
      </c>
      <c r="AF36" s="655">
        <f>AC36+'Tabell 7a'!AL49</f>
        <v>93879.052826210012</v>
      </c>
      <c r="AG36" s="439">
        <f>AD36+'Tabell 7a'!AM49</f>
        <v>85783.717597035822</v>
      </c>
      <c r="AH36" s="439">
        <f t="shared" si="4"/>
        <v>-8.6</v>
      </c>
      <c r="AI36" s="672"/>
      <c r="AJ36" s="672"/>
    </row>
    <row r="37" spans="1:36" s="673" customFormat="1" ht="18.75" customHeight="1" x14ac:dyDescent="0.3">
      <c r="A37" s="499" t="s">
        <v>398</v>
      </c>
      <c r="B37" s="776">
        <f>SUM(B13+B23+B28+B32)</f>
        <v>2315.0729999999999</v>
      </c>
      <c r="C37" s="776">
        <f>SUM(C13+C23+C28+C32)</f>
        <v>1892.0528737</v>
      </c>
      <c r="D37" s="439">
        <f>IF(B37=0, "    ---- ", IF(ABS(ROUND(100/B37*C37-100,1))&lt;999,ROUND(100/B37*C37-100,1),IF(ROUND(100/B37*C37-100,1)&gt;999,999,-999)))</f>
        <v>-18.3</v>
      </c>
      <c r="E37" s="776">
        <f>SUM(E13+E23+E28+E32)</f>
        <v>6070.4570000000003</v>
      </c>
      <c r="F37" s="776">
        <f>SUM(F13+F23+F28+F32)</f>
        <v>5165</v>
      </c>
      <c r="G37" s="439">
        <f>IF(E37=0, "    ---- ", IF(ABS(ROUND(100/E37*F37-100,1))&lt;999,ROUND(100/E37*F37-100,1),IF(ROUND(100/E37*F37-100,1)&gt;999,999,-999)))</f>
        <v>-14.9</v>
      </c>
      <c r="H37" s="776"/>
      <c r="I37" s="776"/>
      <c r="J37" s="439"/>
      <c r="K37" s="776">
        <f>SUM(K13+K23+K28+K32)</f>
        <v>1887.4</v>
      </c>
      <c r="L37" s="776">
        <f>SUM(L13+L23+L28+L32)</f>
        <v>2187.6</v>
      </c>
      <c r="M37" s="439">
        <f>IF(K37=0, "    ---- ", IF(ABS(ROUND(100/K37*L37-100,1))&lt;999,ROUND(100/K37*L37-100,1),IF(ROUND(100/K37*L37-100,1)&gt;999,999,-999)))</f>
        <v>15.9</v>
      </c>
      <c r="N37" s="776"/>
      <c r="O37" s="776"/>
      <c r="P37" s="439"/>
      <c r="Q37" s="776">
        <f>SUM(Q13+Q23+Q28+Q32)</f>
        <v>5685</v>
      </c>
      <c r="R37" s="776">
        <f>SUM(R13+R23+R28+R32)</f>
        <v>5182.9406684977857</v>
      </c>
      <c r="S37" s="439">
        <f>IF(Q37=0, "    ---- ", IF(ABS(ROUND(100/Q37*R37-100,1))&lt;999,ROUND(100/Q37*R37-100,1),IF(ROUND(100/Q37*R37-100,1)&gt;999,999,-999)))</f>
        <v>-8.8000000000000007</v>
      </c>
      <c r="T37" s="891">
        <f>SUM(T13+T23+T28+T32)</f>
        <v>1143.6275013200002</v>
      </c>
      <c r="U37" s="776">
        <f>SUM(U13+U23+U28+U32)</f>
        <v>272.34399999999999</v>
      </c>
      <c r="V37" s="439">
        <f>IF(T37=0, "    ---- ", IF(ABS(ROUND(100/T37*U37-100,1))&lt;999,ROUND(100/T37*U37-100,1),IF(ROUND(100/T37*U37-100,1)&gt;999,999,-999)))</f>
        <v>-76.2</v>
      </c>
      <c r="W37" s="776">
        <f>SUM(W13+W23+W28+W32)</f>
        <v>3992</v>
      </c>
      <c r="X37" s="776">
        <f>SUM(X13+X23+X28+X32)</f>
        <v>3703</v>
      </c>
      <c r="Y37" s="439">
        <f>IF(W37=0, "    ---- ", IF(ABS(ROUND(100/W37*X37-100,1))&lt;999,ROUND(100/W37*X37-100,1),IF(ROUND(100/W37*X37-100,1)&gt;999,999,-999)))</f>
        <v>-7.2</v>
      </c>
      <c r="Z37" s="776">
        <f>SUM(Z13+Z23+Z28+Z32)</f>
        <v>6720</v>
      </c>
      <c r="AA37" s="776">
        <f>SUM(AA13+AA23+AA28+AA32)</f>
        <v>6242</v>
      </c>
      <c r="AB37" s="439">
        <f t="shared" si="0"/>
        <v>-7.1</v>
      </c>
      <c r="AC37" s="655">
        <f t="shared" si="1"/>
        <v>27813.55750132</v>
      </c>
      <c r="AD37" s="655">
        <f t="shared" si="1"/>
        <v>24644.937542197786</v>
      </c>
      <c r="AE37" s="439">
        <f t="shared" si="2"/>
        <v>-11.4</v>
      </c>
      <c r="AF37" s="655">
        <f>AC37+'Tabell 7a'!AL50</f>
        <v>72895.770447869989</v>
      </c>
      <c r="AG37" s="439">
        <f>AD37+'Tabell 7a'!AM50</f>
        <v>68548.024765968163</v>
      </c>
      <c r="AH37" s="439">
        <f t="shared" si="4"/>
        <v>-6</v>
      </c>
      <c r="AI37" s="672"/>
      <c r="AJ37" s="672"/>
    </row>
    <row r="38" spans="1:36" s="673" customFormat="1" ht="18.75" customHeight="1" x14ac:dyDescent="0.3">
      <c r="A38" s="513" t="s">
        <v>399</v>
      </c>
      <c r="B38" s="776"/>
      <c r="C38" s="776"/>
      <c r="D38" s="439"/>
      <c r="E38" s="776"/>
      <c r="F38" s="776"/>
      <c r="G38" s="439"/>
      <c r="H38" s="776"/>
      <c r="I38" s="776"/>
      <c r="J38" s="439"/>
      <c r="K38" s="776"/>
      <c r="L38" s="776"/>
      <c r="M38" s="439"/>
      <c r="N38" s="776"/>
      <c r="O38" s="776"/>
      <c r="P38" s="439"/>
      <c r="Q38" s="776"/>
      <c r="R38" s="776"/>
      <c r="S38" s="439"/>
      <c r="T38" s="891"/>
      <c r="U38" s="776"/>
      <c r="V38" s="439"/>
      <c r="W38" s="776"/>
      <c r="X38" s="776"/>
      <c r="Y38" s="439"/>
      <c r="Z38" s="776"/>
      <c r="AA38" s="776"/>
      <c r="AB38" s="439"/>
      <c r="AC38" s="655">
        <f t="shared" si="1"/>
        <v>0</v>
      </c>
      <c r="AD38" s="655">
        <f t="shared" si="1"/>
        <v>0</v>
      </c>
      <c r="AE38" s="439" t="str">
        <f t="shared" si="2"/>
        <v xml:space="preserve">    ---- </v>
      </c>
      <c r="AF38" s="655">
        <f>AC38+'Tabell 7a'!AL51</f>
        <v>4403.90335134</v>
      </c>
      <c r="AG38" s="439">
        <f>AD38+'Tabell 7a'!AM51</f>
        <v>4604.8609614600009</v>
      </c>
      <c r="AH38" s="439">
        <f t="shared" si="4"/>
        <v>4.5999999999999996</v>
      </c>
      <c r="AI38" s="672"/>
      <c r="AJ38" s="672"/>
    </row>
    <row r="39" spans="1:36" s="673" customFormat="1" ht="18.75" customHeight="1" x14ac:dyDescent="0.3">
      <c r="A39" s="499" t="s">
        <v>400</v>
      </c>
      <c r="B39" s="776">
        <f>SUM(B14+B24+B29+B33)</f>
        <v>23784.857</v>
      </c>
      <c r="C39" s="776">
        <f>SUM(C14+C24+C29+C33)</f>
        <v>22156.90928824</v>
      </c>
      <c r="D39" s="439">
        <f>IF(B39=0, "    ---- ", IF(ABS(ROUND(100/B39*C39-100,1))&lt;999,ROUND(100/B39*C39-100,1),IF(ROUND(100/B39*C39-100,1)&gt;999,999,-999)))</f>
        <v>-6.8</v>
      </c>
      <c r="E39" s="776">
        <f>SUM(E14+E24+E29+E33)</f>
        <v>124941</v>
      </c>
      <c r="F39" s="776">
        <f>SUM(F14+F24+F29+F33)</f>
        <v>126034</v>
      </c>
      <c r="G39" s="439">
        <f>IF(E39=0, "    ---- ", IF(ABS(ROUND(100/E39*F39-100,1))&lt;999,ROUND(100/E39*F39-100,1),IF(ROUND(100/E39*F39-100,1)&gt;999,999,-999)))</f>
        <v>0.9</v>
      </c>
      <c r="H39" s="776"/>
      <c r="I39" s="776"/>
      <c r="J39" s="439"/>
      <c r="K39" s="776">
        <f>SUM(K14+K24+K29+K33)</f>
        <v>40263.300000000003</v>
      </c>
      <c r="L39" s="776">
        <f>SUM(L14+L24+L29+L33)</f>
        <v>41747</v>
      </c>
      <c r="M39" s="439">
        <f>IF(K39=0, "    ---- ", IF(ABS(ROUND(100/K39*L39-100,1))&lt;999,ROUND(100/K39*L39-100,1),IF(ROUND(100/K39*L39-100,1)&gt;999,999,-999)))</f>
        <v>3.7</v>
      </c>
      <c r="N39" s="776"/>
      <c r="O39" s="776"/>
      <c r="P39" s="439"/>
      <c r="Q39" s="776">
        <f>SUM(Q14+Q24+Q29+Q33)</f>
        <v>71015</v>
      </c>
      <c r="R39" s="776">
        <f>SUM(R14+R24+R29+R33)</f>
        <v>68645.2421209772</v>
      </c>
      <c r="S39" s="439">
        <f>IF(Q39=0, "    ---- ", IF(ABS(ROUND(100/Q39*R39-100,1))&lt;999,ROUND(100/Q39*R39-100,1),IF(ROUND(100/Q39*R39-100,1)&gt;999,999,-999)))</f>
        <v>-3.3</v>
      </c>
      <c r="T39" s="891">
        <f>SUM(T14+T24+T29+T33)</f>
        <v>760.62592084999994</v>
      </c>
      <c r="U39" s="776">
        <f>SUM(U14+U24+U29+U33)</f>
        <v>162.708</v>
      </c>
      <c r="V39" s="439">
        <f>IF(T39=0, "    ---- ", IF(ABS(ROUND(100/T39*U39-100,1))&lt;999,ROUND(100/T39*U39-100,1),IF(ROUND(100/T39*U39-100,1)&gt;999,999,-999)))</f>
        <v>-78.599999999999994</v>
      </c>
      <c r="W39" s="776">
        <f>SUM(W14+W24+W29+W33)</f>
        <v>49001</v>
      </c>
      <c r="X39" s="776">
        <f>SUM(X14+X24+X29+X33)</f>
        <v>47458</v>
      </c>
      <c r="Y39" s="439">
        <f>IF(W39=0, "    ---- ", IF(ABS(ROUND(100/W39*X39-100,1))&lt;999,ROUND(100/W39*X39-100,1),IF(ROUND(100/W39*X39-100,1)&gt;999,999,-999)))</f>
        <v>-3.1</v>
      </c>
      <c r="Z39" s="776">
        <f>SUM(Z14+Z24+Z29+Z33)</f>
        <v>140178</v>
      </c>
      <c r="AA39" s="776">
        <f>SUM(AA14+AA24+AA29+AA33)</f>
        <v>135955</v>
      </c>
      <c r="AB39" s="439">
        <f t="shared" si="0"/>
        <v>-3</v>
      </c>
      <c r="AC39" s="655">
        <f t="shared" si="1"/>
        <v>449943.78292084998</v>
      </c>
      <c r="AD39" s="655">
        <f t="shared" si="1"/>
        <v>442158.85940921726</v>
      </c>
      <c r="AE39" s="439">
        <f t="shared" si="2"/>
        <v>-1.7</v>
      </c>
      <c r="AF39" s="655">
        <f>AC39+'Tabell 7a'!AL52</f>
        <v>853116.53792084998</v>
      </c>
      <c r="AG39" s="439">
        <f>AD39+'Tabell 7a'!AM52</f>
        <v>841961.65397241223</v>
      </c>
      <c r="AH39" s="439">
        <f t="shared" si="4"/>
        <v>-1.3</v>
      </c>
      <c r="AI39" s="672"/>
      <c r="AJ39" s="672"/>
    </row>
    <row r="40" spans="1:36" s="673" customFormat="1" ht="18.75" customHeight="1" x14ac:dyDescent="0.3">
      <c r="A40" s="499" t="s">
        <v>402</v>
      </c>
      <c r="B40" s="776"/>
      <c r="C40" s="776"/>
      <c r="D40" s="439"/>
      <c r="E40" s="776"/>
      <c r="F40" s="776"/>
      <c r="G40" s="439"/>
      <c r="H40" s="776"/>
      <c r="I40" s="776"/>
      <c r="J40" s="439"/>
      <c r="K40" s="776"/>
      <c r="L40" s="776"/>
      <c r="M40" s="439"/>
      <c r="N40" s="776">
        <f>SUM(N15+N25+N30+N34)</f>
        <v>2234.1708050100001</v>
      </c>
      <c r="O40" s="776">
        <f>SUM(O15+O25+O30+O34)</f>
        <v>2613.1800169300004</v>
      </c>
      <c r="P40" s="439">
        <f>IF(N40=0, "    ---- ", IF(ABS(ROUND(100/N40*O40-100,1))&lt;999,ROUND(100/N40*O40-100,1),IF(ROUND(100/N40*O40-100,1)&gt;999,999,-999)))</f>
        <v>17</v>
      </c>
      <c r="Q40" s="776"/>
      <c r="R40" s="776"/>
      <c r="S40" s="439"/>
      <c r="T40" s="891"/>
      <c r="U40" s="776"/>
      <c r="V40" s="439"/>
      <c r="W40" s="776"/>
      <c r="X40" s="776"/>
      <c r="Y40" s="439"/>
      <c r="Z40" s="776"/>
      <c r="AA40" s="776"/>
      <c r="AB40" s="439"/>
      <c r="AC40" s="655">
        <f t="shared" si="1"/>
        <v>2234.1708050100001</v>
      </c>
      <c r="AD40" s="655">
        <f t="shared" si="1"/>
        <v>2613.1800169300004</v>
      </c>
      <c r="AE40" s="439">
        <f t="shared" si="2"/>
        <v>17</v>
      </c>
      <c r="AF40" s="655">
        <f>AC40+'Tabell 7a'!AL53</f>
        <v>678419.12611482001</v>
      </c>
      <c r="AG40" s="439">
        <f>AD40+'Tabell 7a'!AM53</f>
        <v>755255.10863073985</v>
      </c>
      <c r="AH40" s="439">
        <f t="shared" si="4"/>
        <v>11.3</v>
      </c>
      <c r="AI40" s="672"/>
      <c r="AJ40" s="672"/>
    </row>
    <row r="41" spans="1:36" s="673" customFormat="1" ht="18.75" customHeight="1" x14ac:dyDescent="0.3">
      <c r="A41" s="513" t="s">
        <v>403</v>
      </c>
      <c r="B41" s="776"/>
      <c r="C41" s="776"/>
      <c r="D41" s="439"/>
      <c r="E41" s="776"/>
      <c r="F41" s="776"/>
      <c r="G41" s="439"/>
      <c r="H41" s="776"/>
      <c r="I41" s="776"/>
      <c r="J41" s="439"/>
      <c r="K41" s="776"/>
      <c r="L41" s="776"/>
      <c r="M41" s="439"/>
      <c r="N41" s="776"/>
      <c r="O41" s="776"/>
      <c r="P41" s="439"/>
      <c r="Q41" s="776"/>
      <c r="R41" s="776"/>
      <c r="S41" s="439"/>
      <c r="T41" s="891"/>
      <c r="U41" s="776"/>
      <c r="V41" s="439"/>
      <c r="W41" s="776"/>
      <c r="X41" s="776"/>
      <c r="Y41" s="439"/>
      <c r="Z41" s="776"/>
      <c r="AA41" s="776"/>
      <c r="AB41" s="439"/>
      <c r="AC41" s="655">
        <f t="shared" si="1"/>
        <v>0</v>
      </c>
      <c r="AD41" s="655">
        <f t="shared" si="1"/>
        <v>0</v>
      </c>
      <c r="AE41" s="439" t="str">
        <f t="shared" si="2"/>
        <v xml:space="preserve">    ---- </v>
      </c>
      <c r="AF41" s="655">
        <f>AC41+'Tabell 7a'!AL54</f>
        <v>837.77577819999988</v>
      </c>
      <c r="AG41" s="439">
        <f>AD41+'Tabell 7a'!AM54</f>
        <v>856.09205747493809</v>
      </c>
      <c r="AH41" s="439">
        <f t="shared" si="4"/>
        <v>2.2000000000000002</v>
      </c>
      <c r="AI41" s="672"/>
      <c r="AJ41" s="672"/>
    </row>
    <row r="42" spans="1:36" s="673" customFormat="1" ht="18.75" customHeight="1" x14ac:dyDescent="0.3">
      <c r="A42" s="736" t="s">
        <v>408</v>
      </c>
      <c r="B42" s="772"/>
      <c r="C42" s="772"/>
      <c r="D42" s="677"/>
      <c r="E42" s="772"/>
      <c r="F42" s="772"/>
      <c r="G42" s="677"/>
      <c r="H42" s="772"/>
      <c r="I42" s="772"/>
      <c r="J42" s="677"/>
      <c r="K42" s="772"/>
      <c r="L42" s="772"/>
      <c r="M42" s="677"/>
      <c r="N42" s="772"/>
      <c r="O42" s="772"/>
      <c r="P42" s="677"/>
      <c r="Q42" s="772"/>
      <c r="R42" s="772"/>
      <c r="S42" s="677"/>
      <c r="T42" s="923"/>
      <c r="U42" s="772"/>
      <c r="V42" s="677"/>
      <c r="W42" s="772"/>
      <c r="X42" s="772"/>
      <c r="Y42" s="677"/>
      <c r="Z42" s="772"/>
      <c r="AA42" s="772"/>
      <c r="AB42" s="677"/>
      <c r="AC42" s="676">
        <f t="shared" si="1"/>
        <v>0</v>
      </c>
      <c r="AD42" s="676">
        <f t="shared" si="1"/>
        <v>0</v>
      </c>
      <c r="AE42" s="677" t="str">
        <f t="shared" si="2"/>
        <v xml:space="preserve">    ---- </v>
      </c>
      <c r="AF42" s="676">
        <f>AC42+'Tabell 7a'!AL55</f>
        <v>117444.08152637001</v>
      </c>
      <c r="AG42" s="677">
        <f>AD42+'Tabell 7a'!AM55</f>
        <v>70850.028432619991</v>
      </c>
      <c r="AH42" s="677">
        <f t="shared" si="4"/>
        <v>-39.700000000000003</v>
      </c>
      <c r="AI42" s="672"/>
      <c r="AJ42" s="672"/>
    </row>
    <row r="43" spans="1:36" s="678" customFormat="1" ht="18.75" customHeight="1" x14ac:dyDescent="0.3">
      <c r="A43" s="514" t="s">
        <v>245</v>
      </c>
      <c r="B43" s="514"/>
      <c r="K43" s="514"/>
      <c r="Q43" s="679"/>
      <c r="U43" s="680"/>
      <c r="V43" s="680"/>
      <c r="W43" s="514"/>
      <c r="AC43" s="514"/>
      <c r="AF43" s="514"/>
      <c r="AI43" s="681"/>
      <c r="AJ43" s="681"/>
    </row>
    <row r="44" spans="1:36" s="678" customFormat="1" ht="18.75" customHeight="1" x14ac:dyDescent="0.3">
      <c r="A44" s="514" t="s">
        <v>247</v>
      </c>
      <c r="B44" s="682"/>
      <c r="K44" s="514"/>
      <c r="U44" s="680"/>
      <c r="V44" s="680"/>
      <c r="W44" s="514"/>
      <c r="AF44" s="514"/>
      <c r="AI44" s="681"/>
      <c r="AJ44" s="681"/>
    </row>
    <row r="45" spans="1:36" s="678" customFormat="1" ht="18.75" x14ac:dyDescent="0.3">
      <c r="AJ45" s="681"/>
    </row>
    <row r="46" spans="1:36" s="678" customFormat="1" ht="18.75" x14ac:dyDescent="0.3">
      <c r="B46" s="606"/>
      <c r="C46" s="606"/>
      <c r="K46" s="606"/>
      <c r="L46" s="606"/>
      <c r="Q46" s="606"/>
      <c r="R46" s="606"/>
      <c r="T46" s="606"/>
      <c r="U46" s="606"/>
      <c r="W46" s="606"/>
      <c r="X46" s="606"/>
      <c r="Z46" s="606"/>
      <c r="AA46" s="606"/>
      <c r="AC46" s="606"/>
      <c r="AD46" s="606"/>
      <c r="AF46" s="606"/>
      <c r="AG46" s="606"/>
    </row>
    <row r="47" spans="1:36" s="678" customFormat="1" ht="18.75" x14ac:dyDescent="0.3">
      <c r="B47" s="606"/>
      <c r="C47" s="606"/>
      <c r="K47" s="606"/>
      <c r="L47" s="606"/>
      <c r="Q47" s="606"/>
      <c r="R47" s="606"/>
      <c r="T47" s="606"/>
      <c r="U47" s="606"/>
      <c r="W47" s="606"/>
      <c r="X47" s="606"/>
      <c r="Z47" s="606"/>
      <c r="AA47" s="606"/>
      <c r="AC47" s="606"/>
      <c r="AD47" s="606"/>
      <c r="AF47" s="606"/>
      <c r="AG47" s="606"/>
    </row>
    <row r="48" spans="1:36" s="678" customFormat="1" ht="18.75" x14ac:dyDescent="0.3">
      <c r="B48" s="606"/>
      <c r="C48" s="606"/>
      <c r="K48" s="606"/>
      <c r="L48" s="606"/>
      <c r="Q48" s="606"/>
      <c r="R48" s="606"/>
      <c r="T48" s="606"/>
      <c r="U48" s="606"/>
      <c r="W48" s="606"/>
      <c r="X48" s="606"/>
      <c r="Z48" s="606"/>
      <c r="AA48" s="606"/>
      <c r="AC48" s="606"/>
      <c r="AD48" s="606"/>
      <c r="AF48" s="606"/>
      <c r="AG48" s="606"/>
    </row>
    <row r="49" spans="1:34" s="678" customFormat="1" ht="18.75" x14ac:dyDescent="0.3">
      <c r="B49" s="606"/>
      <c r="C49" s="606"/>
      <c r="K49" s="606"/>
      <c r="L49" s="606"/>
      <c r="Q49" s="606"/>
      <c r="R49" s="606"/>
      <c r="T49" s="606"/>
      <c r="U49" s="606"/>
      <c r="W49" s="606"/>
      <c r="X49" s="606"/>
      <c r="Z49" s="606"/>
      <c r="AA49" s="606"/>
      <c r="AC49" s="606"/>
      <c r="AD49" s="606"/>
      <c r="AF49" s="606"/>
      <c r="AG49" s="606"/>
    </row>
    <row r="50" spans="1:34" s="678" customFormat="1" ht="18.75" x14ac:dyDescent="0.3">
      <c r="B50" s="606"/>
      <c r="C50" s="606"/>
      <c r="K50" s="606"/>
      <c r="L50" s="606"/>
      <c r="Q50" s="606"/>
      <c r="R50" s="606"/>
      <c r="T50" s="606"/>
      <c r="U50" s="606"/>
      <c r="W50" s="606"/>
      <c r="X50" s="606"/>
      <c r="Z50" s="606"/>
      <c r="AA50" s="606"/>
      <c r="AC50" s="606"/>
      <c r="AD50" s="606"/>
      <c r="AF50" s="606"/>
      <c r="AG50" s="606"/>
    </row>
    <row r="51" spans="1:34" s="678" customFormat="1" ht="18.75" x14ac:dyDescent="0.3">
      <c r="B51" s="606"/>
      <c r="C51" s="606"/>
      <c r="K51" s="606"/>
      <c r="L51" s="606"/>
      <c r="Q51" s="606"/>
      <c r="R51" s="606"/>
      <c r="T51" s="606"/>
      <c r="U51" s="606"/>
      <c r="W51" s="606"/>
      <c r="X51" s="606"/>
      <c r="Z51" s="606"/>
      <c r="AA51" s="606"/>
      <c r="AC51" s="606"/>
      <c r="AD51" s="606"/>
      <c r="AF51" s="606"/>
      <c r="AG51" s="606"/>
    </row>
    <row r="52" spans="1:34" s="678" customFormat="1" ht="18.75" x14ac:dyDescent="0.3">
      <c r="A52" s="681"/>
      <c r="B52" s="606"/>
      <c r="C52" s="606"/>
      <c r="D52" s="681"/>
      <c r="E52" s="681"/>
      <c r="F52" s="681"/>
      <c r="G52" s="681"/>
      <c r="H52" s="681"/>
      <c r="I52" s="681"/>
      <c r="J52" s="681"/>
      <c r="K52" s="606"/>
      <c r="L52" s="606"/>
      <c r="M52" s="681"/>
      <c r="N52" s="681"/>
      <c r="O52" s="681"/>
      <c r="P52" s="681"/>
      <c r="Q52" s="606"/>
      <c r="R52" s="606"/>
      <c r="S52" s="681"/>
      <c r="T52" s="606"/>
      <c r="U52" s="606"/>
      <c r="V52" s="681"/>
      <c r="W52" s="606"/>
      <c r="X52" s="606"/>
      <c r="Y52" s="681"/>
      <c r="Z52" s="606"/>
      <c r="AA52" s="606"/>
      <c r="AB52" s="681"/>
      <c r="AC52" s="606"/>
      <c r="AD52" s="606"/>
      <c r="AE52" s="681"/>
      <c r="AF52" s="606"/>
      <c r="AG52" s="606"/>
      <c r="AH52" s="681"/>
    </row>
    <row r="53" spans="1:34" s="681" customFormat="1" ht="18.75" x14ac:dyDescent="0.3"/>
    <row r="54" spans="1:34" s="681" customFormat="1" ht="18.75" x14ac:dyDescent="0.3"/>
    <row r="55" spans="1:34" s="678" customFormat="1" ht="18.75" x14ac:dyDescent="0.3"/>
    <row r="56" spans="1:34" s="678" customFormat="1" ht="18.75" x14ac:dyDescent="0.3"/>
    <row r="57" spans="1:34" s="678" customFormat="1" ht="18.75" x14ac:dyDescent="0.3"/>
    <row r="58" spans="1:34" s="678" customFormat="1" ht="18.75" x14ac:dyDescent="0.3"/>
    <row r="59" spans="1:34" s="678" customFormat="1" ht="18.75" x14ac:dyDescent="0.3"/>
    <row r="60" spans="1:34" s="678" customFormat="1" ht="18.75" x14ac:dyDescent="0.3"/>
    <row r="61" spans="1:34" s="678" customFormat="1" ht="18.75" x14ac:dyDescent="0.3"/>
    <row r="62" spans="1:34" s="678" customFormat="1" ht="18.75" x14ac:dyDescent="0.3"/>
    <row r="63" spans="1:34" s="678" customFormat="1" ht="18.75" x14ac:dyDescent="0.3"/>
    <row r="64" spans="1:34" s="678" customFormat="1" ht="18.75" x14ac:dyDescent="0.3"/>
    <row r="65" s="678" customFormat="1" ht="18.75" x14ac:dyDescent="0.3"/>
    <row r="66" s="678" customFormat="1" ht="18.75" x14ac:dyDescent="0.3"/>
    <row r="67" s="678" customFormat="1" ht="18.75" x14ac:dyDescent="0.3"/>
    <row r="68" s="678" customFormat="1" ht="18.75" x14ac:dyDescent="0.3"/>
    <row r="69" s="678" customFormat="1" ht="18.75" x14ac:dyDescent="0.3"/>
    <row r="70" s="678" customFormat="1" ht="18.75" x14ac:dyDescent="0.3"/>
    <row r="71" s="678" customFormat="1" ht="18.75" x14ac:dyDescent="0.3"/>
    <row r="72" s="678" customFormat="1" ht="18.75" x14ac:dyDescent="0.3"/>
    <row r="73" s="678" customFormat="1" ht="18.75" x14ac:dyDescent="0.3"/>
    <row r="74" s="678" customFormat="1" ht="18.75" x14ac:dyDescent="0.3"/>
    <row r="75" s="678" customFormat="1" ht="18.75" x14ac:dyDescent="0.3"/>
    <row r="76" s="678" customFormat="1" ht="18.75" x14ac:dyDescent="0.3"/>
  </sheetData>
  <mergeCells count="20">
    <mergeCell ref="AF6:AH6"/>
    <mergeCell ref="B6:D6"/>
    <mergeCell ref="E6:G6"/>
    <mergeCell ref="H6:J6"/>
    <mergeCell ref="K6:M6"/>
    <mergeCell ref="Q6:S6"/>
    <mergeCell ref="T6:V6"/>
    <mergeCell ref="W6:Y6"/>
    <mergeCell ref="Z6:AB6"/>
    <mergeCell ref="AC6:AE6"/>
    <mergeCell ref="AF5:AH5"/>
    <mergeCell ref="B5:D5"/>
    <mergeCell ref="E5:G5"/>
    <mergeCell ref="H5:J5"/>
    <mergeCell ref="K5:M5"/>
    <mergeCell ref="Q5:S5"/>
    <mergeCell ref="T5:V5"/>
    <mergeCell ref="W5:Y5"/>
    <mergeCell ref="Z5:AB5"/>
    <mergeCell ref="AC5:AE5"/>
  </mergeCells>
  <conditionalFormatting sqref="C35">
    <cfRule type="expression" dxfId="58" priority="283">
      <formula>#REF!="40≠41+42+43+44+45+46+47"</formula>
    </cfRule>
  </conditionalFormatting>
  <conditionalFormatting sqref="F35">
    <cfRule type="expression" dxfId="57" priority="187">
      <formula>#REF!="40≠41+42+43+44+45+46+47"</formula>
    </cfRule>
  </conditionalFormatting>
  <conditionalFormatting sqref="I35">
    <cfRule type="expression" dxfId="56" priority="175">
      <formula>#REF!="40≠41+42+43+44+45+46+47"</formula>
    </cfRule>
  </conditionalFormatting>
  <conditionalFormatting sqref="L35">
    <cfRule type="expression" dxfId="55" priority="169">
      <formula>#REF!="40≠41+42+43+44+45+46+47"</formula>
    </cfRule>
  </conditionalFormatting>
  <conditionalFormatting sqref="O35">
    <cfRule type="expression" dxfId="54" priority="163">
      <formula>#REF!="40≠41+42+43+44+45+46+47"</formula>
    </cfRule>
  </conditionalFormatting>
  <conditionalFormatting sqref="R35">
    <cfRule type="expression" dxfId="53" priority="151">
      <formula>#REF!="40≠41+42+43+44+45+46+47"</formula>
    </cfRule>
  </conditionalFormatting>
  <conditionalFormatting sqref="X35">
    <cfRule type="expression" dxfId="52" priority="139">
      <formula>#REF!="40≠41+42+43+44+45+46+47"</formula>
    </cfRule>
  </conditionalFormatting>
  <conditionalFormatting sqref="AA35">
    <cfRule type="expression" dxfId="51" priority="133">
      <formula>#REF!="40≠41+42+43+44+45+46+47"</formula>
    </cfRule>
  </conditionalFormatting>
  <conditionalFormatting sqref="B35">
    <cfRule type="expression" dxfId="50" priority="122">
      <formula>#REF!="40≠41+42+43+44+45+46+47"</formula>
    </cfRule>
  </conditionalFormatting>
  <conditionalFormatting sqref="E35">
    <cfRule type="expression" dxfId="49" priority="112">
      <formula>#REF!="40≠41+42+43+44+45+46+47"</formula>
    </cfRule>
  </conditionalFormatting>
  <conditionalFormatting sqref="H35">
    <cfRule type="expression" dxfId="48" priority="107">
      <formula>#REF!="40≠41+42+43+44+45+46+47"</formula>
    </cfRule>
  </conditionalFormatting>
  <conditionalFormatting sqref="H11">
    <cfRule type="expression" dxfId="47" priority="108">
      <formula>#REF!="11≠12+13+14+15"</formula>
    </cfRule>
  </conditionalFormatting>
  <conditionalFormatting sqref="H16 H13:H14">
    <cfRule type="expression" dxfId="46" priority="109">
      <formula>#REF!="16≠17+18+19+20"</formula>
    </cfRule>
  </conditionalFormatting>
  <conditionalFormatting sqref="H26 H21">
    <cfRule type="expression" dxfId="45" priority="110">
      <formula>#REF!="26≠27+28+29+30"</formula>
    </cfRule>
  </conditionalFormatting>
  <conditionalFormatting sqref="H31">
    <cfRule type="expression" dxfId="44" priority="111">
      <formula>#REF!="36≠37+38+39"</formula>
    </cfRule>
  </conditionalFormatting>
  <conditionalFormatting sqref="K35">
    <cfRule type="expression" dxfId="43" priority="102">
      <formula>#REF!="40≠41+42+43+44+45+46+47"</formula>
    </cfRule>
  </conditionalFormatting>
  <conditionalFormatting sqref="N35">
    <cfRule type="expression" dxfId="42" priority="97">
      <formula>#REF!="40≠41+42+43+44+45+46+47"</formula>
    </cfRule>
  </conditionalFormatting>
  <conditionalFormatting sqref="Q35">
    <cfRule type="expression" dxfId="41" priority="92">
      <formula>#REF!="40≠41+42+43+44+45+46+47"</formula>
    </cfRule>
  </conditionalFormatting>
  <conditionalFormatting sqref="W35">
    <cfRule type="expression" dxfId="40" priority="82">
      <formula>#REF!="40≠41+42+43+44+45+46+47"</formula>
    </cfRule>
  </conditionalFormatting>
  <conditionalFormatting sqref="Z35">
    <cfRule type="expression" dxfId="39" priority="77">
      <formula>#REF!="40≠41+42+43+44+45+46+47"</formula>
    </cfRule>
  </conditionalFormatting>
  <conditionalFormatting sqref="K11">
    <cfRule type="expression" dxfId="38" priority="67">
      <formula>#REF!="11≠12+13+14+15"</formula>
    </cfRule>
  </conditionalFormatting>
  <conditionalFormatting sqref="K16">
    <cfRule type="expression" dxfId="37" priority="68">
      <formula>#REF!="16≠17+18+19+20"</formula>
    </cfRule>
  </conditionalFormatting>
  <conditionalFormatting sqref="K26 K21">
    <cfRule type="expression" dxfId="36" priority="69">
      <formula>#REF!="26≠27+28+29+30"</formula>
    </cfRule>
  </conditionalFormatting>
  <conditionalFormatting sqref="K31">
    <cfRule type="expression" dxfId="35" priority="70">
      <formula>#REF!="36≠37+38+39"</formula>
    </cfRule>
  </conditionalFormatting>
  <conditionalFormatting sqref="L16">
    <cfRule type="expression" dxfId="34" priority="66">
      <formula>#REF!="16≠17+18+19+20"</formula>
    </cfRule>
  </conditionalFormatting>
  <conditionalFormatting sqref="Q11">
    <cfRule type="expression" dxfId="33" priority="57">
      <formula>#REF!="11≠12+13+14+15"</formula>
    </cfRule>
  </conditionalFormatting>
  <conditionalFormatting sqref="Q16">
    <cfRule type="expression" dxfId="32" priority="58">
      <formula>#REF!="16≠17+18+19+20"</formula>
    </cfRule>
  </conditionalFormatting>
  <conditionalFormatting sqref="Q21 Q26">
    <cfRule type="expression" dxfId="31" priority="59">
      <formula>#REF!="26≠27+28+29+30"</formula>
    </cfRule>
  </conditionalFormatting>
  <conditionalFormatting sqref="Q31">
    <cfRule type="expression" dxfId="30" priority="60">
      <formula>#REF!="36≠37+38+39"</formula>
    </cfRule>
  </conditionalFormatting>
  <conditionalFormatting sqref="Z11">
    <cfRule type="expression" dxfId="29" priority="53">
      <formula>#REF!="11≠12+13+14+15"</formula>
    </cfRule>
  </conditionalFormatting>
  <conditionalFormatting sqref="Z16">
    <cfRule type="expression" dxfId="28" priority="54">
      <formula>#REF!="16≠17+18+19+20"</formula>
    </cfRule>
  </conditionalFormatting>
  <conditionalFormatting sqref="Z26 Z21">
    <cfRule type="expression" dxfId="27" priority="55">
      <formula>#REF!="26≠27+28+29+30"</formula>
    </cfRule>
  </conditionalFormatting>
  <conditionalFormatting sqref="Z31">
    <cfRule type="expression" dxfId="26" priority="56">
      <formula>#REF!="36≠37+38+39"</formula>
    </cfRule>
  </conditionalFormatting>
  <conditionalFormatting sqref="T35">
    <cfRule type="expression" dxfId="25" priority="43">
      <formula>#REF!="40≠41+42+43+44+45+46+47"</formula>
    </cfRule>
  </conditionalFormatting>
  <conditionalFormatting sqref="U35">
    <cfRule type="expression" dxfId="24" priority="41">
      <formula>#REF!="40≠41+42+43+44+45+46+47"</formula>
    </cfRule>
  </conditionalFormatting>
  <conditionalFormatting sqref="T11">
    <cfRule type="expression" dxfId="23" priority="36">
      <formula>#REF!="11≠12+13+14+15"</formula>
    </cfRule>
  </conditionalFormatting>
  <conditionalFormatting sqref="W11">
    <cfRule type="expression" dxfId="22" priority="27">
      <formula>#REF!="11≠12+13+14+15"</formula>
    </cfRule>
  </conditionalFormatting>
  <conditionalFormatting sqref="W16">
    <cfRule type="expression" dxfId="21" priority="28">
      <formula>#REF!="16≠17+18+19+20"</formula>
    </cfRule>
  </conditionalFormatting>
  <conditionalFormatting sqref="W26 W21">
    <cfRule type="expression" dxfId="20" priority="29">
      <formula>#REF!="26≠27+28+29+30"</formula>
    </cfRule>
  </conditionalFormatting>
  <conditionalFormatting sqref="W31">
    <cfRule type="expression" dxfId="19" priority="30">
      <formula>#REF!="36≠37+38+39"</formula>
    </cfRule>
  </conditionalFormatting>
  <conditionalFormatting sqref="E11">
    <cfRule type="expression" dxfId="18" priority="18">
      <formula>#REF!="11≠12+13+14+15"</formula>
    </cfRule>
  </conditionalFormatting>
  <conditionalFormatting sqref="E16">
    <cfRule type="expression" dxfId="17" priority="19">
      <formula>#REF!="16≠17+18+19+20"</formula>
    </cfRule>
  </conditionalFormatting>
  <conditionalFormatting sqref="E26 E21">
    <cfRule type="expression" dxfId="16" priority="20">
      <formula>#REF!="26≠27+28+29+30"</formula>
    </cfRule>
  </conditionalFormatting>
  <conditionalFormatting sqref="E31">
    <cfRule type="expression" dxfId="15" priority="21">
      <formula>#REF!="36≠37+38+39"</formula>
    </cfRule>
  </conditionalFormatting>
  <conditionalFormatting sqref="B11">
    <cfRule type="expression" dxfId="14" priority="9">
      <formula>#REF!="11≠12+13+14+15"</formula>
    </cfRule>
  </conditionalFormatting>
  <conditionalFormatting sqref="B16">
    <cfRule type="expression" dxfId="13" priority="10">
      <formula>#REF!="16≠17+18+19+20"</formula>
    </cfRule>
  </conditionalFormatting>
  <conditionalFormatting sqref="B26 B21">
    <cfRule type="expression" dxfId="12" priority="11">
      <formula>#REF!="26≠27+28+29+30"</formula>
    </cfRule>
  </conditionalFormatting>
  <conditionalFormatting sqref="B31">
    <cfRule type="expression" dxfId="11" priority="12">
      <formula>#REF!="36≠37+38+39"</formula>
    </cfRule>
  </conditionalFormatting>
  <conditionalFormatting sqref="N11">
    <cfRule type="expression" dxfId="10" priority="1">
      <formula>#REF!="11≠12+13+14+15"</formula>
    </cfRule>
  </conditionalFormatting>
  <conditionalFormatting sqref="N16">
    <cfRule type="expression" dxfId="9" priority="2">
      <formula>#REF!="16≠17+18+19+20"</formula>
    </cfRule>
  </conditionalFormatting>
  <conditionalFormatting sqref="N21 N26:O26">
    <cfRule type="expression" dxfId="8" priority="3">
      <formula>#REF!="26≠27+28+29+30"</formula>
    </cfRule>
  </conditionalFormatting>
  <conditionalFormatting sqref="N31">
    <cfRule type="expression" dxfId="7" priority="4">
      <formula>#REF!="36≠37+38+39"</formula>
    </cfRule>
  </conditionalFormatting>
  <conditionalFormatting sqref="AF11:AG11 AC11:AD42 I11 L11 R11 AA11 U11 X11 F11 C11 O11">
    <cfRule type="expression" dxfId="6" priority="1642">
      <formula>#REF!="11≠12+13+14+15"</formula>
    </cfRule>
  </conditionalFormatting>
  <conditionalFormatting sqref="AF16:AG16 I16 R16 AA16 T16:U16 X16 F16 C16 O16">
    <cfRule type="expression" dxfId="5" priority="1644">
      <formula>#REF!="16≠17+18+19+20"</formula>
    </cfRule>
  </conditionalFormatting>
  <conditionalFormatting sqref="AF21:AG21 L21 R21 AA21 T21:U21 X21 F21 C21 O21">
    <cfRule type="expression" dxfId="4" priority="1645">
      <formula>#REF!="21≠22+23+24+25"</formula>
    </cfRule>
  </conditionalFormatting>
  <conditionalFormatting sqref="AF26:AG26 I26 I21 L26 R26 AA26 T26:U26 X26 F26 C26">
    <cfRule type="expression" dxfId="3" priority="1646">
      <formula>#REF!="26≠27+28+29+30"</formula>
    </cfRule>
  </conditionalFormatting>
  <conditionalFormatting sqref="AF31:AG31">
    <cfRule type="expression" dxfId="2" priority="1647">
      <formula>#REF!="36≠37+38+39"</formula>
    </cfRule>
  </conditionalFormatting>
  <conditionalFormatting sqref="AF35:AG35">
    <cfRule type="expression" dxfId="1" priority="1648">
      <formula>#REF!="40≠41+42+43+44+45+46+47"</formula>
    </cfRule>
  </conditionalFormatting>
  <conditionalFormatting sqref="I31 L31 R31 AA31 T31:U31 X31 F31 C31 O31">
    <cfRule type="expression" dxfId="0" priority="1652">
      <formula>#REF!="36≠37+38+39"</formula>
    </cfRule>
  </conditionalFormatting>
  <hyperlinks>
    <hyperlink ref="B1" location="Innhold!A1" display="Tilbake" xr:uid="{00000000-0004-0000-24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48" man="1"/>
    <brk id="16" min="1" max="48" man="1"/>
    <brk id="22" min="1" max="48" man="1"/>
    <brk id="31" min="1" max="48"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Y60"/>
  <sheetViews>
    <sheetView showGridLines="0" zoomScale="60" zoomScaleNormal="60" workbookViewId="0">
      <pane xSplit="1" ySplit="6" topLeftCell="B7"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62" style="479" customWidth="1"/>
    <col min="2" max="34" width="11.7109375" style="479" customWidth="1"/>
    <col min="35" max="253" width="11.42578125" style="479"/>
    <col min="254" max="254" width="62" style="479" customWidth="1"/>
    <col min="255" max="290" width="11.7109375" style="479" customWidth="1"/>
    <col min="291" max="509" width="11.42578125" style="479"/>
    <col min="510" max="510" width="62" style="479" customWidth="1"/>
    <col min="511" max="546" width="11.7109375" style="479" customWidth="1"/>
    <col min="547" max="765" width="11.42578125" style="479"/>
    <col min="766" max="766" width="62" style="479" customWidth="1"/>
    <col min="767" max="802" width="11.7109375" style="479" customWidth="1"/>
    <col min="803" max="1021" width="11.42578125" style="479"/>
    <col min="1022" max="1022" width="62" style="479" customWidth="1"/>
    <col min="1023" max="1058" width="11.7109375" style="479" customWidth="1"/>
    <col min="1059" max="1277" width="11.42578125" style="479"/>
    <col min="1278" max="1278" width="62" style="479" customWidth="1"/>
    <col min="1279" max="1314" width="11.7109375" style="479" customWidth="1"/>
    <col min="1315" max="1533" width="11.42578125" style="479"/>
    <col min="1534" max="1534" width="62" style="479" customWidth="1"/>
    <col min="1535" max="1570" width="11.7109375" style="479" customWidth="1"/>
    <col min="1571" max="1789" width="11.42578125" style="479"/>
    <col min="1790" max="1790" width="62" style="479" customWidth="1"/>
    <col min="1791" max="1826" width="11.7109375" style="479" customWidth="1"/>
    <col min="1827" max="2045" width="11.42578125" style="479"/>
    <col min="2046" max="2046" width="62" style="479" customWidth="1"/>
    <col min="2047" max="2082" width="11.7109375" style="479" customWidth="1"/>
    <col min="2083" max="2301" width="11.42578125" style="479"/>
    <col min="2302" max="2302" width="62" style="479" customWidth="1"/>
    <col min="2303" max="2338" width="11.7109375" style="479" customWidth="1"/>
    <col min="2339" max="2557" width="11.42578125" style="479"/>
    <col min="2558" max="2558" width="62" style="479" customWidth="1"/>
    <col min="2559" max="2594" width="11.7109375" style="479" customWidth="1"/>
    <col min="2595" max="2813" width="11.42578125" style="479"/>
    <col min="2814" max="2814" width="62" style="479" customWidth="1"/>
    <col min="2815" max="2850" width="11.7109375" style="479" customWidth="1"/>
    <col min="2851" max="3069" width="11.42578125" style="479"/>
    <col min="3070" max="3070" width="62" style="479" customWidth="1"/>
    <col min="3071" max="3106" width="11.7109375" style="479" customWidth="1"/>
    <col min="3107" max="3325" width="11.42578125" style="479"/>
    <col min="3326" max="3326" width="62" style="479" customWidth="1"/>
    <col min="3327" max="3362" width="11.7109375" style="479" customWidth="1"/>
    <col min="3363" max="3581" width="11.42578125" style="479"/>
    <col min="3582" max="3582" width="62" style="479" customWidth="1"/>
    <col min="3583" max="3618" width="11.7109375" style="479" customWidth="1"/>
    <col min="3619" max="3837" width="11.42578125" style="479"/>
    <col min="3838" max="3838" width="62" style="479" customWidth="1"/>
    <col min="3839" max="3874" width="11.7109375" style="479" customWidth="1"/>
    <col min="3875" max="4093" width="11.42578125" style="479"/>
    <col min="4094" max="4094" width="62" style="479" customWidth="1"/>
    <col min="4095" max="4130" width="11.7109375" style="479" customWidth="1"/>
    <col min="4131" max="4349" width="11.42578125" style="479"/>
    <col min="4350" max="4350" width="62" style="479" customWidth="1"/>
    <col min="4351" max="4386" width="11.7109375" style="479" customWidth="1"/>
    <col min="4387" max="4605" width="11.42578125" style="479"/>
    <col min="4606" max="4606" width="62" style="479" customWidth="1"/>
    <col min="4607" max="4642" width="11.7109375" style="479" customWidth="1"/>
    <col min="4643" max="4861" width="11.42578125" style="479"/>
    <col min="4862" max="4862" width="62" style="479" customWidth="1"/>
    <col min="4863" max="4898" width="11.7109375" style="479" customWidth="1"/>
    <col min="4899" max="5117" width="11.42578125" style="479"/>
    <col min="5118" max="5118" width="62" style="479" customWidth="1"/>
    <col min="5119" max="5154" width="11.7109375" style="479" customWidth="1"/>
    <col min="5155" max="5373" width="11.42578125" style="479"/>
    <col min="5374" max="5374" width="62" style="479" customWidth="1"/>
    <col min="5375" max="5410" width="11.7109375" style="479" customWidth="1"/>
    <col min="5411" max="5629" width="11.42578125" style="479"/>
    <col min="5630" max="5630" width="62" style="479" customWidth="1"/>
    <col min="5631" max="5666" width="11.7109375" style="479" customWidth="1"/>
    <col min="5667" max="5885" width="11.42578125" style="479"/>
    <col min="5886" max="5886" width="62" style="479" customWidth="1"/>
    <col min="5887" max="5922" width="11.7109375" style="479" customWidth="1"/>
    <col min="5923" max="6141" width="11.42578125" style="479"/>
    <col min="6142" max="6142" width="62" style="479" customWidth="1"/>
    <col min="6143" max="6178" width="11.7109375" style="479" customWidth="1"/>
    <col min="6179" max="6397" width="11.42578125" style="479"/>
    <col min="6398" max="6398" width="62" style="479" customWidth="1"/>
    <col min="6399" max="6434" width="11.7109375" style="479" customWidth="1"/>
    <col min="6435" max="6653" width="11.42578125" style="479"/>
    <col min="6654" max="6654" width="62" style="479" customWidth="1"/>
    <col min="6655" max="6690" width="11.7109375" style="479" customWidth="1"/>
    <col min="6691" max="6909" width="11.42578125" style="479"/>
    <col min="6910" max="6910" width="62" style="479" customWidth="1"/>
    <col min="6911" max="6946" width="11.7109375" style="479" customWidth="1"/>
    <col min="6947" max="7165" width="11.42578125" style="479"/>
    <col min="7166" max="7166" width="62" style="479" customWidth="1"/>
    <col min="7167" max="7202" width="11.7109375" style="479" customWidth="1"/>
    <col min="7203" max="7421" width="11.42578125" style="479"/>
    <col min="7422" max="7422" width="62" style="479" customWidth="1"/>
    <col min="7423" max="7458" width="11.7109375" style="479" customWidth="1"/>
    <col min="7459" max="7677" width="11.42578125" style="479"/>
    <col min="7678" max="7678" width="62" style="479" customWidth="1"/>
    <col min="7679" max="7714" width="11.7109375" style="479" customWidth="1"/>
    <col min="7715" max="7933" width="11.42578125" style="479"/>
    <col min="7934" max="7934" width="62" style="479" customWidth="1"/>
    <col min="7935" max="7970" width="11.7109375" style="479" customWidth="1"/>
    <col min="7971" max="8189" width="11.42578125" style="479"/>
    <col min="8190" max="8190" width="62" style="479" customWidth="1"/>
    <col min="8191" max="8226" width="11.7109375" style="479" customWidth="1"/>
    <col min="8227" max="8445" width="11.42578125" style="479"/>
    <col min="8446" max="8446" width="62" style="479" customWidth="1"/>
    <col min="8447" max="8482" width="11.7109375" style="479" customWidth="1"/>
    <col min="8483" max="8701" width="11.42578125" style="479"/>
    <col min="8702" max="8702" width="62" style="479" customWidth="1"/>
    <col min="8703" max="8738" width="11.7109375" style="479" customWidth="1"/>
    <col min="8739" max="8957" width="11.42578125" style="479"/>
    <col min="8958" max="8958" width="62" style="479" customWidth="1"/>
    <col min="8959" max="8994" width="11.7109375" style="479" customWidth="1"/>
    <col min="8995" max="9213" width="11.42578125" style="479"/>
    <col min="9214" max="9214" width="62" style="479" customWidth="1"/>
    <col min="9215" max="9250" width="11.7109375" style="479" customWidth="1"/>
    <col min="9251" max="9469" width="11.42578125" style="479"/>
    <col min="9470" max="9470" width="62" style="479" customWidth="1"/>
    <col min="9471" max="9506" width="11.7109375" style="479" customWidth="1"/>
    <col min="9507" max="9725" width="11.42578125" style="479"/>
    <col min="9726" max="9726" width="62" style="479" customWidth="1"/>
    <col min="9727" max="9762" width="11.7109375" style="479" customWidth="1"/>
    <col min="9763" max="9981" width="11.42578125" style="479"/>
    <col min="9982" max="9982" width="62" style="479" customWidth="1"/>
    <col min="9983" max="10018" width="11.7109375" style="479" customWidth="1"/>
    <col min="10019" max="10237" width="11.42578125" style="479"/>
    <col min="10238" max="10238" width="62" style="479" customWidth="1"/>
    <col min="10239" max="10274" width="11.7109375" style="479" customWidth="1"/>
    <col min="10275" max="10493" width="11.42578125" style="479"/>
    <col min="10494" max="10494" width="62" style="479" customWidth="1"/>
    <col min="10495" max="10530" width="11.7109375" style="479" customWidth="1"/>
    <col min="10531" max="10749" width="11.42578125" style="479"/>
    <col min="10750" max="10750" width="62" style="479" customWidth="1"/>
    <col min="10751" max="10786" width="11.7109375" style="479" customWidth="1"/>
    <col min="10787" max="11005" width="11.42578125" style="479"/>
    <col min="11006" max="11006" width="62" style="479" customWidth="1"/>
    <col min="11007" max="11042" width="11.7109375" style="479" customWidth="1"/>
    <col min="11043" max="11261" width="11.42578125" style="479"/>
    <col min="11262" max="11262" width="62" style="479" customWidth="1"/>
    <col min="11263" max="11298" width="11.7109375" style="479" customWidth="1"/>
    <col min="11299" max="11517" width="11.42578125" style="479"/>
    <col min="11518" max="11518" width="62" style="479" customWidth="1"/>
    <col min="11519" max="11554" width="11.7109375" style="479" customWidth="1"/>
    <col min="11555" max="11773" width="11.42578125" style="479"/>
    <col min="11774" max="11774" width="62" style="479" customWidth="1"/>
    <col min="11775" max="11810" width="11.7109375" style="479" customWidth="1"/>
    <col min="11811" max="12029" width="11.42578125" style="479"/>
    <col min="12030" max="12030" width="62" style="479" customWidth="1"/>
    <col min="12031" max="12066" width="11.7109375" style="479" customWidth="1"/>
    <col min="12067" max="12285" width="11.42578125" style="479"/>
    <col min="12286" max="12286" width="62" style="479" customWidth="1"/>
    <col min="12287" max="12322" width="11.7109375" style="479" customWidth="1"/>
    <col min="12323" max="12541" width="11.42578125" style="479"/>
    <col min="12542" max="12542" width="62" style="479" customWidth="1"/>
    <col min="12543" max="12578" width="11.7109375" style="479" customWidth="1"/>
    <col min="12579" max="12797" width="11.42578125" style="479"/>
    <col min="12798" max="12798" width="62" style="479" customWidth="1"/>
    <col min="12799" max="12834" width="11.7109375" style="479" customWidth="1"/>
    <col min="12835" max="13053" width="11.42578125" style="479"/>
    <col min="13054" max="13054" width="62" style="479" customWidth="1"/>
    <col min="13055" max="13090" width="11.7109375" style="479" customWidth="1"/>
    <col min="13091" max="13309" width="11.42578125" style="479"/>
    <col min="13310" max="13310" width="62" style="479" customWidth="1"/>
    <col min="13311" max="13346" width="11.7109375" style="479" customWidth="1"/>
    <col min="13347" max="13565" width="11.42578125" style="479"/>
    <col min="13566" max="13566" width="62" style="479" customWidth="1"/>
    <col min="13567" max="13602" width="11.7109375" style="479" customWidth="1"/>
    <col min="13603" max="13821" width="11.42578125" style="479"/>
    <col min="13822" max="13822" width="62" style="479" customWidth="1"/>
    <col min="13823" max="13858" width="11.7109375" style="479" customWidth="1"/>
    <col min="13859" max="14077" width="11.42578125" style="479"/>
    <col min="14078" max="14078" width="62" style="479" customWidth="1"/>
    <col min="14079" max="14114" width="11.7109375" style="479" customWidth="1"/>
    <col min="14115" max="14333" width="11.42578125" style="479"/>
    <col min="14334" max="14334" width="62" style="479" customWidth="1"/>
    <col min="14335" max="14370" width="11.7109375" style="479" customWidth="1"/>
    <col min="14371" max="14589" width="11.42578125" style="479"/>
    <col min="14590" max="14590" width="62" style="479" customWidth="1"/>
    <col min="14591" max="14626" width="11.7109375" style="479" customWidth="1"/>
    <col min="14627" max="14845" width="11.42578125" style="479"/>
    <col min="14846" max="14846" width="62" style="479" customWidth="1"/>
    <col min="14847" max="14882" width="11.7109375" style="479" customWidth="1"/>
    <col min="14883" max="15101" width="11.42578125" style="479"/>
    <col min="15102" max="15102" width="62" style="479" customWidth="1"/>
    <col min="15103" max="15138" width="11.7109375" style="479" customWidth="1"/>
    <col min="15139" max="15357" width="11.42578125" style="479"/>
    <col min="15358" max="15358" width="62" style="479" customWidth="1"/>
    <col min="15359" max="15394" width="11.7109375" style="479" customWidth="1"/>
    <col min="15395" max="15613" width="11.42578125" style="479"/>
    <col min="15614" max="15614" width="62" style="479" customWidth="1"/>
    <col min="15615" max="15650" width="11.7109375" style="479" customWidth="1"/>
    <col min="15651" max="15869" width="11.42578125" style="479"/>
    <col min="15870" max="15870" width="62" style="479" customWidth="1"/>
    <col min="15871" max="15906" width="11.7109375" style="479" customWidth="1"/>
    <col min="15907" max="16125" width="11.42578125" style="479"/>
    <col min="16126" max="16126" width="62" style="479" customWidth="1"/>
    <col min="16127" max="16162" width="11.7109375" style="479" customWidth="1"/>
    <col min="16163" max="16384" width="11.42578125" style="479"/>
  </cols>
  <sheetData>
    <row r="1" spans="1:51" ht="20.25" customHeight="1" x14ac:dyDescent="0.3">
      <c r="A1" s="477" t="s">
        <v>167</v>
      </c>
      <c r="B1" s="456" t="s">
        <v>52</v>
      </c>
      <c r="AI1" s="683"/>
    </row>
    <row r="2" spans="1:51" ht="20.100000000000001" customHeight="1" x14ac:dyDescent="0.3">
      <c r="A2" s="477" t="s">
        <v>262</v>
      </c>
      <c r="C2" s="797"/>
      <c r="D2" s="797"/>
      <c r="E2" s="797"/>
      <c r="F2" s="619"/>
      <c r="G2" s="619"/>
      <c r="H2" s="619"/>
      <c r="I2" s="619"/>
      <c r="J2" s="619"/>
      <c r="Q2" s="797"/>
      <c r="AI2" s="683"/>
    </row>
    <row r="3" spans="1:51" ht="20.100000000000001" customHeight="1" x14ac:dyDescent="0.3">
      <c r="A3" s="684" t="s">
        <v>322</v>
      </c>
      <c r="AI3" s="685"/>
    </row>
    <row r="4" spans="1:51" ht="20.100000000000001" customHeight="1" x14ac:dyDescent="0.3">
      <c r="A4" s="483" t="s">
        <v>347</v>
      </c>
      <c r="B4" s="488"/>
      <c r="C4" s="487"/>
      <c r="D4" s="489"/>
      <c r="E4" s="488"/>
      <c r="F4" s="487"/>
      <c r="G4" s="489"/>
      <c r="H4" s="487"/>
      <c r="I4" s="487"/>
      <c r="J4" s="489"/>
      <c r="K4" s="487"/>
      <c r="L4" s="487"/>
      <c r="M4" s="489"/>
      <c r="N4" s="488"/>
      <c r="O4" s="487"/>
      <c r="P4" s="489"/>
      <c r="Q4" s="488"/>
      <c r="R4" s="487"/>
      <c r="S4" s="489"/>
      <c r="T4" s="488"/>
      <c r="U4" s="487"/>
      <c r="V4" s="489"/>
      <c r="W4" s="622"/>
      <c r="X4" s="623"/>
      <c r="Y4" s="624"/>
      <c r="Z4" s="488"/>
      <c r="AA4" s="487"/>
      <c r="AB4" s="489"/>
      <c r="AC4" s="488"/>
      <c r="AD4" s="487"/>
      <c r="AE4" s="489"/>
      <c r="AF4" s="488"/>
      <c r="AG4" s="686"/>
      <c r="AH4" s="489"/>
      <c r="AI4" s="687"/>
      <c r="AJ4" s="688"/>
      <c r="AK4" s="688"/>
      <c r="AL4" s="688"/>
      <c r="AM4" s="688"/>
      <c r="AN4" s="688"/>
      <c r="AO4" s="688"/>
      <c r="AP4" s="688"/>
      <c r="AQ4" s="688"/>
      <c r="AR4" s="688"/>
      <c r="AS4" s="688"/>
      <c r="AT4" s="688"/>
      <c r="AU4" s="688"/>
      <c r="AV4" s="688"/>
      <c r="AW4" s="688"/>
      <c r="AX4" s="688"/>
      <c r="AY4" s="688"/>
    </row>
    <row r="5" spans="1:51" ht="20.100000000000001" customHeight="1" x14ac:dyDescent="0.3">
      <c r="A5" s="494"/>
      <c r="B5" s="1022" t="s">
        <v>504</v>
      </c>
      <c r="C5" s="1023"/>
      <c r="D5" s="1024"/>
      <c r="E5" s="1034" t="s">
        <v>170</v>
      </c>
      <c r="F5" s="1035"/>
      <c r="G5" s="1036"/>
      <c r="H5" s="1035" t="s">
        <v>461</v>
      </c>
      <c r="I5" s="1035"/>
      <c r="J5" s="1036"/>
      <c r="K5" s="1035" t="s">
        <v>171</v>
      </c>
      <c r="L5" s="1035"/>
      <c r="M5" s="1036"/>
      <c r="N5" s="1034" t="s">
        <v>172</v>
      </c>
      <c r="O5" s="1035"/>
      <c r="P5" s="1036"/>
      <c r="Q5" s="983" t="s">
        <v>173</v>
      </c>
      <c r="R5" s="984"/>
      <c r="S5" s="985"/>
      <c r="T5" s="867"/>
      <c r="U5" s="868"/>
      <c r="V5" s="869"/>
      <c r="W5" s="1034" t="s">
        <v>174</v>
      </c>
      <c r="X5" s="1035"/>
      <c r="Y5" s="1036"/>
      <c r="Z5" s="1034" t="s">
        <v>67</v>
      </c>
      <c r="AA5" s="1035"/>
      <c r="AB5" s="1036"/>
      <c r="AC5" s="1034" t="s">
        <v>71</v>
      </c>
      <c r="AD5" s="1035"/>
      <c r="AE5" s="1036"/>
      <c r="AF5" s="1034" t="s">
        <v>280</v>
      </c>
      <c r="AG5" s="1035"/>
      <c r="AH5" s="1036"/>
      <c r="AI5" s="515"/>
      <c r="AJ5" s="689"/>
      <c r="AK5" s="1066"/>
      <c r="AL5" s="1066"/>
      <c r="AM5" s="1066"/>
      <c r="AN5" s="1066"/>
      <c r="AO5" s="1066"/>
      <c r="AP5" s="1066"/>
      <c r="AQ5" s="1066"/>
      <c r="AR5" s="1066"/>
      <c r="AS5" s="1066"/>
      <c r="AT5" s="1066"/>
      <c r="AU5" s="1066"/>
      <c r="AV5" s="1066"/>
      <c r="AW5" s="1066"/>
      <c r="AX5" s="1066"/>
      <c r="AY5" s="1066"/>
    </row>
    <row r="6" spans="1:51" ht="20.100000000000001" customHeight="1" x14ac:dyDescent="0.3">
      <c r="A6" s="495"/>
      <c r="B6" s="1031" t="s">
        <v>177</v>
      </c>
      <c r="C6" s="1032"/>
      <c r="D6" s="1033"/>
      <c r="E6" s="1043" t="s">
        <v>176</v>
      </c>
      <c r="F6" s="1044"/>
      <c r="G6" s="1045"/>
      <c r="H6" s="1044" t="s">
        <v>176</v>
      </c>
      <c r="I6" s="1044"/>
      <c r="J6" s="1045"/>
      <c r="K6" s="1044" t="s">
        <v>176</v>
      </c>
      <c r="L6" s="1044"/>
      <c r="M6" s="1045"/>
      <c r="N6" s="1043" t="s">
        <v>177</v>
      </c>
      <c r="O6" s="1044"/>
      <c r="P6" s="1045"/>
      <c r="Q6" s="1043" t="s">
        <v>63</v>
      </c>
      <c r="R6" s="1044"/>
      <c r="S6" s="1045"/>
      <c r="T6" s="1043" t="s">
        <v>65</v>
      </c>
      <c r="U6" s="1044"/>
      <c r="V6" s="1045"/>
      <c r="W6" s="1043" t="s">
        <v>175</v>
      </c>
      <c r="X6" s="1044"/>
      <c r="Y6" s="1045"/>
      <c r="Z6" s="1043" t="s">
        <v>474</v>
      </c>
      <c r="AA6" s="1044"/>
      <c r="AB6" s="1045"/>
      <c r="AC6" s="1043" t="s">
        <v>176</v>
      </c>
      <c r="AD6" s="1044"/>
      <c r="AE6" s="1045"/>
      <c r="AF6" s="1043" t="s">
        <v>281</v>
      </c>
      <c r="AG6" s="1044"/>
      <c r="AH6" s="1045"/>
      <c r="AI6" s="515"/>
      <c r="AJ6" s="689"/>
      <c r="AK6" s="1066"/>
      <c r="AL6" s="1066"/>
      <c r="AM6" s="1066"/>
      <c r="AN6" s="1066"/>
      <c r="AO6" s="1066"/>
      <c r="AP6" s="1066"/>
      <c r="AQ6" s="1066"/>
      <c r="AR6" s="1066"/>
      <c r="AS6" s="1066"/>
      <c r="AT6" s="1066"/>
      <c r="AU6" s="1066"/>
      <c r="AV6" s="1066"/>
      <c r="AW6" s="1066"/>
      <c r="AX6" s="1066"/>
      <c r="AY6" s="1066"/>
    </row>
    <row r="7" spans="1:51" ht="20.100000000000001" customHeight="1" x14ac:dyDescent="0.3">
      <c r="A7" s="495"/>
      <c r="B7" s="627"/>
      <c r="C7" s="627"/>
      <c r="D7" s="496" t="s">
        <v>79</v>
      </c>
      <c r="E7" s="627"/>
      <c r="F7" s="627"/>
      <c r="G7" s="496" t="s">
        <v>79</v>
      </c>
      <c r="H7" s="627"/>
      <c r="I7" s="627"/>
      <c r="J7" s="496" t="s">
        <v>79</v>
      </c>
      <c r="K7" s="627"/>
      <c r="L7" s="627"/>
      <c r="M7" s="496" t="s">
        <v>79</v>
      </c>
      <c r="N7" s="627"/>
      <c r="O7" s="627"/>
      <c r="P7" s="496" t="s">
        <v>79</v>
      </c>
      <c r="Q7" s="627"/>
      <c r="R7" s="627"/>
      <c r="S7" s="496" t="s">
        <v>79</v>
      </c>
      <c r="T7" s="627"/>
      <c r="U7" s="627"/>
      <c r="V7" s="496" t="s">
        <v>79</v>
      </c>
      <c r="W7" s="627"/>
      <c r="X7" s="627"/>
      <c r="Y7" s="496" t="s">
        <v>79</v>
      </c>
      <c r="Z7" s="627"/>
      <c r="AA7" s="627"/>
      <c r="AB7" s="496" t="s">
        <v>79</v>
      </c>
      <c r="AC7" s="627"/>
      <c r="AD7" s="627"/>
      <c r="AE7" s="496" t="s">
        <v>79</v>
      </c>
      <c r="AF7" s="627"/>
      <c r="AG7" s="627"/>
      <c r="AH7" s="496" t="s">
        <v>79</v>
      </c>
      <c r="AI7" s="515"/>
      <c r="AJ7" s="689"/>
      <c r="AK7" s="689"/>
      <c r="AL7" s="689"/>
      <c r="AM7" s="689"/>
      <c r="AN7" s="689"/>
      <c r="AO7" s="689"/>
      <c r="AP7" s="689"/>
      <c r="AQ7" s="689"/>
      <c r="AR7" s="689"/>
      <c r="AS7" s="689"/>
      <c r="AT7" s="689"/>
      <c r="AU7" s="689"/>
      <c r="AV7" s="689"/>
      <c r="AW7" s="689"/>
      <c r="AX7" s="689"/>
      <c r="AY7" s="689"/>
    </row>
    <row r="8" spans="1:51" ht="20.100000000000001" customHeight="1" x14ac:dyDescent="0.25">
      <c r="A8" s="690" t="s">
        <v>283</v>
      </c>
      <c r="B8" s="629">
        <v>2021</v>
      </c>
      <c r="C8" s="629">
        <v>2022</v>
      </c>
      <c r="D8" s="497" t="s">
        <v>81</v>
      </c>
      <c r="E8" s="629">
        <f>$B$8</f>
        <v>2021</v>
      </c>
      <c r="F8" s="629">
        <f>$C$8</f>
        <v>2022</v>
      </c>
      <c r="G8" s="497" t="s">
        <v>81</v>
      </c>
      <c r="H8" s="629">
        <f>$B$8</f>
        <v>2021</v>
      </c>
      <c r="I8" s="629">
        <f>$C$8</f>
        <v>2022</v>
      </c>
      <c r="J8" s="497" t="s">
        <v>81</v>
      </c>
      <c r="K8" s="629">
        <f>$B$8</f>
        <v>2021</v>
      </c>
      <c r="L8" s="629">
        <f>$C$8</f>
        <v>2022</v>
      </c>
      <c r="M8" s="497" t="s">
        <v>81</v>
      </c>
      <c r="N8" s="629">
        <f>$B$8</f>
        <v>2021</v>
      </c>
      <c r="O8" s="629">
        <f>$C$8</f>
        <v>2022</v>
      </c>
      <c r="P8" s="497" t="s">
        <v>81</v>
      </c>
      <c r="Q8" s="629">
        <f>$B$8</f>
        <v>2021</v>
      </c>
      <c r="R8" s="629">
        <f>$C$8</f>
        <v>2022</v>
      </c>
      <c r="S8" s="497" t="s">
        <v>81</v>
      </c>
      <c r="T8" s="629">
        <f>$B$8</f>
        <v>2021</v>
      </c>
      <c r="U8" s="629">
        <f>$C$8</f>
        <v>2022</v>
      </c>
      <c r="V8" s="497" t="s">
        <v>81</v>
      </c>
      <c r="W8" s="629">
        <f>$B$8</f>
        <v>2021</v>
      </c>
      <c r="X8" s="629">
        <f>$C$8</f>
        <v>2022</v>
      </c>
      <c r="Y8" s="497" t="s">
        <v>81</v>
      </c>
      <c r="Z8" s="629">
        <f>$B$8</f>
        <v>2021</v>
      </c>
      <c r="AA8" s="629">
        <f>$C$8</f>
        <v>2022</v>
      </c>
      <c r="AB8" s="497" t="s">
        <v>81</v>
      </c>
      <c r="AC8" s="629">
        <f>$B$8</f>
        <v>2021</v>
      </c>
      <c r="AD8" s="629">
        <f>$C$8</f>
        <v>2022</v>
      </c>
      <c r="AE8" s="497" t="s">
        <v>81</v>
      </c>
      <c r="AF8" s="629">
        <f>$B$8</f>
        <v>2021</v>
      </c>
      <c r="AG8" s="629">
        <f>$C$8</f>
        <v>2022</v>
      </c>
      <c r="AH8" s="497" t="s">
        <v>81</v>
      </c>
      <c r="AI8" s="515"/>
      <c r="AJ8" s="691"/>
      <c r="AK8" s="692"/>
      <c r="AL8" s="692"/>
      <c r="AM8" s="691"/>
      <c r="AN8" s="692"/>
      <c r="AO8" s="692"/>
      <c r="AP8" s="691"/>
      <c r="AQ8" s="692"/>
      <c r="AR8" s="692"/>
      <c r="AS8" s="691"/>
      <c r="AT8" s="692"/>
      <c r="AU8" s="692"/>
      <c r="AV8" s="691"/>
      <c r="AW8" s="692"/>
      <c r="AX8" s="692"/>
      <c r="AY8" s="691"/>
    </row>
    <row r="9" spans="1:51" s="698" customFormat="1" ht="20.100000000000001" customHeight="1" x14ac:dyDescent="0.3">
      <c r="A9" s="693"/>
      <c r="B9" s="745"/>
      <c r="C9" s="750"/>
      <c r="D9" s="695"/>
      <c r="E9" s="750"/>
      <c r="F9" s="750"/>
      <c r="G9" s="695"/>
      <c r="H9" s="750"/>
      <c r="I9" s="750"/>
      <c r="J9" s="695"/>
      <c r="K9" s="750"/>
      <c r="L9" s="750"/>
      <c r="M9" s="695"/>
      <c r="N9" s="733"/>
      <c r="O9" s="733"/>
      <c r="P9" s="695"/>
      <c r="Q9" s="750"/>
      <c r="R9" s="750"/>
      <c r="S9" s="695"/>
      <c r="T9" s="733"/>
      <c r="U9" s="733"/>
      <c r="V9" s="695"/>
      <c r="W9" s="750"/>
      <c r="X9" s="750"/>
      <c r="Y9" s="695"/>
      <c r="Z9" s="750"/>
      <c r="AA9" s="750"/>
      <c r="AB9" s="696"/>
      <c r="AC9" s="750"/>
      <c r="AD9" s="780"/>
      <c r="AE9" s="695"/>
      <c r="AF9" s="694"/>
      <c r="AG9" s="695"/>
      <c r="AH9" s="695"/>
      <c r="AI9" s="697"/>
      <c r="AJ9" s="697"/>
    </row>
    <row r="10" spans="1:51" s="702" customFormat="1" ht="20.100000000000001" customHeight="1" x14ac:dyDescent="0.3">
      <c r="A10" s="499" t="s">
        <v>419</v>
      </c>
      <c r="B10" s="745"/>
      <c r="C10" s="750"/>
      <c r="D10" s="695"/>
      <c r="E10" s="750">
        <v>24.5590435653491</v>
      </c>
      <c r="F10" s="750">
        <v>19.130182550536901</v>
      </c>
      <c r="G10" s="695"/>
      <c r="H10" s="750">
        <v>39.869999999999997</v>
      </c>
      <c r="I10" s="750">
        <v>36.95188271576086</v>
      </c>
      <c r="J10" s="695"/>
      <c r="K10" s="750">
        <v>47.6</v>
      </c>
      <c r="L10" s="750">
        <v>38.200000000000003</v>
      </c>
      <c r="M10" s="695"/>
      <c r="N10" s="733">
        <v>18.010000000000002</v>
      </c>
      <c r="O10" s="733">
        <v>6.52</v>
      </c>
      <c r="P10" s="695"/>
      <c r="Q10" s="750">
        <v>37.200000000000003</v>
      </c>
      <c r="R10" s="750">
        <v>25.5</v>
      </c>
      <c r="S10" s="695"/>
      <c r="T10" s="750">
        <v>42.1</v>
      </c>
      <c r="U10" s="750">
        <v>32.4</v>
      </c>
      <c r="V10" s="695"/>
      <c r="W10" s="895">
        <f>(1430+9909+1240+8555+21261+46)/(72092+9577)*100</f>
        <v>51.967086654667007</v>
      </c>
      <c r="X10" s="750"/>
      <c r="Y10" s="695"/>
      <c r="Z10" s="780">
        <v>18.844619865183905</v>
      </c>
      <c r="AA10" s="780">
        <f>('[2]Tabell 6'!AG68+'[2]Tabell 6'!AG71+'[2]Tabell 6'!AG74+'[2]Tabell 6'!AG75+'[2]Tabell 6'!AG78-316.282)/('[2]Tabell 6'!AG80)*100</f>
        <v>34.6190056515183</v>
      </c>
      <c r="AB10" s="695"/>
      <c r="AC10" s="780">
        <v>27.3</v>
      </c>
      <c r="AD10" s="780">
        <v>20.2</v>
      </c>
      <c r="AE10" s="695"/>
      <c r="AF10" s="694"/>
      <c r="AG10" s="695"/>
      <c r="AH10" s="695"/>
      <c r="AI10" s="701"/>
      <c r="AJ10" s="701"/>
    </row>
    <row r="11" spans="1:51" s="702" customFormat="1" ht="20.100000000000001" customHeight="1" x14ac:dyDescent="0.3">
      <c r="A11" s="499" t="s">
        <v>331</v>
      </c>
      <c r="B11" s="803">
        <v>68.406000000000006</v>
      </c>
      <c r="C11" s="782">
        <v>13.79145553</v>
      </c>
      <c r="D11" s="500">
        <f>IF(B11=0, "    ---- ", IF(ABS(ROUND(100/B11*C11-100,1))&lt;999,ROUND(100/B11*C11-100,1),IF(ROUND(100/B11*C11-100,1)&gt;999,999,-999)))</f>
        <v>-79.8</v>
      </c>
      <c r="E11" s="751">
        <v>3204.3463927900002</v>
      </c>
      <c r="F11" s="751">
        <v>807.77800000000002</v>
      </c>
      <c r="G11" s="500">
        <f>IF(E11=0, "    ---- ", IF(ABS(ROUND(100/E11*F11-100,1))&lt;999,ROUND(100/E11*F11-100,1),IF(ROUND(100/E11*F11-100,1)&gt;999,999,-999)))</f>
        <v>-74.8</v>
      </c>
      <c r="H11" s="751">
        <v>6</v>
      </c>
      <c r="I11" s="751">
        <v>0</v>
      </c>
      <c r="J11" s="500"/>
      <c r="K11" s="751"/>
      <c r="L11" s="751"/>
      <c r="M11" s="500"/>
      <c r="N11" s="734">
        <v>11.8</v>
      </c>
      <c r="O11" s="734">
        <v>0</v>
      </c>
      <c r="P11" s="500">
        <f>IF(N11=0, "    ---- ", IF(ABS(ROUND(100/N11*O11-100,1))&lt;999,ROUND(100/N11*O11-100,1),IF(ROUND(100/N11*O11-100,1)&gt;999,999,-999)))</f>
        <v>-100</v>
      </c>
      <c r="Q11" s="751">
        <v>77396.876943130002</v>
      </c>
      <c r="R11" s="751"/>
      <c r="S11" s="500">
        <f>IF(Q11=0, "    ---- ", IF(ABS(ROUND(100/Q11*R11-100,1))&lt;999,ROUND(100/Q11*R11-100,1),IF(ROUND(100/Q11*R11-100,1)&gt;999,999,-999)))</f>
        <v>-100</v>
      </c>
      <c r="T11" s="751">
        <v>3386</v>
      </c>
      <c r="U11" s="751">
        <v>2083</v>
      </c>
      <c r="V11" s="500">
        <f>IF(T11=0, "    ---- ", IF(ABS(ROUND(100/T11*U11-100,1))&lt;999,ROUND(100/T11*U11-100,1),IF(ROUND(100/T11*U11-100,1)&gt;999,999,-999)))</f>
        <v>-38.5</v>
      </c>
      <c r="W11" s="751">
        <v>21261</v>
      </c>
      <c r="X11" s="751"/>
      <c r="Y11" s="500">
        <f>IF(W11=0, "    ---- ", IF(ABS(ROUND(100/W11*X11-100,1))&lt;999,ROUND(100/W11*X11-100,1),IF(ROUND(100/W11*X11-100,1)&gt;999,999,-999)))</f>
        <v>-100</v>
      </c>
      <c r="Z11" s="773">
        <v>2736.431</v>
      </c>
      <c r="AA11" s="773">
        <v>2099</v>
      </c>
      <c r="AB11" s="500">
        <f>IF(Z11=0, "    ---- ", IF(ABS(ROUND(100/Z11*AA11-100,1))&lt;999,ROUND(100/Z11*AA11-100,1),IF(ROUND(100/Z11*AA11-100,1)&gt;999,999,-999)))</f>
        <v>-23.3</v>
      </c>
      <c r="AC11" s="773">
        <v>6309</v>
      </c>
      <c r="AD11" s="773">
        <v>632</v>
      </c>
      <c r="AE11" s="500">
        <f>IF(AC11=0, "    ---- ", IF(ABS(ROUND(100/AC11*AD11-100,1))&lt;999,ROUND(100/AC11*AD11-100,1),IF(ROUND(100/AC11*AD11-100,1)&gt;999,999,-999)))</f>
        <v>-90</v>
      </c>
      <c r="AF11" s="502">
        <f t="shared" ref="AF11:AG13" si="0">B11+E11+H11+K11+N11+Q11+T11+W11+Z11+AC11</f>
        <v>114379.86033592001</v>
      </c>
      <c r="AG11" s="502">
        <f t="shared" si="0"/>
        <v>5635.5694555299997</v>
      </c>
      <c r="AH11" s="500">
        <f>IF(AF11=0, "    ---- ", IF(ABS(ROUND(100/AF11*AG11-100,1))&lt;999,ROUND(100/AF11*AG11-100,1),IF(ROUND(100/AF11*AG11-100,1)&gt;999,999,-999)))</f>
        <v>-95.1</v>
      </c>
      <c r="AI11" s="701"/>
      <c r="AJ11" s="701"/>
    </row>
    <row r="12" spans="1:51" s="702" customFormat="1" ht="20.100000000000001" customHeight="1" x14ac:dyDescent="0.3">
      <c r="A12" s="499" t="s">
        <v>496</v>
      </c>
      <c r="B12" s="803"/>
      <c r="C12" s="782"/>
      <c r="D12" s="500"/>
      <c r="E12" s="751"/>
      <c r="F12" s="751"/>
      <c r="G12" s="500"/>
      <c r="H12" s="751"/>
      <c r="I12" s="751"/>
      <c r="J12" s="500"/>
      <c r="K12" s="751"/>
      <c r="L12" s="751"/>
      <c r="M12" s="500"/>
      <c r="N12" s="734"/>
      <c r="O12" s="734"/>
      <c r="P12" s="500"/>
      <c r="Q12" s="751"/>
      <c r="R12" s="751">
        <f>102162164652.91/1000000</f>
        <v>102162.16465291001</v>
      </c>
      <c r="S12" s="500" t="str">
        <f>IF(Q12=0, "    ---- ", IF(ABS(ROUND(100/Q12*R12-100,1))&lt;999,ROUND(100/Q12*R12-100,1),IF(ROUND(100/Q12*R12-100,1)&gt;999,999,-999)))</f>
        <v xml:space="preserve">    ---- </v>
      </c>
      <c r="T12" s="734"/>
      <c r="U12" s="734"/>
      <c r="V12" s="500"/>
      <c r="W12" s="751"/>
      <c r="X12" s="551">
        <v>27647</v>
      </c>
      <c r="Y12" s="500" t="str">
        <f>IF(W12=0, "    ---- ", IF(ABS(ROUND(100/W12*X12-100,1))&lt;999,ROUND(100/W12*X12-100,1),IF(ROUND(100/W12*X12-100,1)&gt;999,999,-999)))</f>
        <v xml:space="preserve">    ---- </v>
      </c>
      <c r="Z12" s="773"/>
      <c r="AA12" s="773"/>
      <c r="AB12" s="500"/>
      <c r="AC12" s="773"/>
      <c r="AD12" s="773"/>
      <c r="AE12" s="500"/>
      <c r="AF12" s="502">
        <f t="shared" si="0"/>
        <v>0</v>
      </c>
      <c r="AG12" s="502">
        <f t="shared" si="0"/>
        <v>129809.16465291001</v>
      </c>
      <c r="AH12" s="500" t="str">
        <f>IF(AF12=0, "    ---- ", IF(ABS(ROUND(100/AF12*AG12-100,1))&lt;999,ROUND(100/AF12*AG12-100,1),IF(ROUND(100/AF12*AG12-100,1)&gt;999,999,-999)))</f>
        <v xml:space="preserve">    ---- </v>
      </c>
      <c r="AI12" s="701"/>
      <c r="AJ12" s="701"/>
    </row>
    <row r="13" spans="1:51" s="702" customFormat="1" ht="20.100000000000001" customHeight="1" x14ac:dyDescent="0.3">
      <c r="A13" s="640" t="s">
        <v>465</v>
      </c>
      <c r="B13" s="746"/>
      <c r="C13" s="752"/>
      <c r="D13" s="704"/>
      <c r="E13" s="752">
        <v>4169.2120488600003</v>
      </c>
      <c r="F13" s="752">
        <v>-3315.7710000000002</v>
      </c>
      <c r="G13" s="704">
        <f>IF(E13=0, "    ---- ", IF(ABS(ROUND(100/E13*F13-100,1))&lt;999,ROUND(100/E13*F13-100,1),IF(ROUND(100/E13*F13-100,1)&gt;999,999,-999)))</f>
        <v>-179.5</v>
      </c>
      <c r="H13" s="752">
        <v>1.9</v>
      </c>
      <c r="I13" s="752">
        <v>7.0490000000000004</v>
      </c>
      <c r="J13" s="704"/>
      <c r="K13" s="752"/>
      <c r="L13" s="752"/>
      <c r="M13" s="704"/>
      <c r="N13" s="735">
        <v>73.8</v>
      </c>
      <c r="O13" s="735">
        <v>-21</v>
      </c>
      <c r="P13" s="704"/>
      <c r="Q13" s="752">
        <v>550.89692222933297</v>
      </c>
      <c r="R13" s="752">
        <v>-1127</v>
      </c>
      <c r="S13" s="704"/>
      <c r="T13" s="735">
        <v>1126</v>
      </c>
      <c r="U13" s="735">
        <v>-2214</v>
      </c>
      <c r="V13" s="704">
        <f>IF(T13=0, "    ---- ", IF(ABS(ROUND(100/T13*U13-100,1))&lt;999,ROUND(100/T13*U13-100,1),IF(ROUND(100/T13*U13-100,1)&gt;999,999,-999)))</f>
        <v>-296.60000000000002</v>
      </c>
      <c r="W13" s="752">
        <v>416</v>
      </c>
      <c r="X13" s="752"/>
      <c r="Y13" s="704">
        <f>IF(W13=0, "    ---- ", IF(ABS(ROUND(100/W13*X13-100,1))&lt;999,ROUND(100/W13*X13-100,1),IF(ROUND(100/W13*X13-100,1)&gt;999,999,-999)))</f>
        <v>-100</v>
      </c>
      <c r="Z13" s="775">
        <v>32.372</v>
      </c>
      <c r="AA13" s="775">
        <v>-56.926000000000002</v>
      </c>
      <c r="AB13" s="704">
        <f>IF(Z13=0, "    ---- ", IF(ABS(ROUND(100/Z13*AA13-100,1))&lt;999,ROUND(100/Z13*AA13-100,1),IF(ROUND(100/Z13*AA13-100,1)&gt;999,999,-999)))</f>
        <v>-275.8</v>
      </c>
      <c r="AC13" s="775">
        <v>3363</v>
      </c>
      <c r="AD13" s="775">
        <v>-10197</v>
      </c>
      <c r="AE13" s="704">
        <f>IF(AC13=0, "    ---- ", IF(ABS(ROUND(100/AC13*AD13-100,1))&lt;999,ROUND(100/AC13*AD13-100,1),IF(ROUND(100/AC13*AD13-100,1)&gt;999,999,-999)))</f>
        <v>-403.2</v>
      </c>
      <c r="AF13" s="703">
        <f t="shared" si="0"/>
        <v>9733.1809710893322</v>
      </c>
      <c r="AG13" s="703">
        <f t="shared" si="0"/>
        <v>-16924.648000000001</v>
      </c>
      <c r="AH13" s="704">
        <f>IF(AF13=0, "    ---- ", IF(ABS(ROUND(100/AF13*AG13-100,1))&lt;999,ROUND(100/AF13*AG13-100,1),IF(ROUND(100/AF13*AG13-100,1)&gt;999,999,-999)))</f>
        <v>-273.89999999999998</v>
      </c>
      <c r="AI13" s="701"/>
      <c r="AJ13" s="701"/>
    </row>
    <row r="14" spans="1:51" s="702" customFormat="1" ht="20.100000000000001" customHeight="1" x14ac:dyDescent="0.3">
      <c r="A14" s="798"/>
      <c r="B14" s="780"/>
      <c r="C14" s="780"/>
      <c r="D14" s="700"/>
      <c r="E14" s="780"/>
      <c r="F14" s="780"/>
      <c r="G14" s="700"/>
      <c r="H14" s="924"/>
      <c r="I14" s="780"/>
      <c r="J14" s="700"/>
      <c r="K14" s="705"/>
      <c r="L14" s="700"/>
      <c r="M14" s="700"/>
      <c r="N14" s="778"/>
      <c r="O14" s="778"/>
      <c r="P14" s="700"/>
      <c r="Q14" s="780"/>
      <c r="R14" s="780"/>
      <c r="S14" s="700"/>
      <c r="T14" s="778"/>
      <c r="U14" s="778"/>
      <c r="V14" s="700"/>
      <c r="W14" s="780"/>
      <c r="X14" s="780"/>
      <c r="Y14" s="700"/>
      <c r="Z14" s="780"/>
      <c r="AA14" s="780"/>
      <c r="AB14" s="700"/>
      <c r="AC14" s="780"/>
      <c r="AD14" s="780"/>
      <c r="AE14" s="700"/>
      <c r="AF14" s="700"/>
      <c r="AG14" s="700"/>
      <c r="AH14" s="700"/>
      <c r="AI14" s="701"/>
      <c r="AJ14" s="701"/>
    </row>
    <row r="15" spans="1:51" s="702" customFormat="1" ht="20.100000000000001" customHeight="1" x14ac:dyDescent="0.3">
      <c r="A15" s="799" t="s">
        <v>420</v>
      </c>
      <c r="B15" s="779"/>
      <c r="C15" s="779"/>
      <c r="D15" s="707"/>
      <c r="E15" s="779"/>
      <c r="F15" s="779"/>
      <c r="G15" s="707"/>
      <c r="H15" s="925"/>
      <c r="I15" s="779"/>
      <c r="J15" s="707"/>
      <c r="K15" s="708"/>
      <c r="L15" s="707"/>
      <c r="M15" s="707"/>
      <c r="N15" s="779"/>
      <c r="O15" s="779"/>
      <c r="P15" s="707"/>
      <c r="Q15" s="779"/>
      <c r="R15" s="779"/>
      <c r="S15" s="707"/>
      <c r="T15" s="779"/>
      <c r="U15" s="779"/>
      <c r="V15" s="707"/>
      <c r="W15" s="779"/>
      <c r="X15" s="779"/>
      <c r="Y15" s="707"/>
      <c r="Z15" s="779"/>
      <c r="AA15" s="779"/>
      <c r="AB15" s="707"/>
      <c r="AC15" s="779"/>
      <c r="AD15" s="779"/>
      <c r="AE15" s="707"/>
      <c r="AF15" s="636"/>
      <c r="AG15" s="707"/>
      <c r="AH15" s="707"/>
      <c r="AI15" s="701"/>
      <c r="AJ15" s="701"/>
    </row>
    <row r="16" spans="1:51" s="702" customFormat="1" ht="20.100000000000001" customHeight="1" x14ac:dyDescent="0.3">
      <c r="A16" s="799" t="s">
        <v>421</v>
      </c>
      <c r="B16" s="779"/>
      <c r="C16" s="779"/>
      <c r="D16" s="707"/>
      <c r="E16" s="779"/>
      <c r="F16" s="779"/>
      <c r="G16" s="707"/>
      <c r="H16" s="925"/>
      <c r="I16" s="779"/>
      <c r="J16" s="707"/>
      <c r="K16" s="708"/>
      <c r="L16" s="707"/>
      <c r="M16" s="707"/>
      <c r="N16" s="779"/>
      <c r="O16" s="779"/>
      <c r="P16" s="707"/>
      <c r="Q16" s="779"/>
      <c r="R16" s="779"/>
      <c r="S16" s="707"/>
      <c r="T16" s="779"/>
      <c r="U16" s="779"/>
      <c r="V16" s="707"/>
      <c r="W16" s="779"/>
      <c r="X16" s="779"/>
      <c r="Y16" s="707"/>
      <c r="Z16" s="779"/>
      <c r="AA16" s="779"/>
      <c r="AB16" s="707"/>
      <c r="AC16" s="779"/>
      <c r="AD16" s="779"/>
      <c r="AE16" s="707"/>
      <c r="AF16" s="636"/>
      <c r="AG16" s="707"/>
      <c r="AH16" s="707"/>
      <c r="AI16" s="701"/>
      <c r="AJ16" s="701"/>
    </row>
    <row r="17" spans="1:36" s="702" customFormat="1" ht="20.100000000000001" customHeight="1" x14ac:dyDescent="0.3">
      <c r="A17" s="800" t="s">
        <v>499</v>
      </c>
      <c r="B17" s="779"/>
      <c r="C17" s="779">
        <f>AVERAGE(C18:C22)</f>
        <v>0.99199999999999999</v>
      </c>
      <c r="D17" s="707"/>
      <c r="E17" s="779"/>
      <c r="F17" s="779">
        <f>AVERAGE(F18:F22)</f>
        <v>3.3563623000977119</v>
      </c>
      <c r="G17" s="707"/>
      <c r="H17" s="779"/>
      <c r="I17" s="779">
        <f>AVERAGE(I18:I22)</f>
        <v>1.2566666666666668</v>
      </c>
      <c r="J17" s="707"/>
      <c r="K17" s="707"/>
      <c r="L17" s="707"/>
      <c r="M17" s="707"/>
      <c r="N17" s="779"/>
      <c r="O17" s="779">
        <f>AVERAGE(O18:O22)</f>
        <v>3.7052</v>
      </c>
      <c r="P17" s="707"/>
      <c r="Q17" s="779"/>
      <c r="R17" s="779">
        <f>AVERAGE(R18:R22)</f>
        <v>3.330293787227486</v>
      </c>
      <c r="S17" s="707"/>
      <c r="T17" s="779"/>
      <c r="U17" s="779">
        <f>AVERAGE(U18:U22)</f>
        <v>4.5319999999999991</v>
      </c>
      <c r="V17" s="707"/>
      <c r="W17" s="779"/>
      <c r="X17" s="779">
        <f>AVERAGE(X18:X22)</f>
        <v>5.76</v>
      </c>
      <c r="Y17" s="707"/>
      <c r="Z17" s="779"/>
      <c r="AA17" s="779">
        <f>AVERAGE(AA18:AA22)</f>
        <v>5.2404003960645671</v>
      </c>
      <c r="AB17" s="707"/>
      <c r="AC17" s="779"/>
      <c r="AD17" s="779">
        <f>AVERAGE(AD18:AD22)</f>
        <v>3.5379999999999994</v>
      </c>
      <c r="AE17" s="707"/>
      <c r="AF17" s="636"/>
      <c r="AG17" s="707"/>
      <c r="AH17" s="707"/>
      <c r="AI17" s="701"/>
      <c r="AJ17" s="701"/>
    </row>
    <row r="18" spans="1:36" s="698" customFormat="1" ht="20.100000000000001" customHeight="1" x14ac:dyDescent="0.3">
      <c r="A18" s="801">
        <v>2022</v>
      </c>
      <c r="B18" s="779"/>
      <c r="C18" s="780">
        <v>-5.42</v>
      </c>
      <c r="D18" s="700"/>
      <c r="E18" s="779"/>
      <c r="F18" s="779">
        <v>2.21</v>
      </c>
      <c r="G18" s="700"/>
      <c r="H18" s="925"/>
      <c r="I18" s="779">
        <v>0.32</v>
      </c>
      <c r="J18" s="700"/>
      <c r="K18" s="705"/>
      <c r="L18" s="700"/>
      <c r="M18" s="700"/>
      <c r="N18" s="779"/>
      <c r="O18" s="779">
        <v>2.0859999999999999</v>
      </c>
      <c r="P18" s="700"/>
      <c r="Q18" s="779"/>
      <c r="R18" s="779">
        <v>-1.1419025277987549</v>
      </c>
      <c r="S18" s="700"/>
      <c r="T18" s="779"/>
      <c r="U18" s="779">
        <v>3.3</v>
      </c>
      <c r="V18" s="700"/>
      <c r="W18" s="779"/>
      <c r="X18" s="779"/>
      <c r="Y18" s="700"/>
      <c r="Z18" s="779"/>
      <c r="AA18" s="779">
        <v>0.42079774499987899</v>
      </c>
      <c r="AB18" s="700"/>
      <c r="AC18" s="779"/>
      <c r="AD18" s="780">
        <v>1.42</v>
      </c>
      <c r="AE18" s="700"/>
      <c r="AF18" s="503"/>
      <c r="AG18" s="700"/>
      <c r="AH18" s="700"/>
      <c r="AI18" s="697"/>
      <c r="AJ18" s="697"/>
    </row>
    <row r="19" spans="1:36" s="698" customFormat="1" ht="20.100000000000001" customHeight="1" x14ac:dyDescent="0.3">
      <c r="A19" s="801">
        <v>2021</v>
      </c>
      <c r="B19" s="780"/>
      <c r="C19" s="780">
        <v>2.5499999999999998</v>
      </c>
      <c r="D19" s="699"/>
      <c r="E19" s="780"/>
      <c r="F19" s="780">
        <v>4.25</v>
      </c>
      <c r="G19" s="699"/>
      <c r="H19" s="924"/>
      <c r="I19" s="780">
        <v>1.86</v>
      </c>
      <c r="J19" s="699"/>
      <c r="K19" s="709"/>
      <c r="L19" s="699"/>
      <c r="M19" s="699"/>
      <c r="N19" s="780"/>
      <c r="O19" s="780">
        <v>3.77</v>
      </c>
      <c r="P19" s="699"/>
      <c r="Q19" s="780"/>
      <c r="R19" s="780">
        <v>4.972816929202617</v>
      </c>
      <c r="S19" s="699"/>
      <c r="T19" s="780"/>
      <c r="U19" s="780">
        <v>6.4</v>
      </c>
      <c r="V19" s="699"/>
      <c r="W19" s="780"/>
      <c r="X19" s="780">
        <v>8.1</v>
      </c>
      <c r="Y19" s="699"/>
      <c r="Z19" s="780"/>
      <c r="AA19" s="780">
        <v>9.7832972045713404</v>
      </c>
      <c r="AB19" s="699"/>
      <c r="AC19" s="780"/>
      <c r="AD19" s="780">
        <v>4.5199999999999996</v>
      </c>
      <c r="AE19" s="700"/>
      <c r="AF19" s="503"/>
      <c r="AG19" s="700"/>
      <c r="AH19" s="700"/>
      <c r="AI19" s="697"/>
      <c r="AJ19" s="697"/>
    </row>
    <row r="20" spans="1:36" s="702" customFormat="1" ht="20.100000000000001" customHeight="1" x14ac:dyDescent="0.3">
      <c r="A20" s="801">
        <v>2020</v>
      </c>
      <c r="B20" s="780"/>
      <c r="C20" s="780">
        <v>2.39</v>
      </c>
      <c r="D20" s="699"/>
      <c r="E20" s="780"/>
      <c r="F20" s="780">
        <v>2.9318115004885601</v>
      </c>
      <c r="G20" s="699"/>
      <c r="H20" s="924"/>
      <c r="I20" s="780">
        <v>1.59</v>
      </c>
      <c r="J20" s="699"/>
      <c r="K20" s="709"/>
      <c r="L20" s="699"/>
      <c r="M20" s="699"/>
      <c r="N20" s="780"/>
      <c r="O20" s="780">
        <v>3.33</v>
      </c>
      <c r="P20" s="699"/>
      <c r="Q20" s="780"/>
      <c r="R20" s="780">
        <v>4.815178754619609</v>
      </c>
      <c r="S20" s="699"/>
      <c r="T20" s="780"/>
      <c r="U20" s="780">
        <v>3.5</v>
      </c>
      <c r="V20" s="699"/>
      <c r="W20" s="780"/>
      <c r="X20" s="780">
        <v>8.24</v>
      </c>
      <c r="Y20" s="699"/>
      <c r="Z20" s="780"/>
      <c r="AA20" s="780">
        <v>2.2770880867932601</v>
      </c>
      <c r="AB20" s="699"/>
      <c r="AC20" s="780"/>
      <c r="AD20" s="780">
        <v>4.76</v>
      </c>
      <c r="AE20" s="700"/>
      <c r="AF20" s="503"/>
      <c r="AG20" s="700"/>
      <c r="AH20" s="700"/>
      <c r="AI20" s="701"/>
      <c r="AJ20" s="701"/>
    </row>
    <row r="21" spans="1:36" s="702" customFormat="1" ht="20.100000000000001" customHeight="1" x14ac:dyDescent="0.3">
      <c r="A21" s="801">
        <v>2019</v>
      </c>
      <c r="B21" s="780"/>
      <c r="C21" s="780">
        <v>1.97</v>
      </c>
      <c r="D21" s="699"/>
      <c r="E21" s="780"/>
      <c r="F21" s="780">
        <v>3.93</v>
      </c>
      <c r="G21" s="699"/>
      <c r="H21" s="924"/>
      <c r="I21" s="780"/>
      <c r="J21" s="699"/>
      <c r="K21" s="709"/>
      <c r="L21" s="699"/>
      <c r="M21" s="699"/>
      <c r="N21" s="780"/>
      <c r="O21" s="780">
        <v>4.1399999999999997</v>
      </c>
      <c r="P21" s="699"/>
      <c r="Q21" s="780"/>
      <c r="R21" s="780">
        <v>4.4943757801139572</v>
      </c>
      <c r="S21" s="699"/>
      <c r="T21" s="780"/>
      <c r="U21" s="780">
        <v>4.63</v>
      </c>
      <c r="V21" s="699"/>
      <c r="W21" s="780"/>
      <c r="X21" s="780">
        <v>2.1</v>
      </c>
      <c r="Y21" s="699"/>
      <c r="Z21" s="780"/>
      <c r="AA21" s="780">
        <v>7.9659633792055002</v>
      </c>
      <c r="AB21" s="699"/>
      <c r="AC21" s="780"/>
      <c r="AD21" s="780">
        <v>3.78</v>
      </c>
      <c r="AE21" s="700"/>
      <c r="AF21" s="503"/>
      <c r="AG21" s="700"/>
      <c r="AH21" s="700"/>
      <c r="AI21" s="701"/>
      <c r="AJ21" s="701"/>
    </row>
    <row r="22" spans="1:36" s="702" customFormat="1" ht="20.100000000000001" customHeight="1" x14ac:dyDescent="0.3">
      <c r="A22" s="801">
        <v>2018</v>
      </c>
      <c r="B22" s="780"/>
      <c r="C22" s="780">
        <v>3.47</v>
      </c>
      <c r="D22" s="699"/>
      <c r="E22" s="780"/>
      <c r="F22" s="780">
        <v>3.46</v>
      </c>
      <c r="G22" s="699"/>
      <c r="H22" s="924"/>
      <c r="I22" s="780"/>
      <c r="J22" s="699"/>
      <c r="K22" s="709"/>
      <c r="L22" s="699"/>
      <c r="M22" s="699"/>
      <c r="N22" s="780"/>
      <c r="O22" s="780">
        <v>5.2</v>
      </c>
      <c r="P22" s="699"/>
      <c r="Q22" s="780"/>
      <c r="R22" s="780">
        <v>3.5110000000000001</v>
      </c>
      <c r="S22" s="699"/>
      <c r="T22" s="780"/>
      <c r="U22" s="780">
        <v>4.83</v>
      </c>
      <c r="V22" s="699"/>
      <c r="W22" s="780"/>
      <c r="X22" s="780">
        <v>4.5999999999999996</v>
      </c>
      <c r="Y22" s="699"/>
      <c r="Z22" s="780"/>
      <c r="AA22" s="780">
        <v>5.7548555647528596</v>
      </c>
      <c r="AB22" s="699"/>
      <c r="AC22" s="780"/>
      <c r="AD22" s="780">
        <v>3.21</v>
      </c>
      <c r="AE22" s="700"/>
      <c r="AF22" s="503"/>
      <c r="AG22" s="700"/>
      <c r="AH22" s="700"/>
      <c r="AI22" s="701"/>
      <c r="AJ22" s="701"/>
    </row>
    <row r="23" spans="1:36" s="702" customFormat="1" ht="20.100000000000001" customHeight="1" x14ac:dyDescent="0.3">
      <c r="A23" s="802" t="s">
        <v>422</v>
      </c>
      <c r="B23" s="780"/>
      <c r="C23" s="780"/>
      <c r="D23" s="700"/>
      <c r="E23" s="780"/>
      <c r="F23" s="780"/>
      <c r="G23" s="700"/>
      <c r="H23" s="924"/>
      <c r="I23" s="780"/>
      <c r="J23" s="700"/>
      <c r="K23" s="705"/>
      <c r="L23" s="700"/>
      <c r="M23" s="700"/>
      <c r="N23" s="780"/>
      <c r="O23" s="780"/>
      <c r="P23" s="700"/>
      <c r="Q23" s="780"/>
      <c r="R23" s="780"/>
      <c r="S23" s="700"/>
      <c r="T23" s="780"/>
      <c r="U23" s="780"/>
      <c r="V23" s="700"/>
      <c r="W23" s="780"/>
      <c r="X23" s="780"/>
      <c r="Y23" s="700"/>
      <c r="Z23" s="780"/>
      <c r="AA23" s="780"/>
      <c r="AB23" s="700"/>
      <c r="AC23" s="780"/>
      <c r="AD23" s="780"/>
      <c r="AE23" s="700"/>
      <c r="AF23" s="503"/>
      <c r="AG23" s="700"/>
      <c r="AH23" s="700"/>
      <c r="AI23" s="701"/>
      <c r="AJ23" s="701"/>
    </row>
    <row r="24" spans="1:36" s="702" customFormat="1" ht="20.100000000000001" customHeight="1" x14ac:dyDescent="0.3">
      <c r="A24" s="801">
        <v>2022</v>
      </c>
      <c r="B24" s="780"/>
      <c r="C24" s="780"/>
      <c r="D24" s="700"/>
      <c r="E24" s="780"/>
      <c r="F24" s="780">
        <v>2.5299999999999998</v>
      </c>
      <c r="G24" s="700"/>
      <c r="H24" s="924"/>
      <c r="I24" s="780"/>
      <c r="J24" s="700"/>
      <c r="K24" s="705"/>
      <c r="L24" s="700"/>
      <c r="M24" s="700"/>
      <c r="N24" s="780"/>
      <c r="O24" s="780"/>
      <c r="P24" s="700"/>
      <c r="Q24" s="780"/>
      <c r="R24" s="780"/>
      <c r="S24" s="700"/>
      <c r="T24" s="780"/>
      <c r="U24" s="780">
        <v>3.3</v>
      </c>
      <c r="V24" s="700"/>
      <c r="W24" s="780"/>
      <c r="X24" s="780"/>
      <c r="Y24" s="700"/>
      <c r="Z24" s="780"/>
      <c r="AA24" s="780">
        <v>2.6684866555120501</v>
      </c>
      <c r="AB24" s="700"/>
      <c r="AC24" s="780"/>
      <c r="AD24" s="780"/>
      <c r="AE24" s="700"/>
      <c r="AF24" s="503"/>
      <c r="AG24" s="700"/>
      <c r="AH24" s="700"/>
      <c r="AI24" s="701"/>
      <c r="AJ24" s="701"/>
    </row>
    <row r="25" spans="1:36" s="702" customFormat="1" ht="20.100000000000001" customHeight="1" x14ac:dyDescent="0.3">
      <c r="A25" s="801">
        <v>2021</v>
      </c>
      <c r="B25" s="780"/>
      <c r="C25" s="780"/>
      <c r="D25" s="699"/>
      <c r="E25" s="780"/>
      <c r="F25" s="780">
        <v>4.91</v>
      </c>
      <c r="G25" s="699"/>
      <c r="H25" s="924"/>
      <c r="I25" s="780"/>
      <c r="J25" s="699"/>
      <c r="K25" s="709"/>
      <c r="L25" s="699"/>
      <c r="M25" s="699"/>
      <c r="N25" s="780"/>
      <c r="O25" s="780"/>
      <c r="P25" s="699"/>
      <c r="Q25" s="780"/>
      <c r="R25" s="780"/>
      <c r="S25" s="699"/>
      <c r="T25" s="780"/>
      <c r="U25" s="780">
        <v>6.4</v>
      </c>
      <c r="V25" s="699"/>
      <c r="W25" s="780"/>
      <c r="X25" s="780"/>
      <c r="Y25" s="699"/>
      <c r="Z25" s="780"/>
      <c r="AA25" s="780">
        <v>11.193545306355499</v>
      </c>
      <c r="AB25" s="699"/>
      <c r="AC25" s="780"/>
      <c r="AD25" s="780"/>
      <c r="AE25" s="700"/>
      <c r="AF25" s="503"/>
      <c r="AG25" s="700"/>
      <c r="AH25" s="700"/>
      <c r="AI25" s="701"/>
      <c r="AJ25" s="701"/>
    </row>
    <row r="26" spans="1:36" s="702" customFormat="1" ht="20.100000000000001" customHeight="1" x14ac:dyDescent="0.3">
      <c r="A26" s="801">
        <v>2020</v>
      </c>
      <c r="B26" s="780"/>
      <c r="C26" s="780"/>
      <c r="D26" s="699"/>
      <c r="E26" s="780"/>
      <c r="F26" s="780">
        <v>1.99175835002305</v>
      </c>
      <c r="G26" s="699"/>
      <c r="H26" s="924"/>
      <c r="I26" s="780"/>
      <c r="J26" s="699"/>
      <c r="K26" s="709"/>
      <c r="L26" s="699"/>
      <c r="M26" s="699"/>
      <c r="N26" s="780"/>
      <c r="O26" s="780"/>
      <c r="P26" s="699"/>
      <c r="Q26" s="780"/>
      <c r="R26" s="780"/>
      <c r="S26" s="699"/>
      <c r="T26" s="780"/>
      <c r="U26" s="780">
        <v>3.5</v>
      </c>
      <c r="V26" s="699"/>
      <c r="W26" s="780"/>
      <c r="X26" s="780"/>
      <c r="Y26" s="699"/>
      <c r="Z26" s="780"/>
      <c r="AA26" s="780">
        <v>4.6721988481442498</v>
      </c>
      <c r="AB26" s="699"/>
      <c r="AC26" s="780"/>
      <c r="AD26" s="780"/>
      <c r="AE26" s="700"/>
      <c r="AF26" s="503"/>
      <c r="AG26" s="700"/>
      <c r="AH26" s="700"/>
      <c r="AI26" s="701"/>
      <c r="AJ26" s="701"/>
    </row>
    <row r="27" spans="1:36" s="702" customFormat="1" ht="20.100000000000001" customHeight="1" x14ac:dyDescent="0.3">
      <c r="A27" s="801">
        <v>2019</v>
      </c>
      <c r="B27" s="780"/>
      <c r="C27" s="780"/>
      <c r="D27" s="699"/>
      <c r="E27" s="780"/>
      <c r="F27" s="780">
        <v>5.66</v>
      </c>
      <c r="G27" s="699"/>
      <c r="H27" s="924"/>
      <c r="I27" s="780"/>
      <c r="J27" s="699"/>
      <c r="K27" s="709"/>
      <c r="L27" s="699"/>
      <c r="M27" s="699"/>
      <c r="N27" s="780"/>
      <c r="O27" s="780"/>
      <c r="P27" s="699"/>
      <c r="Q27" s="780"/>
      <c r="R27" s="780"/>
      <c r="S27" s="699"/>
      <c r="T27" s="780"/>
      <c r="U27" s="780">
        <v>4.63</v>
      </c>
      <c r="V27" s="699"/>
      <c r="W27" s="780"/>
      <c r="X27" s="780"/>
      <c r="Y27" s="699"/>
      <c r="Z27" s="780"/>
      <c r="AA27" s="780">
        <v>10.5600917124546</v>
      </c>
      <c r="AB27" s="699"/>
      <c r="AC27" s="780"/>
      <c r="AD27" s="780"/>
      <c r="AE27" s="700"/>
      <c r="AF27" s="503"/>
      <c r="AG27" s="700"/>
      <c r="AH27" s="700"/>
      <c r="AI27" s="701"/>
      <c r="AJ27" s="701"/>
    </row>
    <row r="28" spans="1:36" s="702" customFormat="1" ht="20.100000000000001" customHeight="1" x14ac:dyDescent="0.3">
      <c r="A28" s="801">
        <v>2018</v>
      </c>
      <c r="B28" s="780"/>
      <c r="C28" s="780"/>
      <c r="D28" s="699"/>
      <c r="E28" s="780"/>
      <c r="F28" s="780">
        <v>3.61</v>
      </c>
      <c r="G28" s="699"/>
      <c r="H28" s="924"/>
      <c r="I28" s="780"/>
      <c r="J28" s="699"/>
      <c r="K28" s="709"/>
      <c r="L28" s="699"/>
      <c r="M28" s="699"/>
      <c r="N28" s="780"/>
      <c r="O28" s="780"/>
      <c r="P28" s="699"/>
      <c r="Q28" s="780"/>
      <c r="R28" s="780"/>
      <c r="S28" s="699"/>
      <c r="T28" s="780"/>
      <c r="U28" s="780">
        <v>4.83</v>
      </c>
      <c r="V28" s="699"/>
      <c r="W28" s="780"/>
      <c r="X28" s="780"/>
      <c r="Y28" s="699"/>
      <c r="Z28" s="780"/>
      <c r="AA28" s="780">
        <v>5.4919117102760797</v>
      </c>
      <c r="AB28" s="699"/>
      <c r="AC28" s="780"/>
      <c r="AD28" s="780"/>
      <c r="AE28" s="700"/>
      <c r="AF28" s="503"/>
      <c r="AG28" s="700"/>
      <c r="AH28" s="700"/>
      <c r="AI28" s="701"/>
      <c r="AJ28" s="701"/>
    </row>
    <row r="29" spans="1:36" s="702" customFormat="1" ht="20.100000000000001" customHeight="1" x14ac:dyDescent="0.3">
      <c r="A29" s="802" t="s">
        <v>423</v>
      </c>
      <c r="B29" s="780"/>
      <c r="C29" s="780"/>
      <c r="D29" s="700"/>
      <c r="E29" s="780"/>
      <c r="F29" s="780"/>
      <c r="G29" s="700"/>
      <c r="H29" s="924"/>
      <c r="I29" s="780"/>
      <c r="J29" s="700"/>
      <c r="K29" s="705"/>
      <c r="L29" s="700"/>
      <c r="M29" s="700"/>
      <c r="N29" s="780"/>
      <c r="O29" s="780"/>
      <c r="P29" s="700"/>
      <c r="Q29" s="780"/>
      <c r="R29" s="780"/>
      <c r="S29" s="700"/>
      <c r="T29" s="780"/>
      <c r="U29" s="780"/>
      <c r="V29" s="700"/>
      <c r="W29" s="780"/>
      <c r="X29" s="780"/>
      <c r="Y29" s="700"/>
      <c r="Z29" s="780"/>
      <c r="AA29" s="780"/>
      <c r="AB29" s="700"/>
      <c r="AC29" s="780"/>
      <c r="AD29" s="780"/>
      <c r="AE29" s="700"/>
      <c r="AF29" s="503"/>
      <c r="AG29" s="700"/>
      <c r="AH29" s="700"/>
      <c r="AI29" s="701"/>
      <c r="AJ29" s="701"/>
    </row>
    <row r="30" spans="1:36" s="702" customFormat="1" ht="20.100000000000001" customHeight="1" x14ac:dyDescent="0.3">
      <c r="A30" s="801">
        <v>2022</v>
      </c>
      <c r="B30" s="780"/>
      <c r="C30" s="780">
        <v>-5.42</v>
      </c>
      <c r="D30" s="700"/>
      <c r="E30" s="780"/>
      <c r="F30" s="780">
        <v>2.19</v>
      </c>
      <c r="G30" s="700"/>
      <c r="H30" s="924"/>
      <c r="I30" s="926"/>
      <c r="J30" s="700"/>
      <c r="K30" s="705"/>
      <c r="L30" s="710"/>
      <c r="M30" s="700"/>
      <c r="N30" s="780"/>
      <c r="O30" s="780">
        <v>1.413</v>
      </c>
      <c r="P30" s="700"/>
      <c r="Q30" s="780"/>
      <c r="R30" s="780"/>
      <c r="S30" s="700"/>
      <c r="T30" s="780"/>
      <c r="U30" s="780">
        <v>3.3</v>
      </c>
      <c r="V30" s="700"/>
      <c r="W30" s="780"/>
      <c r="X30" s="780"/>
      <c r="Y30" s="700"/>
      <c r="Z30" s="780"/>
      <c r="AA30" s="780">
        <v>0.102322356358409</v>
      </c>
      <c r="AB30" s="700"/>
      <c r="AC30" s="780"/>
      <c r="AD30" s="780"/>
      <c r="AE30" s="700"/>
      <c r="AF30" s="503"/>
      <c r="AG30" s="700"/>
      <c r="AH30" s="700"/>
      <c r="AI30" s="701"/>
      <c r="AJ30" s="701"/>
    </row>
    <row r="31" spans="1:36" s="702" customFormat="1" ht="20.100000000000001" customHeight="1" x14ac:dyDescent="0.3">
      <c r="A31" s="801">
        <v>2021</v>
      </c>
      <c r="B31" s="780"/>
      <c r="C31" s="780">
        <v>2.5499999999999998</v>
      </c>
      <c r="D31" s="699"/>
      <c r="E31" s="780"/>
      <c r="F31" s="780">
        <v>4.26</v>
      </c>
      <c r="G31" s="699"/>
      <c r="H31" s="924"/>
      <c r="I31" s="926"/>
      <c r="J31" s="699"/>
      <c r="K31" s="709"/>
      <c r="L31" s="711"/>
      <c r="M31" s="699"/>
      <c r="N31" s="780"/>
      <c r="O31" s="780">
        <v>4.38</v>
      </c>
      <c r="P31" s="699"/>
      <c r="Q31" s="780"/>
      <c r="R31" s="780"/>
      <c r="S31" s="699"/>
      <c r="T31" s="780"/>
      <c r="U31" s="780">
        <v>6.4</v>
      </c>
      <c r="V31" s="699"/>
      <c r="W31" s="780"/>
      <c r="X31" s="780"/>
      <c r="Y31" s="699"/>
      <c r="Z31" s="780"/>
      <c r="AA31" s="780">
        <v>9.5524359778779608</v>
      </c>
      <c r="AB31" s="699"/>
      <c r="AC31" s="780"/>
      <c r="AD31" s="780"/>
      <c r="AE31" s="700"/>
      <c r="AF31" s="503"/>
      <c r="AG31" s="700"/>
      <c r="AH31" s="700"/>
      <c r="AI31" s="701"/>
      <c r="AJ31" s="701"/>
    </row>
    <row r="32" spans="1:36" s="702" customFormat="1" ht="20.100000000000001" customHeight="1" x14ac:dyDescent="0.3">
      <c r="A32" s="801">
        <v>2020</v>
      </c>
      <c r="B32" s="780"/>
      <c r="C32" s="780">
        <v>2.39</v>
      </c>
      <c r="D32" s="699"/>
      <c r="E32" s="780"/>
      <c r="F32" s="780">
        <v>1.9570432727373399</v>
      </c>
      <c r="G32" s="699"/>
      <c r="H32" s="924"/>
      <c r="I32" s="926"/>
      <c r="J32" s="699"/>
      <c r="K32" s="709"/>
      <c r="L32" s="711"/>
      <c r="M32" s="699"/>
      <c r="N32" s="780"/>
      <c r="O32" s="780">
        <v>3.48</v>
      </c>
      <c r="P32" s="699"/>
      <c r="Q32" s="780"/>
      <c r="R32" s="780"/>
      <c r="S32" s="699"/>
      <c r="T32" s="780"/>
      <c r="U32" s="780">
        <v>3.5</v>
      </c>
      <c r="V32" s="699"/>
      <c r="W32" s="780"/>
      <c r="X32" s="780"/>
      <c r="Y32" s="699"/>
      <c r="Z32" s="780"/>
      <c r="AA32" s="780">
        <v>1.8527955574985999</v>
      </c>
      <c r="AB32" s="699"/>
      <c r="AC32" s="780"/>
      <c r="AD32" s="780"/>
      <c r="AE32" s="700"/>
      <c r="AF32" s="503"/>
      <c r="AG32" s="700"/>
      <c r="AH32" s="700"/>
      <c r="AI32" s="701"/>
      <c r="AJ32" s="701"/>
    </row>
    <row r="33" spans="1:36" s="702" customFormat="1" ht="20.100000000000001" customHeight="1" x14ac:dyDescent="0.3">
      <c r="A33" s="801">
        <v>2019</v>
      </c>
      <c r="B33" s="780"/>
      <c r="C33" s="780">
        <v>1.97</v>
      </c>
      <c r="D33" s="699"/>
      <c r="E33" s="780"/>
      <c r="F33" s="780">
        <v>4.7699999999999996</v>
      </c>
      <c r="G33" s="699"/>
      <c r="H33" s="924"/>
      <c r="I33" s="926"/>
      <c r="J33" s="699"/>
      <c r="K33" s="709"/>
      <c r="L33" s="711"/>
      <c r="M33" s="699"/>
      <c r="N33" s="780"/>
      <c r="O33" s="780">
        <v>4.34</v>
      </c>
      <c r="P33" s="699"/>
      <c r="Q33" s="780"/>
      <c r="R33" s="780"/>
      <c r="S33" s="699"/>
      <c r="T33" s="780"/>
      <c r="U33" s="780">
        <v>4.63</v>
      </c>
      <c r="V33" s="699"/>
      <c r="W33" s="780"/>
      <c r="X33" s="780"/>
      <c r="Y33" s="699"/>
      <c r="Z33" s="780"/>
      <c r="AA33" s="780">
        <v>7.6999415752564602</v>
      </c>
      <c r="AB33" s="699"/>
      <c r="AC33" s="780"/>
      <c r="AD33" s="780"/>
      <c r="AE33" s="700"/>
      <c r="AF33" s="503"/>
      <c r="AG33" s="700"/>
      <c r="AH33" s="700"/>
      <c r="AI33" s="701"/>
      <c r="AJ33" s="701"/>
    </row>
    <row r="34" spans="1:36" s="702" customFormat="1" ht="20.100000000000001" customHeight="1" x14ac:dyDescent="0.3">
      <c r="A34" s="801">
        <v>2018</v>
      </c>
      <c r="B34" s="780"/>
      <c r="C34" s="780">
        <v>3.47</v>
      </c>
      <c r="D34" s="699"/>
      <c r="E34" s="780"/>
      <c r="F34" s="780">
        <v>2.95</v>
      </c>
      <c r="G34" s="699"/>
      <c r="H34" s="924"/>
      <c r="I34" s="926"/>
      <c r="J34" s="699"/>
      <c r="K34" s="709"/>
      <c r="L34" s="711"/>
      <c r="M34" s="699"/>
      <c r="N34" s="780"/>
      <c r="O34" s="780">
        <v>5.61</v>
      </c>
      <c r="P34" s="699"/>
      <c r="Q34" s="780"/>
      <c r="R34" s="780"/>
      <c r="S34" s="699"/>
      <c r="T34" s="780"/>
      <c r="U34" s="780">
        <v>4.83</v>
      </c>
      <c r="V34" s="699"/>
      <c r="W34" s="780"/>
      <c r="X34" s="780"/>
      <c r="Y34" s="699"/>
      <c r="Z34" s="780"/>
      <c r="AA34" s="780">
        <v>2.8899617646606801</v>
      </c>
      <c r="AB34" s="699"/>
      <c r="AC34" s="780"/>
      <c r="AD34" s="780"/>
      <c r="AE34" s="700"/>
      <c r="AF34" s="503"/>
      <c r="AG34" s="700"/>
      <c r="AH34" s="700"/>
      <c r="AI34" s="701"/>
      <c r="AJ34" s="701"/>
    </row>
    <row r="35" spans="1:36" s="702" customFormat="1" ht="20.100000000000001" customHeight="1" x14ac:dyDescent="0.3">
      <c r="A35" s="799" t="s">
        <v>424</v>
      </c>
      <c r="B35" s="779"/>
      <c r="C35" s="779"/>
      <c r="D35" s="707"/>
      <c r="E35" s="779"/>
      <c r="F35" s="779"/>
      <c r="G35" s="707"/>
      <c r="H35" s="925"/>
      <c r="I35" s="779"/>
      <c r="J35" s="707"/>
      <c r="K35" s="708"/>
      <c r="L35" s="707"/>
      <c r="M35" s="707"/>
      <c r="N35" s="779"/>
      <c r="O35" s="779"/>
      <c r="P35" s="707"/>
      <c r="Q35" s="779"/>
      <c r="R35" s="779"/>
      <c r="S35" s="707"/>
      <c r="T35" s="779"/>
      <c r="U35" s="779"/>
      <c r="V35" s="707"/>
      <c r="W35" s="779"/>
      <c r="X35" s="779"/>
      <c r="Y35" s="707"/>
      <c r="Z35" s="779"/>
      <c r="AA35" s="779"/>
      <c r="AB35" s="707"/>
      <c r="AC35" s="779"/>
      <c r="AD35" s="779"/>
      <c r="AE35" s="707"/>
      <c r="AF35" s="636"/>
      <c r="AG35" s="707"/>
      <c r="AH35" s="707"/>
      <c r="AI35" s="701"/>
      <c r="AJ35" s="701"/>
    </row>
    <row r="36" spans="1:36" s="702" customFormat="1" ht="20.100000000000001" customHeight="1" x14ac:dyDescent="0.3">
      <c r="A36" s="800" t="s">
        <v>499</v>
      </c>
      <c r="B36" s="783"/>
      <c r="C36" s="779">
        <f>AVERAGE(C37:C41)</f>
        <v>0.54599999999999993</v>
      </c>
      <c r="D36" s="707"/>
      <c r="E36" s="783"/>
      <c r="F36" s="779">
        <f>AVERAGE(F37:F41)</f>
        <v>3.0602381627391138</v>
      </c>
      <c r="G36" s="707"/>
      <c r="H36" s="779"/>
      <c r="I36" s="779">
        <f>AVERAGE(I37:I41)</f>
        <v>1.3866666666666667</v>
      </c>
      <c r="J36" s="707"/>
      <c r="K36" s="707"/>
      <c r="L36" s="779"/>
      <c r="M36" s="707"/>
      <c r="N36" s="779"/>
      <c r="O36" s="779">
        <f>AVERAGE(O37:O41)</f>
        <v>3.4401999999999995</v>
      </c>
      <c r="P36" s="707"/>
      <c r="Q36" s="783"/>
      <c r="R36" s="779">
        <f>AVERAGE(R37:R41)</f>
        <v>4.144556460197979</v>
      </c>
      <c r="S36" s="707"/>
      <c r="T36" s="779"/>
      <c r="U36" s="779">
        <f>AVERAGE(U37:U41)</f>
        <v>4.6819999999999995</v>
      </c>
      <c r="V36" s="707"/>
      <c r="W36" s="783"/>
      <c r="X36" s="779">
        <f>AVERAGE(X37:X41)</f>
        <v>6.0220000000000002</v>
      </c>
      <c r="Y36" s="707"/>
      <c r="Z36" s="783"/>
      <c r="AA36" s="779">
        <f>AVERAGE(AA37:AA41)</f>
        <v>5.1137836125689944</v>
      </c>
      <c r="AB36" s="707"/>
      <c r="AC36" s="783"/>
      <c r="AD36" s="779">
        <f>AVERAGE(AD37:AD41)</f>
        <v>3.4279999999999999</v>
      </c>
      <c r="AE36" s="707"/>
      <c r="AF36" s="636"/>
      <c r="AG36" s="707"/>
      <c r="AH36" s="707"/>
      <c r="AI36" s="701"/>
      <c r="AJ36" s="701"/>
    </row>
    <row r="37" spans="1:36" s="698" customFormat="1" ht="20.100000000000001" customHeight="1" x14ac:dyDescent="0.3">
      <c r="A37" s="801">
        <v>2022</v>
      </c>
      <c r="B37" s="783"/>
      <c r="C37" s="778">
        <v>-8.39</v>
      </c>
      <c r="D37" s="700"/>
      <c r="E37" s="783"/>
      <c r="F37" s="783">
        <v>0.98</v>
      </c>
      <c r="G37" s="700"/>
      <c r="H37" s="927"/>
      <c r="I37" s="783">
        <v>0.6</v>
      </c>
      <c r="J37" s="700"/>
      <c r="K37" s="710"/>
      <c r="L37" s="706"/>
      <c r="M37" s="700"/>
      <c r="N37" s="779"/>
      <c r="O37" s="779">
        <v>1.931</v>
      </c>
      <c r="P37" s="700"/>
      <c r="Q37" s="783"/>
      <c r="R37" s="783">
        <v>-3.9206710477550644</v>
      </c>
      <c r="S37" s="700"/>
      <c r="T37" s="779"/>
      <c r="U37" s="779">
        <v>0.8</v>
      </c>
      <c r="V37" s="700"/>
      <c r="W37" s="783"/>
      <c r="X37" s="783">
        <v>-0.3</v>
      </c>
      <c r="Y37" s="700"/>
      <c r="Z37" s="783"/>
      <c r="AA37" s="783">
        <v>-2.3071379296748402</v>
      </c>
      <c r="AB37" s="700"/>
      <c r="AC37" s="783"/>
      <c r="AD37" s="778">
        <v>-1.45</v>
      </c>
      <c r="AE37" s="700"/>
      <c r="AF37" s="503"/>
      <c r="AG37" s="700"/>
      <c r="AH37" s="700"/>
      <c r="AI37" s="697"/>
      <c r="AJ37" s="697"/>
    </row>
    <row r="38" spans="1:36" s="698" customFormat="1" ht="20.100000000000001" customHeight="1" x14ac:dyDescent="0.3">
      <c r="A38" s="801">
        <v>2021</v>
      </c>
      <c r="B38" s="778"/>
      <c r="C38" s="778">
        <v>1.32</v>
      </c>
      <c r="D38" s="699"/>
      <c r="E38" s="778"/>
      <c r="F38" s="778">
        <v>4.5199999999999996</v>
      </c>
      <c r="G38" s="699"/>
      <c r="H38" s="926"/>
      <c r="I38" s="778">
        <v>1.28</v>
      </c>
      <c r="J38" s="699"/>
      <c r="K38" s="711"/>
      <c r="L38" s="712"/>
      <c r="M38" s="699"/>
      <c r="N38" s="780"/>
      <c r="O38" s="780">
        <v>3.9</v>
      </c>
      <c r="P38" s="699"/>
      <c r="Q38" s="778"/>
      <c r="R38" s="778">
        <v>8.3589403494660708</v>
      </c>
      <c r="S38" s="699"/>
      <c r="T38" s="780"/>
      <c r="U38" s="780">
        <v>8.1</v>
      </c>
      <c r="V38" s="699"/>
      <c r="W38" s="778"/>
      <c r="X38" s="778">
        <v>10.24</v>
      </c>
      <c r="Y38" s="699"/>
      <c r="Z38" s="778"/>
      <c r="AA38" s="778">
        <v>9.4496512474785899</v>
      </c>
      <c r="AB38" s="699"/>
      <c r="AC38" s="778"/>
      <c r="AD38" s="778">
        <v>3.94</v>
      </c>
      <c r="AE38" s="700"/>
      <c r="AF38" s="503"/>
      <c r="AG38" s="700"/>
      <c r="AH38" s="700"/>
      <c r="AI38" s="697"/>
      <c r="AJ38" s="697"/>
    </row>
    <row r="39" spans="1:36" s="702" customFormat="1" ht="20.100000000000001" customHeight="1" x14ac:dyDescent="0.3">
      <c r="A39" s="801">
        <v>2020</v>
      </c>
      <c r="B39" s="778"/>
      <c r="C39" s="778">
        <v>4.59</v>
      </c>
      <c r="D39" s="699"/>
      <c r="E39" s="778"/>
      <c r="F39" s="778">
        <v>1.38119081369557</v>
      </c>
      <c r="G39" s="699"/>
      <c r="H39" s="926"/>
      <c r="I39" s="780">
        <v>2.2799999999999998</v>
      </c>
      <c r="J39" s="699"/>
      <c r="K39" s="711"/>
      <c r="L39" s="712"/>
      <c r="M39" s="699"/>
      <c r="N39" s="780"/>
      <c r="O39" s="780">
        <v>3.04</v>
      </c>
      <c r="P39" s="699"/>
      <c r="Q39" s="778"/>
      <c r="R39" s="778">
        <v>4.2251351311435315</v>
      </c>
      <c r="S39" s="699"/>
      <c r="T39" s="780"/>
      <c r="U39" s="780">
        <v>4.8</v>
      </c>
      <c r="V39" s="699"/>
      <c r="W39" s="778"/>
      <c r="X39" s="778">
        <v>7.87</v>
      </c>
      <c r="Y39" s="699"/>
      <c r="Z39" s="778"/>
      <c r="AA39" s="778">
        <v>4.58146534626405</v>
      </c>
      <c r="AB39" s="699"/>
      <c r="AC39" s="778"/>
      <c r="AD39" s="778">
        <v>5.5</v>
      </c>
      <c r="AE39" s="700"/>
      <c r="AF39" s="503"/>
      <c r="AG39" s="700"/>
      <c r="AH39" s="700"/>
      <c r="AI39" s="701"/>
      <c r="AJ39" s="701"/>
    </row>
    <row r="40" spans="1:36" s="702" customFormat="1" ht="20.100000000000001" customHeight="1" x14ac:dyDescent="0.3">
      <c r="A40" s="801">
        <v>2019</v>
      </c>
      <c r="B40" s="778"/>
      <c r="C40" s="778">
        <v>4.62</v>
      </c>
      <c r="D40" s="699"/>
      <c r="E40" s="778"/>
      <c r="F40" s="778">
        <v>5.92</v>
      </c>
      <c r="G40" s="699"/>
      <c r="H40" s="926"/>
      <c r="I40" s="778"/>
      <c r="J40" s="699"/>
      <c r="K40" s="711"/>
      <c r="L40" s="712"/>
      <c r="M40" s="699"/>
      <c r="N40" s="780"/>
      <c r="O40" s="780">
        <v>4.38</v>
      </c>
      <c r="P40" s="699"/>
      <c r="Q40" s="778"/>
      <c r="R40" s="778">
        <v>8.5483778681353595</v>
      </c>
      <c r="S40" s="699"/>
      <c r="T40" s="780"/>
      <c r="U40" s="780">
        <v>5.81</v>
      </c>
      <c r="V40" s="699"/>
      <c r="W40" s="778"/>
      <c r="X40" s="778">
        <v>10.3</v>
      </c>
      <c r="Y40" s="699"/>
      <c r="Z40" s="778"/>
      <c r="AA40" s="778">
        <v>11.5251573312757</v>
      </c>
      <c r="AB40" s="699"/>
      <c r="AC40" s="778"/>
      <c r="AD40" s="778">
        <v>4.8099999999999996</v>
      </c>
      <c r="AE40" s="700"/>
      <c r="AF40" s="503"/>
      <c r="AG40" s="700"/>
      <c r="AH40" s="700"/>
      <c r="AI40" s="701"/>
      <c r="AJ40" s="701"/>
    </row>
    <row r="41" spans="1:36" s="702" customFormat="1" ht="20.100000000000001" customHeight="1" x14ac:dyDescent="0.3">
      <c r="A41" s="801">
        <v>2018</v>
      </c>
      <c r="B41" s="778"/>
      <c r="C41" s="778">
        <v>0.59</v>
      </c>
      <c r="D41" s="699"/>
      <c r="E41" s="778"/>
      <c r="F41" s="778">
        <v>2.5</v>
      </c>
      <c r="G41" s="699"/>
      <c r="H41" s="926"/>
      <c r="I41" s="778"/>
      <c r="J41" s="699"/>
      <c r="K41" s="711"/>
      <c r="L41" s="712"/>
      <c r="M41" s="699"/>
      <c r="N41" s="780"/>
      <c r="O41" s="780">
        <v>3.95</v>
      </c>
      <c r="P41" s="699"/>
      <c r="Q41" s="778"/>
      <c r="R41" s="778">
        <v>3.5110000000000001</v>
      </c>
      <c r="S41" s="699"/>
      <c r="T41" s="780"/>
      <c r="U41" s="780">
        <v>3.9</v>
      </c>
      <c r="V41" s="699"/>
      <c r="W41" s="778"/>
      <c r="X41" s="778">
        <v>2</v>
      </c>
      <c r="Y41" s="699"/>
      <c r="Z41" s="778"/>
      <c r="AA41" s="778">
        <v>2.3197820675014702</v>
      </c>
      <c r="AB41" s="699"/>
      <c r="AC41" s="778"/>
      <c r="AD41" s="778">
        <v>4.34</v>
      </c>
      <c r="AE41" s="700"/>
      <c r="AF41" s="503"/>
      <c r="AG41" s="700"/>
      <c r="AH41" s="700"/>
      <c r="AI41" s="701"/>
      <c r="AJ41" s="701"/>
    </row>
    <row r="42" spans="1:36" s="702" customFormat="1" ht="20.100000000000001" customHeight="1" x14ac:dyDescent="0.3">
      <c r="A42" s="802" t="s">
        <v>422</v>
      </c>
      <c r="B42" s="780"/>
      <c r="C42" s="780"/>
      <c r="D42" s="700"/>
      <c r="E42" s="780"/>
      <c r="F42" s="780"/>
      <c r="G42" s="700"/>
      <c r="H42" s="924"/>
      <c r="I42" s="780"/>
      <c r="J42" s="700"/>
      <c r="K42" s="705"/>
      <c r="L42" s="700"/>
      <c r="M42" s="700"/>
      <c r="N42" s="780"/>
      <c r="O42" s="780"/>
      <c r="P42" s="700"/>
      <c r="Q42" s="780"/>
      <c r="R42" s="780"/>
      <c r="S42" s="700"/>
      <c r="T42" s="780"/>
      <c r="U42" s="780"/>
      <c r="V42" s="700"/>
      <c r="W42" s="780"/>
      <c r="X42" s="780"/>
      <c r="Y42" s="700"/>
      <c r="Z42" s="780"/>
      <c r="AA42" s="780"/>
      <c r="AB42" s="700"/>
      <c r="AC42" s="780"/>
      <c r="AD42" s="780"/>
      <c r="AE42" s="700"/>
      <c r="AF42" s="503"/>
      <c r="AG42" s="700"/>
      <c r="AH42" s="700"/>
      <c r="AI42" s="701"/>
      <c r="AJ42" s="701"/>
    </row>
    <row r="43" spans="1:36" s="702" customFormat="1" ht="20.100000000000001" customHeight="1" x14ac:dyDescent="0.3">
      <c r="A43" s="801">
        <v>2022</v>
      </c>
      <c r="B43" s="780"/>
      <c r="C43" s="780"/>
      <c r="D43" s="700"/>
      <c r="E43" s="780"/>
      <c r="F43" s="780">
        <v>0.33</v>
      </c>
      <c r="G43" s="700"/>
      <c r="H43" s="924"/>
      <c r="I43" s="780"/>
      <c r="J43" s="700"/>
      <c r="K43" s="705"/>
      <c r="L43" s="700"/>
      <c r="M43" s="700"/>
      <c r="N43" s="780"/>
      <c r="O43" s="780"/>
      <c r="P43" s="700"/>
      <c r="Q43" s="780"/>
      <c r="R43" s="780"/>
      <c r="S43" s="700"/>
      <c r="T43" s="780"/>
      <c r="U43" s="780">
        <v>0.8</v>
      </c>
      <c r="V43" s="700"/>
      <c r="W43" s="780"/>
      <c r="X43" s="780"/>
      <c r="Y43" s="700"/>
      <c r="Z43" s="780"/>
      <c r="AA43" s="780">
        <v>-1.42620707786671</v>
      </c>
      <c r="AB43" s="700"/>
      <c r="AC43" s="780"/>
      <c r="AD43" s="780"/>
      <c r="AE43" s="700"/>
      <c r="AF43" s="503"/>
      <c r="AG43" s="700"/>
      <c r="AH43" s="700"/>
      <c r="AI43" s="701"/>
      <c r="AJ43" s="701"/>
    </row>
    <row r="44" spans="1:36" s="702" customFormat="1" ht="20.100000000000001" customHeight="1" x14ac:dyDescent="0.3">
      <c r="A44" s="801">
        <v>2021</v>
      </c>
      <c r="B44" s="780"/>
      <c r="C44" s="780"/>
      <c r="D44" s="699"/>
      <c r="E44" s="780"/>
      <c r="F44" s="780">
        <v>5.07</v>
      </c>
      <c r="G44" s="699"/>
      <c r="H44" s="924"/>
      <c r="I44" s="780"/>
      <c r="J44" s="699"/>
      <c r="K44" s="709"/>
      <c r="L44" s="699"/>
      <c r="M44" s="699"/>
      <c r="N44" s="780"/>
      <c r="O44" s="780"/>
      <c r="P44" s="699"/>
      <c r="Q44" s="780"/>
      <c r="R44" s="780"/>
      <c r="S44" s="699"/>
      <c r="T44" s="780"/>
      <c r="U44" s="780">
        <v>8.1</v>
      </c>
      <c r="V44" s="699"/>
      <c r="W44" s="780"/>
      <c r="X44" s="780"/>
      <c r="Y44" s="699"/>
      <c r="Z44" s="780"/>
      <c r="AA44" s="780">
        <v>9.4582857477536297</v>
      </c>
      <c r="AB44" s="699"/>
      <c r="AC44" s="780"/>
      <c r="AD44" s="780"/>
      <c r="AE44" s="700"/>
      <c r="AF44" s="503"/>
      <c r="AG44" s="700"/>
      <c r="AH44" s="700"/>
      <c r="AI44" s="701"/>
      <c r="AJ44" s="701"/>
    </row>
    <row r="45" spans="1:36" s="702" customFormat="1" ht="20.100000000000001" customHeight="1" x14ac:dyDescent="0.3">
      <c r="A45" s="801">
        <v>2020</v>
      </c>
      <c r="B45" s="780"/>
      <c r="C45" s="780"/>
      <c r="D45" s="699"/>
      <c r="E45" s="780"/>
      <c r="F45" s="780">
        <v>1.54511464901146</v>
      </c>
      <c r="G45" s="699"/>
      <c r="H45" s="924"/>
      <c r="I45" s="780"/>
      <c r="J45" s="699"/>
      <c r="K45" s="709"/>
      <c r="L45" s="699"/>
      <c r="M45" s="699"/>
      <c r="N45" s="780"/>
      <c r="O45" s="780"/>
      <c r="P45" s="699"/>
      <c r="Q45" s="780"/>
      <c r="R45" s="780"/>
      <c r="S45" s="699"/>
      <c r="T45" s="780"/>
      <c r="U45" s="780">
        <v>4.8</v>
      </c>
      <c r="V45" s="699"/>
      <c r="W45" s="780"/>
      <c r="X45" s="780"/>
      <c r="Y45" s="699"/>
      <c r="Z45" s="780"/>
      <c r="AA45" s="780">
        <v>4.6074355643218201</v>
      </c>
      <c r="AB45" s="699"/>
      <c r="AC45" s="780"/>
      <c r="AD45" s="780"/>
      <c r="AE45" s="700"/>
      <c r="AF45" s="503"/>
      <c r="AG45" s="700"/>
      <c r="AH45" s="700"/>
      <c r="AI45" s="701"/>
      <c r="AJ45" s="701"/>
    </row>
    <row r="46" spans="1:36" s="702" customFormat="1" ht="19.5" customHeight="1" x14ac:dyDescent="0.3">
      <c r="A46" s="801">
        <v>2019</v>
      </c>
      <c r="B46" s="780"/>
      <c r="C46" s="780"/>
      <c r="D46" s="699"/>
      <c r="E46" s="780"/>
      <c r="F46" s="780">
        <v>6.56</v>
      </c>
      <c r="G46" s="699"/>
      <c r="H46" s="924"/>
      <c r="I46" s="780"/>
      <c r="J46" s="699"/>
      <c r="K46" s="709"/>
      <c r="L46" s="699"/>
      <c r="M46" s="699"/>
      <c r="N46" s="780"/>
      <c r="O46" s="780"/>
      <c r="P46" s="699"/>
      <c r="Q46" s="780"/>
      <c r="R46" s="780"/>
      <c r="S46" s="699"/>
      <c r="T46" s="780"/>
      <c r="U46" s="780">
        <v>5.81</v>
      </c>
      <c r="V46" s="699"/>
      <c r="W46" s="780"/>
      <c r="X46" s="780"/>
      <c r="Y46" s="699"/>
      <c r="Z46" s="780"/>
      <c r="AA46" s="780">
        <v>14.544672445740501</v>
      </c>
      <c r="AB46" s="699"/>
      <c r="AC46" s="780"/>
      <c r="AD46" s="780"/>
      <c r="AE46" s="700"/>
      <c r="AF46" s="503"/>
      <c r="AG46" s="700"/>
      <c r="AH46" s="700"/>
      <c r="AI46" s="701"/>
      <c r="AJ46" s="701"/>
    </row>
    <row r="47" spans="1:36" ht="19.5" customHeight="1" x14ac:dyDescent="0.3">
      <c r="A47" s="801">
        <v>2018</v>
      </c>
      <c r="B47" s="780"/>
      <c r="C47" s="780"/>
      <c r="D47" s="699"/>
      <c r="E47" s="780"/>
      <c r="F47" s="780">
        <v>2.5299999999999998</v>
      </c>
      <c r="G47" s="699"/>
      <c r="H47" s="924"/>
      <c r="I47" s="780"/>
      <c r="J47" s="699"/>
      <c r="K47" s="709"/>
      <c r="L47" s="699"/>
      <c r="M47" s="699"/>
      <c r="N47" s="780"/>
      <c r="O47" s="780"/>
      <c r="P47" s="699"/>
      <c r="Q47" s="780"/>
      <c r="R47" s="780"/>
      <c r="S47" s="699"/>
      <c r="T47" s="780"/>
      <c r="U47" s="780">
        <v>3.9</v>
      </c>
      <c r="V47" s="699"/>
      <c r="W47" s="780"/>
      <c r="X47" s="780"/>
      <c r="Y47" s="699"/>
      <c r="Z47" s="780"/>
      <c r="AA47" s="780">
        <v>2.1130300921210501</v>
      </c>
      <c r="AB47" s="699"/>
      <c r="AC47" s="780"/>
      <c r="AD47" s="780"/>
      <c r="AE47" s="700"/>
      <c r="AF47" s="503"/>
      <c r="AG47" s="700"/>
      <c r="AH47" s="700"/>
      <c r="AJ47" s="515"/>
    </row>
    <row r="48" spans="1:36" s="511" customFormat="1" ht="18.75" x14ac:dyDescent="0.3">
      <c r="A48" s="802" t="s">
        <v>423</v>
      </c>
      <c r="B48" s="780"/>
      <c r="C48" s="780"/>
      <c r="D48" s="700"/>
      <c r="E48" s="780"/>
      <c r="F48" s="780"/>
      <c r="G48" s="700"/>
      <c r="H48" s="924"/>
      <c r="I48" s="780"/>
      <c r="J48" s="700"/>
      <c r="K48" s="705"/>
      <c r="L48" s="700"/>
      <c r="M48" s="700"/>
      <c r="N48" s="780"/>
      <c r="O48" s="780"/>
      <c r="P48" s="700"/>
      <c r="Q48" s="780"/>
      <c r="R48" s="780"/>
      <c r="S48" s="700"/>
      <c r="T48" s="780"/>
      <c r="U48" s="780"/>
      <c r="V48" s="700"/>
      <c r="W48" s="778"/>
      <c r="X48" s="778"/>
      <c r="Y48" s="700"/>
      <c r="Z48" s="778"/>
      <c r="AA48" s="778"/>
      <c r="AB48" s="700"/>
      <c r="AC48" s="780"/>
      <c r="AD48" s="780"/>
      <c r="AE48" s="700"/>
      <c r="AF48" s="503"/>
      <c r="AG48" s="700"/>
      <c r="AH48" s="700"/>
    </row>
    <row r="49" spans="1:34" s="511" customFormat="1" ht="18.75" x14ac:dyDescent="0.3">
      <c r="A49" s="801">
        <v>2022</v>
      </c>
      <c r="B49" s="780"/>
      <c r="C49" s="780">
        <v>-8.39</v>
      </c>
      <c r="D49" s="700"/>
      <c r="E49" s="780"/>
      <c r="F49" s="780">
        <v>1.19</v>
      </c>
      <c r="G49" s="700"/>
      <c r="H49" s="924"/>
      <c r="I49" s="780"/>
      <c r="J49" s="700"/>
      <c r="K49" s="705"/>
      <c r="L49" s="700"/>
      <c r="M49" s="700"/>
      <c r="N49" s="780"/>
      <c r="O49" s="780">
        <v>1.1299999999999999</v>
      </c>
      <c r="P49" s="700"/>
      <c r="Q49" s="780"/>
      <c r="R49" s="780"/>
      <c r="S49" s="700"/>
      <c r="T49" s="780"/>
      <c r="U49" s="780">
        <v>0.8</v>
      </c>
      <c r="V49" s="700"/>
      <c r="W49" s="778"/>
      <c r="X49" s="778"/>
      <c r="Y49" s="700"/>
      <c r="Z49" s="778"/>
      <c r="AA49" s="778">
        <v>-2.7469041014758102</v>
      </c>
      <c r="AB49" s="700"/>
      <c r="AC49" s="780"/>
      <c r="AD49" s="780"/>
      <c r="AE49" s="700"/>
      <c r="AF49" s="503"/>
      <c r="AG49" s="700"/>
      <c r="AH49" s="700"/>
    </row>
    <row r="50" spans="1:34" s="511" customFormat="1" ht="18.75" x14ac:dyDescent="0.3">
      <c r="A50" s="801">
        <v>2021</v>
      </c>
      <c r="B50" s="780"/>
      <c r="C50" s="780">
        <v>1.32</v>
      </c>
      <c r="D50" s="700"/>
      <c r="E50" s="780"/>
      <c r="F50" s="780">
        <v>4.46</v>
      </c>
      <c r="G50" s="699"/>
      <c r="H50" s="924"/>
      <c r="I50" s="780"/>
      <c r="J50" s="699"/>
      <c r="K50" s="709"/>
      <c r="L50" s="699"/>
      <c r="M50" s="699"/>
      <c r="N50" s="780"/>
      <c r="O50" s="780">
        <v>4.63</v>
      </c>
      <c r="P50" s="699"/>
      <c r="Q50" s="780"/>
      <c r="R50" s="780"/>
      <c r="S50" s="699"/>
      <c r="T50" s="780"/>
      <c r="U50" s="780">
        <v>8.1</v>
      </c>
      <c r="V50" s="699"/>
      <c r="W50" s="778"/>
      <c r="X50" s="778"/>
      <c r="Y50" s="699"/>
      <c r="Z50" s="778"/>
      <c r="AA50" s="778">
        <v>9.4482270924385308</v>
      </c>
      <c r="AB50" s="699"/>
      <c r="AC50" s="780"/>
      <c r="AD50" s="780"/>
      <c r="AE50" s="700"/>
      <c r="AF50" s="503"/>
      <c r="AG50" s="700"/>
      <c r="AH50" s="700"/>
    </row>
    <row r="51" spans="1:34" s="511" customFormat="1" ht="18.75" x14ac:dyDescent="0.3">
      <c r="A51" s="801">
        <v>2020</v>
      </c>
      <c r="B51" s="780"/>
      <c r="C51" s="780">
        <v>4.59</v>
      </c>
      <c r="D51" s="700"/>
      <c r="E51" s="780"/>
      <c r="F51" s="780">
        <v>-0.58810640830035998</v>
      </c>
      <c r="G51" s="699"/>
      <c r="H51" s="924"/>
      <c r="I51" s="780"/>
      <c r="J51" s="699"/>
      <c r="K51" s="709"/>
      <c r="L51" s="699"/>
      <c r="M51" s="699"/>
      <c r="N51" s="780"/>
      <c r="O51" s="780">
        <v>2.99</v>
      </c>
      <c r="P51" s="699"/>
      <c r="Q51" s="780"/>
      <c r="R51" s="780"/>
      <c r="S51" s="699"/>
      <c r="T51" s="780"/>
      <c r="U51" s="780">
        <v>4.8</v>
      </c>
      <c r="V51" s="699"/>
      <c r="W51" s="778"/>
      <c r="X51" s="778"/>
      <c r="Y51" s="699"/>
      <c r="Z51" s="778"/>
      <c r="AA51" s="778">
        <v>4.6702930831617797</v>
      </c>
      <c r="AB51" s="699"/>
      <c r="AC51" s="780"/>
      <c r="AD51" s="780"/>
      <c r="AE51" s="700"/>
      <c r="AF51" s="503"/>
      <c r="AG51" s="700"/>
      <c r="AH51" s="700"/>
    </row>
    <row r="52" spans="1:34" s="511" customFormat="1" ht="18.75" x14ac:dyDescent="0.3">
      <c r="A52" s="801">
        <v>2019</v>
      </c>
      <c r="B52" s="780"/>
      <c r="C52" s="780">
        <v>4.62</v>
      </c>
      <c r="D52" s="700"/>
      <c r="E52" s="780"/>
      <c r="F52" s="780">
        <v>6.94</v>
      </c>
      <c r="G52" s="699"/>
      <c r="H52" s="924"/>
      <c r="I52" s="780"/>
      <c r="J52" s="699"/>
      <c r="K52" s="709"/>
      <c r="L52" s="699"/>
      <c r="M52" s="699"/>
      <c r="N52" s="780"/>
      <c r="O52" s="780">
        <v>4.72</v>
      </c>
      <c r="P52" s="699"/>
      <c r="Q52" s="780"/>
      <c r="R52" s="780"/>
      <c r="S52" s="699"/>
      <c r="T52" s="780"/>
      <c r="U52" s="780">
        <v>5.81</v>
      </c>
      <c r="V52" s="699"/>
      <c r="W52" s="778"/>
      <c r="X52" s="778"/>
      <c r="Y52" s="699"/>
      <c r="Z52" s="778"/>
      <c r="AA52" s="778">
        <v>12.781629706371699</v>
      </c>
      <c r="AB52" s="699"/>
      <c r="AC52" s="780"/>
      <c r="AD52" s="780"/>
      <c r="AE52" s="700"/>
      <c r="AF52" s="503"/>
      <c r="AG52" s="700"/>
      <c r="AH52" s="700"/>
    </row>
    <row r="53" spans="1:34" s="511" customFormat="1" ht="18.75" x14ac:dyDescent="0.3">
      <c r="A53" s="894">
        <v>2018</v>
      </c>
      <c r="B53" s="781"/>
      <c r="C53" s="781">
        <v>0.59</v>
      </c>
      <c r="D53" s="713"/>
      <c r="E53" s="781"/>
      <c r="F53" s="781">
        <v>1.55</v>
      </c>
      <c r="G53" s="714"/>
      <c r="H53" s="928"/>
      <c r="I53" s="781"/>
      <c r="J53" s="714"/>
      <c r="K53" s="715"/>
      <c r="L53" s="714"/>
      <c r="M53" s="714"/>
      <c r="N53" s="781"/>
      <c r="O53" s="781">
        <v>4.3</v>
      </c>
      <c r="P53" s="714"/>
      <c r="Q53" s="781"/>
      <c r="R53" s="781"/>
      <c r="S53" s="714"/>
      <c r="T53" s="781"/>
      <c r="U53" s="781">
        <v>3.9</v>
      </c>
      <c r="V53" s="714"/>
      <c r="W53" s="784"/>
      <c r="X53" s="784"/>
      <c r="Y53" s="714"/>
      <c r="Z53" s="784"/>
      <c r="AA53" s="784">
        <v>1.37514717427514</v>
      </c>
      <c r="AB53" s="714"/>
      <c r="AC53" s="781"/>
      <c r="AD53" s="781"/>
      <c r="AE53" s="713"/>
      <c r="AF53" s="641"/>
      <c r="AG53" s="713"/>
      <c r="AH53" s="713"/>
    </row>
    <row r="54" spans="1:34" s="511" customFormat="1" ht="18.75" x14ac:dyDescent="0.3">
      <c r="A54" s="732"/>
      <c r="E54" s="732"/>
      <c r="F54" s="732"/>
    </row>
    <row r="55" spans="1:34" s="511" customFormat="1" ht="18.75" x14ac:dyDescent="0.3"/>
    <row r="56" spans="1:34" s="511" customFormat="1" ht="18.75" x14ac:dyDescent="0.3"/>
    <row r="57" spans="1:34" s="511" customFormat="1" ht="18.75" x14ac:dyDescent="0.3"/>
    <row r="58" spans="1:34" s="511" customFormat="1" ht="18.75" x14ac:dyDescent="0.3"/>
    <row r="59" spans="1:34" s="511" customFormat="1" ht="18.75" x14ac:dyDescent="0.3"/>
    <row r="60" spans="1:34" s="511" customFormat="1" ht="18.75" x14ac:dyDescent="0.3"/>
  </sheetData>
  <mergeCells count="30">
    <mergeCell ref="AN6:AP6"/>
    <mergeCell ref="AQ6:AS6"/>
    <mergeCell ref="AT6:AV6"/>
    <mergeCell ref="AW6:AY6"/>
    <mergeCell ref="W6:Y6"/>
    <mergeCell ref="Z6:AB6"/>
    <mergeCell ref="AC6:AE6"/>
    <mergeCell ref="AF6:AH6"/>
    <mergeCell ref="AK6:AM6"/>
    <mergeCell ref="AT5:AV5"/>
    <mergeCell ref="AW5:AY5"/>
    <mergeCell ref="B6:D6"/>
    <mergeCell ref="E6:G6"/>
    <mergeCell ref="K6:M6"/>
    <mergeCell ref="N6:P6"/>
    <mergeCell ref="Q6:S6"/>
    <mergeCell ref="T6:V6"/>
    <mergeCell ref="Z5:AB5"/>
    <mergeCell ref="AC5:AE5"/>
    <mergeCell ref="AF5:AH5"/>
    <mergeCell ref="AK5:AM5"/>
    <mergeCell ref="AN5:AP5"/>
    <mergeCell ref="W5:Y5"/>
    <mergeCell ref="B5:D5"/>
    <mergeCell ref="H6:J6"/>
    <mergeCell ref="E5:G5"/>
    <mergeCell ref="K5:M5"/>
    <mergeCell ref="N5:P5"/>
    <mergeCell ref="H5:J5"/>
    <mergeCell ref="AQ5:AS5"/>
  </mergeCells>
  <hyperlinks>
    <hyperlink ref="B1" location="Innhold!A1" display="Tilbake" xr:uid="{00000000-0004-0000-25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3" min="1" max="72" man="1"/>
    <brk id="19" min="1" max="72" man="1"/>
    <brk id="25" min="1" max="72" man="1"/>
    <brk id="3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80" zoomScaleNormal="80" workbookViewId="0"/>
  </sheetViews>
  <sheetFormatPr baseColWidth="10" defaultColWidth="11.42578125" defaultRowHeight="12.75" x14ac:dyDescent="0.2"/>
  <cols>
    <col min="1" max="1" width="66.28515625" style="1" customWidth="1"/>
    <col min="2" max="2" width="4.28515625" style="50"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2"/>
      <c r="D2" s="332"/>
      <c r="E2" s="332"/>
    </row>
    <row r="3" spans="1:17" x14ac:dyDescent="0.2">
      <c r="A3" s="43" t="s">
        <v>51</v>
      </c>
    </row>
    <row r="4" spans="1:17" x14ac:dyDescent="0.2">
      <c r="C4" s="332"/>
      <c r="D4" s="332"/>
      <c r="E4" s="332"/>
      <c r="F4" s="332"/>
      <c r="G4" s="332"/>
      <c r="H4" s="332"/>
      <c r="I4" s="332"/>
      <c r="J4" s="332"/>
      <c r="K4" s="332"/>
    </row>
    <row r="6" spans="1:17" ht="15.75" x14ac:dyDescent="0.25">
      <c r="C6" s="339" t="s">
        <v>16</v>
      </c>
      <c r="D6" s="3"/>
      <c r="E6" s="339"/>
    </row>
    <row r="7" spans="1:17" ht="18.75" customHeight="1" x14ac:dyDescent="0.2">
      <c r="C7" s="3"/>
      <c r="D7" s="3"/>
      <c r="E7" s="50"/>
    </row>
    <row r="8" spans="1:17" ht="15.75" x14ac:dyDescent="0.25">
      <c r="B8" s="333">
        <v>1</v>
      </c>
      <c r="C8" s="334" t="s">
        <v>336</v>
      </c>
      <c r="E8" s="343"/>
    </row>
    <row r="9" spans="1:17" ht="31.5" x14ac:dyDescent="0.2">
      <c r="B9" s="333">
        <v>2</v>
      </c>
      <c r="C9" s="336" t="s">
        <v>270</v>
      </c>
      <c r="E9" s="8"/>
      <c r="Q9" s="3"/>
    </row>
    <row r="10" spans="1:17" ht="47.25" x14ac:dyDescent="0.2">
      <c r="B10" s="333">
        <v>3</v>
      </c>
      <c r="C10" s="334" t="s">
        <v>271</v>
      </c>
      <c r="E10" s="8"/>
    </row>
    <row r="11" spans="1:17" ht="47.25" x14ac:dyDescent="0.2">
      <c r="B11" s="333">
        <v>4</v>
      </c>
      <c r="C11" s="336" t="s">
        <v>272</v>
      </c>
      <c r="E11" s="8"/>
    </row>
    <row r="12" spans="1:17" ht="31.5" x14ac:dyDescent="0.2">
      <c r="B12" s="333">
        <v>5</v>
      </c>
      <c r="C12" s="334" t="s">
        <v>21</v>
      </c>
      <c r="E12" s="3"/>
    </row>
    <row r="13" spans="1:17" ht="15.75" x14ac:dyDescent="0.2">
      <c r="B13" s="333">
        <v>6</v>
      </c>
      <c r="C13" s="334" t="s">
        <v>337</v>
      </c>
      <c r="E13" s="3"/>
    </row>
    <row r="14" spans="1:17" ht="15.75" x14ac:dyDescent="0.2">
      <c r="B14" s="333">
        <v>7</v>
      </c>
      <c r="C14" s="334" t="s">
        <v>17</v>
      </c>
    </row>
    <row r="15" spans="1:17" ht="18.75" customHeight="1" x14ac:dyDescent="0.2">
      <c r="B15" s="333">
        <v>8</v>
      </c>
      <c r="C15" s="334" t="s">
        <v>18</v>
      </c>
    </row>
    <row r="16" spans="1:17" ht="18.75" customHeight="1" x14ac:dyDescent="0.2">
      <c r="B16" s="333">
        <v>9</v>
      </c>
      <c r="C16" s="334" t="s">
        <v>22</v>
      </c>
    </row>
    <row r="17" spans="2:9" ht="63" x14ac:dyDescent="0.25">
      <c r="B17" s="333">
        <v>10</v>
      </c>
      <c r="C17" s="334" t="s">
        <v>346</v>
      </c>
      <c r="E17" s="339"/>
    </row>
    <row r="18" spans="2:9" ht="15.75" x14ac:dyDescent="0.2">
      <c r="B18" s="333">
        <v>11</v>
      </c>
      <c r="C18" s="334" t="s">
        <v>19</v>
      </c>
      <c r="E18" s="8"/>
    </row>
    <row r="19" spans="2:9" ht="15.75" x14ac:dyDescent="0.2">
      <c r="B19" s="333">
        <v>12</v>
      </c>
      <c r="C19" s="334" t="s">
        <v>274</v>
      </c>
      <c r="E19" s="8"/>
    </row>
    <row r="20" spans="2:9" ht="15.75" x14ac:dyDescent="0.2">
      <c r="B20" s="333">
        <v>13</v>
      </c>
      <c r="C20" s="334" t="s">
        <v>20</v>
      </c>
      <c r="E20" s="3"/>
    </row>
    <row r="21" spans="2:9" ht="47.25" x14ac:dyDescent="0.2">
      <c r="B21" s="333">
        <v>14</v>
      </c>
      <c r="C21" s="334" t="s">
        <v>275</v>
      </c>
      <c r="E21" s="344"/>
    </row>
    <row r="22" spans="2:9" ht="31.5" x14ac:dyDescent="0.2">
      <c r="B22" s="333">
        <v>15</v>
      </c>
      <c r="C22" s="336" t="s">
        <v>325</v>
      </c>
      <c r="E22" s="3"/>
    </row>
    <row r="23" spans="2:9" ht="15.75" x14ac:dyDescent="0.25">
      <c r="B23" s="333">
        <v>16</v>
      </c>
      <c r="C23" s="338" t="s">
        <v>273</v>
      </c>
      <c r="D23" s="337"/>
      <c r="E23" s="332"/>
      <c r="F23" s="337"/>
      <c r="G23" s="2"/>
      <c r="H23" s="2"/>
      <c r="I23" s="2"/>
    </row>
    <row r="24" spans="2:9" ht="18.75" customHeight="1" x14ac:dyDescent="0.25">
      <c r="B24" s="335">
        <v>17</v>
      </c>
      <c r="C24" s="338" t="s">
        <v>276</v>
      </c>
    </row>
    <row r="25" spans="2:9" ht="18.75" customHeight="1" x14ac:dyDescent="0.2">
      <c r="B25" s="811">
        <v>18</v>
      </c>
      <c r="C25" s="1067" t="s">
        <v>480</v>
      </c>
    </row>
    <row r="26" spans="2:9" ht="18.75" customHeight="1" x14ac:dyDescent="0.25">
      <c r="B26" s="812"/>
      <c r="C26" s="1067"/>
    </row>
    <row r="27" spans="2:9" ht="18.75" customHeight="1" x14ac:dyDescent="0.2">
      <c r="C27" s="341"/>
    </row>
    <row r="28" spans="2:9" ht="18.75" customHeight="1" x14ac:dyDescent="0.2">
      <c r="C28" s="341"/>
    </row>
    <row r="29" spans="2:9" ht="18.75" customHeight="1" x14ac:dyDescent="0.2">
      <c r="C29" s="341"/>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2"/>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2"/>
      <c r="E50" s="332"/>
      <c r="F50" s="332"/>
      <c r="G50" s="332"/>
      <c r="H50" s="332"/>
      <c r="I50" s="332"/>
      <c r="J50" s="332"/>
      <c r="K50" s="332"/>
      <c r="L50" s="332"/>
      <c r="M50" s="332"/>
      <c r="N50" s="332"/>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mergeCells count="1">
    <mergeCell ref="C25:C26"/>
  </mergeCells>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0" customWidth="1"/>
    <col min="2" max="2" width="17.85546875" style="80" bestFit="1" customWidth="1"/>
    <col min="3" max="3" width="18.140625" style="80" customWidth="1"/>
    <col min="4" max="4" width="9.28515625" style="80" bestFit="1" customWidth="1"/>
    <col min="5" max="5" width="4.7109375" style="80" customWidth="1"/>
    <col min="6" max="7" width="16.7109375" style="80" customWidth="1"/>
    <col min="8" max="8" width="9.28515625" style="80" bestFit="1" customWidth="1"/>
    <col min="9" max="9" width="4.7109375" style="80" customWidth="1"/>
    <col min="10" max="10" width="18.7109375" style="80" customWidth="1"/>
    <col min="11" max="11" width="18" style="80" bestFit="1" customWidth="1"/>
    <col min="12" max="12" width="9.28515625" style="80" bestFit="1" customWidth="1"/>
    <col min="13" max="13" width="11.42578125" style="80"/>
    <col min="14" max="15" width="17.28515625" style="80" bestFit="1" customWidth="1"/>
    <col min="16" max="16384" width="11.42578125" style="80"/>
  </cols>
  <sheetData>
    <row r="1" spans="1:13" ht="20.25" x14ac:dyDescent="0.3">
      <c r="A1" s="79" t="s">
        <v>75</v>
      </c>
      <c r="B1" s="73" t="s">
        <v>52</v>
      </c>
      <c r="C1" s="74"/>
      <c r="D1" s="74"/>
      <c r="E1" s="74"/>
      <c r="F1" s="74"/>
      <c r="G1" s="74"/>
      <c r="H1" s="74"/>
      <c r="I1" s="74"/>
      <c r="J1" s="74"/>
      <c r="K1" s="74"/>
      <c r="L1" s="74"/>
      <c r="M1" s="74"/>
    </row>
    <row r="2" spans="1:13" ht="20.25" x14ac:dyDescent="0.3">
      <c r="A2" s="79" t="s">
        <v>100</v>
      </c>
      <c r="B2" s="73"/>
      <c r="C2" s="74"/>
      <c r="D2" s="74"/>
      <c r="E2" s="74"/>
      <c r="F2" s="74"/>
      <c r="G2" s="74"/>
      <c r="H2" s="74"/>
      <c r="I2" s="74"/>
      <c r="J2" s="74"/>
      <c r="K2" s="74"/>
      <c r="L2" s="74"/>
      <c r="M2" s="74"/>
    </row>
    <row r="3" spans="1:13" ht="18.75" x14ac:dyDescent="0.3">
      <c r="A3" s="75" t="s">
        <v>101</v>
      </c>
      <c r="B3" s="74"/>
      <c r="C3" s="74"/>
      <c r="D3" s="74"/>
      <c r="E3" s="74"/>
      <c r="F3" s="74"/>
      <c r="G3" s="74"/>
      <c r="H3" s="74"/>
      <c r="I3" s="74"/>
      <c r="J3" s="74"/>
      <c r="K3" s="74"/>
      <c r="L3" s="74"/>
      <c r="M3" s="74"/>
    </row>
    <row r="4" spans="1:13" ht="18.75" x14ac:dyDescent="0.3">
      <c r="A4" s="81" t="s">
        <v>347</v>
      </c>
      <c r="B4" s="101"/>
      <c r="C4" s="117"/>
      <c r="D4" s="118"/>
      <c r="E4" s="111"/>
      <c r="F4" s="82"/>
      <c r="G4" s="83"/>
      <c r="H4" s="84"/>
      <c r="I4" s="111"/>
      <c r="J4" s="82"/>
      <c r="K4" s="83"/>
      <c r="L4" s="84"/>
      <c r="M4" s="74"/>
    </row>
    <row r="5" spans="1:13" ht="18.75" x14ac:dyDescent="0.3">
      <c r="A5" s="119"/>
      <c r="B5" s="990" t="s">
        <v>0</v>
      </c>
      <c r="C5" s="991"/>
      <c r="D5" s="992"/>
      <c r="E5" s="88"/>
      <c r="F5" s="990" t="s">
        <v>1</v>
      </c>
      <c r="G5" s="991"/>
      <c r="H5" s="992"/>
      <c r="I5" s="120"/>
      <c r="J5" s="990" t="s">
        <v>102</v>
      </c>
      <c r="K5" s="991"/>
      <c r="L5" s="992"/>
      <c r="M5" s="74"/>
    </row>
    <row r="6" spans="1:13" ht="18.75" x14ac:dyDescent="0.3">
      <c r="A6" s="121"/>
      <c r="B6" s="122"/>
      <c r="C6" s="123"/>
      <c r="D6" s="93" t="s">
        <v>103</v>
      </c>
      <c r="E6" s="99"/>
      <c r="F6" s="122"/>
      <c r="G6" s="123"/>
      <c r="H6" s="93" t="s">
        <v>103</v>
      </c>
      <c r="I6" s="124"/>
      <c r="J6" s="122"/>
      <c r="K6" s="123"/>
      <c r="L6" s="93" t="s">
        <v>103</v>
      </c>
      <c r="M6" s="74"/>
    </row>
    <row r="7" spans="1:13" ht="18.75" x14ac:dyDescent="0.3">
      <c r="A7" s="125" t="s">
        <v>104</v>
      </c>
      <c r="B7" s="126">
        <v>2021</v>
      </c>
      <c r="C7" s="184">
        <v>2022</v>
      </c>
      <c r="D7" s="98" t="s">
        <v>81</v>
      </c>
      <c r="E7" s="99"/>
      <c r="F7" s="96">
        <v>2021</v>
      </c>
      <c r="G7" s="126">
        <v>2022</v>
      </c>
      <c r="H7" s="98" t="s">
        <v>81</v>
      </c>
      <c r="I7" s="127"/>
      <c r="J7" s="183">
        <v>2021</v>
      </c>
      <c r="K7" s="184">
        <v>2022</v>
      </c>
      <c r="L7" s="98" t="s">
        <v>81</v>
      </c>
      <c r="M7" s="74"/>
    </row>
    <row r="8" spans="1:13" ht="22.5" x14ac:dyDescent="0.3">
      <c r="A8" s="191" t="s">
        <v>105</v>
      </c>
      <c r="B8" s="231"/>
      <c r="C8" s="200"/>
      <c r="D8" s="200"/>
      <c r="E8" s="181"/>
      <c r="F8" s="200"/>
      <c r="G8" s="200"/>
      <c r="H8" s="200"/>
      <c r="I8" s="201"/>
      <c r="J8" s="200"/>
      <c r="K8" s="200"/>
      <c r="L8" s="200"/>
      <c r="M8" s="74"/>
    </row>
    <row r="9" spans="1:13" ht="18.75" x14ac:dyDescent="0.3">
      <c r="A9" s="192" t="s">
        <v>106</v>
      </c>
      <c r="B9" s="103">
        <f>'Skjema total MA'!B7</f>
        <v>4921399.6243089605</v>
      </c>
      <c r="C9" s="103">
        <f>'Skjema total MA'!C7</f>
        <v>5149456.7538098237</v>
      </c>
      <c r="D9" s="232">
        <f>IF(B9=0, "    ---- ", IF(ABS(ROUND(100/B9*C9-100,1))&lt;999,ROUND(100/B9*C9-100,1),IF(ROUND(100/B9*C9-100,1)&gt;999,999,-999)))</f>
        <v>4.5999999999999996</v>
      </c>
      <c r="E9" s="181"/>
      <c r="F9" s="195">
        <f>'Skjema total MA'!E7</f>
        <v>14737501.114489999</v>
      </c>
      <c r="G9" s="195">
        <f>'Skjema total MA'!F7</f>
        <v>9224652.7433100007</v>
      </c>
      <c r="H9" s="232">
        <f>IF(F9=0, "    ---- ", IF(ABS(ROUND(100/F9*G9-100,1))&lt;999,ROUND(100/F9*G9-100,1),IF(ROUND(100/F9*G9-100,1)&gt;999,999,-999)))</f>
        <v>-37.4</v>
      </c>
      <c r="I9" s="181"/>
      <c r="J9" s="195">
        <f t="shared" ref="J9:K60" si="0">SUM(B9+F9)</f>
        <v>19658900.738798961</v>
      </c>
      <c r="K9" s="195">
        <f t="shared" si="0"/>
        <v>14374109.497119825</v>
      </c>
      <c r="L9" s="230">
        <f>IF(J9=0, "    ---- ", IF(ABS(ROUND(100/J9*K9-100,1))&lt;999,ROUND(100/J9*K9-100,1),IF(ROUND(100/J9*K9-100,1)&gt;999,999,-999)))</f>
        <v>-26.9</v>
      </c>
      <c r="M9" s="74"/>
    </row>
    <row r="10" spans="1:13" ht="18.75" x14ac:dyDescent="0.3">
      <c r="A10" s="192" t="s">
        <v>107</v>
      </c>
      <c r="B10" s="103">
        <f>'Skjema total MA'!B22</f>
        <v>1992034.9226199999</v>
      </c>
      <c r="C10" s="103">
        <f>'Skjema total MA'!C22</f>
        <v>2146431.8523229389</v>
      </c>
      <c r="D10" s="232">
        <f t="shared" ref="D10:D17" si="1">IF(B10=0, "    ---- ", IF(ABS(ROUND(100/B10*C10-100,1))&lt;999,ROUND(100/B10*C10-100,1),IF(ROUND(100/B10*C10-100,1)&gt;999,999,-999)))</f>
        <v>7.8</v>
      </c>
      <c r="E10" s="181"/>
      <c r="F10" s="195">
        <f>'Skjema total MA'!E22</f>
        <v>1715884.02777</v>
      </c>
      <c r="G10" s="195">
        <f>'Skjema total MA'!F22</f>
        <v>1024374.31375</v>
      </c>
      <c r="H10" s="232">
        <f t="shared" ref="H10:H57" si="2">IF(F10=0, "    ---- ", IF(ABS(ROUND(100/F10*G10-100,1))&lt;999,ROUND(100/F10*G10-100,1),IF(ROUND(100/F10*G10-100,1)&gt;999,999,-999)))</f>
        <v>-40.299999999999997</v>
      </c>
      <c r="I10" s="181"/>
      <c r="J10" s="195">
        <f t="shared" si="0"/>
        <v>3707918.9503899999</v>
      </c>
      <c r="K10" s="195">
        <f t="shared" si="0"/>
        <v>3170806.1660729386</v>
      </c>
      <c r="L10" s="230">
        <f t="shared" ref="L10:L60" si="3">IF(J10=0, "    ---- ", IF(ABS(ROUND(100/J10*K10-100,1))&lt;999,ROUND(100/J10*K10-100,1),IF(ROUND(100/J10*K10-100,1)&gt;999,999,-999)))</f>
        <v>-14.5</v>
      </c>
      <c r="M10" s="74"/>
    </row>
    <row r="11" spans="1:13" ht="18.75" x14ac:dyDescent="0.3">
      <c r="A11" s="192" t="s">
        <v>108</v>
      </c>
      <c r="B11" s="103">
        <f>'Skjema total MA'!B47</f>
        <v>5094004.6205929341</v>
      </c>
      <c r="C11" s="103">
        <f>'Skjema total MA'!C47</f>
        <v>5541685.755646944</v>
      </c>
      <c r="D11" s="232">
        <f t="shared" si="1"/>
        <v>8.8000000000000007</v>
      </c>
      <c r="E11" s="181"/>
      <c r="F11" s="195"/>
      <c r="G11" s="195"/>
      <c r="H11" s="232"/>
      <c r="I11" s="181"/>
      <c r="J11" s="195">
        <f t="shared" si="0"/>
        <v>5094004.6205929341</v>
      </c>
      <c r="K11" s="195">
        <f t="shared" si="0"/>
        <v>5541685.755646944</v>
      </c>
      <c r="L11" s="230">
        <f t="shared" si="3"/>
        <v>8.8000000000000007</v>
      </c>
      <c r="M11" s="74"/>
    </row>
    <row r="12" spans="1:13" ht="18.75" x14ac:dyDescent="0.3">
      <c r="A12" s="192" t="s">
        <v>109</v>
      </c>
      <c r="B12" s="103">
        <f>'Skjema total MA'!B66</f>
        <v>7601221.4551599994</v>
      </c>
      <c r="C12" s="103">
        <f>'Skjema total MA'!C66</f>
        <v>7784461.9093499994</v>
      </c>
      <c r="D12" s="232">
        <f t="shared" si="1"/>
        <v>2.4</v>
      </c>
      <c r="E12" s="181"/>
      <c r="F12" s="195">
        <f>'Skjema total MA'!E66</f>
        <v>38178258.521789998</v>
      </c>
      <c r="G12" s="195">
        <f>'Skjema total MA'!F66</f>
        <v>43650372.811749995</v>
      </c>
      <c r="H12" s="232">
        <f t="shared" si="2"/>
        <v>14.3</v>
      </c>
      <c r="I12" s="181"/>
      <c r="J12" s="195">
        <f t="shared" si="0"/>
        <v>45779479.976949997</v>
      </c>
      <c r="K12" s="195">
        <f t="shared" si="0"/>
        <v>51434834.721099995</v>
      </c>
      <c r="L12" s="230">
        <f t="shared" si="3"/>
        <v>12.4</v>
      </c>
      <c r="M12" s="74"/>
    </row>
    <row r="13" spans="1:13" ht="18.75" x14ac:dyDescent="0.3">
      <c r="A13" s="192" t="s">
        <v>110</v>
      </c>
      <c r="B13" s="103">
        <f>'Skjema total MA'!B68</f>
        <v>45700.668400000002</v>
      </c>
      <c r="C13" s="103">
        <f>'Skjema total MA'!C68</f>
        <v>44956.216160000004</v>
      </c>
      <c r="D13" s="232">
        <f t="shared" si="1"/>
        <v>-1.6</v>
      </c>
      <c r="E13" s="181"/>
      <c r="F13" s="195">
        <f>'Skjema total MA'!E68</f>
        <v>36662264.570779994</v>
      </c>
      <c r="G13" s="195">
        <f>'Skjema total MA'!F68</f>
        <v>42026880.700069994</v>
      </c>
      <c r="H13" s="232">
        <f t="shared" si="2"/>
        <v>14.6</v>
      </c>
      <c r="I13" s="181"/>
      <c r="J13" s="195">
        <f t="shared" si="0"/>
        <v>36707965.239179991</v>
      </c>
      <c r="K13" s="195">
        <f t="shared" si="0"/>
        <v>42071836.916229993</v>
      </c>
      <c r="L13" s="230">
        <f t="shared" si="3"/>
        <v>14.6</v>
      </c>
      <c r="M13" s="74"/>
    </row>
    <row r="14" spans="1:13" s="132" customFormat="1" ht="18.75" x14ac:dyDescent="0.3">
      <c r="A14" s="193" t="s">
        <v>111</v>
      </c>
      <c r="B14" s="130">
        <f>'Skjema total MA'!B75</f>
        <v>532842.79666999995</v>
      </c>
      <c r="C14" s="130">
        <f>'Skjema total MA'!C75</f>
        <v>650204.59808999998</v>
      </c>
      <c r="D14" s="232">
        <f t="shared" si="1"/>
        <v>22</v>
      </c>
      <c r="E14" s="182"/>
      <c r="F14" s="196">
        <f>'Skjema total MA'!E75</f>
        <v>1515993.95101</v>
      </c>
      <c r="G14" s="196">
        <f>'Skjema total MA'!F75</f>
        <v>1623492.1116800001</v>
      </c>
      <c r="H14" s="232">
        <f t="shared" si="2"/>
        <v>7.1</v>
      </c>
      <c r="I14" s="182"/>
      <c r="J14" s="195">
        <f t="shared" si="0"/>
        <v>2048836.74768</v>
      </c>
      <c r="K14" s="195">
        <f t="shared" si="0"/>
        <v>2273696.7097700001</v>
      </c>
      <c r="L14" s="230">
        <f t="shared" si="3"/>
        <v>11</v>
      </c>
      <c r="M14" s="131"/>
    </row>
    <row r="15" spans="1:13" ht="22.5" x14ac:dyDescent="0.3">
      <c r="A15" s="192" t="s">
        <v>338</v>
      </c>
      <c r="B15" s="103">
        <f>'Skjema total MA'!B134</f>
        <v>58360698.621179998</v>
      </c>
      <c r="C15" s="103">
        <f>'Skjema total MA'!C134</f>
        <v>59584973.858070001</v>
      </c>
      <c r="D15" s="232">
        <f t="shared" si="1"/>
        <v>2.1</v>
      </c>
      <c r="E15" s="181"/>
      <c r="F15" s="195">
        <f>'Skjema total MA'!E134</f>
        <v>135009.071</v>
      </c>
      <c r="G15" s="195">
        <f>'Skjema total MA'!F134</f>
        <v>163946.05499999999</v>
      </c>
      <c r="H15" s="232">
        <f t="shared" si="2"/>
        <v>21.4</v>
      </c>
      <c r="I15" s="181"/>
      <c r="J15" s="195">
        <f t="shared" si="0"/>
        <v>58495707.69218</v>
      </c>
      <c r="K15" s="195">
        <f t="shared" si="0"/>
        <v>59748919.913070001</v>
      </c>
      <c r="L15" s="230">
        <f t="shared" si="3"/>
        <v>2.1</v>
      </c>
      <c r="M15" s="74"/>
    </row>
    <row r="16" spans="1:13" ht="18.75" x14ac:dyDescent="0.3">
      <c r="A16" s="192" t="s">
        <v>112</v>
      </c>
      <c r="B16" s="103">
        <f>'Skjema total MA'!B36</f>
        <v>9151.0755000000008</v>
      </c>
      <c r="C16" s="103">
        <f>'Skjema total MA'!C36</f>
        <v>8645.8979999999992</v>
      </c>
      <c r="D16" s="232">
        <f t="shared" si="1"/>
        <v>-5.5</v>
      </c>
      <c r="E16" s="181"/>
      <c r="F16" s="195">
        <f>'Skjema total MA'!E36</f>
        <v>0</v>
      </c>
      <c r="G16" s="195">
        <f>'Skjema total MA'!F36</f>
        <v>0</v>
      </c>
      <c r="H16" s="232"/>
      <c r="I16" s="181"/>
      <c r="J16" s="195">
        <f t="shared" si="0"/>
        <v>9151.0755000000008</v>
      </c>
      <c r="K16" s="195">
        <f t="shared" si="0"/>
        <v>8645.8979999999992</v>
      </c>
      <c r="L16" s="230">
        <f t="shared" si="3"/>
        <v>-5.5</v>
      </c>
      <c r="M16" s="74"/>
    </row>
    <row r="17" spans="1:23" s="134" customFormat="1" ht="18.75" customHeight="1" x14ac:dyDescent="0.3">
      <c r="A17" s="136" t="s">
        <v>113</v>
      </c>
      <c r="B17" s="109">
        <f>'Tabel 1.1'!B34</f>
        <v>77978510.31936188</v>
      </c>
      <c r="C17" s="197">
        <f>'Tabel 1.1'!C34</f>
        <v>80215656.0271997</v>
      </c>
      <c r="D17" s="232">
        <f t="shared" si="1"/>
        <v>2.9</v>
      </c>
      <c r="E17" s="137"/>
      <c r="F17" s="197">
        <f>'Tabel 1.1'!B46</f>
        <v>54766652.73505</v>
      </c>
      <c r="G17" s="197">
        <f>'Tabel 1.1'!C46</f>
        <v>54063345.92380999</v>
      </c>
      <c r="H17" s="232">
        <f t="shared" si="2"/>
        <v>-1.3</v>
      </c>
      <c r="I17" s="137"/>
      <c r="J17" s="197">
        <f t="shared" si="0"/>
        <v>132745163.05441189</v>
      </c>
      <c r="K17" s="197">
        <f t="shared" si="0"/>
        <v>134279001.95100969</v>
      </c>
      <c r="L17" s="230">
        <f t="shared" si="3"/>
        <v>1.2</v>
      </c>
      <c r="M17" s="75"/>
      <c r="N17" s="133"/>
      <c r="O17" s="133"/>
      <c r="Q17" s="135"/>
      <c r="R17" s="135"/>
      <c r="S17" s="135"/>
      <c r="T17" s="135"/>
      <c r="U17" s="135"/>
      <c r="V17" s="135"/>
      <c r="W17" s="135"/>
    </row>
    <row r="18" spans="1:23" ht="18.75" customHeight="1" x14ac:dyDescent="0.3">
      <c r="A18" s="136"/>
      <c r="B18" s="103"/>
      <c r="C18" s="195"/>
      <c r="D18" s="195"/>
      <c r="E18" s="181"/>
      <c r="F18" s="195"/>
      <c r="G18" s="195"/>
      <c r="H18" s="232"/>
      <c r="I18" s="181"/>
      <c r="J18" s="195"/>
      <c r="K18" s="195"/>
      <c r="L18" s="230"/>
      <c r="M18" s="74"/>
    </row>
    <row r="19" spans="1:23" ht="18.75" customHeight="1" x14ac:dyDescent="0.3">
      <c r="A19" s="191" t="s">
        <v>339</v>
      </c>
      <c r="B19" s="199"/>
      <c r="C19" s="202"/>
      <c r="D19" s="195"/>
      <c r="E19" s="181"/>
      <c r="F19" s="202"/>
      <c r="G19" s="202"/>
      <c r="H19" s="232"/>
      <c r="I19" s="181"/>
      <c r="J19" s="195"/>
      <c r="K19" s="195"/>
      <c r="L19" s="230"/>
      <c r="M19" s="74"/>
    </row>
    <row r="20" spans="1:23" ht="18.75" customHeight="1" x14ac:dyDescent="0.3">
      <c r="A20" s="192" t="s">
        <v>106</v>
      </c>
      <c r="B20" s="103">
        <f>'Skjema total MA'!B10</f>
        <v>18862715.228700001</v>
      </c>
      <c r="C20" s="103">
        <f>'Skjema total MA'!C10</f>
        <v>17449246.428453162</v>
      </c>
      <c r="D20" s="232">
        <f>IF(B20=0, "    ---- ", IF(ABS(ROUND(100/B20*C20-100,1))&lt;999,ROUND(100/B20*C20-100,1),IF(ROUND(100/B20*C20-100,1)&gt;999,999,-999)))</f>
        <v>-7.5</v>
      </c>
      <c r="E20" s="181"/>
      <c r="F20" s="195">
        <f>'Skjema total MA'!E10</f>
        <v>77324438.96676001</v>
      </c>
      <c r="G20" s="195">
        <f>'Skjema total MA'!F10</f>
        <v>70785083.114940003</v>
      </c>
      <c r="H20" s="232">
        <f t="shared" si="2"/>
        <v>-8.5</v>
      </c>
      <c r="I20" s="181"/>
      <c r="J20" s="195">
        <f t="shared" si="0"/>
        <v>96187154.195460007</v>
      </c>
      <c r="K20" s="195">
        <f t="shared" si="0"/>
        <v>88234329.543393165</v>
      </c>
      <c r="L20" s="230">
        <f t="shared" si="3"/>
        <v>-8.3000000000000007</v>
      </c>
      <c r="M20" s="74"/>
    </row>
    <row r="21" spans="1:23" ht="18.75" customHeight="1" x14ac:dyDescent="0.3">
      <c r="A21" s="192" t="s">
        <v>107</v>
      </c>
      <c r="B21" s="103">
        <f>'Skjema total MA'!B29</f>
        <v>45317230.929219998</v>
      </c>
      <c r="C21" s="103">
        <f>'Skjema total MA'!C29</f>
        <v>44034103.810073137</v>
      </c>
      <c r="D21" s="232">
        <f t="shared" ref="D21:D27" si="4">IF(B21=0, "    ---- ", IF(ABS(ROUND(100/B21*C21-100,1))&lt;999,ROUND(100/B21*C21-100,1),IF(ROUND(100/B21*C21-100,1)&gt;999,999,-999)))</f>
        <v>-2.8</v>
      </c>
      <c r="E21" s="181"/>
      <c r="F21" s="195">
        <f>'Skjema total MA'!E29</f>
        <v>26735503.8587</v>
      </c>
      <c r="G21" s="195">
        <f>'Skjema total MA'!F29</f>
        <v>23483792.595259998</v>
      </c>
      <c r="H21" s="232">
        <f t="shared" si="2"/>
        <v>-12.2</v>
      </c>
      <c r="I21" s="181"/>
      <c r="J21" s="195">
        <f t="shared" si="0"/>
        <v>72052734.787919998</v>
      </c>
      <c r="K21" s="195">
        <f t="shared" si="0"/>
        <v>67517896.405333132</v>
      </c>
      <c r="L21" s="230">
        <f t="shared" si="3"/>
        <v>-6.3</v>
      </c>
      <c r="M21" s="74"/>
    </row>
    <row r="22" spans="1:23" ht="18.75" x14ac:dyDescent="0.3">
      <c r="A22" s="192" t="s">
        <v>109</v>
      </c>
      <c r="B22" s="103">
        <f>'Skjema total MA'!B87</f>
        <v>404437490.50348002</v>
      </c>
      <c r="C22" s="103">
        <f>'Skjema total MA'!C87</f>
        <v>398290917.16664958</v>
      </c>
      <c r="D22" s="232">
        <f t="shared" si="4"/>
        <v>-1.5</v>
      </c>
      <c r="E22" s="181"/>
      <c r="F22" s="195">
        <f>'Skjema total MA'!E87</f>
        <v>449882436.57108998</v>
      </c>
      <c r="G22" s="195">
        <f>'Skjema total MA'!F87</f>
        <v>442930701.15636003</v>
      </c>
      <c r="H22" s="232">
        <f t="shared" si="2"/>
        <v>-1.5</v>
      </c>
      <c r="I22" s="181"/>
      <c r="J22" s="195">
        <f t="shared" si="0"/>
        <v>854319927.07456994</v>
      </c>
      <c r="K22" s="195">
        <f t="shared" si="0"/>
        <v>841221618.32300961</v>
      </c>
      <c r="L22" s="230">
        <f t="shared" si="3"/>
        <v>-1.5</v>
      </c>
      <c r="M22" s="74"/>
    </row>
    <row r="23" spans="1:23" ht="22.5" x14ac:dyDescent="0.3">
      <c r="A23" s="192" t="s">
        <v>114</v>
      </c>
      <c r="B23" s="103">
        <f>'Skjema total MA'!B89</f>
        <v>3168532.6383400001</v>
      </c>
      <c r="C23" s="103">
        <f>'Skjema total MA'!C89</f>
        <v>3310351.1074200002</v>
      </c>
      <c r="D23" s="232">
        <f t="shared" si="4"/>
        <v>4.5</v>
      </c>
      <c r="E23" s="181"/>
      <c r="F23" s="195">
        <f>'Skjema total MA'!E89</f>
        <v>445034746.03806996</v>
      </c>
      <c r="G23" s="195">
        <f>'Skjema total MA'!F89</f>
        <v>437450387.52889001</v>
      </c>
      <c r="H23" s="232">
        <f t="shared" si="2"/>
        <v>-1.7</v>
      </c>
      <c r="I23" s="181"/>
      <c r="J23" s="195">
        <f t="shared" si="0"/>
        <v>448203278.67640996</v>
      </c>
      <c r="K23" s="195">
        <f t="shared" si="0"/>
        <v>440760738.63631004</v>
      </c>
      <c r="L23" s="230">
        <f t="shared" si="3"/>
        <v>-1.7</v>
      </c>
      <c r="M23" s="74"/>
    </row>
    <row r="24" spans="1:23" ht="18.75" x14ac:dyDescent="0.3">
      <c r="A24" s="193" t="s">
        <v>111</v>
      </c>
      <c r="B24" s="103">
        <f>'Skjema total MA'!B96</f>
        <v>2858183.9760099999</v>
      </c>
      <c r="C24" s="103">
        <f>'Skjema total MA'!C96</f>
        <v>3767857.6658300003</v>
      </c>
      <c r="D24" s="232">
        <f t="shared" si="4"/>
        <v>31.8</v>
      </c>
      <c r="E24" s="181"/>
      <c r="F24" s="195">
        <f>'Skjema total MA'!E96</f>
        <v>4847690.53302</v>
      </c>
      <c r="G24" s="195">
        <f>'Skjema total MA'!F96</f>
        <v>5480313.6274699997</v>
      </c>
      <c r="H24" s="232">
        <f t="shared" si="2"/>
        <v>13</v>
      </c>
      <c r="I24" s="181"/>
      <c r="J24" s="195">
        <f t="shared" si="0"/>
        <v>7705874.5090299994</v>
      </c>
      <c r="K24" s="195">
        <f t="shared" si="0"/>
        <v>9248171.2932999991</v>
      </c>
      <c r="L24" s="230">
        <f t="shared" si="3"/>
        <v>20</v>
      </c>
      <c r="M24" s="74"/>
    </row>
    <row r="25" spans="1:23" ht="22.5" x14ac:dyDescent="0.3">
      <c r="A25" s="192" t="s">
        <v>338</v>
      </c>
      <c r="B25" s="103">
        <f>'Skjema total MA'!B135</f>
        <v>688221513.67905998</v>
      </c>
      <c r="C25" s="103">
        <f>'Skjema total MA'!C135</f>
        <v>774163481.39103997</v>
      </c>
      <c r="D25" s="232">
        <f t="shared" si="4"/>
        <v>12.5</v>
      </c>
      <c r="E25" s="181"/>
      <c r="F25" s="195">
        <f>'Skjema total MA'!E135</f>
        <v>2234333.4679299998</v>
      </c>
      <c r="G25" s="195">
        <f>'Skjema total MA'!F135</f>
        <v>2551713.4049300002</v>
      </c>
      <c r="H25" s="232">
        <f t="shared" si="2"/>
        <v>14.2</v>
      </c>
      <c r="I25" s="181"/>
      <c r="J25" s="195">
        <f t="shared" si="0"/>
        <v>690455847.14698994</v>
      </c>
      <c r="K25" s="195">
        <f t="shared" si="0"/>
        <v>776715194.79596996</v>
      </c>
      <c r="L25" s="230">
        <f t="shared" si="3"/>
        <v>12.5</v>
      </c>
      <c r="M25" s="74"/>
    </row>
    <row r="26" spans="1:23" ht="18.75" x14ac:dyDescent="0.3">
      <c r="A26" s="192" t="s">
        <v>112</v>
      </c>
      <c r="B26" s="103">
        <f>'Skjema total MA'!B37</f>
        <v>3149867.6430000002</v>
      </c>
      <c r="C26" s="103">
        <f>'Skjema total MA'!C37</f>
        <v>2902310.86674</v>
      </c>
      <c r="D26" s="232">
        <f t="shared" si="4"/>
        <v>-7.9</v>
      </c>
      <c r="E26" s="181"/>
      <c r="F26" s="195">
        <f>'Skjema total MA'!E37</f>
        <v>0</v>
      </c>
      <c r="G26" s="195">
        <f>'Skjema total MA'!F37</f>
        <v>0</v>
      </c>
      <c r="H26" s="232"/>
      <c r="I26" s="181"/>
      <c r="J26" s="195">
        <f t="shared" si="0"/>
        <v>3149867.6430000002</v>
      </c>
      <c r="K26" s="195">
        <f t="shared" si="0"/>
        <v>2902310.86674</v>
      </c>
      <c r="L26" s="230">
        <f t="shared" si="3"/>
        <v>-7.9</v>
      </c>
      <c r="M26" s="74"/>
    </row>
    <row r="27" spans="1:23" s="134" customFormat="1" ht="18.75" x14ac:dyDescent="0.3">
      <c r="A27" s="136" t="s">
        <v>115</v>
      </c>
      <c r="B27" s="109">
        <f>'Tabel 1.1'!G34</f>
        <v>1159988817.9834599</v>
      </c>
      <c r="C27" s="197">
        <f>'Tabel 1.1'!H34</f>
        <v>1236840059.6629558</v>
      </c>
      <c r="D27" s="232">
        <f t="shared" si="4"/>
        <v>6.6</v>
      </c>
      <c r="E27" s="137"/>
      <c r="F27" s="197">
        <f>'Tabel 1.1'!G46</f>
        <v>556176712.86448002</v>
      </c>
      <c r="G27" s="197">
        <f>'Tabel 1.1'!H46</f>
        <v>539751290.27148998</v>
      </c>
      <c r="H27" s="232">
        <f t="shared" si="2"/>
        <v>-3</v>
      </c>
      <c r="I27" s="137"/>
      <c r="J27" s="197">
        <f t="shared" si="0"/>
        <v>1716165530.84794</v>
      </c>
      <c r="K27" s="197">
        <f t="shared" si="0"/>
        <v>1776591349.9344459</v>
      </c>
      <c r="L27" s="230">
        <f t="shared" si="3"/>
        <v>3.5</v>
      </c>
      <c r="M27" s="75"/>
      <c r="N27" s="133"/>
      <c r="O27" s="133"/>
    </row>
    <row r="28" spans="1:23" ht="18.75" x14ac:dyDescent="0.3">
      <c r="A28" s="136"/>
      <c r="B28" s="103"/>
      <c r="C28" s="195"/>
      <c r="D28" s="232"/>
      <c r="E28" s="181"/>
      <c r="F28" s="195"/>
      <c r="G28" s="195"/>
      <c r="H28" s="232"/>
      <c r="I28" s="181"/>
      <c r="J28" s="195">
        <f t="shared" si="0"/>
        <v>0</v>
      </c>
      <c r="K28" s="195">
        <f t="shared" si="0"/>
        <v>0</v>
      </c>
      <c r="L28" s="230"/>
      <c r="M28" s="74"/>
    </row>
    <row r="29" spans="1:23" ht="22.5" x14ac:dyDescent="0.3">
      <c r="A29" s="191" t="s">
        <v>340</v>
      </c>
      <c r="B29" s="199"/>
      <c r="C29" s="202"/>
      <c r="D29" s="195"/>
      <c r="E29" s="181"/>
      <c r="F29" s="195"/>
      <c r="G29" s="195"/>
      <c r="H29" s="232"/>
      <c r="I29" s="181"/>
      <c r="J29" s="195"/>
      <c r="K29" s="195"/>
      <c r="L29" s="230"/>
      <c r="M29" s="74"/>
    </row>
    <row r="30" spans="1:23" ht="18.75" x14ac:dyDescent="0.3">
      <c r="A30" s="192" t="s">
        <v>106</v>
      </c>
      <c r="B30" s="103">
        <f>'Skjema total MA'!B11</f>
        <v>94145.505999999994</v>
      </c>
      <c r="C30" s="103">
        <f>'Skjema total MA'!C11</f>
        <v>36447</v>
      </c>
      <c r="D30" s="232">
        <f>IF(B30=0, "    ---- ", IF(ABS(ROUND(100/B30*C30-100,1))&lt;999,ROUND(100/B30*C30-100,1),IF(ROUND(100/B30*C30-100,1)&gt;999,999,-999)))</f>
        <v>-61.3</v>
      </c>
      <c r="E30" s="181"/>
      <c r="F30" s="195">
        <f>'Skjema total MA'!E11</f>
        <v>669873.11148999992</v>
      </c>
      <c r="G30" s="195">
        <f>'Skjema total MA'!F11</f>
        <v>1371875.16876</v>
      </c>
      <c r="H30" s="232">
        <f t="shared" si="2"/>
        <v>104.8</v>
      </c>
      <c r="I30" s="181"/>
      <c r="J30" s="195">
        <f t="shared" si="0"/>
        <v>764018.61748999986</v>
      </c>
      <c r="K30" s="195">
        <f t="shared" si="0"/>
        <v>1408322.16876</v>
      </c>
      <c r="L30" s="230">
        <f t="shared" si="3"/>
        <v>84.3</v>
      </c>
      <c r="M30" s="74"/>
    </row>
    <row r="31" spans="1:23" ht="18.75" x14ac:dyDescent="0.3">
      <c r="A31" s="192" t="s">
        <v>107</v>
      </c>
      <c r="B31" s="103">
        <f>'Skjema total MA'!B34</f>
        <v>20997.924149999999</v>
      </c>
      <c r="C31" s="103">
        <f>'Skjema total MA'!C34</f>
        <v>29892.617870000002</v>
      </c>
      <c r="D31" s="232">
        <f t="shared" ref="D31:D38" si="5">IF(B31=0, "    ---- ", IF(ABS(ROUND(100/B31*C31-100,1))&lt;999,ROUND(100/B31*C31-100,1),IF(ROUND(100/B31*C31-100,1)&gt;999,999,-999)))</f>
        <v>42.4</v>
      </c>
      <c r="E31" s="181"/>
      <c r="F31" s="195">
        <f>'Skjema total MA'!E34</f>
        <v>25375.105090000001</v>
      </c>
      <c r="G31" s="195">
        <f>'Skjema total MA'!F34</f>
        <v>781898.93793999997</v>
      </c>
      <c r="H31" s="232">
        <f t="shared" si="2"/>
        <v>999</v>
      </c>
      <c r="I31" s="181"/>
      <c r="J31" s="195">
        <f t="shared" si="0"/>
        <v>46373.029240000003</v>
      </c>
      <c r="K31" s="195">
        <f t="shared" si="0"/>
        <v>811791.55580999993</v>
      </c>
      <c r="L31" s="230">
        <f t="shared" si="3"/>
        <v>999</v>
      </c>
      <c r="M31" s="74"/>
    </row>
    <row r="32" spans="1:23" ht="18.75" x14ac:dyDescent="0.3">
      <c r="A32" s="192" t="s">
        <v>109</v>
      </c>
      <c r="B32" s="103">
        <f>'Skjema total MA'!B111</f>
        <v>567894.66876000003</v>
      </c>
      <c r="C32" s="103">
        <f>'Skjema total MA'!C111</f>
        <v>775534.34967999998</v>
      </c>
      <c r="D32" s="232">
        <f t="shared" si="5"/>
        <v>36.6</v>
      </c>
      <c r="E32" s="181"/>
      <c r="F32" s="195">
        <f>'Skjema total MA'!E111</f>
        <v>84204706.359149992</v>
      </c>
      <c r="G32" s="195">
        <f>'Skjema total MA'!F111</f>
        <v>40606946.49368</v>
      </c>
      <c r="H32" s="232">
        <f t="shared" si="2"/>
        <v>-51.8</v>
      </c>
      <c r="I32" s="181"/>
      <c r="J32" s="195">
        <f t="shared" si="0"/>
        <v>84772601.027909994</v>
      </c>
      <c r="K32" s="195">
        <f t="shared" si="0"/>
        <v>41382480.843359999</v>
      </c>
      <c r="L32" s="230">
        <f t="shared" si="3"/>
        <v>-51.2</v>
      </c>
      <c r="M32" s="74"/>
    </row>
    <row r="33" spans="1:15" ht="22.5" x14ac:dyDescent="0.3">
      <c r="A33" s="192" t="s">
        <v>338</v>
      </c>
      <c r="B33" s="103">
        <f>'Skjema total MA'!B136</f>
        <v>6847377.0180000002</v>
      </c>
      <c r="C33" s="103">
        <f>'Skjema total MA'!C136</f>
        <v>3476569.7</v>
      </c>
      <c r="D33" s="232">
        <f t="shared" si="5"/>
        <v>-49.2</v>
      </c>
      <c r="E33" s="181"/>
      <c r="F33" s="195">
        <f>'Skjema total MA'!E136</f>
        <v>0</v>
      </c>
      <c r="G33" s="195">
        <f>'Skjema total MA'!F136</f>
        <v>376337.44099999999</v>
      </c>
      <c r="H33" s="232" t="str">
        <f t="shared" si="2"/>
        <v xml:space="preserve">    ---- </v>
      </c>
      <c r="I33" s="181"/>
      <c r="J33" s="195">
        <f t="shared" si="0"/>
        <v>6847377.0180000002</v>
      </c>
      <c r="K33" s="195">
        <f t="shared" si="0"/>
        <v>3852907.1410000003</v>
      </c>
      <c r="L33" s="230">
        <f t="shared" si="3"/>
        <v>-43.7</v>
      </c>
      <c r="M33" s="74"/>
    </row>
    <row r="34" spans="1:15" ht="18.75" x14ac:dyDescent="0.3">
      <c r="A34" s="192" t="s">
        <v>112</v>
      </c>
      <c r="B34" s="103">
        <f>'Skjema total MA'!B38</f>
        <v>0</v>
      </c>
      <c r="C34" s="103">
        <f>'Skjema total MA'!C38</f>
        <v>0</v>
      </c>
      <c r="D34" s="232" t="str">
        <f t="shared" si="5"/>
        <v xml:space="preserve">    ---- </v>
      </c>
      <c r="E34" s="181"/>
      <c r="F34" s="195">
        <f>'Skjema total MA'!E38</f>
        <v>0</v>
      </c>
      <c r="G34" s="195">
        <f>'Skjema total MA'!F38</f>
        <v>0</v>
      </c>
      <c r="H34" s="232"/>
      <c r="I34" s="181"/>
      <c r="J34" s="195">
        <f t="shared" si="0"/>
        <v>0</v>
      </c>
      <c r="K34" s="195">
        <f t="shared" si="0"/>
        <v>0</v>
      </c>
      <c r="L34" s="230" t="str">
        <f t="shared" si="3"/>
        <v xml:space="preserve">    ---- </v>
      </c>
      <c r="M34" s="74"/>
    </row>
    <row r="35" spans="1:15" s="134" customFormat="1" ht="18.75" x14ac:dyDescent="0.3">
      <c r="A35" s="136" t="s">
        <v>116</v>
      </c>
      <c r="B35" s="109">
        <f>SUM(B30:B34)</f>
        <v>7530415.1169100003</v>
      </c>
      <c r="C35" s="197">
        <f>SUM(C30:C34)</f>
        <v>4318443.6675500004</v>
      </c>
      <c r="D35" s="232">
        <f t="shared" si="5"/>
        <v>-42.7</v>
      </c>
      <c r="E35" s="137"/>
      <c r="F35" s="197">
        <f>SUM(F30:F34)</f>
        <v>84899954.575729996</v>
      </c>
      <c r="G35" s="197">
        <f>SUM(G30:G34)</f>
        <v>43137058.041380003</v>
      </c>
      <c r="H35" s="232">
        <f t="shared" si="2"/>
        <v>-49.2</v>
      </c>
      <c r="I35" s="137"/>
      <c r="J35" s="197">
        <f t="shared" si="0"/>
        <v>92430369.692639992</v>
      </c>
      <c r="K35" s="197">
        <f t="shared" si="0"/>
        <v>47455501.708930001</v>
      </c>
      <c r="L35" s="230">
        <f t="shared" si="3"/>
        <v>-48.7</v>
      </c>
      <c r="M35" s="75"/>
    </row>
    <row r="36" spans="1:15" ht="18.75" x14ac:dyDescent="0.3">
      <c r="A36" s="136"/>
      <c r="B36" s="109"/>
      <c r="C36" s="197"/>
      <c r="D36" s="232"/>
      <c r="E36" s="137"/>
      <c r="F36" s="197"/>
      <c r="G36" s="197"/>
      <c r="H36" s="232"/>
      <c r="I36" s="137"/>
      <c r="J36" s="195"/>
      <c r="K36" s="195"/>
      <c r="L36" s="230"/>
      <c r="M36" s="74"/>
    </row>
    <row r="37" spans="1:15" ht="22.5" x14ac:dyDescent="0.3">
      <c r="A37" s="136" t="s">
        <v>341</v>
      </c>
      <c r="B37" s="109"/>
      <c r="C37" s="197"/>
      <c r="D37" s="195"/>
      <c r="E37" s="137"/>
      <c r="F37" s="197"/>
      <c r="G37" s="197"/>
      <c r="H37" s="232"/>
      <c r="I37" s="137"/>
      <c r="J37" s="195"/>
      <c r="K37" s="195"/>
      <c r="L37" s="230"/>
      <c r="M37" s="74"/>
    </row>
    <row r="38" spans="1:15" s="134" customFormat="1" ht="18.75" x14ac:dyDescent="0.3">
      <c r="A38" s="136" t="s">
        <v>108</v>
      </c>
      <c r="B38" s="109">
        <f>'Skjema total MA'!B53</f>
        <v>273474.08687602181</v>
      </c>
      <c r="C38" s="109">
        <f>'Skjema total MA'!C53</f>
        <v>142510.55900000001</v>
      </c>
      <c r="D38" s="232">
        <f t="shared" si="5"/>
        <v>-47.9</v>
      </c>
      <c r="E38" s="137"/>
      <c r="F38" s="197"/>
      <c r="G38" s="197"/>
      <c r="H38" s="232"/>
      <c r="I38" s="137"/>
      <c r="J38" s="197">
        <f t="shared" si="0"/>
        <v>273474.08687602181</v>
      </c>
      <c r="K38" s="197">
        <f t="shared" si="0"/>
        <v>142510.55900000001</v>
      </c>
      <c r="L38" s="230">
        <f t="shared" si="3"/>
        <v>-47.9</v>
      </c>
      <c r="M38" s="75"/>
    </row>
    <row r="39" spans="1:15" ht="18.75" x14ac:dyDescent="0.3">
      <c r="A39" s="136"/>
      <c r="B39" s="109"/>
      <c r="C39" s="197"/>
      <c r="D39" s="195"/>
      <c r="E39" s="137"/>
      <c r="F39" s="197"/>
      <c r="G39" s="197"/>
      <c r="H39" s="232"/>
      <c r="I39" s="137"/>
      <c r="J39" s="195"/>
      <c r="K39" s="195"/>
      <c r="L39" s="230"/>
      <c r="M39" s="74"/>
    </row>
    <row r="40" spans="1:15" ht="22.5" x14ac:dyDescent="0.3">
      <c r="A40" s="191" t="s">
        <v>342</v>
      </c>
      <c r="B40" s="199"/>
      <c r="C40" s="202"/>
      <c r="D40" s="195"/>
      <c r="E40" s="181"/>
      <c r="F40" s="195"/>
      <c r="G40" s="195"/>
      <c r="H40" s="232"/>
      <c r="I40" s="181"/>
      <c r="J40" s="195"/>
      <c r="K40" s="195"/>
      <c r="L40" s="230"/>
      <c r="M40" s="74"/>
    </row>
    <row r="41" spans="1:15" ht="18.75" x14ac:dyDescent="0.3">
      <c r="A41" s="192" t="s">
        <v>106</v>
      </c>
      <c r="B41" s="103">
        <f>'Skjema total MA'!B12</f>
        <v>7169</v>
      </c>
      <c r="C41" s="103">
        <f>'Skjema total MA'!C12</f>
        <v>2921</v>
      </c>
      <c r="D41" s="232">
        <f>IF(B41=0, "    ---- ", IF(ABS(ROUND(100/B41*C41-100,1))&lt;999,ROUND(100/B41*C41-100,1),IF(ROUND(100/B41*C41-100,1)&gt;999,999,-999)))</f>
        <v>-59.3</v>
      </c>
      <c r="E41" s="181"/>
      <c r="F41" s="195">
        <f>'Skjema total MA'!E12</f>
        <v>178844.17853999999</v>
      </c>
      <c r="G41" s="195">
        <f>'Skjema total MA'!F12</f>
        <v>1344385.6555599999</v>
      </c>
      <c r="H41" s="232">
        <f t="shared" si="2"/>
        <v>651.70000000000005</v>
      </c>
      <c r="I41" s="181"/>
      <c r="J41" s="195">
        <f t="shared" si="0"/>
        <v>186013.17853999999</v>
      </c>
      <c r="K41" s="195">
        <f t="shared" si="0"/>
        <v>1347306.6555599999</v>
      </c>
      <c r="L41" s="230">
        <f t="shared" si="3"/>
        <v>624.29999999999995</v>
      </c>
      <c r="M41" s="74"/>
    </row>
    <row r="42" spans="1:15" ht="18.75" x14ac:dyDescent="0.3">
      <c r="A42" s="192" t="s">
        <v>107</v>
      </c>
      <c r="B42" s="103">
        <f>'Skjema total MA'!B35</f>
        <v>-82723.308430000005</v>
      </c>
      <c r="C42" s="103">
        <f>'Skjema total MA'!C35</f>
        <v>-38405.634870000002</v>
      </c>
      <c r="D42" s="232">
        <f t="shared" ref="D42:D46" si="6">IF(B42=0, "    ---- ", IF(ABS(ROUND(100/B42*C42-100,1))&lt;999,ROUND(100/B42*C42-100,1),IF(ROUND(100/B42*C42-100,1)&gt;999,999,-999)))</f>
        <v>-53.6</v>
      </c>
      <c r="E42" s="181"/>
      <c r="F42" s="195">
        <f>'Skjema total MA'!E35</f>
        <v>165794.57243999999</v>
      </c>
      <c r="G42" s="195">
        <f>'Skjema total MA'!F35</f>
        <v>429571.05228</v>
      </c>
      <c r="H42" s="232">
        <f t="shared" si="2"/>
        <v>159.1</v>
      </c>
      <c r="I42" s="181"/>
      <c r="J42" s="195">
        <f t="shared" si="0"/>
        <v>83071.264009999984</v>
      </c>
      <c r="K42" s="195">
        <f t="shared" si="0"/>
        <v>391165.41740999999</v>
      </c>
      <c r="L42" s="230">
        <f t="shared" si="3"/>
        <v>370.9</v>
      </c>
      <c r="M42" s="74"/>
    </row>
    <row r="43" spans="1:15" ht="18.75" x14ac:dyDescent="0.3">
      <c r="A43" s="192" t="s">
        <v>109</v>
      </c>
      <c r="B43" s="103">
        <f>'Skjema total MA'!B119</f>
        <v>523329.71695000003</v>
      </c>
      <c r="C43" s="103">
        <f>'Skjema total MA'!C119</f>
        <v>621516.98798999994</v>
      </c>
      <c r="D43" s="232">
        <f t="shared" si="6"/>
        <v>18.8</v>
      </c>
      <c r="E43" s="181"/>
      <c r="F43" s="195">
        <f>'Skjema total MA'!E119</f>
        <v>91246912.412879989</v>
      </c>
      <c r="G43" s="195">
        <f>'Skjema total MA'!F119</f>
        <v>43057254.21841</v>
      </c>
      <c r="H43" s="232">
        <f t="shared" si="2"/>
        <v>-52.8</v>
      </c>
      <c r="I43" s="181"/>
      <c r="J43" s="195">
        <f t="shared" si="0"/>
        <v>91770242.129829988</v>
      </c>
      <c r="K43" s="195">
        <f t="shared" si="0"/>
        <v>43678771.2064</v>
      </c>
      <c r="L43" s="230">
        <f t="shared" si="3"/>
        <v>-52.4</v>
      </c>
      <c r="M43" s="74"/>
    </row>
    <row r="44" spans="1:15" ht="22.5" x14ac:dyDescent="0.3">
      <c r="A44" s="192" t="s">
        <v>338</v>
      </c>
      <c r="B44" s="103">
        <f>'Skjema total MA'!B137</f>
        <v>8346122.3590000002</v>
      </c>
      <c r="C44" s="103">
        <f>'Skjema total MA'!C137</f>
        <v>4669160.3899999997</v>
      </c>
      <c r="D44" s="232">
        <f t="shared" si="6"/>
        <v>-44.1</v>
      </c>
      <c r="E44" s="181"/>
      <c r="F44" s="195">
        <f>'Skjema total MA'!E137</f>
        <v>0</v>
      </c>
      <c r="G44" s="195">
        <f>'Skjema total MA'!F137</f>
        <v>0</v>
      </c>
      <c r="H44" s="232"/>
      <c r="I44" s="181"/>
      <c r="J44" s="195">
        <f t="shared" si="0"/>
        <v>8346122.3590000002</v>
      </c>
      <c r="K44" s="195">
        <f t="shared" si="0"/>
        <v>4669160.3899999997</v>
      </c>
      <c r="L44" s="230">
        <f t="shared" si="3"/>
        <v>-44.1</v>
      </c>
      <c r="M44" s="74"/>
    </row>
    <row r="45" spans="1:15" ht="18.75" x14ac:dyDescent="0.3">
      <c r="A45" s="192" t="s">
        <v>112</v>
      </c>
      <c r="B45" s="103">
        <f>'Skjema total MA'!B39</f>
        <v>5</v>
      </c>
      <c r="C45" s="103">
        <f>'Skjema total MA'!C39</f>
        <v>12</v>
      </c>
      <c r="D45" s="232">
        <f t="shared" si="6"/>
        <v>140</v>
      </c>
      <c r="E45" s="181"/>
      <c r="F45" s="195"/>
      <c r="G45" s="195"/>
      <c r="H45" s="232"/>
      <c r="I45" s="181"/>
      <c r="J45" s="195">
        <f t="shared" si="0"/>
        <v>5</v>
      </c>
      <c r="K45" s="195">
        <f t="shared" si="0"/>
        <v>12</v>
      </c>
      <c r="L45" s="230">
        <f t="shared" si="3"/>
        <v>140</v>
      </c>
      <c r="M45" s="74"/>
    </row>
    <row r="46" spans="1:15" s="134" customFormat="1" ht="18.75" x14ac:dyDescent="0.3">
      <c r="A46" s="136" t="s">
        <v>117</v>
      </c>
      <c r="B46" s="109">
        <f>SUM(B41:B45)</f>
        <v>8793902.7675199993</v>
      </c>
      <c r="C46" s="197">
        <f>SUM(C41:C45)</f>
        <v>5255204.7431199998</v>
      </c>
      <c r="D46" s="232">
        <f t="shared" si="6"/>
        <v>-40.200000000000003</v>
      </c>
      <c r="E46" s="137"/>
      <c r="F46" s="197">
        <f>SUM(F41:F45)</f>
        <v>91591551.163859993</v>
      </c>
      <c r="G46" s="276">
        <f>SUM(G41:G45)</f>
        <v>44831210.926250003</v>
      </c>
      <c r="H46" s="232">
        <f t="shared" si="2"/>
        <v>-51.1</v>
      </c>
      <c r="I46" s="137"/>
      <c r="J46" s="197">
        <f t="shared" si="0"/>
        <v>100385453.93137999</v>
      </c>
      <c r="K46" s="197">
        <f t="shared" si="0"/>
        <v>50086415.669370003</v>
      </c>
      <c r="L46" s="230">
        <f t="shared" si="3"/>
        <v>-50.1</v>
      </c>
      <c r="M46" s="75"/>
      <c r="N46" s="133"/>
      <c r="O46" s="133"/>
    </row>
    <row r="47" spans="1:15" ht="18.75" x14ac:dyDescent="0.3">
      <c r="A47" s="136"/>
      <c r="B47" s="109"/>
      <c r="C47" s="197"/>
      <c r="D47" s="195"/>
      <c r="E47" s="137"/>
      <c r="F47" s="197"/>
      <c r="G47" s="197"/>
      <c r="H47" s="232"/>
      <c r="I47" s="137"/>
      <c r="J47" s="195"/>
      <c r="K47" s="195"/>
      <c r="L47" s="230"/>
      <c r="M47" s="74"/>
    </row>
    <row r="48" spans="1:15" ht="22.5" x14ac:dyDescent="0.3">
      <c r="A48" s="136" t="s">
        <v>343</v>
      </c>
      <c r="B48" s="109"/>
      <c r="C48" s="197"/>
      <c r="D48" s="195"/>
      <c r="E48" s="137"/>
      <c r="F48" s="197"/>
      <c r="G48" s="197"/>
      <c r="H48" s="232"/>
      <c r="I48" s="137"/>
      <c r="J48" s="195"/>
      <c r="K48" s="195"/>
      <c r="L48" s="230"/>
      <c r="M48" s="74"/>
    </row>
    <row r="49" spans="1:15" s="134" customFormat="1" ht="18.75" x14ac:dyDescent="0.3">
      <c r="A49" s="136" t="s">
        <v>108</v>
      </c>
      <c r="B49" s="109">
        <f>'Skjema total MA'!B56</f>
        <v>357127.69000000006</v>
      </c>
      <c r="C49" s="109">
        <f>'Skjema total MA'!C56</f>
        <v>108699.978</v>
      </c>
      <c r="D49" s="232">
        <f t="shared" ref="D49" si="7">IF(B49=0, "    ---- ", IF(ABS(ROUND(100/B49*C49-100,1))&lt;999,ROUND(100/B49*C49-100,1),IF(ROUND(100/B49*C49-100,1)&gt;999,999,-999)))</f>
        <v>-69.599999999999994</v>
      </c>
      <c r="E49" s="137"/>
      <c r="F49" s="197"/>
      <c r="G49" s="197"/>
      <c r="H49" s="232"/>
      <c r="I49" s="137"/>
      <c r="J49" s="197">
        <f>SUM(B49+F49)</f>
        <v>357127.69000000006</v>
      </c>
      <c r="K49" s="197">
        <f>SUM(C49+G49)</f>
        <v>108699.978</v>
      </c>
      <c r="L49" s="230">
        <f t="shared" si="3"/>
        <v>-69.599999999999994</v>
      </c>
      <c r="M49" s="75"/>
    </row>
    <row r="50" spans="1:15" ht="18.75" x14ac:dyDescent="0.3">
      <c r="A50" s="136"/>
      <c r="B50" s="103"/>
      <c r="C50" s="195"/>
      <c r="D50" s="195"/>
      <c r="E50" s="181"/>
      <c r="F50" s="195"/>
      <c r="G50" s="195"/>
      <c r="H50" s="232"/>
      <c r="I50" s="181"/>
      <c r="J50" s="195"/>
      <c r="K50" s="195"/>
      <c r="L50" s="230"/>
      <c r="M50" s="74"/>
    </row>
    <row r="51" spans="1:15" ht="21.75" x14ac:dyDescent="0.3">
      <c r="A51" s="191" t="s">
        <v>344</v>
      </c>
      <c r="B51" s="103"/>
      <c r="C51" s="195"/>
      <c r="D51" s="195"/>
      <c r="E51" s="181"/>
      <c r="F51" s="195"/>
      <c r="G51" s="195"/>
      <c r="H51" s="232"/>
      <c r="I51" s="181"/>
      <c r="J51" s="195"/>
      <c r="K51" s="195"/>
      <c r="L51" s="230"/>
      <c r="M51" s="74"/>
    </row>
    <row r="52" spans="1:15" ht="18.75" x14ac:dyDescent="0.3">
      <c r="A52" s="192" t="s">
        <v>106</v>
      </c>
      <c r="B52" s="103">
        <f>B30-B41</f>
        <v>86976.505999999994</v>
      </c>
      <c r="C52" s="195">
        <f>C30-C41</f>
        <v>33526</v>
      </c>
      <c r="D52" s="232">
        <f>IF(B52=0, "    ---- ", IF(ABS(ROUND(100/B52*C52-100,1))&lt;999,ROUND(100/B52*C52-100,1),IF(ROUND(100/B52*C52-100,1)&gt;999,999,-999)))</f>
        <v>-61.5</v>
      </c>
      <c r="E52" s="181"/>
      <c r="F52" s="195">
        <f>F30-F41</f>
        <v>491028.93294999993</v>
      </c>
      <c r="G52" s="195">
        <f>G30-G41</f>
        <v>27489.513200000161</v>
      </c>
      <c r="H52" s="232">
        <f t="shared" si="2"/>
        <v>-94.4</v>
      </c>
      <c r="I52" s="181"/>
      <c r="J52" s="195">
        <f t="shared" si="0"/>
        <v>578005.43894999987</v>
      </c>
      <c r="K52" s="195">
        <f t="shared" si="0"/>
        <v>61015.513200000161</v>
      </c>
      <c r="L52" s="230">
        <f t="shared" si="3"/>
        <v>-89.4</v>
      </c>
      <c r="M52" s="74"/>
    </row>
    <row r="53" spans="1:15" ht="18.75" x14ac:dyDescent="0.3">
      <c r="A53" s="192" t="s">
        <v>107</v>
      </c>
      <c r="B53" s="103">
        <f t="shared" ref="B53:C56" si="8">B31-B42</f>
        <v>103721.23258000001</v>
      </c>
      <c r="C53" s="195">
        <f t="shared" si="8"/>
        <v>68298.252739999996</v>
      </c>
      <c r="D53" s="232">
        <f t="shared" ref="D53:D60" si="9">IF(B53=0, "    ---- ", IF(ABS(ROUND(100/B53*C53-100,1))&lt;999,ROUND(100/B53*C53-100,1),IF(ROUND(100/B53*C53-100,1)&gt;999,999,-999)))</f>
        <v>-34.200000000000003</v>
      </c>
      <c r="E53" s="181"/>
      <c r="F53" s="195">
        <f t="shared" ref="F53:G56" si="10">F31-F42</f>
        <v>-140419.46734999999</v>
      </c>
      <c r="G53" s="195">
        <f t="shared" si="10"/>
        <v>352327.88565999997</v>
      </c>
      <c r="H53" s="232">
        <f t="shared" si="2"/>
        <v>-350.9</v>
      </c>
      <c r="I53" s="181"/>
      <c r="J53" s="195">
        <f t="shared" si="0"/>
        <v>-36698.234769999981</v>
      </c>
      <c r="K53" s="195">
        <f t="shared" si="0"/>
        <v>420626.13839999994</v>
      </c>
      <c r="L53" s="230">
        <f t="shared" si="3"/>
        <v>-999</v>
      </c>
      <c r="M53" s="74"/>
    </row>
    <row r="54" spans="1:15" ht="18.75" x14ac:dyDescent="0.3">
      <c r="A54" s="192" t="s">
        <v>109</v>
      </c>
      <c r="B54" s="103">
        <f t="shared" si="8"/>
        <v>44564.951809999999</v>
      </c>
      <c r="C54" s="195">
        <f t="shared" si="8"/>
        <v>154017.36169000005</v>
      </c>
      <c r="D54" s="232">
        <f t="shared" si="9"/>
        <v>245.6</v>
      </c>
      <c r="E54" s="181"/>
      <c r="F54" s="195">
        <f t="shared" si="10"/>
        <v>-7042206.0537299961</v>
      </c>
      <c r="G54" s="195">
        <f t="shared" si="10"/>
        <v>-2450307.7247299999</v>
      </c>
      <c r="H54" s="232">
        <f t="shared" si="2"/>
        <v>-65.2</v>
      </c>
      <c r="I54" s="181"/>
      <c r="J54" s="195">
        <f t="shared" si="0"/>
        <v>-6997641.1019199956</v>
      </c>
      <c r="K54" s="195">
        <f t="shared" si="0"/>
        <v>-2296290.3630399997</v>
      </c>
      <c r="L54" s="230">
        <f t="shared" si="3"/>
        <v>-67.2</v>
      </c>
      <c r="M54" s="74"/>
    </row>
    <row r="55" spans="1:15" ht="22.5" x14ac:dyDescent="0.3">
      <c r="A55" s="192" t="s">
        <v>338</v>
      </c>
      <c r="B55" s="103">
        <f t="shared" si="8"/>
        <v>-1498745.341</v>
      </c>
      <c r="C55" s="195">
        <f t="shared" si="8"/>
        <v>-1192590.6899999995</v>
      </c>
      <c r="D55" s="232">
        <f t="shared" si="9"/>
        <v>-20.399999999999999</v>
      </c>
      <c r="E55" s="181"/>
      <c r="F55" s="195">
        <f t="shared" si="10"/>
        <v>0</v>
      </c>
      <c r="G55" s="195">
        <f t="shared" si="10"/>
        <v>376337.44099999999</v>
      </c>
      <c r="H55" s="232" t="str">
        <f t="shared" si="2"/>
        <v xml:space="preserve">    ---- </v>
      </c>
      <c r="I55" s="181"/>
      <c r="J55" s="195">
        <f t="shared" si="0"/>
        <v>-1498745.341</v>
      </c>
      <c r="K55" s="195">
        <f t="shared" si="0"/>
        <v>-816253.24899999949</v>
      </c>
      <c r="L55" s="230">
        <f t="shared" si="3"/>
        <v>-45.5</v>
      </c>
      <c r="M55" s="74"/>
    </row>
    <row r="56" spans="1:15" ht="18.75" x14ac:dyDescent="0.3">
      <c r="A56" s="192" t="s">
        <v>112</v>
      </c>
      <c r="B56" s="103">
        <f t="shared" si="8"/>
        <v>-5</v>
      </c>
      <c r="C56" s="195">
        <f t="shared" si="8"/>
        <v>-12</v>
      </c>
      <c r="D56" s="232">
        <f t="shared" si="9"/>
        <v>140</v>
      </c>
      <c r="E56" s="181"/>
      <c r="F56" s="195">
        <f t="shared" si="10"/>
        <v>0</v>
      </c>
      <c r="G56" s="195">
        <f t="shared" si="10"/>
        <v>0</v>
      </c>
      <c r="H56" s="232"/>
      <c r="I56" s="181"/>
      <c r="J56" s="195">
        <f t="shared" si="0"/>
        <v>-5</v>
      </c>
      <c r="K56" s="195">
        <f t="shared" si="0"/>
        <v>-12</v>
      </c>
      <c r="L56" s="230">
        <f t="shared" si="3"/>
        <v>140</v>
      </c>
      <c r="M56" s="74"/>
    </row>
    <row r="57" spans="1:15" s="134" customFormat="1" ht="18.75" x14ac:dyDescent="0.3">
      <c r="A57" s="136" t="s">
        <v>118</v>
      </c>
      <c r="B57" s="109">
        <f>SUM(B52:B56)</f>
        <v>-1263487.6506099999</v>
      </c>
      <c r="C57" s="197">
        <f>SUM(C52:C56)</f>
        <v>-936761.0755699994</v>
      </c>
      <c r="D57" s="232">
        <f>IF(B57=0, "    ---- ", IF(ABS(ROUND(100/B57*C57-100,1))&lt;999,ROUND(100/B57*C57-100,1),IF(ROUND(100/B57*C57-100,1)&gt;999,999,-999)))</f>
        <v>-25.9</v>
      </c>
      <c r="E57" s="137"/>
      <c r="F57" s="197">
        <f>SUM(F52:F56)</f>
        <v>-6691596.5881299963</v>
      </c>
      <c r="G57" s="276">
        <f>SUM(G52:G56)</f>
        <v>-1694152.8848699997</v>
      </c>
      <c r="H57" s="232">
        <f t="shared" si="2"/>
        <v>-74.7</v>
      </c>
      <c r="I57" s="137"/>
      <c r="J57" s="197">
        <f t="shared" si="0"/>
        <v>-7955084.2387399962</v>
      </c>
      <c r="K57" s="195">
        <f t="shared" si="0"/>
        <v>-2630913.9604399991</v>
      </c>
      <c r="L57" s="230">
        <f t="shared" si="3"/>
        <v>-66.900000000000006</v>
      </c>
      <c r="M57" s="75"/>
      <c r="N57" s="133"/>
      <c r="O57" s="133"/>
    </row>
    <row r="58" spans="1:15" ht="18.75" x14ac:dyDescent="0.3">
      <c r="A58" s="136"/>
      <c r="B58" s="109"/>
      <c r="C58" s="197"/>
      <c r="D58" s="232"/>
      <c r="E58" s="137"/>
      <c r="F58" s="197"/>
      <c r="G58" s="197"/>
      <c r="H58" s="232"/>
      <c r="I58" s="137"/>
      <c r="J58" s="197"/>
      <c r="K58" s="195"/>
      <c r="L58" s="230"/>
      <c r="M58" s="74"/>
    </row>
    <row r="59" spans="1:15" ht="22.5" x14ac:dyDescent="0.3">
      <c r="A59" s="136" t="s">
        <v>345</v>
      </c>
      <c r="B59" s="109"/>
      <c r="C59" s="197"/>
      <c r="D59" s="232"/>
      <c r="E59" s="137"/>
      <c r="F59" s="197"/>
      <c r="G59" s="197"/>
      <c r="H59" s="232"/>
      <c r="I59" s="137"/>
      <c r="J59" s="197"/>
      <c r="K59" s="195"/>
      <c r="L59" s="230"/>
      <c r="M59" s="74"/>
    </row>
    <row r="60" spans="1:15" s="134" customFormat="1" ht="18.75" x14ac:dyDescent="0.3">
      <c r="A60" s="136" t="s">
        <v>108</v>
      </c>
      <c r="B60" s="109">
        <f>B38-B49</f>
        <v>-83653.603123978246</v>
      </c>
      <c r="C60" s="197">
        <f>C38-C49</f>
        <v>33810.581000000006</v>
      </c>
      <c r="D60" s="232">
        <f t="shared" si="9"/>
        <v>-140.4</v>
      </c>
      <c r="E60" s="137"/>
      <c r="F60" s="197">
        <f>F38-F49</f>
        <v>0</v>
      </c>
      <c r="G60" s="197">
        <f>G38-G49</f>
        <v>0</v>
      </c>
      <c r="H60" s="232"/>
      <c r="I60" s="137"/>
      <c r="J60" s="197">
        <f t="shared" si="0"/>
        <v>-83653.603123978246</v>
      </c>
      <c r="K60" s="195">
        <f t="shared" si="0"/>
        <v>33810.581000000006</v>
      </c>
      <c r="L60" s="230">
        <f t="shared" si="3"/>
        <v>-140.4</v>
      </c>
      <c r="M60" s="75"/>
    </row>
    <row r="61" spans="1:15" s="134" customFormat="1" ht="18.75" x14ac:dyDescent="0.3">
      <c r="A61" s="194"/>
      <c r="B61" s="114"/>
      <c r="C61" s="198"/>
      <c r="D61" s="203"/>
      <c r="E61" s="137"/>
      <c r="F61" s="198"/>
      <c r="G61" s="198"/>
      <c r="H61" s="203"/>
      <c r="I61" s="137"/>
      <c r="J61" s="203"/>
      <c r="K61" s="203"/>
      <c r="L61" s="203"/>
      <c r="M61" s="75"/>
    </row>
    <row r="62" spans="1:15" ht="18.75" x14ac:dyDescent="0.3">
      <c r="A62" s="111" t="s">
        <v>119</v>
      </c>
      <c r="C62" s="138"/>
      <c r="D62" s="138"/>
      <c r="E62" s="138"/>
      <c r="F62" s="138"/>
      <c r="G62" s="111"/>
      <c r="H62" s="74"/>
      <c r="I62" s="111"/>
      <c r="J62" s="111"/>
      <c r="K62" s="111"/>
      <c r="L62" s="74"/>
      <c r="M62" s="74"/>
    </row>
    <row r="63" spans="1:15" ht="18.75" x14ac:dyDescent="0.3">
      <c r="A63" s="111" t="s">
        <v>120</v>
      </c>
      <c r="C63" s="138"/>
      <c r="D63" s="138"/>
      <c r="E63" s="138"/>
      <c r="F63" s="138"/>
      <c r="G63" s="74"/>
      <c r="H63" s="74"/>
      <c r="I63" s="74"/>
      <c r="J63" s="74"/>
      <c r="K63" s="74"/>
      <c r="L63" s="74"/>
      <c r="M63" s="74"/>
    </row>
    <row r="64" spans="1:15" ht="18.75" x14ac:dyDescent="0.3">
      <c r="A64" s="111" t="s">
        <v>99</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K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1.42578125" defaultRowHeight="18" x14ac:dyDescent="0.25"/>
  <cols>
    <col min="1" max="1" width="35.7109375" style="80" customWidth="1"/>
    <col min="2" max="2" width="18.28515625" style="80" customWidth="1"/>
    <col min="3" max="3" width="17.7109375" style="80" customWidth="1"/>
    <col min="4" max="4" width="11.7109375" style="80" customWidth="1"/>
    <col min="5" max="5" width="4.7109375" style="80" customWidth="1"/>
    <col min="6" max="7" width="13" style="80" customWidth="1"/>
    <col min="8" max="8" width="11.7109375" style="80" customWidth="1"/>
    <col min="9" max="9" width="12.42578125" style="80" customWidth="1"/>
    <col min="10" max="10" width="11.42578125" style="80"/>
    <col min="11" max="12" width="17.28515625" style="80" bestFit="1" customWidth="1"/>
    <col min="13" max="16384" width="11.42578125" style="80"/>
  </cols>
  <sheetData>
    <row r="1" spans="1:11" ht="18.75" customHeight="1" x14ac:dyDescent="0.3">
      <c r="A1" s="79" t="s">
        <v>75</v>
      </c>
      <c r="B1" s="73" t="s">
        <v>52</v>
      </c>
      <c r="C1" s="79"/>
      <c r="D1" s="79"/>
      <c r="E1" s="79"/>
      <c r="F1" s="74"/>
      <c r="G1" s="74"/>
      <c r="H1" s="74"/>
      <c r="I1" s="74"/>
      <c r="J1" s="74"/>
    </row>
    <row r="2" spans="1:11" ht="20.100000000000001" customHeight="1" x14ac:dyDescent="0.3">
      <c r="A2" s="79" t="s">
        <v>153</v>
      </c>
      <c r="B2" s="79"/>
      <c r="C2" s="79"/>
      <c r="D2" s="79"/>
      <c r="E2" s="79"/>
      <c r="F2" s="74"/>
      <c r="G2" s="74"/>
      <c r="H2" s="74"/>
      <c r="I2" s="74"/>
      <c r="J2" s="74"/>
    </row>
    <row r="3" spans="1:11" ht="20.100000000000001" customHeight="1" x14ac:dyDescent="0.3">
      <c r="A3" s="75"/>
      <c r="B3" s="75"/>
      <c r="C3" s="75"/>
      <c r="D3" s="75"/>
      <c r="E3" s="260"/>
      <c r="F3" s="74"/>
      <c r="G3" s="74"/>
      <c r="H3" s="74"/>
      <c r="I3" s="74"/>
      <c r="J3" s="74"/>
    </row>
    <row r="4" spans="1:11" ht="20.100000000000001" customHeight="1" x14ac:dyDescent="0.3">
      <c r="A4" s="261"/>
      <c r="B4" s="994" t="s">
        <v>154</v>
      </c>
      <c r="C4" s="994"/>
      <c r="D4" s="995"/>
      <c r="E4" s="88"/>
      <c r="F4" s="996" t="s">
        <v>154</v>
      </c>
      <c r="G4" s="994"/>
      <c r="H4" s="995"/>
      <c r="I4" s="74"/>
      <c r="J4" s="74"/>
    </row>
    <row r="5" spans="1:11" ht="18.75" customHeight="1" x14ac:dyDescent="0.3">
      <c r="A5" s="262" t="s">
        <v>347</v>
      </c>
      <c r="B5" s="997" t="s">
        <v>155</v>
      </c>
      <c r="C5" s="998"/>
      <c r="D5" s="999"/>
      <c r="E5" s="263"/>
      <c r="F5" s="1000" t="s">
        <v>156</v>
      </c>
      <c r="G5" s="1001"/>
      <c r="H5" s="1002"/>
      <c r="I5" s="111"/>
      <c r="J5" s="74"/>
    </row>
    <row r="6" spans="1:11" ht="18.75" customHeight="1" x14ac:dyDescent="0.3">
      <c r="A6" s="121"/>
      <c r="B6" s="119"/>
      <c r="C6" s="191"/>
      <c r="D6" s="264" t="s">
        <v>79</v>
      </c>
      <c r="E6" s="264"/>
      <c r="F6" s="122"/>
      <c r="G6" s="123"/>
      <c r="H6" s="93" t="s">
        <v>79</v>
      </c>
      <c r="I6" s="99"/>
      <c r="J6" s="74"/>
    </row>
    <row r="7" spans="1:11" ht="18.75" customHeight="1" x14ac:dyDescent="0.3">
      <c r="A7" s="125"/>
      <c r="B7" s="96">
        <v>2021</v>
      </c>
      <c r="C7" s="96">
        <v>2022</v>
      </c>
      <c r="D7" s="265" t="s">
        <v>81</v>
      </c>
      <c r="E7" s="264"/>
      <c r="F7" s="96">
        <v>2021</v>
      </c>
      <c r="G7" s="126">
        <v>2022</v>
      </c>
      <c r="H7" s="266" t="s">
        <v>81</v>
      </c>
      <c r="I7" s="99"/>
      <c r="J7" s="74"/>
    </row>
    <row r="8" spans="1:11" ht="18.75" customHeight="1" x14ac:dyDescent="0.3">
      <c r="A8" s="100" t="s">
        <v>157</v>
      </c>
      <c r="B8" s="108">
        <f>SUM(B9:B14)</f>
        <v>165408.43461204003</v>
      </c>
      <c r="C8" s="108">
        <f>SUM(C9:C14)</f>
        <v>160895.25064535002</v>
      </c>
      <c r="D8" s="267">
        <f t="shared" ref="D8:D38" si="0">IF(B8=0, "    ---- ", IF(ABS(ROUND(100/B8*C8-100,1))&lt;999,ROUND(100/B8*C8-100,1),IF(ROUND(100/B8*C8-100,1)&gt;999,999,-999)))</f>
        <v>-2.7</v>
      </c>
      <c r="E8" s="268"/>
      <c r="F8" s="267">
        <f>SUM(F9:F14)</f>
        <v>100</v>
      </c>
      <c r="G8" s="267">
        <f>SUM(G9:G14)</f>
        <v>99.999999999999972</v>
      </c>
      <c r="H8" s="268">
        <f t="shared" ref="H8:H38" si="1">IF(F8=0, "    ---- ", IF(ABS(ROUND(100/F8*G8-100,1))&lt;999,ROUND(100/F8*G8-100,1),IF(ROUND(100/F8*G8-100,1)&gt;999,999,-999)))</f>
        <v>0</v>
      </c>
      <c r="I8" s="103"/>
      <c r="J8" s="74"/>
    </row>
    <row r="9" spans="1:11" ht="18.75" customHeight="1" x14ac:dyDescent="0.3">
      <c r="A9" s="85" t="s">
        <v>158</v>
      </c>
      <c r="B9" s="105">
        <f>'Tabell 6'!AR21</f>
        <v>4438.50874836</v>
      </c>
      <c r="C9" s="105">
        <f>'Tabell 6'!AS21</f>
        <v>3886.2476431</v>
      </c>
      <c r="D9" s="269">
        <f t="shared" si="0"/>
        <v>-12.4</v>
      </c>
      <c r="E9" s="269"/>
      <c r="F9" s="269">
        <f>'Tabell 6'!AR21/'Tabell 6'!AR29*100</f>
        <v>2.6833630091297191</v>
      </c>
      <c r="G9" s="269">
        <f>'Tabell 6'!AS21/'Tabell 6'!AS29*100</f>
        <v>2.4153899058625288</v>
      </c>
      <c r="H9" s="270">
        <f t="shared" si="1"/>
        <v>-10</v>
      </c>
      <c r="I9" s="103"/>
      <c r="J9" s="76"/>
    </row>
    <row r="10" spans="1:11" ht="18.75" customHeight="1" x14ac:dyDescent="0.3">
      <c r="A10" s="85" t="s">
        <v>159</v>
      </c>
      <c r="B10" s="104">
        <f>'Tabell 6'!AR18+'Tabell 6'!AR22</f>
        <v>77602.908791820009</v>
      </c>
      <c r="C10" s="104">
        <f>'Tabell 6'!AS18+'Tabell 6'!AS22</f>
        <v>74978.770680500005</v>
      </c>
      <c r="D10" s="269">
        <f t="shared" si="0"/>
        <v>-3.4</v>
      </c>
      <c r="E10" s="269"/>
      <c r="F10" s="269">
        <f>('Tabell 6'!AR18+'Tabell 6'!AR22)/'Tabell 6'!AR29*100</f>
        <v>46.915932052579457</v>
      </c>
      <c r="G10" s="269">
        <f>('Tabell 6'!AS18+'Tabell 6'!AS22)/'Tabell 6'!AS29*100</f>
        <v>46.600984416731094</v>
      </c>
      <c r="H10" s="270">
        <f t="shared" si="1"/>
        <v>-0.7</v>
      </c>
      <c r="I10" s="103"/>
      <c r="J10" s="74"/>
    </row>
    <row r="11" spans="1:11" ht="18.75" customHeight="1" x14ac:dyDescent="0.3">
      <c r="A11" s="85" t="s">
        <v>160</v>
      </c>
      <c r="B11" s="104">
        <f>'Tabell 6'!AR14</f>
        <v>1008.9620597500001</v>
      </c>
      <c r="C11" s="104">
        <f>'Tabell 6'!AS14</f>
        <v>1400.74044675</v>
      </c>
      <c r="D11" s="269">
        <f t="shared" si="0"/>
        <v>38.799999999999997</v>
      </c>
      <c r="E11" s="269"/>
      <c r="F11" s="269">
        <f>'Tabell 6'!AR14/'Tabell 6'!AR29*100</f>
        <v>0.60998223102496985</v>
      </c>
      <c r="G11" s="269">
        <f>'Tabell 6'!AS14/'Tabell 6'!AS29*100</f>
        <v>0.87059154395896543</v>
      </c>
      <c r="H11" s="270">
        <f t="shared" si="1"/>
        <v>42.7</v>
      </c>
      <c r="I11" s="103"/>
      <c r="J11" s="74"/>
    </row>
    <row r="12" spans="1:11" ht="18.75" customHeight="1" x14ac:dyDescent="0.3">
      <c r="A12" s="107" t="s">
        <v>161</v>
      </c>
      <c r="B12" s="104">
        <f>'Tabell 6'!AR15</f>
        <v>25357.45359628</v>
      </c>
      <c r="C12" s="104">
        <f>'Tabell 6'!AS15</f>
        <v>27213.839779090002</v>
      </c>
      <c r="D12" s="271">
        <f t="shared" si="0"/>
        <v>7.3</v>
      </c>
      <c r="E12" s="271"/>
      <c r="F12" s="269">
        <f>'Tabell 6'!AR15/'Tabell 6'!AR29*100</f>
        <v>15.330205896546367</v>
      </c>
      <c r="G12" s="269">
        <f>'Tabell 6'!AS15/'Tabell 6'!AS29*100</f>
        <v>16.914010618669867</v>
      </c>
      <c r="H12" s="270">
        <f t="shared" si="1"/>
        <v>10.3</v>
      </c>
      <c r="I12" s="103"/>
      <c r="J12" s="74"/>
      <c r="K12" s="135"/>
    </row>
    <row r="13" spans="1:11" ht="18.75" customHeight="1" x14ac:dyDescent="0.3">
      <c r="A13" s="85" t="s">
        <v>162</v>
      </c>
      <c r="B13" s="104">
        <f>'Tabell 6'!AR19+'Tabell 6'!AR23</f>
        <v>33862.800207690001</v>
      </c>
      <c r="C13" s="104">
        <f>'Tabell 6'!AS19+'Tabell 6'!AS23</f>
        <v>35048.22495263</v>
      </c>
      <c r="D13" s="269">
        <f t="shared" si="0"/>
        <v>3.5</v>
      </c>
      <c r="E13" s="269"/>
      <c r="F13" s="269">
        <f>('Tabell 6'!AR19+'Tabell 6'!AR23)/'Tabell 6'!AR29*100</f>
        <v>20.472233043686121</v>
      </c>
      <c r="G13" s="269">
        <f>('Tabell 6'!AS19+'Tabell 6'!AS23)/'Tabell 6'!AS29*100</f>
        <v>21.78325638081407</v>
      </c>
      <c r="H13" s="270">
        <f t="shared" si="1"/>
        <v>6.4</v>
      </c>
      <c r="I13" s="103"/>
      <c r="J13" s="74"/>
    </row>
    <row r="14" spans="1:11" ht="18.75" customHeight="1" x14ac:dyDescent="0.3">
      <c r="A14" s="85" t="s">
        <v>163</v>
      </c>
      <c r="B14" s="176">
        <f>'Tabell 6'!AR17-'Tabell 6'!AR18+'Tabell 6'!AR24+'Tabell 6'!AR25+'Tabell 6'!AR26+'Tabell 6'!AR28</f>
        <v>23137.801208140001</v>
      </c>
      <c r="C14" s="176">
        <f>'Tabell 6'!AS17-'Tabell 6'!AS18+'Tabell 6'!AS24+'Tabell 6'!AS25+'Tabell 6'!AS26+'Tabell 6'!AS28</f>
        <v>18367.427143280001</v>
      </c>
      <c r="D14" s="269">
        <f t="shared" si="0"/>
        <v>-20.6</v>
      </c>
      <c r="E14" s="269"/>
      <c r="F14" s="269">
        <f>('Tabell 6'!AR17-'Tabell 6'!AR18+'Tabell 6'!AR24+'Tabell 6'!AR25+'Tabell 6'!AR26+'Tabell 6'!AR28)/'Tabell 6'!AR29*100</f>
        <v>13.988283767033371</v>
      </c>
      <c r="G14" s="269">
        <f>('Tabell 6'!AS17-'Tabell 6'!AS18+'Tabell 6'!AS24+'Tabell 6'!AS25+'Tabell 6'!AS26+'Tabell 6'!AS28)/'Tabell 6'!AS29*100</f>
        <v>11.415767133963461</v>
      </c>
      <c r="H14" s="270">
        <f t="shared" si="1"/>
        <v>-18.399999999999999</v>
      </c>
      <c r="I14" s="103"/>
      <c r="J14" s="74"/>
    </row>
    <row r="15" spans="1:11" ht="18.75" customHeight="1" x14ac:dyDescent="0.3">
      <c r="A15" s="192"/>
      <c r="B15" s="102"/>
      <c r="C15" s="176"/>
      <c r="D15" s="270"/>
      <c r="E15" s="270"/>
      <c r="F15" s="270"/>
      <c r="G15" s="269"/>
      <c r="H15" s="270"/>
      <c r="I15" s="103"/>
      <c r="J15" s="74"/>
    </row>
    <row r="16" spans="1:11" s="134" customFormat="1" ht="18.75" customHeight="1" x14ac:dyDescent="0.3">
      <c r="A16" s="100" t="s">
        <v>164</v>
      </c>
      <c r="B16" s="108">
        <f>SUM(B17:B22)</f>
        <v>1279701.63261798</v>
      </c>
      <c r="C16" s="108">
        <f>SUM(C17:C22)</f>
        <v>1280883.0151273599</v>
      </c>
      <c r="D16" s="267">
        <f t="shared" si="0"/>
        <v>0.1</v>
      </c>
      <c r="E16" s="267"/>
      <c r="F16" s="267">
        <f>SUM(F17:F22)</f>
        <v>100</v>
      </c>
      <c r="G16" s="267">
        <f>SUM(G17:G22)</f>
        <v>100</v>
      </c>
      <c r="H16" s="268">
        <f t="shared" si="1"/>
        <v>0</v>
      </c>
      <c r="I16" s="109"/>
      <c r="J16" s="75"/>
    </row>
    <row r="17" spans="1:10" ht="18.75" customHeight="1" x14ac:dyDescent="0.3">
      <c r="A17" s="85" t="s">
        <v>158</v>
      </c>
      <c r="B17" s="102">
        <f>'Tabell 6'!AR40</f>
        <v>274613.91199815995</v>
      </c>
      <c r="C17" s="102">
        <f>'Tabell 6'!AS40</f>
        <v>259805.29241614</v>
      </c>
      <c r="D17" s="269">
        <f t="shared" si="0"/>
        <v>-5.4</v>
      </c>
      <c r="E17" s="269"/>
      <c r="F17" s="269">
        <f>'Tabell 6'!AR40/('Tabell 6'!AR45+'Tabell 6'!AR46)*100</f>
        <v>21.459214007280902</v>
      </c>
      <c r="G17" s="269">
        <f>'Tabell 6'!AS40/('Tabell 6'!AS45+'Tabell 6'!AS46)*100</f>
        <v>20.283295925374354</v>
      </c>
      <c r="H17" s="270">
        <f t="shared" si="1"/>
        <v>-5.5</v>
      </c>
      <c r="I17" s="103"/>
      <c r="J17" s="74"/>
    </row>
    <row r="18" spans="1:10" ht="18.75" customHeight="1" x14ac:dyDescent="0.3">
      <c r="A18" s="85" t="s">
        <v>159</v>
      </c>
      <c r="B18" s="102">
        <f>'Tabell 6'!AR37+'Tabell 6'!AR41</f>
        <v>336143.66679256002</v>
      </c>
      <c r="C18" s="102">
        <f>'Tabell 6'!AS37+'Tabell 6'!AS41</f>
        <v>323702.73480747</v>
      </c>
      <c r="D18" s="269">
        <f t="shared" si="0"/>
        <v>-3.7</v>
      </c>
      <c r="E18" s="269"/>
      <c r="F18" s="269">
        <f>('Tabell 6'!AR37+'Tabell 6'!AR41)/('Tabell 6'!AR45+'Tabell 6'!AR46)*100</f>
        <v>26.267346874043294</v>
      </c>
      <c r="G18" s="269">
        <f>('Tabell 6'!AS37+'Tabell 6'!AS41)/('Tabell 6'!AS45+'Tabell 6'!AS46)*100</f>
        <v>25.271842235747329</v>
      </c>
      <c r="H18" s="270">
        <f t="shared" si="1"/>
        <v>-3.8</v>
      </c>
      <c r="I18" s="103"/>
      <c r="J18" s="74"/>
    </row>
    <row r="19" spans="1:10" ht="18.75" customHeight="1" x14ac:dyDescent="0.3">
      <c r="A19" s="85" t="s">
        <v>160</v>
      </c>
      <c r="B19" s="102">
        <f>'Tabell 6'!AR33</f>
        <v>19.31040771</v>
      </c>
      <c r="C19" s="102">
        <f>'Tabell 6'!AS33</f>
        <v>14.22554581</v>
      </c>
      <c r="D19" s="269">
        <f t="shared" si="0"/>
        <v>-26.3</v>
      </c>
      <c r="E19" s="269"/>
      <c r="F19" s="269">
        <f>'Tabell 6'!AR33/('Tabell 6'!AR45+'Tabell 6'!AR46)*100</f>
        <v>1.5089773442341612E-3</v>
      </c>
      <c r="G19" s="269">
        <f>'Tabell 6'!AS33/('Tabell 6'!AS45+'Tabell 6'!AS46)*100</f>
        <v>1.110604609632171E-3</v>
      </c>
      <c r="H19" s="270">
        <f t="shared" si="1"/>
        <v>-26.4</v>
      </c>
      <c r="I19" s="103"/>
      <c r="J19" s="74"/>
    </row>
    <row r="20" spans="1:10" ht="18.75" customHeight="1" x14ac:dyDescent="0.3">
      <c r="A20" s="107" t="s">
        <v>161</v>
      </c>
      <c r="B20" s="104">
        <f>'Tabell 6'!AR34</f>
        <v>176913.17971202999</v>
      </c>
      <c r="C20" s="104">
        <f>'Tabell 6'!AS34</f>
        <v>181234.90548111001</v>
      </c>
      <c r="D20" s="271">
        <f t="shared" si="0"/>
        <v>2.4</v>
      </c>
      <c r="E20" s="271"/>
      <c r="F20" s="269">
        <f>'Tabell 6'!AR34/('Tabell 6'!AR45+'Tabell 6'!AR46)*100</f>
        <v>13.824564664351147</v>
      </c>
      <c r="G20" s="269">
        <f>'Tabell 6'!AS34/('Tabell 6'!AS45+'Tabell 6'!AS46)*100</f>
        <v>14.149216075215859</v>
      </c>
      <c r="H20" s="270">
        <f t="shared" si="1"/>
        <v>2.2999999999999998</v>
      </c>
      <c r="I20" s="103"/>
      <c r="J20" s="74"/>
    </row>
    <row r="21" spans="1:10" ht="18.75" customHeight="1" x14ac:dyDescent="0.3">
      <c r="A21" s="85" t="s">
        <v>162</v>
      </c>
      <c r="B21" s="102">
        <f>'Tabell 6'!AR38+'Tabell 6'!AR42</f>
        <v>483128.77630883997</v>
      </c>
      <c r="C21" s="102">
        <f>'Tabell 6'!AS38+'Tabell 6'!AS42</f>
        <v>504165.38146008999</v>
      </c>
      <c r="D21" s="269">
        <f t="shared" si="0"/>
        <v>4.4000000000000004</v>
      </c>
      <c r="E21" s="269"/>
      <c r="F21" s="269">
        <f>('Tabell 6'!AR38+'Tabell 6'!AR42)/('Tabell 6'!AR45+'Tabell 6'!AR46)*100</f>
        <v>37.753235910191648</v>
      </c>
      <c r="G21" s="269">
        <f>('Tabell 6'!AS38+'Tabell 6'!AS42)/('Tabell 6'!AS45+'Tabell 6'!AS46)*100</f>
        <v>39.360767182158327</v>
      </c>
      <c r="H21" s="270">
        <f t="shared" si="1"/>
        <v>4.3</v>
      </c>
      <c r="I21" s="103"/>
      <c r="J21" s="74"/>
    </row>
    <row r="22" spans="1:10" ht="18.75" customHeight="1" x14ac:dyDescent="0.3">
      <c r="A22" s="192" t="s">
        <v>163</v>
      </c>
      <c r="B22" s="102">
        <f>'Tabell 6'!AR36-'Tabell 6'!AR37+'Tabell 6'!AR43+'Tabell 6'!AR44+'Tabell 6'!AR46</f>
        <v>8882.7873986800059</v>
      </c>
      <c r="C22" s="102">
        <f>'Tabell 6'!AS36-'Tabell 6'!AS37+'Tabell 6'!AS43+'Tabell 6'!AS44+'Tabell 6'!AS46</f>
        <v>11960.475416739995</v>
      </c>
      <c r="D22" s="269">
        <f t="shared" si="0"/>
        <v>34.6</v>
      </c>
      <c r="E22" s="269"/>
      <c r="F22" s="270">
        <f>('Tabell 6'!AR36-'Tabell 6'!AR37+'Tabell 6'!AR43+'Tabell 6'!AR44+'Tabell 6'!AR46)/('Tabell 6'!AR45+'Tabell 6'!AR46)*100</f>
        <v>0.69412956678877036</v>
      </c>
      <c r="G22" s="270">
        <f>('Tabell 6'!AS36-'Tabell 6'!AS37+'Tabell 6'!AS43+'Tabell 6'!AS44+'Tabell 6'!AS46)/('Tabell 6'!AS45+'Tabell 6'!AS46)*100</f>
        <v>0.93376797689449786</v>
      </c>
      <c r="H22" s="270">
        <f t="shared" si="1"/>
        <v>34.5</v>
      </c>
      <c r="I22" s="103"/>
      <c r="J22" s="74"/>
    </row>
    <row r="23" spans="1:10" ht="18.75" customHeight="1" x14ac:dyDescent="0.3">
      <c r="A23" s="85"/>
      <c r="B23" s="176"/>
      <c r="C23" s="176"/>
      <c r="D23" s="270"/>
      <c r="E23" s="269"/>
      <c r="F23" s="269"/>
      <c r="G23" s="270"/>
      <c r="H23" s="270"/>
      <c r="I23" s="181"/>
      <c r="J23" s="74"/>
    </row>
    <row r="24" spans="1:10" ht="18.75" customHeight="1" x14ac:dyDescent="0.3">
      <c r="A24" s="136" t="s">
        <v>165</v>
      </c>
      <c r="B24" s="108">
        <f>SUM(B25:B30)</f>
        <v>557091.72921923012</v>
      </c>
      <c r="C24" s="108">
        <f>SUM(C25:C30)</f>
        <v>539964.4070028601</v>
      </c>
      <c r="D24" s="267">
        <f t="shared" si="0"/>
        <v>-3.1</v>
      </c>
      <c r="E24" s="267"/>
      <c r="F24" s="268">
        <f>SUM(F25:F30)</f>
        <v>100.0020552447793</v>
      </c>
      <c r="G24" s="268">
        <f>SUM(G25:G30)</f>
        <v>100.00050584407737</v>
      </c>
      <c r="H24" s="270">
        <f t="shared" si="1"/>
        <v>0</v>
      </c>
      <c r="I24" s="181"/>
      <c r="J24" s="74"/>
    </row>
    <row r="25" spans="1:10" ht="18.75" customHeight="1" x14ac:dyDescent="0.3">
      <c r="A25" s="192" t="s">
        <v>158</v>
      </c>
      <c r="B25" s="102">
        <f>'Tabell 6'!AR55</f>
        <v>363687.79020720703</v>
      </c>
      <c r="C25" s="102">
        <f>'Tabell 6'!AS55</f>
        <v>343328.00295957003</v>
      </c>
      <c r="D25" s="269">
        <f t="shared" si="0"/>
        <v>-5.6</v>
      </c>
      <c r="E25" s="269"/>
      <c r="F25" s="269">
        <f>'Tabell 6'!AR55/('Tabell 6'!AR60+'Tabell 6'!AR61)*100</f>
        <v>65.283286599303736</v>
      </c>
      <c r="G25" s="269">
        <f>'Tabell 6'!AS55/('Tabell 6'!AS60+'Tabell 6'!AS61)*100</f>
        <v>63.583450780627395</v>
      </c>
      <c r="H25" s="270">
        <f t="shared" si="1"/>
        <v>-2.6</v>
      </c>
      <c r="I25" s="181"/>
      <c r="J25" s="74"/>
    </row>
    <row r="26" spans="1:10" ht="18.75" customHeight="1" x14ac:dyDescent="0.3">
      <c r="A26" s="192" t="s">
        <v>159</v>
      </c>
      <c r="B26" s="102">
        <f>'Tabell 6'!AR52+'Tabell 6'!AR56</f>
        <v>170951.66833542002</v>
      </c>
      <c r="C26" s="102">
        <f>'Tabell 6'!AS52+'Tabell 6'!AS56</f>
        <v>170659.38389426999</v>
      </c>
      <c r="D26" s="269">
        <f t="shared" si="0"/>
        <v>-0.2</v>
      </c>
      <c r="E26" s="269"/>
      <c r="F26" s="269">
        <f>('Tabell 6'!AR52+'Tabell 6'!AR56)/('Tabell 6'!AR60+'Tabell 6'!AR61)*100</f>
        <v>30.686448814275273</v>
      </c>
      <c r="G26" s="269">
        <f>('Tabell 6'!AS52+'Tabell 6'!AS56)/('Tabell 6'!AS60+'Tabell 6'!AS61)*100</f>
        <v>31.605672833425498</v>
      </c>
      <c r="H26" s="270">
        <f t="shared" si="1"/>
        <v>3</v>
      </c>
      <c r="I26" s="181"/>
      <c r="J26" s="74"/>
    </row>
    <row r="27" spans="1:10" ht="18.75" customHeight="1" x14ac:dyDescent="0.3">
      <c r="A27" s="192" t="s">
        <v>160</v>
      </c>
      <c r="B27" s="102">
        <f>'Tabell 6'!AR48</f>
        <v>0</v>
      </c>
      <c r="C27" s="102">
        <f>'Tabell 6'!AS48</f>
        <v>0</v>
      </c>
      <c r="D27" s="269" t="str">
        <f t="shared" si="0"/>
        <v xml:space="preserve">    ---- </v>
      </c>
      <c r="E27" s="269"/>
      <c r="F27" s="269">
        <f>'Tabell 6'!AR48/('Tabell 6'!AR60+'Tabell 6'!AR61)*100</f>
        <v>0</v>
      </c>
      <c r="G27" s="269">
        <f>'Tabell 6'!AS48/('Tabell 6'!AS60+'Tabell 6'!AS61)*100</f>
        <v>0</v>
      </c>
      <c r="H27" s="270" t="str">
        <f t="shared" si="1"/>
        <v xml:space="preserve">    ---- </v>
      </c>
      <c r="I27" s="181"/>
      <c r="J27" s="74"/>
    </row>
    <row r="28" spans="1:10" ht="18.75" customHeight="1" x14ac:dyDescent="0.3">
      <c r="A28" s="107" t="s">
        <v>161</v>
      </c>
      <c r="B28" s="104">
        <f>'Tabell 6'!AR49</f>
        <v>16006.500594613</v>
      </c>
      <c r="C28" s="104">
        <f>'Tabell 6'!AS49</f>
        <v>17506.464702040001</v>
      </c>
      <c r="D28" s="271">
        <f t="shared" si="0"/>
        <v>9.4</v>
      </c>
      <c r="E28" s="271"/>
      <c r="F28" s="269">
        <f>'Tabell 6'!AR49/('Tabell 6'!AR60+'Tabell 6'!AR61)*100</f>
        <v>2.8732253155232228</v>
      </c>
      <c r="G28" s="269">
        <f>'Tabell 6'!AS49/('Tabell 6'!AS60+'Tabell 6'!AS61)*100</f>
        <v>3.2421516075868455</v>
      </c>
      <c r="H28" s="270">
        <f t="shared" si="1"/>
        <v>12.8</v>
      </c>
      <c r="I28" s="181"/>
      <c r="J28" s="74"/>
    </row>
    <row r="29" spans="1:10" ht="18.75" customHeight="1" x14ac:dyDescent="0.3">
      <c r="A29" s="192" t="s">
        <v>162</v>
      </c>
      <c r="B29" s="102">
        <f>'Tabell 6'!AR53+'Tabell 6'!AR57</f>
        <v>4470.92628307</v>
      </c>
      <c r="C29" s="102">
        <f>'Tabell 6'!AS53+'Tabell 6'!AS57</f>
        <v>5061.0034411400002</v>
      </c>
      <c r="D29" s="269">
        <f t="shared" si="0"/>
        <v>13.2</v>
      </c>
      <c r="E29" s="269"/>
      <c r="F29" s="269">
        <f>('Tabell 6'!AR53+'Tabell 6'!AR57)/('Tabell 6'!AR60+'Tabell 6'!AR61)*100</f>
        <v>0.80254759648578</v>
      </c>
      <c r="G29" s="269">
        <f>('Tabell 6'!AS53+'Tabell 6'!AS57)/('Tabell 6'!AS60+'Tabell 6'!AS61)*100</f>
        <v>0.93728463867308098</v>
      </c>
      <c r="H29" s="270">
        <f t="shared" si="1"/>
        <v>16.8</v>
      </c>
      <c r="I29" s="181"/>
      <c r="J29" s="74"/>
    </row>
    <row r="30" spans="1:10" ht="18.75" customHeight="1" x14ac:dyDescent="0.3">
      <c r="A30" s="85" t="s">
        <v>163</v>
      </c>
      <c r="B30" s="102">
        <f>'Tabell 6'!AR51-'Tabell 6'!AR52+'Tabell 6'!AR58+'Tabell 6'!AR59+'Tabell 6'!AR61</f>
        <v>1974.8437989200002</v>
      </c>
      <c r="C30" s="102">
        <f>'Tabell 6'!AS51-'Tabell 6'!AS52+'Tabell 6'!AS58+'Tabell 6'!AS59+'Tabell 6'!AS61</f>
        <v>3409.5520058400007</v>
      </c>
      <c r="D30" s="270">
        <f t="shared" si="0"/>
        <v>72.599999999999994</v>
      </c>
      <c r="E30" s="270"/>
      <c r="F30" s="270">
        <f>('Tabell 6'!AO51-'Tabell 6'!AO52+'Tabell 6'!AO58+'Tabell 6'!AO59+'Tabell 6'!AO61)/('Tabell 6'!AO60+'Tabell 6'!AO61)*100</f>
        <v>0.35654691919129106</v>
      </c>
      <c r="G30" s="270">
        <f>('Tabell 6'!AP51-'Tabell 6'!AP52+'Tabell 6'!AP58+'Tabell 6'!AP59+'Tabell 6'!AP61)/('Tabell 6'!AP60+'Tabell 6'!AP61)*100</f>
        <v>0.63194598376455124</v>
      </c>
      <c r="H30" s="270">
        <f t="shared" si="1"/>
        <v>77.2</v>
      </c>
      <c r="I30" s="181"/>
      <c r="J30" s="74"/>
    </row>
    <row r="31" spans="1:10" ht="18.75" customHeight="1" x14ac:dyDescent="0.3">
      <c r="A31" s="192"/>
      <c r="B31" s="176"/>
      <c r="C31" s="176"/>
      <c r="D31" s="269"/>
      <c r="E31" s="269"/>
      <c r="F31" s="269"/>
      <c r="G31" s="270"/>
      <c r="H31" s="270"/>
      <c r="I31" s="181"/>
      <c r="J31" s="74"/>
    </row>
    <row r="32" spans="1:10" ht="18.75" customHeight="1" x14ac:dyDescent="0.3">
      <c r="A32" s="136" t="s">
        <v>2</v>
      </c>
      <c r="B32" s="108">
        <f>SUM(B33:B38)</f>
        <v>2002201.7964492498</v>
      </c>
      <c r="C32" s="108">
        <f>SUM(C33:C38)</f>
        <v>1981742.6727755698</v>
      </c>
      <c r="D32" s="267">
        <f t="shared" si="0"/>
        <v>-1</v>
      </c>
      <c r="E32" s="267"/>
      <c r="F32" s="267">
        <f>SUM(F33:F38)</f>
        <v>100</v>
      </c>
      <c r="G32" s="267">
        <f>SUM(G33:G38)</f>
        <v>100.00000000000001</v>
      </c>
      <c r="H32" s="268">
        <f t="shared" si="1"/>
        <v>0</v>
      </c>
      <c r="I32" s="181"/>
      <c r="J32" s="74"/>
    </row>
    <row r="33" spans="1:10" ht="18.75" customHeight="1" x14ac:dyDescent="0.3">
      <c r="A33" s="192" t="s">
        <v>158</v>
      </c>
      <c r="B33" s="102">
        <f t="shared" ref="B33:C38" si="2">B9+B17+B25</f>
        <v>642740.2109537269</v>
      </c>
      <c r="C33" s="102">
        <f t="shared" si="2"/>
        <v>607019.54301880999</v>
      </c>
      <c r="D33" s="269">
        <f t="shared" si="0"/>
        <v>-5.6</v>
      </c>
      <c r="E33" s="269"/>
      <c r="F33" s="269">
        <f>B33/B32*100</f>
        <v>32.101669876312016</v>
      </c>
      <c r="G33" s="269">
        <f>C33/C32*100</f>
        <v>30.630593535569201</v>
      </c>
      <c r="H33" s="270">
        <f t="shared" si="1"/>
        <v>-4.5999999999999996</v>
      </c>
      <c r="I33" s="181"/>
      <c r="J33" s="74"/>
    </row>
    <row r="34" spans="1:10" ht="18.75" customHeight="1" x14ac:dyDescent="0.3">
      <c r="A34" s="192" t="s">
        <v>159</v>
      </c>
      <c r="B34" s="102">
        <f t="shared" si="2"/>
        <v>584698.24391980004</v>
      </c>
      <c r="C34" s="102">
        <f t="shared" si="2"/>
        <v>569340.88938224001</v>
      </c>
      <c r="D34" s="269">
        <f t="shared" si="0"/>
        <v>-2.6</v>
      </c>
      <c r="E34" s="269"/>
      <c r="F34" s="269">
        <f>B34/B32*100</f>
        <v>29.202762926130482</v>
      </c>
      <c r="G34" s="269">
        <f>C34/C32*100</f>
        <v>28.729304626863495</v>
      </c>
      <c r="H34" s="270">
        <f t="shared" si="1"/>
        <v>-1.6</v>
      </c>
      <c r="I34" s="181"/>
      <c r="J34" s="74"/>
    </row>
    <row r="35" spans="1:10" ht="18.75" customHeight="1" x14ac:dyDescent="0.3">
      <c r="A35" s="192" t="s">
        <v>160</v>
      </c>
      <c r="B35" s="102">
        <f t="shared" si="2"/>
        <v>1028.2724674600001</v>
      </c>
      <c r="C35" s="102">
        <f t="shared" si="2"/>
        <v>1414.9659925600001</v>
      </c>
      <c r="D35" s="269">
        <f t="shared" si="0"/>
        <v>37.6</v>
      </c>
      <c r="E35" s="269"/>
      <c r="F35" s="269">
        <f>B35/B32*100</f>
        <v>5.1357084449907192E-2</v>
      </c>
      <c r="G35" s="269">
        <f>C35/C32*100</f>
        <v>7.1400087004143728E-2</v>
      </c>
      <c r="H35" s="270">
        <f t="shared" si="1"/>
        <v>39</v>
      </c>
      <c r="I35" s="181"/>
      <c r="J35" s="74"/>
    </row>
    <row r="36" spans="1:10" ht="18.75" customHeight="1" x14ac:dyDescent="0.3">
      <c r="A36" s="107" t="s">
        <v>161</v>
      </c>
      <c r="B36" s="104">
        <f t="shared" si="2"/>
        <v>218277.133902923</v>
      </c>
      <c r="C36" s="104">
        <f t="shared" si="2"/>
        <v>225955.20996224001</v>
      </c>
      <c r="D36" s="271">
        <f t="shared" si="0"/>
        <v>3.5</v>
      </c>
      <c r="E36" s="271"/>
      <c r="F36" s="269">
        <f>B36/B32*100</f>
        <v>10.901854862482924</v>
      </c>
      <c r="G36" s="269">
        <f>C36/C32*100</f>
        <v>11.401844097436417</v>
      </c>
      <c r="H36" s="270">
        <f t="shared" si="1"/>
        <v>4.5999999999999996</v>
      </c>
      <c r="I36" s="181"/>
      <c r="J36" s="74"/>
    </row>
    <row r="37" spans="1:10" ht="18.75" customHeight="1" x14ac:dyDescent="0.3">
      <c r="A37" s="192" t="s">
        <v>162</v>
      </c>
      <c r="B37" s="102">
        <f t="shared" si="2"/>
        <v>521462.50279959996</v>
      </c>
      <c r="C37" s="102">
        <f t="shared" si="2"/>
        <v>544274.60985385999</v>
      </c>
      <c r="D37" s="269">
        <f t="shared" si="0"/>
        <v>4.4000000000000004</v>
      </c>
      <c r="E37" s="269"/>
      <c r="F37" s="269">
        <f>B37/B32*100</f>
        <v>26.044452848078219</v>
      </c>
      <c r="G37" s="269">
        <f>C37/C32*100</f>
        <v>27.464444164769645</v>
      </c>
      <c r="H37" s="270">
        <f t="shared" si="1"/>
        <v>5.5</v>
      </c>
      <c r="I37" s="181"/>
      <c r="J37" s="74"/>
    </row>
    <row r="38" spans="1:10" ht="18.75" customHeight="1" x14ac:dyDescent="0.3">
      <c r="A38" s="272" t="s">
        <v>163</v>
      </c>
      <c r="B38" s="273">
        <f t="shared" si="2"/>
        <v>33995.432405740008</v>
      </c>
      <c r="C38" s="273">
        <f t="shared" si="2"/>
        <v>33737.454565859996</v>
      </c>
      <c r="D38" s="274">
        <f t="shared" si="0"/>
        <v>-0.8</v>
      </c>
      <c r="E38" s="269"/>
      <c r="F38" s="274">
        <f>B38/B32*100</f>
        <v>1.6979024025464509</v>
      </c>
      <c r="G38" s="274">
        <f>C38/C32*100</f>
        <v>1.7024134883571094</v>
      </c>
      <c r="H38" s="275">
        <f t="shared" si="1"/>
        <v>0.3</v>
      </c>
      <c r="I38" s="181"/>
      <c r="J38" s="74"/>
    </row>
    <row r="39" spans="1:10" ht="18.75" customHeight="1" x14ac:dyDescent="0.3">
      <c r="A39" s="111"/>
      <c r="B39" s="111"/>
      <c r="C39" s="111"/>
      <c r="D39" s="111"/>
      <c r="E39" s="111"/>
      <c r="F39" s="181"/>
      <c r="G39" s="181"/>
      <c r="H39" s="181"/>
      <c r="I39" s="181"/>
      <c r="J39" s="74"/>
    </row>
    <row r="40" spans="1:10" ht="18.75" customHeight="1" x14ac:dyDescent="0.3">
      <c r="A40" s="111" t="s">
        <v>166</v>
      </c>
      <c r="B40" s="111"/>
      <c r="C40" s="111"/>
      <c r="D40" s="111"/>
      <c r="E40" s="111"/>
      <c r="F40" s="181"/>
      <c r="G40" s="181"/>
      <c r="H40" s="181"/>
      <c r="I40" s="181"/>
      <c r="J40" s="74"/>
    </row>
    <row r="41" spans="1:10" ht="18.75" x14ac:dyDescent="0.3">
      <c r="A41" s="111" t="s">
        <v>99</v>
      </c>
      <c r="B41" s="111"/>
      <c r="C41" s="111"/>
      <c r="D41" s="111"/>
      <c r="E41" s="111"/>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N303"/>
  <sheetViews>
    <sheetView showGridLines="0" showZeros="0" zoomScale="90" zoomScaleNormal="9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4" ht="15.75" customHeight="1" x14ac:dyDescent="0.2">
      <c r="A1" s="352">
        <v>4</v>
      </c>
      <c r="B1" s="4"/>
      <c r="C1" s="4"/>
      <c r="D1" s="4"/>
      <c r="E1" s="4"/>
      <c r="F1" s="4"/>
      <c r="G1" s="4"/>
      <c r="H1" s="4"/>
      <c r="I1" s="4"/>
      <c r="J1" s="4"/>
    </row>
    <row r="2" spans="1:14" ht="15.75" customHeight="1" x14ac:dyDescent="0.25">
      <c r="A2" s="164" t="s">
        <v>28</v>
      </c>
      <c r="B2" s="1006"/>
      <c r="C2" s="1006"/>
      <c r="D2" s="1006"/>
      <c r="E2" s="1006"/>
      <c r="F2" s="1006"/>
      <c r="G2" s="1006"/>
      <c r="H2" s="1006"/>
      <c r="I2" s="1006"/>
      <c r="J2" s="1006"/>
    </row>
    <row r="3" spans="1:14" ht="15.75" customHeight="1" x14ac:dyDescent="0.25">
      <c r="A3" s="162"/>
      <c r="B3" s="300"/>
      <c r="C3" s="300"/>
      <c r="D3" s="300"/>
      <c r="E3" s="300"/>
      <c r="F3" s="300"/>
      <c r="G3" s="300"/>
      <c r="H3" s="300"/>
      <c r="I3" s="300"/>
      <c r="J3" s="300"/>
    </row>
    <row r="4" spans="1:14" ht="15.75" customHeight="1" x14ac:dyDescent="0.2">
      <c r="A4" s="143"/>
      <c r="B4" s="1003" t="s">
        <v>0</v>
      </c>
      <c r="C4" s="1004"/>
      <c r="D4" s="1004"/>
      <c r="E4" s="1003" t="s">
        <v>1</v>
      </c>
      <c r="F4" s="1004"/>
      <c r="G4" s="1004"/>
      <c r="H4" s="1003" t="s">
        <v>2</v>
      </c>
      <c r="I4" s="1004"/>
      <c r="J4" s="1005"/>
    </row>
    <row r="5" spans="1:14" ht="15.75" customHeight="1" x14ac:dyDescent="0.2">
      <c r="A5" s="157"/>
      <c r="B5" s="20" t="s">
        <v>507</v>
      </c>
      <c r="C5" s="20" t="s">
        <v>508</v>
      </c>
      <c r="D5" s="250" t="s">
        <v>3</v>
      </c>
      <c r="E5" s="20" t="s">
        <v>507</v>
      </c>
      <c r="F5" s="20" t="s">
        <v>508</v>
      </c>
      <c r="G5" s="250" t="s">
        <v>3</v>
      </c>
      <c r="H5" s="20" t="s">
        <v>507</v>
      </c>
      <c r="I5" s="20" t="s">
        <v>508</v>
      </c>
      <c r="J5" s="250" t="s">
        <v>3</v>
      </c>
      <c r="M5" s="3"/>
      <c r="N5" s="3"/>
    </row>
    <row r="6" spans="1:14" ht="15.75" customHeight="1" x14ac:dyDescent="0.2">
      <c r="A6" s="980"/>
      <c r="B6" s="15"/>
      <c r="C6" s="15"/>
      <c r="D6" s="17" t="s">
        <v>4</v>
      </c>
      <c r="E6" s="16"/>
      <c r="F6" s="16"/>
      <c r="G6" s="15" t="s">
        <v>4</v>
      </c>
      <c r="H6" s="16"/>
      <c r="I6" s="16"/>
      <c r="J6" s="15" t="s">
        <v>4</v>
      </c>
      <c r="M6" s="332"/>
      <c r="N6" s="3"/>
    </row>
    <row r="7" spans="1:14" s="43" customFormat="1" ht="15.75" customHeight="1" x14ac:dyDescent="0.2">
      <c r="A7" s="14" t="s">
        <v>23</v>
      </c>
      <c r="B7" s="235">
        <f>'Fremtind Livsforsikring'!B7+'Storebrand Danica Pensjon'!B7+'DNB Livsforsikring'!B7+'Eika Forsikring AS'!B7+'Frende Livsforsikring'!B7+'Frende Skadeforsikring'!B7+'Gjensidige Forsikring'!B7+'Gjensidige Pensjon'!B7+'Handelsbanken Liv'!B7+'If Skadeforsikring NUF'!B7+KLP!B7+'KLP Skadeforsikring AS'!B7+'Landkreditt Forsikring'!B7+'Nordea Liv '!B7+'Oslo Pensjonsforsikring'!B7+'Protector Forsikring'!B7+'SHB Liv'!B7+'Sparebank 1 Forsikring'!B7+'Storebrand Livsforsikring'!B7+'Telenor Forsikring'!B7+'Tryg Forsikring'!B7+'WaterCircles F'!B7+'Codan Forsikring'!B7+'Euro Accident'!B7+'Ly Forsikring'!B7+'Youplus Livsforsikring'!B7</f>
        <v>4921399.6243089605</v>
      </c>
      <c r="C7" s="235">
        <f>'Fremtind Livsforsikring'!C7+'Storebrand Danica Pensjon'!C7+'DNB Livsforsikring'!C7+'Eika Forsikring AS'!C7+'Frende Livsforsikring'!C7+'Frende Skadeforsikring'!C7+'Gjensidige Forsikring'!C7+'Gjensidige Pensjon'!C7+'Handelsbanken Liv'!C7+'If Skadeforsikring NUF'!C7+KLP!C7+'KLP Skadeforsikring AS'!C7+'Landkreditt Forsikring'!C7+'Nordea Liv '!C7+'Oslo Pensjonsforsikring'!C7+'Protector Forsikring'!C7+'SHB Liv'!C7+'Sparebank 1 Forsikring'!C7+'Storebrand Livsforsikring'!C7+'Telenor Forsikring'!C7+'Tryg Forsikring'!C7+'WaterCircles F'!C7+'Codan Forsikring'!C7+'Euro Accident'!C7+'Ly Forsikring'!C7+'Youplus Livsforsikring'!C7</f>
        <v>5149456.7538098237</v>
      </c>
      <c r="D7" s="159">
        <f t="shared" ref="D7:D12" si="0">IF(B7=0, "    ---- ", IF(ABS(ROUND(100/B7*C7-100,1))&lt;999,ROUND(100/B7*C7-100,1),IF(ROUND(100/B7*C7-100,1)&gt;999,999,-999)))</f>
        <v>4.5999999999999996</v>
      </c>
      <c r="E7" s="235">
        <f>'Fremtind Livsforsikring'!F7+'Storebrand Danica Pensjon'!F7+'DNB Livsforsikring'!F7+'Eika Forsikring AS'!F7+'Frende Livsforsikring'!F7+'Frende Skadeforsikring'!F7+'Gjensidige Forsikring'!F7+'Gjensidige Pensjon'!F7+'Handelsbanken Liv'!F7+'If Skadeforsikring NUF'!F7+KLP!F7+'KLP Skadeforsikring AS'!F7+'Landkreditt Forsikring'!F7+'Nordea Liv '!F7+'Oslo Pensjonsforsikring'!F7+'Protector Forsikring'!F7+'SHB Liv'!F7+'Sparebank 1 Forsikring'!F7+'Storebrand Livsforsikring'!F7+'Telenor Forsikring'!F7+'Tryg Forsikring'!F7+'WaterCircles F'!F7+'Codan Forsikring'!F7+'Euro Accident'!F7+'Ly Forsikring'!F7+'Youplus Livsforsikring'!F7</f>
        <v>14737501.114489999</v>
      </c>
      <c r="F7" s="235">
        <f>'Fremtind Livsforsikring'!G7+'Storebrand Danica Pensjon'!G7+'DNB Livsforsikring'!G7+'Eika Forsikring AS'!G7+'Frende Livsforsikring'!G7+'Frende Skadeforsikring'!G7+'Gjensidige Forsikring'!G7+'Gjensidige Pensjon'!G7+'Handelsbanken Liv'!G7+'If Skadeforsikring NUF'!G7+KLP!G7+'KLP Skadeforsikring AS'!G7+'Landkreditt Forsikring'!G7+'Nordea Liv '!G7+'Oslo Pensjonsforsikring'!G7+'Protector Forsikring'!G7+'SHB Liv'!G7+'Sparebank 1 Forsikring'!G7+'Storebrand Livsforsikring'!G7+'Telenor Forsikring'!G7+'Tryg Forsikring'!G7+'WaterCircles F'!G7+'Codan Forsikring'!G7+'Euro Accident'!G7+'Ly Forsikring'!G7+'Youplus Livsforsikring'!G7</f>
        <v>9224652.7433100007</v>
      </c>
      <c r="G7" s="159">
        <f t="shared" ref="G7:G12" si="1">IF(E7=0, "    ---- ", IF(ABS(ROUND(100/E7*F7-100,1))&lt;999,ROUND(100/E7*F7-100,1),IF(ROUND(100/E7*F7-100,1)&gt;999,999,-999)))</f>
        <v>-37.4</v>
      </c>
      <c r="H7" s="280">
        <f t="shared" ref="H7:H12" si="2">B7+E7</f>
        <v>19658900.738798961</v>
      </c>
      <c r="I7" s="281">
        <f t="shared" ref="I7:I12" si="3">C7+F7</f>
        <v>14374109.497119825</v>
      </c>
      <c r="J7" s="170">
        <f t="shared" ref="J7:J12" si="4">IF(H7=0, "    ---- ", IF(ABS(ROUND(100/H7*I7-100,1))&lt;999,ROUND(100/H7*I7-100,1),IF(ROUND(100/H7*I7-100,1)&gt;999,999,-999)))</f>
        <v>-26.9</v>
      </c>
      <c r="M7" s="419"/>
      <c r="N7" s="419"/>
    </row>
    <row r="8" spans="1:14" ht="15.75" customHeight="1" x14ac:dyDescent="0.2">
      <c r="A8" s="21" t="s">
        <v>25</v>
      </c>
      <c r="B8" s="44">
        <f>'Fremtind Livsforsikring'!B8+'Storebrand Danica Pensjon'!B8+'DNB Livsforsikring'!B8+'Eika Forsikring AS'!B8+'Frende Livsforsikring'!B8+'Frende Skadeforsikring'!B8+'Gjensidige Forsikring'!B8+'Gjensidige Pensjon'!B8+'Handelsbanken Liv'!B8+'If Skadeforsikring NUF'!B8+KLP!B8+'KLP Skadeforsikring AS'!B8+'Landkreditt Forsikring'!B8+'Nordea Liv '!B8+'Oslo Pensjonsforsikring'!B8+'Protector Forsikring'!B8+'SHB Liv'!B8+'Sparebank 1 Forsikring'!B8+'Storebrand Livsforsikring'!B8+'Telenor Forsikring'!B8+'Tryg Forsikring'!B8+'WaterCircles F'!B8+'Codan Forsikring'!B8+'Euro Accident'!B8+'Ly Forsikring'!B8+'Youplus Livsforsikring'!B8</f>
        <v>3239033.1046086219</v>
      </c>
      <c r="C8" s="44">
        <f>'Fremtind Livsforsikring'!C8+'Storebrand Danica Pensjon'!C8+'DNB Livsforsikring'!C8+'Eika Forsikring AS'!C8+'Frende Livsforsikring'!C8+'Frende Skadeforsikring'!C8+'Gjensidige Forsikring'!C8+'Gjensidige Pensjon'!C8+'Handelsbanken Liv'!C8+'If Skadeforsikring NUF'!C8+KLP!C8+'KLP Skadeforsikring AS'!C8+'Landkreditt Forsikring'!C8+'Nordea Liv '!C8+'Oslo Pensjonsforsikring'!C8+'Protector Forsikring'!C8+'SHB Liv'!C8+'Sparebank 1 Forsikring'!C8+'Storebrand Livsforsikring'!C8+'Telenor Forsikring'!C8+'Tryg Forsikring'!C8+'WaterCircles F'!C8+'Codan Forsikring'!C8+'Euro Accident'!C8+'Ly Forsikring'!C8+'Youplus Livsforsikring'!C8</f>
        <v>3342050.412683282</v>
      </c>
      <c r="D8" s="165">
        <f t="shared" si="0"/>
        <v>3.2</v>
      </c>
      <c r="E8" s="186"/>
      <c r="F8" s="186"/>
      <c r="G8" s="175"/>
      <c r="H8" s="188">
        <f t="shared" si="2"/>
        <v>3239033.1046086219</v>
      </c>
      <c r="I8" s="189">
        <f t="shared" si="3"/>
        <v>3342050.412683282</v>
      </c>
      <c r="J8" s="170">
        <f t="shared" si="4"/>
        <v>3.2</v>
      </c>
    </row>
    <row r="9" spans="1:14" ht="15.75" customHeight="1" x14ac:dyDescent="0.2">
      <c r="A9" s="21" t="s">
        <v>24</v>
      </c>
      <c r="B9" s="44">
        <f>'Fremtind Livsforsikring'!B9+'Storebrand Danica Pensjon'!B9+'DNB Livsforsikring'!B9+'Eika Forsikring AS'!B9+'Frende Livsforsikring'!B9+'Frende Skadeforsikring'!B9+'Gjensidige Forsikring'!B9+'Gjensidige Pensjon'!B9+'Handelsbanken Liv'!B9+'If Skadeforsikring NUF'!B9+KLP!B9+'KLP Skadeforsikring AS'!B9+'Landkreditt Forsikring'!B9+'Nordea Liv '!B9+'Oslo Pensjonsforsikring'!B9+'Protector Forsikring'!B9+'SHB Liv'!B9+'Sparebank 1 Forsikring'!B9+'Storebrand Livsforsikring'!B9+'Telenor Forsikring'!B9+'Tryg Forsikring'!B9+'WaterCircles F'!B9+'Codan Forsikring'!B9+'Euro Accident'!B9+'Ly Forsikring'!B9+'Youplus Livsforsikring'!B9</f>
        <v>997073.82737033896</v>
      </c>
      <c r="C9" s="44">
        <f>'Fremtind Livsforsikring'!C9+'Storebrand Danica Pensjon'!C9+'DNB Livsforsikring'!C9+'Eika Forsikring AS'!C9+'Frende Livsforsikring'!C9+'Frende Skadeforsikring'!C9+'Gjensidige Forsikring'!C9+'Gjensidige Pensjon'!C9+'Handelsbanken Liv'!C9+'If Skadeforsikring NUF'!C9+KLP!C9+'KLP Skadeforsikring AS'!C9+'Landkreditt Forsikring'!C9+'Nordea Liv '!C9+'Oslo Pensjonsforsikring'!C9+'Protector Forsikring'!C9+'SHB Liv'!C9+'Sparebank 1 Forsikring'!C9+'Storebrand Livsforsikring'!C9+'Telenor Forsikring'!C9+'Tryg Forsikring'!C9+'WaterCircles F'!C9+'Codan Forsikring'!C9+'Euro Accident'!C9+'Ly Forsikring'!C9+'Youplus Livsforsikring'!C9</f>
        <v>1067828.2035942071</v>
      </c>
      <c r="D9" s="175">
        <f t="shared" si="0"/>
        <v>7.1</v>
      </c>
      <c r="E9" s="186"/>
      <c r="F9" s="186"/>
      <c r="G9" s="175"/>
      <c r="H9" s="188">
        <f t="shared" si="2"/>
        <v>997073.82737033896</v>
      </c>
      <c r="I9" s="189">
        <f t="shared" si="3"/>
        <v>1067828.2035942071</v>
      </c>
      <c r="J9" s="170">
        <f t="shared" si="4"/>
        <v>7.1</v>
      </c>
    </row>
    <row r="10" spans="1:14" s="43" customFormat="1" ht="15.75" customHeight="1" x14ac:dyDescent="0.2">
      <c r="A10" s="39" t="s">
        <v>426</v>
      </c>
      <c r="B10" s="235">
        <f>'Fremtind Livsforsikring'!B10+'Storebrand Danica Pensjon'!B10+'DNB Livsforsikring'!B10+'Eika Forsikring AS'!B10+'Frende Livsforsikring'!B10+'Frende Skadeforsikring'!B10+'Gjensidige Forsikring'!B10+'Gjensidige Pensjon'!B10+'Handelsbanken Liv'!B10+'If Skadeforsikring NUF'!B10+KLP!B10+'KLP Skadeforsikring AS'!B10+'Landkreditt Forsikring'!B10+'Nordea Liv '!B10+'Oslo Pensjonsforsikring'!B10+'Protector Forsikring'!B10+'SHB Liv'!B10+'Sparebank 1 Forsikring'!B10+'Storebrand Livsforsikring'!B10+'Telenor Forsikring'!B10+'Tryg Forsikring'!B10+'WaterCircles F'!B10+'Codan Forsikring'!B10+'Euro Accident'!B10+'Ly Forsikring'!B10+'Youplus Livsforsikring'!B10</f>
        <v>18862715.228700001</v>
      </c>
      <c r="C10" s="235">
        <f>'Fremtind Livsforsikring'!C10+'Storebrand Danica Pensjon'!C10+'DNB Livsforsikring'!C10+'Eika Forsikring AS'!C10+'Frende Livsforsikring'!C10+'Frende Skadeforsikring'!C10+'Gjensidige Forsikring'!C10+'Gjensidige Pensjon'!C10+'Handelsbanken Liv'!C10+'If Skadeforsikring NUF'!C10+KLP!C10+'KLP Skadeforsikring AS'!C10+'Landkreditt Forsikring'!C10+'Nordea Liv '!C10+'Oslo Pensjonsforsikring'!C10+'Protector Forsikring'!C10+'SHB Liv'!C10+'Sparebank 1 Forsikring'!C10+'Storebrand Livsforsikring'!C10+'Telenor Forsikring'!C10+'Tryg Forsikring'!C10+'WaterCircles F'!C10+'Codan Forsikring'!C10+'Euro Accident'!C10+'Ly Forsikring'!C10+'Youplus Livsforsikring'!C10</f>
        <v>17449246.428453162</v>
      </c>
      <c r="D10" s="159">
        <f t="shared" si="0"/>
        <v>-7.5</v>
      </c>
      <c r="E10" s="235">
        <f>'Fremtind Livsforsikring'!F10+'Storebrand Danica Pensjon'!F10+'DNB Livsforsikring'!F10+'Eika Forsikring AS'!F10+'Frende Livsforsikring'!F10+'Frende Skadeforsikring'!F10+'Gjensidige Forsikring'!F10+'Gjensidige Pensjon'!F10+'Handelsbanken Liv'!F10+'If Skadeforsikring NUF'!F10+KLP!F10+'KLP Skadeforsikring AS'!F10+'Landkreditt Forsikring'!F10+'Nordea Liv '!F10+'Oslo Pensjonsforsikring'!F10+'Protector Forsikring'!F10+'SHB Liv'!F10+'Sparebank 1 Forsikring'!F10+'Storebrand Livsforsikring'!F10+'Telenor Forsikring'!F10+'Tryg Forsikring'!F10+'WaterCircles F'!F10+'Codan Forsikring'!F10+'Euro Accident'!F10+'Ly Forsikring'!F10+'Youplus Livsforsikring'!F10</f>
        <v>77324438.96676001</v>
      </c>
      <c r="F10" s="235">
        <f>'Fremtind Livsforsikring'!G10+'Storebrand Danica Pensjon'!G10+'DNB Livsforsikring'!G10+'Eika Forsikring AS'!G10+'Frende Livsforsikring'!G10+'Frende Skadeforsikring'!G10+'Gjensidige Forsikring'!G10+'Gjensidige Pensjon'!G10+'Handelsbanken Liv'!G10+'If Skadeforsikring NUF'!G10+KLP!G10+'KLP Skadeforsikring AS'!G10+'Landkreditt Forsikring'!G10+'Nordea Liv '!G10+'Oslo Pensjonsforsikring'!G10+'Protector Forsikring'!G10+'SHB Liv'!G10+'Sparebank 1 Forsikring'!G10+'Storebrand Livsforsikring'!G10+'Telenor Forsikring'!G10+'Tryg Forsikring'!G10+'WaterCircles F'!G10+'Codan Forsikring'!G10+'Euro Accident'!G10+'Ly Forsikring'!G10+'Youplus Livsforsikring'!G10</f>
        <v>70785083.114940003</v>
      </c>
      <c r="G10" s="159">
        <f t="shared" si="1"/>
        <v>-8.5</v>
      </c>
      <c r="H10" s="280">
        <f t="shared" si="2"/>
        <v>96187154.195460007</v>
      </c>
      <c r="I10" s="281">
        <f t="shared" si="3"/>
        <v>88234329.543393165</v>
      </c>
      <c r="J10" s="170">
        <f t="shared" si="4"/>
        <v>-8.3000000000000007</v>
      </c>
    </row>
    <row r="11" spans="1:14" s="43" customFormat="1" ht="15.75" customHeight="1" x14ac:dyDescent="0.2">
      <c r="A11" s="39" t="s">
        <v>427</v>
      </c>
      <c r="B11" s="235">
        <f>'Fremtind Livsforsikring'!B11+'Storebrand Danica Pensjon'!B11+'DNB Livsforsikring'!B11+'Eika Forsikring AS'!B11+'Frende Livsforsikring'!B11+'Frende Skadeforsikring'!B11+'Gjensidige Forsikring'!B11+'Gjensidige Pensjon'!B11+'Handelsbanken Liv'!B11+'If Skadeforsikring NUF'!B11+KLP!B11+'KLP Skadeforsikring AS'!B11+'Landkreditt Forsikring'!B11+'Nordea Liv '!B11+'Oslo Pensjonsforsikring'!B11+'Protector Forsikring'!B11+'SHB Liv'!B11+'Sparebank 1 Forsikring'!B11+'Storebrand Livsforsikring'!B11+'Telenor Forsikring'!B11+'Tryg Forsikring'!B11+'WaterCircles F'!B11+'Codan Forsikring'!B11+'Euro Accident'!B11+'Ly Forsikring'!B11+'Youplus Livsforsikring'!B11</f>
        <v>94145.505999999994</v>
      </c>
      <c r="C11" s="235">
        <f>'Fremtind Livsforsikring'!C11+'Storebrand Danica Pensjon'!C11+'DNB Livsforsikring'!C11+'Eika Forsikring AS'!C11+'Frende Livsforsikring'!C11+'Frende Skadeforsikring'!C11+'Gjensidige Forsikring'!C11+'Gjensidige Pensjon'!C11+'Handelsbanken Liv'!C11+'If Skadeforsikring NUF'!C11+KLP!C11+'KLP Skadeforsikring AS'!C11+'Landkreditt Forsikring'!C11+'Nordea Liv '!C11+'Oslo Pensjonsforsikring'!C11+'Protector Forsikring'!C11+'SHB Liv'!C11+'Sparebank 1 Forsikring'!C11+'Storebrand Livsforsikring'!C11+'Telenor Forsikring'!C11+'Tryg Forsikring'!C11+'WaterCircles F'!C11+'Codan Forsikring'!C11+'Euro Accident'!C11+'Ly Forsikring'!C11+'Youplus Livsforsikring'!C11</f>
        <v>36447</v>
      </c>
      <c r="D11" s="170">
        <f t="shared" si="0"/>
        <v>-61.3</v>
      </c>
      <c r="E11" s="235">
        <f>'Fremtind Livsforsikring'!F11+'Storebrand Danica Pensjon'!F11+'DNB Livsforsikring'!F11+'Eika Forsikring AS'!F11+'Frende Livsforsikring'!F11+'Frende Skadeforsikring'!F11+'Gjensidige Forsikring'!F11+'Gjensidige Pensjon'!F11+'Handelsbanken Liv'!F11+'If Skadeforsikring NUF'!F11+KLP!F11+'KLP Skadeforsikring AS'!F11+'Landkreditt Forsikring'!F11+'Nordea Liv '!F11+'Oslo Pensjonsforsikring'!F11+'Protector Forsikring'!F11+'SHB Liv'!F11+'Sparebank 1 Forsikring'!F11+'Storebrand Livsforsikring'!F11+'Telenor Forsikring'!F11+'Tryg Forsikring'!F11+'WaterCircles F'!F11+'Codan Forsikring'!F11+'Euro Accident'!F11+'Ly Forsikring'!F11+'Youplus Livsforsikring'!F11</f>
        <v>669873.11148999992</v>
      </c>
      <c r="F11" s="235">
        <f>'Fremtind Livsforsikring'!G11+'Storebrand Danica Pensjon'!G11+'DNB Livsforsikring'!G11+'Eika Forsikring AS'!G11+'Frende Livsforsikring'!G11+'Frende Skadeforsikring'!G11+'Gjensidige Forsikring'!G11+'Gjensidige Pensjon'!G11+'Handelsbanken Liv'!G11+'If Skadeforsikring NUF'!G11+KLP!G11+'KLP Skadeforsikring AS'!G11+'Landkreditt Forsikring'!G11+'Nordea Liv '!G11+'Oslo Pensjonsforsikring'!G11+'Protector Forsikring'!G11+'SHB Liv'!G11+'Sparebank 1 Forsikring'!G11+'Storebrand Livsforsikring'!G11+'Telenor Forsikring'!G11+'Tryg Forsikring'!G11+'WaterCircles F'!G11+'Codan Forsikring'!G11+'Euro Accident'!G11+'Ly Forsikring'!G11+'Youplus Livsforsikring'!G11</f>
        <v>1371875.16876</v>
      </c>
      <c r="G11" s="170">
        <f t="shared" si="1"/>
        <v>104.8</v>
      </c>
      <c r="H11" s="280">
        <f t="shared" si="2"/>
        <v>764018.61748999986</v>
      </c>
      <c r="I11" s="281">
        <f t="shared" si="3"/>
        <v>1408322.16876</v>
      </c>
      <c r="J11" s="170">
        <f t="shared" si="4"/>
        <v>84.3</v>
      </c>
    </row>
    <row r="12" spans="1:14" s="43" customFormat="1" ht="15.75" customHeight="1" x14ac:dyDescent="0.2">
      <c r="A12" s="724" t="s">
        <v>428</v>
      </c>
      <c r="B12" s="279">
        <f>'Fremtind Livsforsikring'!B12+'Storebrand Danica Pensjon'!B12+'DNB Livsforsikring'!B12+'Eika Forsikring AS'!B12+'Frende Livsforsikring'!B12+'Frende Skadeforsikring'!B12+'Gjensidige Forsikring'!B12+'Gjensidige Pensjon'!B12+'Handelsbanken Liv'!B12+'If Skadeforsikring NUF'!B12+KLP!B12+'KLP Skadeforsikring AS'!B12+'Landkreditt Forsikring'!B12+'Nordea Liv '!B12+'Oslo Pensjonsforsikring'!B12+'Protector Forsikring'!B12+'SHB Liv'!B12+'Sparebank 1 Forsikring'!B12+'Storebrand Livsforsikring'!B12+'Telenor Forsikring'!B12+'Tryg Forsikring'!B12+'WaterCircles F'!B12+'Codan Forsikring'!B12+'Euro Accident'!B12+'Ly Forsikring'!B12+'Youplus Livsforsikring'!B12</f>
        <v>7169</v>
      </c>
      <c r="C12" s="279">
        <f>'Fremtind Livsforsikring'!C12+'Storebrand Danica Pensjon'!C12+'DNB Livsforsikring'!C12+'Eika Forsikring AS'!C12+'Frende Livsforsikring'!C12+'Frende Skadeforsikring'!C12+'Gjensidige Forsikring'!C12+'Gjensidige Pensjon'!C12+'Handelsbanken Liv'!C12+'If Skadeforsikring NUF'!C12+KLP!C12+'KLP Skadeforsikring AS'!C12+'Landkreditt Forsikring'!C12+'Nordea Liv '!C12+'Oslo Pensjonsforsikring'!C12+'Protector Forsikring'!C12+'SHB Liv'!C12+'Sparebank 1 Forsikring'!C12+'Storebrand Livsforsikring'!C12+'Telenor Forsikring'!C12+'Tryg Forsikring'!C12+'WaterCircles F'!C12+'Codan Forsikring'!C12+'Euro Accident'!C12+'Ly Forsikring'!C12+'Youplus Livsforsikring'!C12</f>
        <v>2921</v>
      </c>
      <c r="D12" s="169">
        <f t="shared" si="0"/>
        <v>-59.3</v>
      </c>
      <c r="E12" s="279">
        <f>'Fremtind Livsforsikring'!F12+'Storebrand Danica Pensjon'!F12+'DNB Livsforsikring'!F12+'Eika Forsikring AS'!F12+'Frende Livsforsikring'!F12+'Frende Skadeforsikring'!F12+'Gjensidige Forsikring'!F12+'Gjensidige Pensjon'!F12+'Handelsbanken Liv'!F12+'If Skadeforsikring NUF'!F12+KLP!F12+'KLP Skadeforsikring AS'!F12+'Landkreditt Forsikring'!F12+'Nordea Liv '!F12+'Oslo Pensjonsforsikring'!F12+'Protector Forsikring'!F12+'SHB Liv'!F12+'Sparebank 1 Forsikring'!F12+'Storebrand Livsforsikring'!F12+'Telenor Forsikring'!F12+'Tryg Forsikring'!F12+'WaterCircles F'!F12+'Codan Forsikring'!F12+'Euro Accident'!F12+'Ly Forsikring'!F12+'Youplus Livsforsikring'!F12</f>
        <v>178844.17853999999</v>
      </c>
      <c r="F12" s="279">
        <f>'Fremtind Livsforsikring'!G12+'Storebrand Danica Pensjon'!G12+'DNB Livsforsikring'!G12+'Eika Forsikring AS'!G12+'Frende Livsforsikring'!G12+'Frende Skadeforsikring'!G12+'Gjensidige Forsikring'!G12+'Gjensidige Pensjon'!G12+'Handelsbanken Liv'!G12+'If Skadeforsikring NUF'!G12+KLP!G12+'KLP Skadeforsikring AS'!G12+'Landkreditt Forsikring'!G12+'Nordea Liv '!G12+'Oslo Pensjonsforsikring'!G12+'Protector Forsikring'!G12+'SHB Liv'!G12+'Sparebank 1 Forsikring'!G12+'Storebrand Livsforsikring'!G12+'Telenor Forsikring'!G12+'Tryg Forsikring'!G12+'WaterCircles F'!G12+'Codan Forsikring'!G12+'Euro Accident'!G12+'Ly Forsikring'!G12+'Youplus Livsforsikring'!G12</f>
        <v>1344385.6555599999</v>
      </c>
      <c r="G12" s="168">
        <f t="shared" si="1"/>
        <v>651.70000000000005</v>
      </c>
      <c r="H12" s="282">
        <f t="shared" si="2"/>
        <v>186013.17853999999</v>
      </c>
      <c r="I12" s="283">
        <f t="shared" si="3"/>
        <v>1347306.6555599999</v>
      </c>
      <c r="J12" s="168">
        <f t="shared" si="4"/>
        <v>624.29999999999995</v>
      </c>
    </row>
    <row r="13" spans="1:14" s="43" customFormat="1" ht="15.75" customHeight="1" x14ac:dyDescent="0.2">
      <c r="A13" s="167"/>
      <c r="B13" s="35"/>
      <c r="C13" s="5"/>
      <c r="D13" s="32"/>
      <c r="E13" s="35"/>
      <c r="F13" s="5"/>
      <c r="G13" s="32"/>
      <c r="H13" s="48"/>
      <c r="I13" s="48"/>
      <c r="J13" s="32"/>
    </row>
    <row r="14" spans="1:14" ht="15.75" customHeight="1" x14ac:dyDescent="0.2">
      <c r="A14" s="152" t="s">
        <v>268</v>
      </c>
    </row>
    <row r="15" spans="1:14" ht="15.75" customHeight="1" x14ac:dyDescent="0.2">
      <c r="A15" s="148"/>
      <c r="E15" s="7"/>
      <c r="F15" s="7"/>
      <c r="G15" s="7"/>
      <c r="H15" s="7"/>
      <c r="I15" s="7"/>
      <c r="J15" s="7"/>
    </row>
    <row r="16" spans="1:14" s="3" customFormat="1" ht="15.75" customHeight="1" x14ac:dyDescent="0.25">
      <c r="A16" s="163"/>
      <c r="C16" s="30"/>
      <c r="D16" s="30"/>
      <c r="E16" s="30"/>
      <c r="F16" s="30"/>
      <c r="G16" s="30"/>
      <c r="H16" s="30"/>
      <c r="I16" s="30"/>
      <c r="J16" s="30"/>
    </row>
    <row r="17" spans="1:11" ht="15.75" customHeight="1" x14ac:dyDescent="0.25">
      <c r="A17" s="146" t="s">
        <v>265</v>
      </c>
      <c r="B17" s="28"/>
      <c r="C17" s="28"/>
      <c r="D17" s="29"/>
      <c r="E17" s="28"/>
      <c r="F17" s="28"/>
      <c r="G17" s="28"/>
      <c r="H17" s="28"/>
      <c r="I17" s="28"/>
      <c r="J17" s="28"/>
    </row>
    <row r="18" spans="1:11" ht="15.75" customHeight="1" x14ac:dyDescent="0.25">
      <c r="A18" s="148"/>
      <c r="B18" s="1006"/>
      <c r="C18" s="1006"/>
      <c r="D18" s="1006"/>
      <c r="E18" s="1006"/>
      <c r="F18" s="1006"/>
      <c r="G18" s="1006"/>
      <c r="H18" s="1006"/>
      <c r="I18" s="1006"/>
      <c r="J18" s="1006"/>
    </row>
    <row r="19" spans="1:11" ht="15.75" customHeight="1" x14ac:dyDescent="0.2">
      <c r="A19" s="143"/>
      <c r="B19" s="1003" t="s">
        <v>0</v>
      </c>
      <c r="C19" s="1004"/>
      <c r="D19" s="1004"/>
      <c r="E19" s="1003" t="s">
        <v>1</v>
      </c>
      <c r="F19" s="1004"/>
      <c r="G19" s="1005"/>
      <c r="H19" s="1004" t="s">
        <v>2</v>
      </c>
      <c r="I19" s="1004"/>
      <c r="J19" s="1005"/>
    </row>
    <row r="20" spans="1:11" ht="15.75" customHeight="1" x14ac:dyDescent="0.2">
      <c r="A20" s="139" t="s">
        <v>5</v>
      </c>
      <c r="B20" s="20" t="s">
        <v>507</v>
      </c>
      <c r="C20" s="20" t="s">
        <v>508</v>
      </c>
      <c r="D20" s="250" t="s">
        <v>3</v>
      </c>
      <c r="E20" s="20" t="s">
        <v>507</v>
      </c>
      <c r="F20" s="20" t="s">
        <v>508</v>
      </c>
      <c r="G20" s="250" t="s">
        <v>3</v>
      </c>
      <c r="H20" s="20" t="s">
        <v>507</v>
      </c>
      <c r="I20" s="20" t="s">
        <v>508</v>
      </c>
      <c r="J20" s="250" t="s">
        <v>3</v>
      </c>
    </row>
    <row r="21" spans="1:11" ht="15.75" customHeight="1" x14ac:dyDescent="0.2">
      <c r="A21" s="979"/>
      <c r="B21" s="15"/>
      <c r="C21" s="15"/>
      <c r="D21" s="17" t="s">
        <v>4</v>
      </c>
      <c r="E21" s="16"/>
      <c r="F21" s="16"/>
      <c r="G21" s="15" t="s">
        <v>4</v>
      </c>
      <c r="H21" s="16"/>
      <c r="I21" s="16"/>
      <c r="J21" s="15" t="s">
        <v>4</v>
      </c>
    </row>
    <row r="22" spans="1:11" s="43" customFormat="1" ht="15.75" customHeight="1" x14ac:dyDescent="0.2">
      <c r="A22" s="14" t="s">
        <v>23</v>
      </c>
      <c r="B22" s="235">
        <f>'Fremtind Livsforsikring'!B22+'Storebrand Danica Pensjon'!B22+'DNB Livsforsikring'!B22+'Eika Forsikring AS'!B22+'Frende Livsforsikring'!B22+'Frende Skadeforsikring'!B22+'Gjensidige Forsikring'!B22+'Gjensidige Pensjon'!B22+'Handelsbanken Liv'!B22+'If Skadeforsikring NUF'!B22+KLP!B22+'KLP Skadeforsikring AS'!B22+'Landkreditt Forsikring'!B22+'Nordea Liv '!B22+'Oslo Pensjonsforsikring'!B22+'Protector Forsikring'!B22+'SHB Liv'!B22+'Sparebank 1 Forsikring'!B22+'Storebrand Livsforsikring'!B22+'Telenor Forsikring'!B22+'Tryg Forsikring'!B22+'WaterCircles F'!B22+'Codan Forsikring'!B22+'Euro Accident'!B22+'Ly Forsikring'!B22+'Youplus Livsforsikring'!B22</f>
        <v>1992034.9226199999</v>
      </c>
      <c r="C22" s="235">
        <f>'Fremtind Livsforsikring'!C22+'Storebrand Danica Pensjon'!C22+'DNB Livsforsikring'!C22+'Eika Forsikring AS'!C22+'Frende Livsforsikring'!C22+'Frende Skadeforsikring'!C22+'Gjensidige Forsikring'!C22+'Gjensidige Pensjon'!C22+'Handelsbanken Liv'!C22+'If Skadeforsikring NUF'!C22+KLP!C22+'KLP Skadeforsikring AS'!C22+'Landkreditt Forsikring'!C22+'Nordea Liv '!C22+'Oslo Pensjonsforsikring'!C22+'Protector Forsikring'!C22+'SHB Liv'!C22+'Sparebank 1 Forsikring'!C22+'Storebrand Livsforsikring'!C22+'Telenor Forsikring'!C22+'Tryg Forsikring'!C22+'WaterCircles F'!C22+'Codan Forsikring'!C22+'Euro Accident'!C22+'Ly Forsikring'!C22+'Youplus Livsforsikring'!C22</f>
        <v>2146431.8523229389</v>
      </c>
      <c r="D22" s="11">
        <f t="shared" ref="D22:D39" si="5">IF(B22=0, "    ---- ", IF(ABS(ROUND(100/B22*C22-100,1))&lt;999,ROUND(100/B22*C22-100,1),IF(ROUND(100/B22*C22-100,1)&gt;999,999,-999)))</f>
        <v>7.8</v>
      </c>
      <c r="E22" s="235">
        <f>'Fremtind Livsforsikring'!F22+'Storebrand Danica Pensjon'!F22+'DNB Livsforsikring'!F22+'Eika Forsikring AS'!F22+'Frende Livsforsikring'!F22+'Frende Skadeforsikring'!F22+'Gjensidige Forsikring'!F22+'Gjensidige Pensjon'!F22+'Handelsbanken Liv'!F22+'If Skadeforsikring NUF'!F22+KLP!F22+'KLP Skadeforsikring AS'!F22+'Landkreditt Forsikring'!F22+'Nordea Liv '!F22+'Oslo Pensjonsforsikring'!F22+'Protector Forsikring'!F22+'SHB Liv'!F22+'Sparebank 1 Forsikring'!F22+'Storebrand Livsforsikring'!F22+'Telenor Forsikring'!F22+'Tryg Forsikring'!F22+'WaterCircles F'!F22+'Codan Forsikring'!F22+'Euro Accident'!F22+'Ly Forsikring'!F22+'Youplus Livsforsikring'!F22</f>
        <v>1715884.02777</v>
      </c>
      <c r="F22" s="235">
        <f>'Fremtind Livsforsikring'!G22+'Storebrand Danica Pensjon'!G22+'DNB Livsforsikring'!G22+'Eika Forsikring AS'!G22+'Frende Livsforsikring'!G22+'Frende Skadeforsikring'!G22+'Gjensidige Forsikring'!G22+'Gjensidige Pensjon'!G22+'Handelsbanken Liv'!G22+'If Skadeforsikring NUF'!G22+KLP!G22+'KLP Skadeforsikring AS'!G22+'Landkreditt Forsikring'!G22+'Nordea Liv '!G22+'Oslo Pensjonsforsikring'!G22+'Protector Forsikring'!G22+'SHB Liv'!G22+'Sparebank 1 Forsikring'!G22+'Storebrand Livsforsikring'!G22+'Telenor Forsikring'!G22+'Tryg Forsikring'!G22+'WaterCircles F'!G22+'Codan Forsikring'!G22+'Euro Accident'!G22+'Ly Forsikring'!G22+'Youplus Livsforsikring'!G22</f>
        <v>1024374.31375</v>
      </c>
      <c r="G22" s="351">
        <f t="shared" ref="G22:G35" si="6">IF(E22=0, "    ---- ", IF(ABS(ROUND(100/E22*F22-100,1))&lt;999,ROUND(100/E22*F22-100,1),IF(ROUND(100/E22*F22-100,1)&gt;999,999,-999)))</f>
        <v>-40.299999999999997</v>
      </c>
      <c r="H22" s="311">
        <f>SUM(B22,E22)</f>
        <v>3707918.9503899999</v>
      </c>
      <c r="I22" s="235">
        <f t="shared" ref="I22:I39" si="7">SUM(C22,F22)</f>
        <v>3170806.1660729386</v>
      </c>
      <c r="J22" s="24">
        <f t="shared" ref="J22:J39" si="8">IF(H22=0, "    ---- ", IF(ABS(ROUND(100/H22*I22-100,1))&lt;999,ROUND(100/H22*I22-100,1),IF(ROUND(100/H22*I22-100,1)&gt;999,999,-999)))</f>
        <v>-14.5</v>
      </c>
    </row>
    <row r="23" spans="1:11" ht="15.75" customHeight="1" x14ac:dyDescent="0.2">
      <c r="A23" s="725" t="s">
        <v>429</v>
      </c>
      <c r="B23" s="44">
        <f>'Fremtind Livsforsikring'!B23+'Storebrand Danica Pensjon'!B23+'DNB Livsforsikring'!B23+'Eika Forsikring AS'!B23+'Frende Livsforsikring'!B23+'Frende Skadeforsikring'!B23+'Gjensidige Forsikring'!B23+'Gjensidige Pensjon'!B23+'Handelsbanken Liv'!B23+'If Skadeforsikring NUF'!B23+KLP!B23+'KLP Skadeforsikring AS'!B23+'Landkreditt Forsikring'!B23+'Nordea Liv '!B23+'Oslo Pensjonsforsikring'!B23+'Protector Forsikring'!B23+'SHB Liv'!B23+'Sparebank 1 Forsikring'!B23+'Storebrand Livsforsikring'!B23+'Telenor Forsikring'!B23+'Tryg Forsikring'!B23+'WaterCircles F'!B23+'Codan Forsikring'!B23+'Euro Accident'!B23+'Ly Forsikring'!B23+'Youplus Livsforsikring'!B23</f>
        <v>1159950.53183</v>
      </c>
      <c r="C23" s="44">
        <f>'Fremtind Livsforsikring'!C23+'Storebrand Danica Pensjon'!C23+'DNB Livsforsikring'!C23+'Eika Forsikring AS'!C23+'Frende Livsforsikring'!C23+'Frende Skadeforsikring'!C23+'Gjensidige Forsikring'!C23+'Gjensidige Pensjon'!C23+'Handelsbanken Liv'!C23+'If Skadeforsikring NUF'!C23+KLP!C23+'KLP Skadeforsikring AS'!C23+'Landkreditt Forsikring'!C23+'Nordea Liv '!C23+'Oslo Pensjonsforsikring'!C23+'Protector Forsikring'!C23+'SHB Liv'!C23+'Sparebank 1 Forsikring'!C23+'Storebrand Livsforsikring'!C23+'Telenor Forsikring'!C23+'Tryg Forsikring'!C23+'WaterCircles F'!C23+'Codan Forsikring'!C23+'Euro Accident'!C23+'Ly Forsikring'!C23+'Youplus Livsforsikring'!C23</f>
        <v>1249763.466590327</v>
      </c>
      <c r="D23" s="27">
        <f>IF($A$1=4,IF(B23=0, "    ---- ", IF(ABS(ROUND(100/B23*C23-100,1))&lt;999,ROUND(100/B23*C23-100,1),IF(ROUND(100/B23*C23-100,1)&gt;999,999,-999))),"")</f>
        <v>7.7</v>
      </c>
      <c r="E23" s="44">
        <f>'Fremtind Livsforsikring'!F23+'Storebrand Danica Pensjon'!F23+'DNB Livsforsikring'!F23+'Eika Forsikring AS'!F23+'Frende Livsforsikring'!F23+'Frende Skadeforsikring'!F23+'Gjensidige Forsikring'!F23+'Gjensidige Pensjon'!F23+'Handelsbanken Liv'!F23+'If Skadeforsikring NUF'!F23+KLP!F23+'KLP Skadeforsikring AS'!F23+'Landkreditt Forsikring'!F23+'Nordea Liv '!F23+'Oslo Pensjonsforsikring'!F23+'Protector Forsikring'!F23+'SHB Liv'!F23+'Sparebank 1 Forsikring'!F23+'Storebrand Livsforsikring'!F23+'Telenor Forsikring'!F23+'Tryg Forsikring'!F23+'WaterCircles F'!F23+'Codan Forsikring'!F23+'Euro Accident'!F23+'Ly Forsikring'!F23+'Youplus Livsforsikring'!F23</f>
        <v>205341.65779000003</v>
      </c>
      <c r="F23" s="44">
        <f>'Fremtind Livsforsikring'!G23+'Storebrand Danica Pensjon'!G23+'DNB Livsforsikring'!G23+'Eika Forsikring AS'!G23+'Frende Livsforsikring'!G23+'Frende Skadeforsikring'!G23+'Gjensidige Forsikring'!G23+'Gjensidige Pensjon'!G23+'Handelsbanken Liv'!G23+'If Skadeforsikring NUF'!G23+KLP!G23+'KLP Skadeforsikring AS'!G23+'Landkreditt Forsikring'!G23+'Nordea Liv '!G23+'Oslo Pensjonsforsikring'!G23+'Protector Forsikring'!G23+'SHB Liv'!G23+'Sparebank 1 Forsikring'!G23+'Storebrand Livsforsikring'!G23+'Telenor Forsikring'!G23+'Tryg Forsikring'!G23+'WaterCircles F'!G23+'Codan Forsikring'!G23+'Euro Accident'!G23+'Ly Forsikring'!G23+'Youplus Livsforsikring'!G23</f>
        <v>148614.1080200001</v>
      </c>
      <c r="G23" s="165">
        <f>IF($A$1=4,IF(E23=0, "    ---- ", IF(ABS(ROUND(100/E23*F23-100,1))&lt;999,ROUND(100/E23*F23-100,1),IF(ROUND(100/E23*F23-100,1)&gt;999,999,-999))),"")</f>
        <v>-27.6</v>
      </c>
      <c r="H23" s="233">
        <f t="shared" ref="H23:H39" si="9">SUM(B23,E23)</f>
        <v>1365292.1896200001</v>
      </c>
      <c r="I23" s="44">
        <f t="shared" si="7"/>
        <v>1398377.5746103271</v>
      </c>
      <c r="J23" s="23">
        <f t="shared" si="8"/>
        <v>2.4</v>
      </c>
    </row>
    <row r="24" spans="1:11" ht="15.75" customHeight="1" x14ac:dyDescent="0.2">
      <c r="A24" s="725" t="s">
        <v>430</v>
      </c>
      <c r="B24" s="44">
        <f>'Fremtind Livsforsikring'!B24+'Storebrand Danica Pensjon'!B24+'DNB Livsforsikring'!B24+'Eika Forsikring AS'!B24+'Frende Livsforsikring'!B24+'Frende Skadeforsikring'!B24+'Gjensidige Forsikring'!B24+'Gjensidige Pensjon'!B24+'Handelsbanken Liv'!B24+'If Skadeforsikring NUF'!B24+KLP!B24+'KLP Skadeforsikring AS'!B24+'Landkreditt Forsikring'!B24+'Nordea Liv '!B24+'Oslo Pensjonsforsikring'!B24+'Protector Forsikring'!B24+'SHB Liv'!B24+'Sparebank 1 Forsikring'!B24+'Storebrand Livsforsikring'!B24+'Telenor Forsikring'!B24+'Tryg Forsikring'!B24+'WaterCircles F'!B24+'Codan Forsikring'!B24+'Euro Accident'!B24+'Ly Forsikring'!B24+'Youplus Livsforsikring'!B24</f>
        <v>27705.504940000003</v>
      </c>
      <c r="C24" s="44">
        <f>'Fremtind Livsforsikring'!C24+'Storebrand Danica Pensjon'!C24+'DNB Livsforsikring'!C24+'Eika Forsikring AS'!C24+'Frende Livsforsikring'!C24+'Frende Skadeforsikring'!C24+'Gjensidige Forsikring'!C24+'Gjensidige Pensjon'!C24+'Handelsbanken Liv'!C24+'If Skadeforsikring NUF'!C24+KLP!C24+'KLP Skadeforsikring AS'!C24+'Landkreditt Forsikring'!C24+'Nordea Liv '!C24+'Oslo Pensjonsforsikring'!C24+'Protector Forsikring'!C24+'SHB Liv'!C24+'Sparebank 1 Forsikring'!C24+'Storebrand Livsforsikring'!C24+'Telenor Forsikring'!C24+'Tryg Forsikring'!C24+'WaterCircles F'!C24+'Codan Forsikring'!C24+'Euro Accident'!C24+'Ly Forsikring'!C24+'Youplus Livsforsikring'!C24</f>
        <v>21020.788112612059</v>
      </c>
      <c r="D24" s="27">
        <f t="shared" ref="D24:D25" si="10">IF($A$1=4,IF(B24=0, "    ---- ", IF(ABS(ROUND(100/B24*C24-100,1))&lt;999,ROUND(100/B24*C24-100,1),IF(ROUND(100/B24*C24-100,1)&gt;999,999,-999))),"")</f>
        <v>-24.1</v>
      </c>
      <c r="E24" s="44">
        <f>'Fremtind Livsforsikring'!F24+'Storebrand Danica Pensjon'!F24+'DNB Livsforsikring'!F24+'Eika Forsikring AS'!F24+'Frende Livsforsikring'!F24+'Frende Skadeforsikring'!F24+'Gjensidige Forsikring'!F24+'Gjensidige Pensjon'!F24+'Handelsbanken Liv'!F24+'If Skadeforsikring NUF'!F24+KLP!F24+'KLP Skadeforsikring AS'!F24+'Landkreditt Forsikring'!F24+'Nordea Liv '!F24+'Oslo Pensjonsforsikring'!F24+'Protector Forsikring'!F24+'SHB Liv'!F24+'Sparebank 1 Forsikring'!F24+'Storebrand Livsforsikring'!F24+'Telenor Forsikring'!F24+'Tryg Forsikring'!F24+'WaterCircles F'!F24+'Codan Forsikring'!F24+'Euro Accident'!F24+'Ly Forsikring'!F24+'Youplus Livsforsikring'!F24</f>
        <v>3279.58385</v>
      </c>
      <c r="F24" s="44">
        <f>'Fremtind Livsforsikring'!G24+'Storebrand Danica Pensjon'!G24+'DNB Livsforsikring'!G24+'Eika Forsikring AS'!G24+'Frende Livsforsikring'!G24+'Frende Skadeforsikring'!G24+'Gjensidige Forsikring'!G24+'Gjensidige Pensjon'!G24+'Handelsbanken Liv'!G24+'If Skadeforsikring NUF'!G24+KLP!G24+'KLP Skadeforsikring AS'!G24+'Landkreditt Forsikring'!G24+'Nordea Liv '!G24+'Oslo Pensjonsforsikring'!G24+'Protector Forsikring'!G24+'SHB Liv'!G24+'Sparebank 1 Forsikring'!G24+'Storebrand Livsforsikring'!G24+'Telenor Forsikring'!G24+'Tryg Forsikring'!G24+'WaterCircles F'!G24+'Codan Forsikring'!G24+'Euro Accident'!G24+'Ly Forsikring'!G24+'Youplus Livsforsikring'!G24</f>
        <v>1223.7809999999999</v>
      </c>
      <c r="G24" s="165">
        <f t="shared" ref="G24:G25" si="11">IF($A$1=4,IF(E24=0, "    ---- ", IF(ABS(ROUND(100/E24*F24-100,1))&lt;999,ROUND(100/E24*F24-100,1),IF(ROUND(100/E24*F24-100,1)&gt;999,999,-999))),"")</f>
        <v>-62.7</v>
      </c>
      <c r="H24" s="233">
        <f t="shared" si="9"/>
        <v>30985.088790000002</v>
      </c>
      <c r="I24" s="44">
        <f t="shared" si="7"/>
        <v>22244.569112612058</v>
      </c>
      <c r="J24" s="11">
        <f t="shared" si="8"/>
        <v>-28.2</v>
      </c>
    </row>
    <row r="25" spans="1:11" ht="15.75" customHeight="1" x14ac:dyDescent="0.2">
      <c r="A25" s="725" t="s">
        <v>431</v>
      </c>
      <c r="B25" s="44">
        <f>'Fremtind Livsforsikring'!B25+'Storebrand Danica Pensjon'!B25+'DNB Livsforsikring'!B25+'Eika Forsikring AS'!B25+'Frende Livsforsikring'!B25+'Frende Skadeforsikring'!B25+'Gjensidige Forsikring'!B25+'Gjensidige Pensjon'!B25+'Handelsbanken Liv'!B25+'If Skadeforsikring NUF'!B25+KLP!B25+'KLP Skadeforsikring AS'!B25+'Landkreditt Forsikring'!B25+'Nordea Liv '!B25+'Oslo Pensjonsforsikring'!B25+'Protector Forsikring'!B25+'SHB Liv'!B25+'Sparebank 1 Forsikring'!B25+'Storebrand Livsforsikring'!B25+'Telenor Forsikring'!B25+'Tryg Forsikring'!B25+'WaterCircles F'!B25+'Codan Forsikring'!B25+'Euro Accident'!B25+'Ly Forsikring'!B25+'Youplus Livsforsikring'!B25</f>
        <v>36122</v>
      </c>
      <c r="C25" s="44">
        <f>'Fremtind Livsforsikring'!C25+'Storebrand Danica Pensjon'!C25+'DNB Livsforsikring'!C25+'Eika Forsikring AS'!C25+'Frende Livsforsikring'!C25+'Frende Skadeforsikring'!C25+'Gjensidige Forsikring'!C25+'Gjensidige Pensjon'!C25+'Handelsbanken Liv'!C25+'If Skadeforsikring NUF'!C25+KLP!C25+'KLP Skadeforsikring AS'!C25+'Landkreditt Forsikring'!C25+'Nordea Liv '!C25+'Oslo Pensjonsforsikring'!C25+'Protector Forsikring'!C25+'SHB Liv'!C25+'Sparebank 1 Forsikring'!C25+'Storebrand Livsforsikring'!C25+'Telenor Forsikring'!C25+'Tryg Forsikring'!C25+'WaterCircles F'!C25+'Codan Forsikring'!C25+'Euro Accident'!C25+'Ly Forsikring'!C25+'Youplus Livsforsikring'!C25</f>
        <v>26927</v>
      </c>
      <c r="D25" s="27">
        <f t="shared" si="10"/>
        <v>-25.5</v>
      </c>
      <c r="E25" s="44">
        <f>'Fremtind Livsforsikring'!F25+'Storebrand Danica Pensjon'!F25+'DNB Livsforsikring'!F25+'Eika Forsikring AS'!F25+'Frende Livsforsikring'!F25+'Frende Skadeforsikring'!F25+'Gjensidige Forsikring'!F25+'Gjensidige Pensjon'!F25+'Handelsbanken Liv'!F25+'If Skadeforsikring NUF'!F25+KLP!F25+'KLP Skadeforsikring AS'!F25+'Landkreditt Forsikring'!F25+'Nordea Liv '!F25+'Oslo Pensjonsforsikring'!F25+'Protector Forsikring'!F25+'SHB Liv'!F25+'Sparebank 1 Forsikring'!F25+'Storebrand Livsforsikring'!F25+'Telenor Forsikring'!F25+'Tryg Forsikring'!F25+'WaterCircles F'!F25+'Codan Forsikring'!F25+'Euro Accident'!F25+'Ly Forsikring'!F25+'Youplus Livsforsikring'!F25</f>
        <v>18540.14243</v>
      </c>
      <c r="F25" s="44">
        <f>'Fremtind Livsforsikring'!G25+'Storebrand Danica Pensjon'!G25+'DNB Livsforsikring'!G25+'Eika Forsikring AS'!G25+'Frende Livsforsikring'!G25+'Frende Skadeforsikring'!G25+'Gjensidige Forsikring'!G25+'Gjensidige Pensjon'!G25+'Handelsbanken Liv'!G25+'If Skadeforsikring NUF'!G25+KLP!G25+'KLP Skadeforsikring AS'!G25+'Landkreditt Forsikring'!G25+'Nordea Liv '!G25+'Oslo Pensjonsforsikring'!G25+'Protector Forsikring'!G25+'SHB Liv'!G25+'Sparebank 1 Forsikring'!G25+'Storebrand Livsforsikring'!G25+'Telenor Forsikring'!G25+'Tryg Forsikring'!G25+'WaterCircles F'!G25+'Codan Forsikring'!G25+'Euro Accident'!G25+'Ly Forsikring'!G25+'Youplus Livsforsikring'!G25</f>
        <v>18467.218250000002</v>
      </c>
      <c r="G25" s="165">
        <f t="shared" si="11"/>
        <v>-0.4</v>
      </c>
      <c r="H25" s="233">
        <f t="shared" si="9"/>
        <v>54662.14243</v>
      </c>
      <c r="I25" s="44">
        <f t="shared" si="7"/>
        <v>45394.218250000005</v>
      </c>
      <c r="J25" s="27">
        <f t="shared" si="8"/>
        <v>-17</v>
      </c>
    </row>
    <row r="26" spans="1:11" ht="15.75" customHeight="1" x14ac:dyDescent="0.2">
      <c r="A26" s="725" t="s">
        <v>432</v>
      </c>
      <c r="B26" s="44"/>
      <c r="C26" s="44"/>
      <c r="D26" s="27"/>
      <c r="E26" s="44">
        <f>'Fremtind Livsforsikring'!F26+'Storebrand Danica Pensjon'!F26+'DNB Livsforsikring'!F26+'Eika Forsikring AS'!F26+'Frende Livsforsikring'!F26+'Frende Skadeforsikring'!F26+'Gjensidige Forsikring'!F26+'Gjensidige Pensjon'!F26+'Handelsbanken Liv'!F26+'If Skadeforsikring NUF'!F26+KLP!F26+'KLP Skadeforsikring AS'!F26+'Landkreditt Forsikring'!F26+'Nordea Liv '!F26+'Oslo Pensjonsforsikring'!F26+'Protector Forsikring'!F26+'SHB Liv'!F26+'Sparebank 1 Forsikring'!F26+'Storebrand Livsforsikring'!F26+'Telenor Forsikring'!F26+'Tryg Forsikring'!F26+'WaterCircles F'!F26+'Codan Forsikring'!F26+'Euro Accident'!F26+'Ly Forsikring'!F26+'Youplus Livsforsikring'!F26</f>
        <v>1491874.6436999999</v>
      </c>
      <c r="F26" s="44">
        <f>'Fremtind Livsforsikring'!G26+'Storebrand Danica Pensjon'!G26+'DNB Livsforsikring'!G26+'Eika Forsikring AS'!G26+'Frende Livsforsikring'!G26+'Frende Skadeforsikring'!G26+'Gjensidige Forsikring'!G26+'Gjensidige Pensjon'!G26+'Handelsbanken Liv'!G26+'If Skadeforsikring NUF'!G26+KLP!G26+'KLP Skadeforsikring AS'!G26+'Landkreditt Forsikring'!G26+'Nordea Liv '!G26+'Oslo Pensjonsforsikring'!G26+'Protector Forsikring'!G26+'SHB Liv'!G26+'Sparebank 1 Forsikring'!G26+'Storebrand Livsforsikring'!G26+'Telenor Forsikring'!G26+'Tryg Forsikring'!G26+'WaterCircles F'!G26+'Codan Forsikring'!G26+'Euro Accident'!G26+'Ly Forsikring'!G26+'Youplus Livsforsikring'!G26</f>
        <v>856069.20648000005</v>
      </c>
      <c r="G26" s="165">
        <f t="shared" ref="G26" si="12">IF($A$1=4,IF(E26=0, "    ---- ", IF(ABS(ROUND(100/E26*F26-100,1))&lt;999,ROUND(100/E26*F26-100,1),IF(ROUND(100/E26*F26-100,1)&gt;999,999,-999))),"")</f>
        <v>-42.6</v>
      </c>
      <c r="H26" s="233">
        <f t="shared" ref="H26" si="13">SUM(B26,E26)</f>
        <v>1491874.6436999999</v>
      </c>
      <c r="I26" s="44">
        <f t="shared" ref="I26" si="14">SUM(C26,F26)</f>
        <v>856069.20648000005</v>
      </c>
      <c r="J26" s="27">
        <f t="shared" ref="J26" si="15">IF(H26=0, "    ---- ", IF(ABS(ROUND(100/H26*I26-100,1))&lt;999,ROUND(100/H26*I26-100,1),IF(ROUND(100/H26*I26-100,1)&gt;999,999,-999)))</f>
        <v>-42.6</v>
      </c>
    </row>
    <row r="27" spans="1:11" ht="15.75" customHeight="1" x14ac:dyDescent="0.2">
      <c r="A27" s="723" t="s">
        <v>11</v>
      </c>
      <c r="B27" s="44"/>
      <c r="C27" s="44"/>
      <c r="D27" s="27"/>
      <c r="E27" s="44"/>
      <c r="F27" s="44"/>
      <c r="G27" s="165"/>
      <c r="H27" s="233"/>
      <c r="I27" s="44"/>
      <c r="J27" s="27"/>
    </row>
    <row r="28" spans="1:11" ht="15.75" customHeight="1" x14ac:dyDescent="0.2">
      <c r="A28" s="49" t="s">
        <v>269</v>
      </c>
      <c r="B28" s="44">
        <f>'Fremtind Livsforsikring'!B28+'Storebrand Danica Pensjon'!B28+'DNB Livsforsikring'!B28+'Eika Forsikring AS'!B28+'Frende Livsforsikring'!B28+'Frende Skadeforsikring'!B28+'Gjensidige Forsikring'!B28+'Gjensidige Pensjon'!B28+'Handelsbanken Liv'!B28+'If Skadeforsikring NUF'!B28+KLP!B28+'KLP Skadeforsikring AS'!B28+'Landkreditt Forsikring'!B28+'Nordea Liv '!B28+'Oslo Pensjonsforsikring'!B28+'Protector Forsikring'!B28+'SHB Liv'!B28+'Sparebank 1 Forsikring'!B28+'Storebrand Livsforsikring'!B28+'Telenor Forsikring'!B28+'Tryg Forsikring'!B28+'WaterCircles F'!B28+'Codan Forsikring'!B28+'Euro Accident'!B28+'Ly Forsikring'!B28+'Youplus Livsforsikring'!B28</f>
        <v>2180132.4546119696</v>
      </c>
      <c r="C28" s="44">
        <f>'Fremtind Livsforsikring'!C28+'Storebrand Danica Pensjon'!C28+'DNB Livsforsikring'!C28+'Eika Forsikring AS'!C28+'Frende Livsforsikring'!C28+'Frende Skadeforsikring'!C28+'Gjensidige Forsikring'!C28+'Gjensidige Pensjon'!C28+'Handelsbanken Liv'!C28+'If Skadeforsikring NUF'!C28+KLP!C28+'KLP Skadeforsikring AS'!C28+'Landkreditt Forsikring'!C28+'Nordea Liv '!C28+'Oslo Pensjonsforsikring'!C28+'Protector Forsikring'!C28+'SHB Liv'!C28+'Sparebank 1 Forsikring'!C28+'Storebrand Livsforsikring'!C28+'Telenor Forsikring'!C28+'Tryg Forsikring'!C28+'WaterCircles F'!C28+'Codan Forsikring'!C28+'Euro Accident'!C28+'Ly Forsikring'!C28+'Youplus Livsforsikring'!C28</f>
        <v>2429428.5434396961</v>
      </c>
      <c r="D28" s="23">
        <f t="shared" si="5"/>
        <v>11.4</v>
      </c>
      <c r="E28" s="186"/>
      <c r="F28" s="186"/>
      <c r="G28" s="165"/>
      <c r="H28" s="233">
        <f t="shared" si="9"/>
        <v>2180132.4546119696</v>
      </c>
      <c r="I28" s="44">
        <f t="shared" si="7"/>
        <v>2429428.5434396961</v>
      </c>
      <c r="J28" s="23">
        <f t="shared" si="8"/>
        <v>11.4</v>
      </c>
      <c r="K28" s="3"/>
    </row>
    <row r="29" spans="1:11" s="419" customFormat="1" ht="15.75" customHeight="1" x14ac:dyDescent="0.2">
      <c r="A29" s="39" t="s">
        <v>433</v>
      </c>
      <c r="B29" s="235">
        <f>'Fremtind Livsforsikring'!B29+'Storebrand Danica Pensjon'!B29+'DNB Livsforsikring'!B29+'Eika Forsikring AS'!B29+'Frende Livsforsikring'!B29+'Frende Skadeforsikring'!B29+'Gjensidige Forsikring'!B29+'Gjensidige Pensjon'!B29+'Handelsbanken Liv'!B29+'If Skadeforsikring NUF'!B29+KLP!B29+'KLP Skadeforsikring AS'!B29+'Landkreditt Forsikring'!B29+'Nordea Liv '!B29+'Oslo Pensjonsforsikring'!B29+'Protector Forsikring'!B29+'SHB Liv'!B29+'Sparebank 1 Forsikring'!B29+'Storebrand Livsforsikring'!B29+'Telenor Forsikring'!B29+'Tryg Forsikring'!B29+'WaterCircles F'!B29+'Codan Forsikring'!B29+'Euro Accident'!B29+'Ly Forsikring'!B29+'Youplus Livsforsikring'!B29</f>
        <v>45317230.929219998</v>
      </c>
      <c r="C29" s="235">
        <f>'Fremtind Livsforsikring'!C29+'Storebrand Danica Pensjon'!C29+'DNB Livsforsikring'!C29+'Eika Forsikring AS'!C29+'Frende Livsforsikring'!C29+'Frende Skadeforsikring'!C29+'Gjensidige Forsikring'!C29+'Gjensidige Pensjon'!C29+'Handelsbanken Liv'!C29+'If Skadeforsikring NUF'!C29+KLP!C29+'KLP Skadeforsikring AS'!C29+'Landkreditt Forsikring'!C29+'Nordea Liv '!C29+'Oslo Pensjonsforsikring'!C29+'Protector Forsikring'!C29+'SHB Liv'!C29+'Sparebank 1 Forsikring'!C29+'Storebrand Livsforsikring'!C29+'Telenor Forsikring'!C29+'Tryg Forsikring'!C29+'WaterCircles F'!C29+'Codan Forsikring'!C29+'Euro Accident'!C29+'Ly Forsikring'!C29+'Youplus Livsforsikring'!C29</f>
        <v>44034103.810073137</v>
      </c>
      <c r="D29" s="24">
        <f t="shared" si="5"/>
        <v>-2.8</v>
      </c>
      <c r="E29" s="311">
        <f>'Fremtind Livsforsikring'!F29+'Storebrand Danica Pensjon'!F29+'DNB Livsforsikring'!F29+'Eika Forsikring AS'!F29+'Frende Livsforsikring'!F29+'Frende Skadeforsikring'!F29+'Gjensidige Forsikring'!F29+'Gjensidige Pensjon'!F29+'Handelsbanken Liv'!F29+'If Skadeforsikring NUF'!F29+KLP!F29+'KLP Skadeforsikring AS'!F29+'Landkreditt Forsikring'!F29+'Nordea Liv '!F29+'Oslo Pensjonsforsikring'!F29+'Protector Forsikring'!F29+'SHB Liv'!F29+'Sparebank 1 Forsikring'!F29+'Storebrand Livsforsikring'!F29+'Telenor Forsikring'!F29+'Tryg Forsikring'!F29+'WaterCircles F'!F29+'Codan Forsikring'!F29+'Euro Accident'!F29+'Ly Forsikring'!F29+'Youplus Livsforsikring'!F29</f>
        <v>26735503.8587</v>
      </c>
      <c r="F29" s="311">
        <f>'Fremtind Livsforsikring'!G29+'Storebrand Danica Pensjon'!G29+'DNB Livsforsikring'!G29+'Eika Forsikring AS'!G29+'Frende Livsforsikring'!G29+'Frende Skadeforsikring'!G29+'Gjensidige Forsikring'!G29+'Gjensidige Pensjon'!G29+'Handelsbanken Liv'!G29+'If Skadeforsikring NUF'!G29+KLP!G29+'KLP Skadeforsikring AS'!G29+'Landkreditt Forsikring'!G29+'Nordea Liv '!G29+'Oslo Pensjonsforsikring'!G29+'Protector Forsikring'!G29+'SHB Liv'!G29+'Sparebank 1 Forsikring'!G29+'Storebrand Livsforsikring'!G29+'Telenor Forsikring'!G29+'Tryg Forsikring'!G29+'WaterCircles F'!G29+'Codan Forsikring'!G29+'Euro Accident'!G29+'Ly Forsikring'!G29+'Youplus Livsforsikring'!G29</f>
        <v>23483792.595259998</v>
      </c>
      <c r="G29" s="170">
        <f t="shared" si="6"/>
        <v>-12.2</v>
      </c>
      <c r="H29" s="311">
        <f t="shared" si="9"/>
        <v>72052734.787919998</v>
      </c>
      <c r="I29" s="235">
        <f t="shared" si="7"/>
        <v>67517896.405333132</v>
      </c>
      <c r="J29" s="24">
        <f t="shared" si="8"/>
        <v>-6.3</v>
      </c>
    </row>
    <row r="30" spans="1:11" s="3" customFormat="1" ht="15.75" customHeight="1" x14ac:dyDescent="0.2">
      <c r="A30" s="725" t="s">
        <v>429</v>
      </c>
      <c r="B30" s="44">
        <f>'Fremtind Livsforsikring'!B30+'Storebrand Danica Pensjon'!B30+'DNB Livsforsikring'!B30+'Eika Forsikring AS'!B30+'Frende Livsforsikring'!B30+'Frende Skadeforsikring'!B30+'Gjensidige Forsikring'!B30+'Gjensidige Pensjon'!B30+'Handelsbanken Liv'!B30+'If Skadeforsikring NUF'!B30+KLP!B30+'KLP Skadeforsikring AS'!B30+'Landkreditt Forsikring'!B30+'Nordea Liv '!B30+'Oslo Pensjonsforsikring'!B30+'Protector Forsikring'!B30+'SHB Liv'!B30+'Sparebank 1 Forsikring'!B30+'Storebrand Livsforsikring'!B30+'Telenor Forsikring'!B30+'Tryg Forsikring'!B30+'WaterCircles F'!B30+'Codan Forsikring'!B30+'Euro Accident'!B30+'Ly Forsikring'!B30+'Youplus Livsforsikring'!B30</f>
        <v>15961828.072316783</v>
      </c>
      <c r="C30" s="44">
        <f>'Fremtind Livsforsikring'!C30+'Storebrand Danica Pensjon'!C30+'DNB Livsforsikring'!C30+'Eika Forsikring AS'!C30+'Frende Livsforsikring'!C30+'Frende Skadeforsikring'!C30+'Gjensidige Forsikring'!C30+'Gjensidige Pensjon'!C30+'Handelsbanken Liv'!C30+'If Skadeforsikring NUF'!C30+KLP!C30+'KLP Skadeforsikring AS'!C30+'Landkreditt Forsikring'!C30+'Nordea Liv '!C30+'Oslo Pensjonsforsikring'!C30+'Protector Forsikring'!C30+'SHB Liv'!C30+'Sparebank 1 Forsikring'!C30+'Storebrand Livsforsikring'!C30+'Telenor Forsikring'!C30+'Tryg Forsikring'!C30+'WaterCircles F'!C30+'Codan Forsikring'!C30+'Euro Accident'!C30+'Ly Forsikring'!C30+'Youplus Livsforsikring'!C30</f>
        <v>12683525.676595842</v>
      </c>
      <c r="D30" s="27">
        <f t="shared" ref="D30:D32" si="16">IF($A$1=4,IF(B30=0, "    ---- ", IF(ABS(ROUND(100/B30*C30-100,1))&lt;999,ROUND(100/B30*C30-100,1),IF(ROUND(100/B30*C30-100,1)&gt;999,999,-999))),"")</f>
        <v>-20.5</v>
      </c>
      <c r="E30" s="44">
        <f>'Fremtind Livsforsikring'!F30+'Storebrand Danica Pensjon'!F30+'DNB Livsforsikring'!F30+'Eika Forsikring AS'!F30+'Frende Livsforsikring'!F30+'Frende Skadeforsikring'!F30+'Gjensidige Forsikring'!F30+'Gjensidige Pensjon'!F30+'Handelsbanken Liv'!F30+'If Skadeforsikring NUF'!F30+KLP!F30+'KLP Skadeforsikring AS'!F30+'Landkreditt Forsikring'!F30+'Nordea Liv '!F30+'Oslo Pensjonsforsikring'!F30+'Protector Forsikring'!F30+'SHB Liv'!F30+'Sparebank 1 Forsikring'!F30+'Storebrand Livsforsikring'!F30+'Telenor Forsikring'!F30+'Tryg Forsikring'!F30+'WaterCircles F'!F30+'Codan Forsikring'!F30+'Euro Accident'!F30+'Ly Forsikring'!F30+'Youplus Livsforsikring'!F30</f>
        <v>4150547.1936999992</v>
      </c>
      <c r="F30" s="44">
        <f>'Fremtind Livsforsikring'!G30+'Storebrand Danica Pensjon'!G30+'DNB Livsforsikring'!G30+'Eika Forsikring AS'!G30+'Frende Livsforsikring'!G30+'Frende Skadeforsikring'!G30+'Gjensidige Forsikring'!G30+'Gjensidige Pensjon'!G30+'Handelsbanken Liv'!G30+'If Skadeforsikring NUF'!G30+KLP!G30+'KLP Skadeforsikring AS'!G30+'Landkreditt Forsikring'!G30+'Nordea Liv '!G30+'Oslo Pensjonsforsikring'!G30+'Protector Forsikring'!G30+'SHB Liv'!G30+'Sparebank 1 Forsikring'!G30+'Storebrand Livsforsikring'!G30+'Telenor Forsikring'!G30+'Tryg Forsikring'!G30+'WaterCircles F'!G30+'Codan Forsikring'!G30+'Euro Accident'!G30+'Ly Forsikring'!G30+'Youplus Livsforsikring'!G30</f>
        <v>3402604.023838737</v>
      </c>
      <c r="G30" s="165">
        <f t="shared" ref="G30:G32" si="17">IF($A$1=4,IF(E30=0, "    ---- ", IF(ABS(ROUND(100/E30*F30-100,1))&lt;999,ROUND(100/E30*F30-100,1),IF(ROUND(100/E30*F30-100,1)&gt;999,999,-999))),"")</f>
        <v>-18</v>
      </c>
      <c r="H30" s="233">
        <f t="shared" si="9"/>
        <v>20112375.266016781</v>
      </c>
      <c r="I30" s="44">
        <f t="shared" si="7"/>
        <v>16086129.70043458</v>
      </c>
      <c r="J30" s="23">
        <f t="shared" si="8"/>
        <v>-20</v>
      </c>
    </row>
    <row r="31" spans="1:11" s="3" customFormat="1" ht="15.75" customHeight="1" x14ac:dyDescent="0.2">
      <c r="A31" s="725" t="s">
        <v>430</v>
      </c>
      <c r="B31" s="44">
        <f>'Fremtind Livsforsikring'!B31+'Storebrand Danica Pensjon'!B31+'DNB Livsforsikring'!B31+'Eika Forsikring AS'!B31+'Frende Livsforsikring'!B31+'Frende Skadeforsikring'!B31+'Gjensidige Forsikring'!B31+'Gjensidige Pensjon'!B31+'Handelsbanken Liv'!B31+'If Skadeforsikring NUF'!B31+KLP!B31+'KLP Skadeforsikring AS'!B31+'Landkreditt Forsikring'!B31+'Nordea Liv '!B31+'Oslo Pensjonsforsikring'!B31+'Protector Forsikring'!B31+'SHB Liv'!B31+'Sparebank 1 Forsikring'!B31+'Storebrand Livsforsikring'!B31+'Telenor Forsikring'!B31+'Tryg Forsikring'!B31+'WaterCircles F'!B31+'Codan Forsikring'!B31+'Euro Accident'!B31+'Ly Forsikring'!B31+'Youplus Livsforsikring'!B31</f>
        <v>22506457.37454978</v>
      </c>
      <c r="C31" s="44">
        <f>'Fremtind Livsforsikring'!C31+'Storebrand Danica Pensjon'!C31+'DNB Livsforsikring'!C31+'Eika Forsikring AS'!C31+'Frende Livsforsikring'!C31+'Frende Skadeforsikring'!C31+'Gjensidige Forsikring'!C31+'Gjensidige Pensjon'!C31+'Handelsbanken Liv'!C31+'If Skadeforsikring NUF'!C31+KLP!C31+'KLP Skadeforsikring AS'!C31+'Landkreditt Forsikring'!C31+'Nordea Liv '!C31+'Oslo Pensjonsforsikring'!C31+'Protector Forsikring'!C31+'SHB Liv'!C31+'Sparebank 1 Forsikring'!C31+'Storebrand Livsforsikring'!C31+'Telenor Forsikring'!C31+'Tryg Forsikring'!C31+'WaterCircles F'!C31+'Codan Forsikring'!C31+'Euro Accident'!C31+'Ly Forsikring'!C31+'Youplus Livsforsikring'!C31</f>
        <v>24497502.837656394</v>
      </c>
      <c r="D31" s="27">
        <f t="shared" si="16"/>
        <v>8.8000000000000007</v>
      </c>
      <c r="E31" s="44">
        <f>'Fremtind Livsforsikring'!F31+'Storebrand Danica Pensjon'!F31+'DNB Livsforsikring'!F31+'Eika Forsikring AS'!F31+'Frende Livsforsikring'!F31+'Frende Skadeforsikring'!F31+'Gjensidige Forsikring'!F31+'Gjensidige Pensjon'!F31+'Handelsbanken Liv'!F31+'If Skadeforsikring NUF'!F31+KLP!F31+'KLP Skadeforsikring AS'!F31+'Landkreditt Forsikring'!F31+'Nordea Liv '!F31+'Oslo Pensjonsforsikring'!F31+'Protector Forsikring'!F31+'SHB Liv'!F31+'Sparebank 1 Forsikring'!F31+'Storebrand Livsforsikring'!F31+'Telenor Forsikring'!F31+'Tryg Forsikring'!F31+'WaterCircles F'!F31+'Codan Forsikring'!F31+'Euro Accident'!F31+'Ly Forsikring'!F31+'Youplus Livsforsikring'!F31</f>
        <v>9386607.2067900002</v>
      </c>
      <c r="F31" s="44">
        <f>'Fremtind Livsforsikring'!G31+'Storebrand Danica Pensjon'!G31+'DNB Livsforsikring'!G31+'Eika Forsikring AS'!G31+'Frende Livsforsikring'!G31+'Frende Skadeforsikring'!G31+'Gjensidige Forsikring'!G31+'Gjensidige Pensjon'!G31+'Handelsbanken Liv'!G31+'If Skadeforsikring NUF'!G31+KLP!G31+'KLP Skadeforsikring AS'!G31+'Landkreditt Forsikring'!G31+'Nordea Liv '!G31+'Oslo Pensjonsforsikring'!G31+'Protector Forsikring'!G31+'SHB Liv'!G31+'Sparebank 1 Forsikring'!G31+'Storebrand Livsforsikring'!G31+'Telenor Forsikring'!G31+'Tryg Forsikring'!G31+'WaterCircles F'!G31+'Codan Forsikring'!G31+'Euro Accident'!G31+'Ly Forsikring'!G31+'Youplus Livsforsikring'!G31</f>
        <v>7331537.7255817726</v>
      </c>
      <c r="G31" s="165">
        <f t="shared" si="17"/>
        <v>-21.9</v>
      </c>
      <c r="H31" s="233">
        <f t="shared" si="9"/>
        <v>31893064.58133978</v>
      </c>
      <c r="I31" s="44">
        <f t="shared" si="7"/>
        <v>31829040.563238166</v>
      </c>
      <c r="J31" s="23">
        <f t="shared" si="8"/>
        <v>-0.2</v>
      </c>
    </row>
    <row r="32" spans="1:11" ht="15.75" customHeight="1" x14ac:dyDescent="0.2">
      <c r="A32" s="725" t="s">
        <v>431</v>
      </c>
      <c r="B32" s="44">
        <f>'Fremtind Livsforsikring'!B32+'Storebrand Danica Pensjon'!B32+'DNB Livsforsikring'!B32+'Eika Forsikring AS'!B32+'Frende Livsforsikring'!B32+'Frende Skadeforsikring'!B32+'Gjensidige Forsikring'!B32+'Gjensidige Pensjon'!B32+'Handelsbanken Liv'!B32+'If Skadeforsikring NUF'!B32+KLP!B32+'KLP Skadeforsikring AS'!B32+'Landkreditt Forsikring'!B32+'Nordea Liv '!B32+'Oslo Pensjonsforsikring'!B32+'Protector Forsikring'!B32+'SHB Liv'!B32+'Sparebank 1 Forsikring'!B32+'Storebrand Livsforsikring'!B32+'Telenor Forsikring'!B32+'Tryg Forsikring'!B32+'WaterCircles F'!B32+'Codan Forsikring'!B32+'Euro Accident'!B32+'Ly Forsikring'!B32+'Youplus Livsforsikring'!B32</f>
        <v>2969950.5638734298</v>
      </c>
      <c r="C32" s="44">
        <f>'Fremtind Livsforsikring'!C32+'Storebrand Danica Pensjon'!C32+'DNB Livsforsikring'!C32+'Eika Forsikring AS'!C32+'Frende Livsforsikring'!C32+'Frende Skadeforsikring'!C32+'Gjensidige Forsikring'!C32+'Gjensidige Pensjon'!C32+'Handelsbanken Liv'!C32+'If Skadeforsikring NUF'!C32+KLP!C32+'KLP Skadeforsikring AS'!C32+'Landkreditt Forsikring'!C32+'Nordea Liv '!C32+'Oslo Pensjonsforsikring'!C32+'Protector Forsikring'!C32+'SHB Liv'!C32+'Sparebank 1 Forsikring'!C32+'Storebrand Livsforsikring'!C32+'Telenor Forsikring'!C32+'Tryg Forsikring'!C32+'WaterCircles F'!C32+'Codan Forsikring'!C32+'Euro Accident'!C32+'Ly Forsikring'!C32+'Youplus Livsforsikring'!C32</f>
        <v>2433493.2731009531</v>
      </c>
      <c r="D32" s="27">
        <f t="shared" si="16"/>
        <v>-18.100000000000001</v>
      </c>
      <c r="E32" s="44">
        <f>'Fremtind Livsforsikring'!F32+'Storebrand Danica Pensjon'!F32+'DNB Livsforsikring'!F32+'Eika Forsikring AS'!F32+'Frende Livsforsikring'!F32+'Frende Skadeforsikring'!F32+'Gjensidige Forsikring'!F32+'Gjensidige Pensjon'!F32+'Handelsbanken Liv'!F32+'If Skadeforsikring NUF'!F32+KLP!F32+'KLP Skadeforsikring AS'!F32+'Landkreditt Forsikring'!F32+'Nordea Liv '!F32+'Oslo Pensjonsforsikring'!F32+'Protector Forsikring'!F32+'SHB Liv'!F32+'Sparebank 1 Forsikring'!F32+'Storebrand Livsforsikring'!F32+'Telenor Forsikring'!F32+'Tryg Forsikring'!F32+'WaterCircles F'!F32+'Codan Forsikring'!F32+'Euro Accident'!F32+'Ly Forsikring'!F32+'Youplus Livsforsikring'!F32</f>
        <v>5892164.3790199999</v>
      </c>
      <c r="F32" s="44">
        <f>'Fremtind Livsforsikring'!G32+'Storebrand Danica Pensjon'!G32+'DNB Livsforsikring'!G32+'Eika Forsikring AS'!G32+'Frende Livsforsikring'!G32+'Frende Skadeforsikring'!G32+'Gjensidige Forsikring'!G32+'Gjensidige Pensjon'!G32+'Handelsbanken Liv'!G32+'If Skadeforsikring NUF'!G32+KLP!G32+'KLP Skadeforsikring AS'!G32+'Landkreditt Forsikring'!G32+'Nordea Liv '!G32+'Oslo Pensjonsforsikring'!G32+'Protector Forsikring'!G32+'SHB Liv'!G32+'Sparebank 1 Forsikring'!G32+'Storebrand Livsforsikring'!G32+'Telenor Forsikring'!G32+'Tryg Forsikring'!G32+'WaterCircles F'!G32+'Codan Forsikring'!G32+'Euro Accident'!G32+'Ly Forsikring'!G32+'Youplus Livsforsikring'!G32</f>
        <v>5341988.0512650497</v>
      </c>
      <c r="G32" s="165">
        <f t="shared" si="17"/>
        <v>-9.3000000000000007</v>
      </c>
      <c r="H32" s="233">
        <f t="shared" si="9"/>
        <v>8862114.9428934306</v>
      </c>
      <c r="I32" s="44">
        <f t="shared" si="7"/>
        <v>7775481.3243660033</v>
      </c>
      <c r="J32" s="24">
        <f t="shared" si="8"/>
        <v>-12.3</v>
      </c>
    </row>
    <row r="33" spans="1:10" ht="15.75" customHeight="1" x14ac:dyDescent="0.2">
      <c r="A33" s="725" t="s">
        <v>432</v>
      </c>
      <c r="B33" s="44"/>
      <c r="C33" s="44"/>
      <c r="D33" s="27"/>
      <c r="E33" s="44">
        <f>'Fremtind Livsforsikring'!F33+'Storebrand Danica Pensjon'!F33+'DNB Livsforsikring'!F33+'Eika Forsikring AS'!F33+'Frende Livsforsikring'!F33+'Frende Skadeforsikring'!F33+'Gjensidige Forsikring'!F33+'Gjensidige Pensjon'!F33+'Handelsbanken Liv'!F33+'If Skadeforsikring NUF'!F33+KLP!F33+'KLP Skadeforsikring AS'!F33+'Landkreditt Forsikring'!F33+'Nordea Liv '!F33+'Oslo Pensjonsforsikring'!F33+'Protector Forsikring'!F33+'SHB Liv'!F33+'Sparebank 1 Forsikring'!F33+'Storebrand Livsforsikring'!F33+'Telenor Forsikring'!F33+'Tryg Forsikring'!F33+'WaterCircles F'!F33+'Codan Forsikring'!F33+'Euro Accident'!F33+'Ly Forsikring'!F33+'Youplus Livsforsikring'!F33</f>
        <v>7306185.0791900009</v>
      </c>
      <c r="F33" s="44">
        <f>'Fremtind Livsforsikring'!G33+'Storebrand Danica Pensjon'!G33+'DNB Livsforsikring'!G33+'Eika Forsikring AS'!G33+'Frende Livsforsikring'!G33+'Frende Skadeforsikring'!G33+'Gjensidige Forsikring'!G33+'Gjensidige Pensjon'!G33+'Handelsbanken Liv'!G33+'If Skadeforsikring NUF'!G33+KLP!G33+'KLP Skadeforsikring AS'!G33+'Landkreditt Forsikring'!G33+'Nordea Liv '!G33+'Oslo Pensjonsforsikring'!G33+'Protector Forsikring'!G33+'SHB Liv'!G33+'Sparebank 1 Forsikring'!G33+'Storebrand Livsforsikring'!G33+'Telenor Forsikring'!G33+'Tryg Forsikring'!G33+'WaterCircles F'!G33+'Codan Forsikring'!G33+'Euro Accident'!G33+'Ly Forsikring'!G33+'Youplus Livsforsikring'!G33</f>
        <v>7407662.7945744283</v>
      </c>
      <c r="G33" s="165">
        <f t="shared" ref="G33" si="18">IF($A$1=4,IF(E33=0, "    ---- ", IF(ABS(ROUND(100/E33*F33-100,1))&lt;999,ROUND(100/E33*F33-100,1),IF(ROUND(100/E33*F33-100,1)&gt;999,999,-999))),"")</f>
        <v>1.4</v>
      </c>
      <c r="H33" s="233">
        <f t="shared" ref="H33" si="19">SUM(B33,E33)</f>
        <v>7306185.0791900009</v>
      </c>
      <c r="I33" s="44">
        <f t="shared" ref="I33" si="20">SUM(C33,F33)</f>
        <v>7407662.7945744283</v>
      </c>
      <c r="J33" s="24">
        <f t="shared" ref="J33" si="21">IF(H33=0, "    ---- ", IF(ABS(ROUND(100/H33*I33-100,1))&lt;999,ROUND(100/H33*I33-100,1),IF(ROUND(100/H33*I33-100,1)&gt;999,999,-999)))</f>
        <v>1.4</v>
      </c>
    </row>
    <row r="34" spans="1:10" s="43" customFormat="1" ht="15.75" customHeight="1" x14ac:dyDescent="0.2">
      <c r="A34" s="39" t="s">
        <v>427</v>
      </c>
      <c r="B34" s="235">
        <f>'Fremtind Livsforsikring'!B34+'Storebrand Danica Pensjon'!B34+'DNB Livsforsikring'!B34+'Eika Forsikring AS'!B34+'Frende Livsforsikring'!B34+'Frende Skadeforsikring'!B34+'Gjensidige Forsikring'!B34+'Gjensidige Pensjon'!B34+'Handelsbanken Liv'!B34+'If Skadeforsikring NUF'!B34+KLP!B34+'KLP Skadeforsikring AS'!B34+'Landkreditt Forsikring'!B34+'Nordea Liv '!B34+'Oslo Pensjonsforsikring'!B34+'Protector Forsikring'!B34+'SHB Liv'!B34+'Sparebank 1 Forsikring'!B34+'Storebrand Livsforsikring'!B34+'Telenor Forsikring'!B34+'Tryg Forsikring'!B34+'WaterCircles F'!B34+'Codan Forsikring'!B34+'Euro Accident'!B34+'Ly Forsikring'!B34+'Youplus Livsforsikring'!B34</f>
        <v>20997.924149999999</v>
      </c>
      <c r="C34" s="235">
        <f>'Fremtind Livsforsikring'!C34+'Storebrand Danica Pensjon'!C34+'DNB Livsforsikring'!C34+'Eika Forsikring AS'!C34+'Frende Livsforsikring'!C34+'Frende Skadeforsikring'!C34+'Gjensidige Forsikring'!C34+'Gjensidige Pensjon'!C34+'Handelsbanken Liv'!C34+'If Skadeforsikring NUF'!C34+KLP!C34+'KLP Skadeforsikring AS'!C34+'Landkreditt Forsikring'!C34+'Nordea Liv '!C34+'Oslo Pensjonsforsikring'!C34+'Protector Forsikring'!C34+'SHB Liv'!C34+'Sparebank 1 Forsikring'!C34+'Storebrand Livsforsikring'!C34+'Telenor Forsikring'!C34+'Tryg Forsikring'!C34+'WaterCircles F'!C34+'Codan Forsikring'!C34+'Euro Accident'!C34+'Ly Forsikring'!C34+'Youplus Livsforsikring'!C34</f>
        <v>29892.617870000002</v>
      </c>
      <c r="D34" s="24">
        <f t="shared" si="5"/>
        <v>42.4</v>
      </c>
      <c r="E34" s="311">
        <f>'Fremtind Livsforsikring'!F34+'Storebrand Danica Pensjon'!F34+'DNB Livsforsikring'!F34+'Eika Forsikring AS'!F34+'Frende Livsforsikring'!F34+'Frende Skadeforsikring'!F34+'Gjensidige Forsikring'!F34+'Gjensidige Pensjon'!F34+'Handelsbanken Liv'!F34+'If Skadeforsikring NUF'!F34+KLP!F34+'KLP Skadeforsikring AS'!F34+'Landkreditt Forsikring'!F34+'Nordea Liv '!F34+'Oslo Pensjonsforsikring'!F34+'Protector Forsikring'!F34+'SHB Liv'!F34+'Sparebank 1 Forsikring'!F34+'Storebrand Livsforsikring'!F34+'Telenor Forsikring'!F34+'Tryg Forsikring'!F34+'WaterCircles F'!F34+'Codan Forsikring'!F34+'Euro Accident'!F34+'Ly Forsikring'!F34+'Youplus Livsforsikring'!F34</f>
        <v>25375.105090000001</v>
      </c>
      <c r="F34" s="311">
        <f>'Fremtind Livsforsikring'!G34+'Storebrand Danica Pensjon'!G34+'DNB Livsforsikring'!G34+'Eika Forsikring AS'!G34+'Frende Livsforsikring'!G34+'Frende Skadeforsikring'!G34+'Gjensidige Forsikring'!G34+'Gjensidige Pensjon'!G34+'Handelsbanken Liv'!G34+'If Skadeforsikring NUF'!G34+KLP!G34+'KLP Skadeforsikring AS'!G34+'Landkreditt Forsikring'!G34+'Nordea Liv '!G34+'Oslo Pensjonsforsikring'!G34+'Protector Forsikring'!G34+'SHB Liv'!G34+'Sparebank 1 Forsikring'!G34+'Storebrand Livsforsikring'!G34+'Telenor Forsikring'!G34+'Tryg Forsikring'!G34+'WaterCircles F'!G34+'Codan Forsikring'!G34+'Euro Accident'!G34+'Ly Forsikring'!G34+'Youplus Livsforsikring'!G34</f>
        <v>781898.93793999997</v>
      </c>
      <c r="G34" s="170">
        <f t="shared" si="6"/>
        <v>999</v>
      </c>
      <c r="H34" s="311">
        <f t="shared" si="9"/>
        <v>46373.029240000003</v>
      </c>
      <c r="I34" s="235">
        <f t="shared" si="7"/>
        <v>811791.55580999993</v>
      </c>
      <c r="J34" s="24">
        <f t="shared" si="8"/>
        <v>999</v>
      </c>
    </row>
    <row r="35" spans="1:10" s="43" customFormat="1" ht="15.75" customHeight="1" x14ac:dyDescent="0.2">
      <c r="A35" s="39" t="s">
        <v>428</v>
      </c>
      <c r="B35" s="235">
        <f>'Fremtind Livsforsikring'!B35+'Storebrand Danica Pensjon'!B35+'DNB Livsforsikring'!B35+'Eika Forsikring AS'!B35+'Frende Livsforsikring'!B35+'Frende Skadeforsikring'!B35+'Gjensidige Forsikring'!B35+'Gjensidige Pensjon'!B35+'Handelsbanken Liv'!B35+'If Skadeforsikring NUF'!B35+KLP!B35+'KLP Skadeforsikring AS'!B35+'Landkreditt Forsikring'!B35+'Nordea Liv '!B35+'Oslo Pensjonsforsikring'!B35+'Protector Forsikring'!B35+'SHB Liv'!B35+'Sparebank 1 Forsikring'!B35+'Storebrand Livsforsikring'!B35+'Telenor Forsikring'!B35+'Tryg Forsikring'!B35+'WaterCircles F'!B35+'Codan Forsikring'!B35+'Euro Accident'!B35+'Ly Forsikring'!B35+'Youplus Livsforsikring'!B35</f>
        <v>-82723.308430000005</v>
      </c>
      <c r="C35" s="235">
        <f>'Fremtind Livsforsikring'!C35+'Storebrand Danica Pensjon'!C35+'DNB Livsforsikring'!C35+'Eika Forsikring AS'!C35+'Frende Livsforsikring'!C35+'Frende Skadeforsikring'!C35+'Gjensidige Forsikring'!C35+'Gjensidige Pensjon'!C35+'Handelsbanken Liv'!C35+'If Skadeforsikring NUF'!C35+KLP!C35+'KLP Skadeforsikring AS'!C35+'Landkreditt Forsikring'!C35+'Nordea Liv '!C35+'Oslo Pensjonsforsikring'!C35+'Protector Forsikring'!C35+'SHB Liv'!C35+'Sparebank 1 Forsikring'!C35+'Storebrand Livsforsikring'!C35+'Telenor Forsikring'!C35+'Tryg Forsikring'!C35+'WaterCircles F'!C35+'Codan Forsikring'!C35+'Euro Accident'!C35+'Ly Forsikring'!C35+'Youplus Livsforsikring'!C35</f>
        <v>-38405.634870000002</v>
      </c>
      <c r="D35" s="24">
        <f t="shared" si="5"/>
        <v>-53.6</v>
      </c>
      <c r="E35" s="311">
        <f>'Fremtind Livsforsikring'!F35+'Storebrand Danica Pensjon'!F35+'DNB Livsforsikring'!F35+'Eika Forsikring AS'!F35+'Frende Livsforsikring'!F35+'Frende Skadeforsikring'!F35+'Gjensidige Forsikring'!F35+'Gjensidige Pensjon'!F35+'Handelsbanken Liv'!F35+'If Skadeforsikring NUF'!F35+KLP!F35+'KLP Skadeforsikring AS'!F35+'Landkreditt Forsikring'!F35+'Nordea Liv '!F35+'Oslo Pensjonsforsikring'!F35+'Protector Forsikring'!F35+'SHB Liv'!F35+'Sparebank 1 Forsikring'!F35+'Storebrand Livsforsikring'!F35+'Telenor Forsikring'!F35+'Tryg Forsikring'!F35+'WaterCircles F'!F35+'Codan Forsikring'!F35+'Euro Accident'!F35+'Ly Forsikring'!F35+'Youplus Livsforsikring'!F35</f>
        <v>165794.57243999999</v>
      </c>
      <c r="F35" s="311">
        <f>'Fremtind Livsforsikring'!G35+'Storebrand Danica Pensjon'!G35+'DNB Livsforsikring'!G35+'Eika Forsikring AS'!G35+'Frende Livsforsikring'!G35+'Frende Skadeforsikring'!G35+'Gjensidige Forsikring'!G35+'Gjensidige Pensjon'!G35+'Handelsbanken Liv'!G35+'If Skadeforsikring NUF'!G35+KLP!G35+'KLP Skadeforsikring AS'!G35+'Landkreditt Forsikring'!G35+'Nordea Liv '!G35+'Oslo Pensjonsforsikring'!G35+'Protector Forsikring'!G35+'SHB Liv'!G35+'Sparebank 1 Forsikring'!G35+'Storebrand Livsforsikring'!G35+'Telenor Forsikring'!G35+'Tryg Forsikring'!G35+'WaterCircles F'!G35+'Codan Forsikring'!G35+'Euro Accident'!G35+'Ly Forsikring'!G35+'Youplus Livsforsikring'!G35</f>
        <v>429571.05228</v>
      </c>
      <c r="G35" s="170">
        <f t="shared" si="6"/>
        <v>159.1</v>
      </c>
      <c r="H35" s="311">
        <f t="shared" si="9"/>
        <v>83071.264009999984</v>
      </c>
      <c r="I35" s="235">
        <f t="shared" si="7"/>
        <v>391165.41740999999</v>
      </c>
      <c r="J35" s="24">
        <f t="shared" si="8"/>
        <v>370.9</v>
      </c>
    </row>
    <row r="36" spans="1:10" s="43" customFormat="1" ht="15.75" customHeight="1" x14ac:dyDescent="0.2">
      <c r="A36" s="12" t="s">
        <v>277</v>
      </c>
      <c r="B36" s="235">
        <f>'Fremtind Livsforsikring'!B36+'Storebrand Danica Pensjon'!B36+'DNB Livsforsikring'!B36+'Eika Forsikring AS'!B36+'Frende Livsforsikring'!B36+'Frende Skadeforsikring'!B36+'Gjensidige Forsikring'!B36+'Gjensidige Pensjon'!B36+'Handelsbanken Liv'!B36+'If Skadeforsikring NUF'!B36+KLP!B36+'KLP Skadeforsikring AS'!B36+'Landkreditt Forsikring'!B36+'Nordea Liv '!B36+'Oslo Pensjonsforsikring'!B36+'Protector Forsikring'!B36+'SHB Liv'!B36+'Sparebank 1 Forsikring'!B36+'Storebrand Livsforsikring'!B36+'Telenor Forsikring'!B36+'Tryg Forsikring'!B36+'WaterCircles F'!B36+'Codan Forsikring'!B36+'Euro Accident'!B36+'Ly Forsikring'!B36+'Youplus Livsforsikring'!B36</f>
        <v>9151.0755000000008</v>
      </c>
      <c r="C36" s="235">
        <f>'Fremtind Livsforsikring'!C36+'Storebrand Danica Pensjon'!C36+'DNB Livsforsikring'!C36+'Eika Forsikring AS'!C36+'Frende Livsforsikring'!C36+'Frende Skadeforsikring'!C36+'Gjensidige Forsikring'!C36+'Gjensidige Pensjon'!C36+'Handelsbanken Liv'!C36+'If Skadeforsikring NUF'!C36+KLP!C36+'KLP Skadeforsikring AS'!C36+'Landkreditt Forsikring'!C36+'Nordea Liv '!C36+'Oslo Pensjonsforsikring'!C36+'Protector Forsikring'!C36+'SHB Liv'!C36+'Sparebank 1 Forsikring'!C36+'Storebrand Livsforsikring'!C36+'Telenor Forsikring'!C36+'Tryg Forsikring'!C36+'WaterCircles F'!C36+'Codan Forsikring'!C36+'Euro Accident'!C36+'Ly Forsikring'!C36+'Youplus Livsforsikring'!C36</f>
        <v>8645.8979999999992</v>
      </c>
      <c r="D36" s="11">
        <f t="shared" si="5"/>
        <v>-5.5</v>
      </c>
      <c r="E36" s="322"/>
      <c r="F36" s="322"/>
      <c r="G36" s="170"/>
      <c r="H36" s="311">
        <f t="shared" si="9"/>
        <v>9151.0755000000008</v>
      </c>
      <c r="I36" s="235">
        <f t="shared" si="7"/>
        <v>8645.8979999999992</v>
      </c>
      <c r="J36" s="11">
        <f t="shared" si="8"/>
        <v>-5.5</v>
      </c>
    </row>
    <row r="37" spans="1:10" s="43" customFormat="1" ht="15.75" customHeight="1" x14ac:dyDescent="0.2">
      <c r="A37" s="726" t="s">
        <v>434</v>
      </c>
      <c r="B37" s="235">
        <f>'Fremtind Livsforsikring'!B37+'Storebrand Danica Pensjon'!B37+'DNB Livsforsikring'!B37+'Eika Forsikring AS'!B37+'Frende Livsforsikring'!B37+'Frende Skadeforsikring'!B37+'Gjensidige Forsikring'!B37+'Gjensidige Pensjon'!B37+'Handelsbanken Liv'!B37+'If Skadeforsikring NUF'!B37+KLP!B37+'KLP Skadeforsikring AS'!B37+'Landkreditt Forsikring'!B37+'Nordea Liv '!B37+'Oslo Pensjonsforsikring'!B37+'Protector Forsikring'!B37+'SHB Liv'!B37+'Sparebank 1 Forsikring'!B37+'Storebrand Livsforsikring'!B37+'Telenor Forsikring'!B37+'Tryg Forsikring'!B37+'WaterCircles F'!B37+'Codan Forsikring'!B37+'Euro Accident'!B37+'Ly Forsikring'!B37+'Youplus Livsforsikring'!B37</f>
        <v>3149867.6430000002</v>
      </c>
      <c r="C37" s="235">
        <f>'Fremtind Livsforsikring'!C37+'Storebrand Danica Pensjon'!C37+'DNB Livsforsikring'!C37+'Eika Forsikring AS'!C37+'Frende Livsforsikring'!C37+'Frende Skadeforsikring'!C37+'Gjensidige Forsikring'!C37+'Gjensidige Pensjon'!C37+'Handelsbanken Liv'!C37+'If Skadeforsikring NUF'!C37+KLP!C37+'KLP Skadeforsikring AS'!C37+'Landkreditt Forsikring'!C37+'Nordea Liv '!C37+'Oslo Pensjonsforsikring'!C37+'Protector Forsikring'!C37+'SHB Liv'!C37+'Sparebank 1 Forsikring'!C37+'Storebrand Livsforsikring'!C37+'Telenor Forsikring'!C37+'Tryg Forsikring'!C37+'WaterCircles F'!C37+'Codan Forsikring'!C37+'Euro Accident'!C37+'Ly Forsikring'!C37+'Youplus Livsforsikring'!C37</f>
        <v>2902310.86674</v>
      </c>
      <c r="D37" s="24">
        <f t="shared" si="5"/>
        <v>-7.9</v>
      </c>
      <c r="E37" s="327"/>
      <c r="F37" s="327"/>
      <c r="G37" s="170"/>
      <c r="H37" s="311">
        <f t="shared" si="9"/>
        <v>3149867.6430000002</v>
      </c>
      <c r="I37" s="235">
        <f t="shared" si="7"/>
        <v>2902310.86674</v>
      </c>
      <c r="J37" s="24">
        <f t="shared" si="8"/>
        <v>-7.9</v>
      </c>
    </row>
    <row r="38" spans="1:10" s="43" customFormat="1" ht="15.75" customHeight="1" x14ac:dyDescent="0.2">
      <c r="A38" s="726" t="s">
        <v>435</v>
      </c>
      <c r="B38" s="235">
        <f>'Fremtind Livsforsikring'!B38+'Storebrand Danica Pensjon'!B38+'DNB Livsforsikring'!B38+'Eika Forsikring AS'!B38+'Frende Livsforsikring'!B38+'Frende Skadeforsikring'!B38+'Gjensidige Forsikring'!B38+'Gjensidige Pensjon'!B38+'Handelsbanken Liv'!B38+'If Skadeforsikring NUF'!B38+KLP!B38+'KLP Skadeforsikring AS'!B38+'Landkreditt Forsikring'!B38+'Nordea Liv '!B38+'Oslo Pensjonsforsikring'!B38+'Protector Forsikring'!B38+'SHB Liv'!B38+'Sparebank 1 Forsikring'!B38+'Storebrand Livsforsikring'!B38+'Telenor Forsikring'!B38+'Tryg Forsikring'!B38+'WaterCircles F'!B38+'Codan Forsikring'!B38+'Euro Accident'!B38+'Ly Forsikring'!B38+'Youplus Livsforsikring'!B38</f>
        <v>0</v>
      </c>
      <c r="C38" s="235">
        <f>'Fremtind Livsforsikring'!C38+'Storebrand Danica Pensjon'!C38+'DNB Livsforsikring'!C38+'Eika Forsikring AS'!C38+'Frende Livsforsikring'!C38+'Frende Skadeforsikring'!C38+'Gjensidige Forsikring'!C38+'Gjensidige Pensjon'!C38+'Handelsbanken Liv'!C38+'If Skadeforsikring NUF'!C38+KLP!C38+'KLP Skadeforsikring AS'!C38+'Landkreditt Forsikring'!C38+'Nordea Liv '!C38+'Oslo Pensjonsforsikring'!C38+'Protector Forsikring'!C38+'SHB Liv'!C38+'Sparebank 1 Forsikring'!C38+'Storebrand Livsforsikring'!C38+'Telenor Forsikring'!C38+'Tryg Forsikring'!C38+'WaterCircles F'!C38+'Codan Forsikring'!C38+'Euro Accident'!C38+'Ly Forsikring'!C38+'Youplus Livsforsikring'!C38</f>
        <v>0</v>
      </c>
      <c r="D38" s="24" t="str">
        <f t="shared" si="5"/>
        <v xml:space="preserve">    ---- </v>
      </c>
      <c r="E38" s="322"/>
      <c r="F38" s="322"/>
      <c r="G38" s="170"/>
      <c r="H38" s="311">
        <f t="shared" si="9"/>
        <v>0</v>
      </c>
      <c r="I38" s="235">
        <f t="shared" si="7"/>
        <v>0</v>
      </c>
      <c r="J38" s="24" t="str">
        <f t="shared" si="8"/>
        <v xml:space="preserve">    ---- </v>
      </c>
    </row>
    <row r="39" spans="1:10" s="43" customFormat="1" ht="15.75" customHeight="1" x14ac:dyDescent="0.2">
      <c r="A39" s="727" t="s">
        <v>436</v>
      </c>
      <c r="B39" s="279">
        <f>'Fremtind Livsforsikring'!B39+'Storebrand Danica Pensjon'!B39+'DNB Livsforsikring'!B39+'Eika Forsikring AS'!B39+'Frende Livsforsikring'!B39+'Frende Skadeforsikring'!B39+'Gjensidige Forsikring'!B39+'Gjensidige Pensjon'!B39+'Handelsbanken Liv'!B39+'If Skadeforsikring NUF'!B39+KLP!B39+'KLP Skadeforsikring AS'!B39+'Landkreditt Forsikring'!B39+'Nordea Liv '!B39+'Oslo Pensjonsforsikring'!B39+'Protector Forsikring'!B39+'SHB Liv'!B39+'Sparebank 1 Forsikring'!B39+'Storebrand Livsforsikring'!B39+'Telenor Forsikring'!B39+'Tryg Forsikring'!B39+'WaterCircles F'!B39+'Codan Forsikring'!B39+'Euro Accident'!B39+'Ly Forsikring'!B39+'Youplus Livsforsikring'!B39</f>
        <v>5</v>
      </c>
      <c r="C39" s="279">
        <f>'Fremtind Livsforsikring'!C39+'Storebrand Danica Pensjon'!C39+'DNB Livsforsikring'!C39+'Eika Forsikring AS'!C39+'Frende Livsforsikring'!C39+'Frende Skadeforsikring'!C39+'Gjensidige Forsikring'!C39+'Gjensidige Pensjon'!C39+'Handelsbanken Liv'!C39+'If Skadeforsikring NUF'!C39+KLP!C39+'KLP Skadeforsikring AS'!C39+'Landkreditt Forsikring'!C39+'Nordea Liv '!C39+'Oslo Pensjonsforsikring'!C39+'Protector Forsikring'!C39+'SHB Liv'!C39+'Sparebank 1 Forsikring'!C39+'Storebrand Livsforsikring'!C39+'Telenor Forsikring'!C39+'Tryg Forsikring'!C39+'WaterCircles F'!C39+'Codan Forsikring'!C39+'Euro Accident'!C39+'Ly Forsikring'!C39+'Youplus Livsforsikring'!C39</f>
        <v>12</v>
      </c>
      <c r="D39" s="36">
        <f t="shared" si="5"/>
        <v>140</v>
      </c>
      <c r="E39" s="328"/>
      <c r="F39" s="328"/>
      <c r="G39" s="168"/>
      <c r="H39" s="317">
        <f t="shared" si="9"/>
        <v>5</v>
      </c>
      <c r="I39" s="279">
        <f t="shared" si="7"/>
        <v>12</v>
      </c>
      <c r="J39" s="36">
        <f t="shared" si="8"/>
        <v>140</v>
      </c>
    </row>
    <row r="40" spans="1:10" ht="15.75" customHeight="1" x14ac:dyDescent="0.2">
      <c r="A40" s="47"/>
    </row>
    <row r="41" spans="1:10" ht="15.75" customHeight="1" x14ac:dyDescent="0.2">
      <c r="A41" s="154"/>
    </row>
    <row r="42" spans="1:10" ht="15.75" customHeight="1" x14ac:dyDescent="0.25">
      <c r="A42" s="146" t="s">
        <v>266</v>
      </c>
      <c r="B42" s="1006"/>
      <c r="C42" s="1006"/>
      <c r="D42" s="1006"/>
      <c r="E42" s="1007"/>
      <c r="F42" s="1007"/>
      <c r="G42" s="1007"/>
      <c r="H42" s="1007"/>
      <c r="I42" s="1007"/>
      <c r="J42" s="1007"/>
    </row>
    <row r="43" spans="1:10" ht="15.75" customHeight="1" x14ac:dyDescent="0.25">
      <c r="A43" s="162"/>
      <c r="B43" s="433"/>
      <c r="C43" s="433"/>
      <c r="D43" s="433"/>
      <c r="E43" s="301"/>
      <c r="F43" s="301"/>
      <c r="G43" s="301"/>
      <c r="H43" s="301"/>
      <c r="I43" s="301"/>
      <c r="J43" s="301"/>
    </row>
    <row r="44" spans="1:10" s="3" customFormat="1" ht="15.75" customHeight="1" x14ac:dyDescent="0.25">
      <c r="A44" s="248"/>
      <c r="B44" s="329" t="s">
        <v>0</v>
      </c>
      <c r="C44" s="330"/>
      <c r="D44" s="256"/>
      <c r="E44" s="42"/>
      <c r="F44" s="42"/>
      <c r="G44" s="40"/>
      <c r="H44" s="42"/>
      <c r="I44" s="42"/>
      <c r="J44" s="40"/>
    </row>
    <row r="45" spans="1:10" s="3" customFormat="1" ht="15.75" customHeight="1" x14ac:dyDescent="0.2">
      <c r="A45" s="139"/>
      <c r="B45" s="253" t="s">
        <v>507</v>
      </c>
      <c r="C45" s="254" t="s">
        <v>508</v>
      </c>
      <c r="D45" s="251" t="s">
        <v>3</v>
      </c>
      <c r="E45" s="42"/>
      <c r="F45" s="42"/>
      <c r="G45" s="40"/>
      <c r="H45" s="42"/>
      <c r="I45" s="42"/>
      <c r="J45" s="40"/>
    </row>
    <row r="46" spans="1:10" s="3" customFormat="1" ht="15.75" customHeight="1" x14ac:dyDescent="0.2">
      <c r="A46" s="979"/>
      <c r="B46" s="46"/>
      <c r="C46" s="255"/>
      <c r="D46" s="17" t="s">
        <v>4</v>
      </c>
      <c r="E46" s="40"/>
      <c r="F46" s="40"/>
      <c r="G46" s="40"/>
      <c r="H46" s="40"/>
      <c r="I46" s="40"/>
      <c r="J46" s="40"/>
    </row>
    <row r="47" spans="1:10" s="419" customFormat="1" ht="15.75" customHeight="1" x14ac:dyDescent="0.2">
      <c r="A47" s="14" t="s">
        <v>23</v>
      </c>
      <c r="B47" s="235">
        <f>'Fremtind Livsforsikring'!B47+'Storebrand Danica Pensjon'!B47+'DNB Livsforsikring'!B47+'Eika Forsikring AS'!B47+'Frende Livsforsikring'!B47+'Frende Skadeforsikring'!B47+'Gjensidige Forsikring'!B47+'Gjensidige Pensjon'!B47+'Handelsbanken Liv'!B47+'If Skadeforsikring NUF'!B47+KLP!B47+'KLP Skadeforsikring AS'!B47+'Landkreditt Forsikring'!B47+'Nordea Liv '!B47+'Oslo Pensjonsforsikring'!B47+'Protector Forsikring'!B47+'SHB Liv'!B47+'Sparebank 1 Forsikring'!B47+'Storebrand Livsforsikring'!B47+'Telenor Forsikring'!B47+'Tryg Forsikring'!B47+'WaterCircles F'!B47+'Codan Forsikring'!B47+'Euro Accident'!B47+'Ly Forsikring'!B47+'Youplus Livsforsikring'!B47</f>
        <v>5094004.6205929341</v>
      </c>
      <c r="C47" s="235">
        <f>'Fremtind Livsforsikring'!C47+'Storebrand Danica Pensjon'!C47+'DNB Livsforsikring'!C47+'Eika Forsikring AS'!C47+'Frende Livsforsikring'!C47+'Frende Skadeforsikring'!C47+'Gjensidige Forsikring'!C47+'Gjensidige Pensjon'!C47+'Handelsbanken Liv'!C47+'If Skadeforsikring NUF'!C47+KLP!C47+'KLP Skadeforsikring AS'!C47+'Landkreditt Forsikring'!C47+'Nordea Liv '!C47+'Oslo Pensjonsforsikring'!C47+'Protector Forsikring'!C47+'SHB Liv'!C47+'Sparebank 1 Forsikring'!C47+'Storebrand Livsforsikring'!C47+'Telenor Forsikring'!C47+'Tryg Forsikring'!C47+'WaterCircles F'!C47+'Codan Forsikring'!C47+'Euro Accident'!C47+'Ly Forsikring'!C47+'Youplus Livsforsikring'!C47</f>
        <v>5541685.755646944</v>
      </c>
      <c r="D47" s="24">
        <f t="shared" ref="D47:D57" si="22">IF(B47=0, "    ---- ", IF(ABS(ROUND(100/B47*C47-100,1))&lt;999,ROUND(100/B47*C47-100,1),IF(ROUND(100/B47*C47-100,1)&gt;999,999,-999)))</f>
        <v>8.8000000000000007</v>
      </c>
      <c r="E47" s="420"/>
      <c r="F47" s="421"/>
      <c r="G47" s="32"/>
      <c r="H47" s="422"/>
      <c r="I47" s="422"/>
      <c r="J47" s="32"/>
    </row>
    <row r="48" spans="1:10" s="3" customFormat="1" ht="15.75" customHeight="1" x14ac:dyDescent="0.2">
      <c r="A48" s="38" t="s">
        <v>437</v>
      </c>
      <c r="B48" s="44">
        <f>'Fremtind Livsforsikring'!B48+'Storebrand Danica Pensjon'!B48+'DNB Livsforsikring'!B48+'Eika Forsikring AS'!B48+'Frende Livsforsikring'!B48+'Frende Skadeforsikring'!B48+'Gjensidige Forsikring'!B48+'Gjensidige Pensjon'!B48+'Handelsbanken Liv'!B48+'If Skadeforsikring NUF'!B48+KLP!B48+'KLP Skadeforsikring AS'!B48+'Landkreditt Forsikring'!B48+'Nordea Liv '!B48+'Oslo Pensjonsforsikring'!B48+'Protector Forsikring'!B48+'SHB Liv'!B48+'Sparebank 1 Forsikring'!B48+'Storebrand Livsforsikring'!B48+'Telenor Forsikring'!B48+'Tryg Forsikring'!B48+'WaterCircles F'!B48+'Codan Forsikring'!B48+'Euro Accident'!B48+'Ly Forsikring'!B48+'Youplus Livsforsikring'!B48</f>
        <v>2832229.7221829337</v>
      </c>
      <c r="C48" s="44">
        <f>'Fremtind Livsforsikring'!C48+'Storebrand Danica Pensjon'!C48+'DNB Livsforsikring'!C48+'Eika Forsikring AS'!C48+'Frende Livsforsikring'!C48+'Frende Skadeforsikring'!C48+'Gjensidige Forsikring'!C48+'Gjensidige Pensjon'!C48+'Handelsbanken Liv'!C48+'If Skadeforsikring NUF'!C48+KLP!C48+'KLP Skadeforsikring AS'!C48+'Landkreditt Forsikring'!C48+'Nordea Liv '!C48+'Oslo Pensjonsforsikring'!C48+'Protector Forsikring'!C48+'SHB Liv'!C48+'Sparebank 1 Forsikring'!C48+'Storebrand Livsforsikring'!C48+'Telenor Forsikring'!C48+'Tryg Forsikring'!C48+'WaterCircles F'!C48+'Codan Forsikring'!C48+'Euro Accident'!C48+'Ly Forsikring'!C48+'Youplus Livsforsikring'!C48</f>
        <v>3080164.9521469441</v>
      </c>
      <c r="D48" s="24">
        <f t="shared" si="22"/>
        <v>8.8000000000000007</v>
      </c>
      <c r="E48" s="35"/>
      <c r="F48" s="5"/>
      <c r="G48" s="34"/>
      <c r="H48" s="33"/>
      <c r="I48" s="33"/>
      <c r="J48" s="32"/>
    </row>
    <row r="49" spans="1:10" s="3" customFormat="1" ht="15.75" customHeight="1" x14ac:dyDescent="0.2">
      <c r="A49" s="38" t="s">
        <v>438</v>
      </c>
      <c r="B49" s="190">
        <f>'Fremtind Livsforsikring'!B49+'Storebrand Danica Pensjon'!B49+'DNB Livsforsikring'!B49+'Eika Forsikring AS'!B49+'Frende Livsforsikring'!B49+'Frende Skadeforsikring'!B49+'Gjensidige Forsikring'!B49+'Gjensidige Pensjon'!B49+'Handelsbanken Liv'!B49+'If Skadeforsikring NUF'!B49+KLP!B49+'KLP Skadeforsikring AS'!B49+'Landkreditt Forsikring'!B49+'Nordea Liv '!B49+'Oslo Pensjonsforsikring'!B49+'Protector Forsikring'!B49+'SHB Liv'!B49+'Sparebank 1 Forsikring'!B49+'Storebrand Livsforsikring'!B49+'Telenor Forsikring'!B49+'Tryg Forsikring'!B49+'WaterCircles F'!B49+'Codan Forsikring'!B49+'Euro Accident'!B49+'Ly Forsikring'!B49+'Youplus Livsforsikring'!B49</f>
        <v>2261774.8984099999</v>
      </c>
      <c r="C49" s="190">
        <f>'Fremtind Livsforsikring'!C49+'Storebrand Danica Pensjon'!C49+'DNB Livsforsikring'!C49+'Eika Forsikring AS'!C49+'Frende Livsforsikring'!C49+'Frende Skadeforsikring'!C49+'Gjensidige Forsikring'!C49+'Gjensidige Pensjon'!C49+'Handelsbanken Liv'!C49+'If Skadeforsikring NUF'!C49+KLP!C49+'KLP Skadeforsikring AS'!C49+'Landkreditt Forsikring'!C49+'Nordea Liv '!C49+'Oslo Pensjonsforsikring'!C49+'Protector Forsikring'!C49+'SHB Liv'!C49+'Sparebank 1 Forsikring'!C49+'Storebrand Livsforsikring'!C49+'Telenor Forsikring'!C49+'Tryg Forsikring'!C49+'WaterCircles F'!C49+'Codan Forsikring'!C49+'Euro Accident'!C49+'Ly Forsikring'!C49+'Youplus Livsforsikring'!C49</f>
        <v>2461520.8035000004</v>
      </c>
      <c r="D49" s="24">
        <f t="shared" si="22"/>
        <v>8.8000000000000007</v>
      </c>
      <c r="E49" s="35"/>
      <c r="F49" s="5"/>
      <c r="G49" s="34"/>
      <c r="H49" s="37"/>
      <c r="I49" s="37"/>
      <c r="J49" s="32"/>
    </row>
    <row r="50" spans="1:10" s="3" customFormat="1" ht="15.75" customHeight="1" x14ac:dyDescent="0.2">
      <c r="A50" s="299" t="s">
        <v>6</v>
      </c>
      <c r="B50" s="44"/>
      <c r="C50" s="44"/>
      <c r="D50" s="27"/>
      <c r="E50" s="35"/>
      <c r="F50" s="5"/>
      <c r="G50" s="34"/>
      <c r="H50" s="33"/>
      <c r="I50" s="33"/>
      <c r="J50" s="32"/>
    </row>
    <row r="51" spans="1:10" s="3" customFormat="1" ht="15.75" customHeight="1" x14ac:dyDescent="0.2">
      <c r="A51" s="299" t="s">
        <v>7</v>
      </c>
      <c r="B51" s="44">
        <f>'Fremtind Livsforsikring'!B51+'Storebrand Danica Pensjon'!B51+'DNB Livsforsikring'!B51+'Eika Forsikring AS'!B51+'Frende Livsforsikring'!B51+'Frende Skadeforsikring'!B51+'Gjensidige Forsikring'!B51+'Gjensidige Pensjon'!B51+'Handelsbanken Liv'!B51+'If Skadeforsikring NUF'!B51+KLP!B51+'KLP Skadeforsikring AS'!B51+'Landkreditt Forsikring'!B51+'Nordea Liv '!B51+'Oslo Pensjonsforsikring'!B51+'Protector Forsikring'!B51+'SHB Liv'!B51+'Sparebank 1 Forsikring'!B51+'Storebrand Livsforsikring'!B51+'Telenor Forsikring'!B51+'Tryg Forsikring'!B51+'WaterCircles F'!B51+'Codan Forsikring'!B51+'Euro Accident'!B51+'Ly Forsikring'!B51+'Youplus Livsforsikring'!B51</f>
        <v>2191271.55755</v>
      </c>
      <c r="C51" s="44">
        <f>'Fremtind Livsforsikring'!C51+'Storebrand Danica Pensjon'!C51+'DNB Livsforsikring'!C51+'Eika Forsikring AS'!C51+'Frende Livsforsikring'!C51+'Frende Skadeforsikring'!C51+'Gjensidige Forsikring'!C51+'Gjensidige Pensjon'!C51+'Handelsbanken Liv'!C51+'If Skadeforsikring NUF'!C51+KLP!C51+'KLP Skadeforsikring AS'!C51+'Landkreditt Forsikring'!C51+'Nordea Liv '!C51+'Oslo Pensjonsforsikring'!C51+'Protector Forsikring'!C51+'SHB Liv'!C51+'Sparebank 1 Forsikring'!C51+'Storebrand Livsforsikring'!C51+'Telenor Forsikring'!C51+'Tryg Forsikring'!C51+'WaterCircles F'!C51+'Codan Forsikring'!C51+'Euro Accident'!C51+'Ly Forsikring'!C51+'Youplus Livsforsikring'!C51</f>
        <v>2392542.4708799999</v>
      </c>
      <c r="D51" s="27">
        <f t="shared" ref="D51:D52" si="23">IF($A$1=4,IF(B51=0, "    ---- ", IF(ABS(ROUND(100/B51*C51-100,1))&lt;999,ROUND(100/B51*C51-100,1),IF(ROUND(100/B51*C51-100,1)&gt;999,999,-999))),"")</f>
        <v>9.1999999999999993</v>
      </c>
      <c r="E51" s="35"/>
      <c r="F51" s="5"/>
      <c r="G51" s="34"/>
      <c r="H51" s="33"/>
      <c r="I51" s="33"/>
      <c r="J51" s="32"/>
    </row>
    <row r="52" spans="1:10" s="3" customFormat="1" ht="15.75" customHeight="1" x14ac:dyDescent="0.2">
      <c r="A52" s="299" t="s">
        <v>8</v>
      </c>
      <c r="B52" s="44">
        <f>'Fremtind Livsforsikring'!B52+'Storebrand Danica Pensjon'!B52+'DNB Livsforsikring'!B52+'Eika Forsikring AS'!B52+'Frende Livsforsikring'!B52+'Frende Skadeforsikring'!B52+'Gjensidige Forsikring'!B52+'Gjensidige Pensjon'!B52+'Handelsbanken Liv'!B52+'If Skadeforsikring NUF'!B52+KLP!B52+'KLP Skadeforsikring AS'!B52+'Landkreditt Forsikring'!B52+'Nordea Liv '!B52+'Oslo Pensjonsforsikring'!B52+'Protector Forsikring'!B52+'SHB Liv'!B52+'Sparebank 1 Forsikring'!B52+'Storebrand Livsforsikring'!B52+'Telenor Forsikring'!B52+'Tryg Forsikring'!B52+'WaterCircles F'!B52+'Codan Forsikring'!B52+'Euro Accident'!B52+'Ly Forsikring'!B52+'Youplus Livsforsikring'!B52</f>
        <v>70503.340859999895</v>
      </c>
      <c r="C52" s="44">
        <f>'Fremtind Livsforsikring'!C52+'Storebrand Danica Pensjon'!C52+'DNB Livsforsikring'!C52+'Eika Forsikring AS'!C52+'Frende Livsforsikring'!C52+'Frende Skadeforsikring'!C52+'Gjensidige Forsikring'!C52+'Gjensidige Pensjon'!C52+'Handelsbanken Liv'!C52+'If Skadeforsikring NUF'!C52+KLP!C52+'KLP Skadeforsikring AS'!C52+'Landkreditt Forsikring'!C52+'Nordea Liv '!C52+'Oslo Pensjonsforsikring'!C52+'Protector Forsikring'!C52+'SHB Liv'!C52+'Sparebank 1 Forsikring'!C52+'Storebrand Livsforsikring'!C52+'Telenor Forsikring'!C52+'Tryg Forsikring'!C52+'WaterCircles F'!C52+'Codan Forsikring'!C52+'Euro Accident'!C52+'Ly Forsikring'!C52+'Youplus Livsforsikring'!C52</f>
        <v>68978.332619999899</v>
      </c>
      <c r="D52" s="27">
        <f t="shared" si="23"/>
        <v>-2.2000000000000002</v>
      </c>
      <c r="E52" s="35"/>
      <c r="F52" s="5"/>
      <c r="G52" s="34"/>
      <c r="H52" s="33"/>
      <c r="I52" s="33"/>
      <c r="J52" s="32"/>
    </row>
    <row r="53" spans="1:10" s="419" customFormat="1" ht="15.75" customHeight="1" x14ac:dyDescent="0.2">
      <c r="A53" s="39" t="s">
        <v>439</v>
      </c>
      <c r="B53" s="235">
        <f>'Fremtind Livsforsikring'!B53+'Storebrand Danica Pensjon'!B53+'DNB Livsforsikring'!B53+'Eika Forsikring AS'!B53+'Frende Livsforsikring'!B53+'Frende Skadeforsikring'!B53+'Gjensidige Forsikring'!B53+'Gjensidige Pensjon'!B53+'Handelsbanken Liv'!B53+'If Skadeforsikring NUF'!B53+KLP!B53+'KLP Skadeforsikring AS'!B53+'Landkreditt Forsikring'!B53+'Nordea Liv '!B53+'Oslo Pensjonsforsikring'!B53+'Protector Forsikring'!B53+'SHB Liv'!B53+'Sparebank 1 Forsikring'!B53+'Storebrand Livsforsikring'!B53+'Telenor Forsikring'!B53+'Tryg Forsikring'!B53+'WaterCircles F'!B53+'Codan Forsikring'!B53+'Euro Accident'!B53+'Ly Forsikring'!B53+'Youplus Livsforsikring'!B53</f>
        <v>273474.08687602181</v>
      </c>
      <c r="C53" s="235">
        <f>'Fremtind Livsforsikring'!C53+'Storebrand Danica Pensjon'!C53+'DNB Livsforsikring'!C53+'Eika Forsikring AS'!C53+'Frende Livsforsikring'!C53+'Frende Skadeforsikring'!C53+'Gjensidige Forsikring'!C53+'Gjensidige Pensjon'!C53+'Handelsbanken Liv'!C53+'If Skadeforsikring NUF'!C53+KLP!C53+'KLP Skadeforsikring AS'!C53+'Landkreditt Forsikring'!C53+'Nordea Liv '!C53+'Oslo Pensjonsforsikring'!C53+'Protector Forsikring'!C53+'SHB Liv'!C53+'Sparebank 1 Forsikring'!C53+'Storebrand Livsforsikring'!C53+'Telenor Forsikring'!C53+'Tryg Forsikring'!C53+'WaterCircles F'!C53+'Codan Forsikring'!C53+'Euro Accident'!C53+'Ly Forsikring'!C53+'Youplus Livsforsikring'!C53</f>
        <v>142510.55900000001</v>
      </c>
      <c r="D53" s="24">
        <f t="shared" si="22"/>
        <v>-47.9</v>
      </c>
      <c r="E53" s="420"/>
      <c r="F53" s="421"/>
      <c r="G53" s="32"/>
      <c r="H53" s="173"/>
      <c r="I53" s="173"/>
      <c r="J53" s="32"/>
    </row>
    <row r="54" spans="1:10" s="3" customFormat="1" ht="15.75" customHeight="1" x14ac:dyDescent="0.2">
      <c r="A54" s="38" t="s">
        <v>437</v>
      </c>
      <c r="B54" s="44">
        <f>'Fremtind Livsforsikring'!B54+'Storebrand Danica Pensjon'!B54+'DNB Livsforsikring'!B54+'Eika Forsikring AS'!B54+'Frende Livsforsikring'!B54+'Frende Skadeforsikring'!B54+'Gjensidige Forsikring'!B54+'Gjensidige Pensjon'!B54+'Handelsbanken Liv'!B54+'If Skadeforsikring NUF'!B54+KLP!B54+'KLP Skadeforsikring AS'!B54+'Landkreditt Forsikring'!B54+'Nordea Liv '!B54+'Oslo Pensjonsforsikring'!B54+'Protector Forsikring'!B54+'SHB Liv'!B54+'Sparebank 1 Forsikring'!B54+'Storebrand Livsforsikring'!B54+'Telenor Forsikring'!B54+'Tryg Forsikring'!B54+'WaterCircles F'!B54+'Codan Forsikring'!B54+'Euro Accident'!B54+'Ly Forsikring'!B54+'Youplus Livsforsikring'!B54</f>
        <v>267348.77587602177</v>
      </c>
      <c r="C54" s="44">
        <f>'Fremtind Livsforsikring'!C54+'Storebrand Danica Pensjon'!C54+'DNB Livsforsikring'!C54+'Eika Forsikring AS'!C54+'Frende Livsforsikring'!C54+'Frende Skadeforsikring'!C54+'Gjensidige Forsikring'!C54+'Gjensidige Pensjon'!C54+'Handelsbanken Liv'!C54+'If Skadeforsikring NUF'!C54+KLP!C54+'KLP Skadeforsikring AS'!C54+'Landkreditt Forsikring'!C54+'Nordea Liv '!C54+'Oslo Pensjonsforsikring'!C54+'Protector Forsikring'!C54+'SHB Liv'!C54+'Sparebank 1 Forsikring'!C54+'Storebrand Livsforsikring'!C54+'Telenor Forsikring'!C54+'Tryg Forsikring'!C54+'WaterCircles F'!C54+'Codan Forsikring'!C54+'Euro Accident'!C54+'Ly Forsikring'!C54+'Youplus Livsforsikring'!C54</f>
        <v>141561.55900000001</v>
      </c>
      <c r="D54" s="24">
        <f t="shared" si="22"/>
        <v>-47</v>
      </c>
      <c r="E54" s="35"/>
      <c r="F54" s="5"/>
      <c r="G54" s="34"/>
      <c r="H54" s="33"/>
      <c r="I54" s="33"/>
      <c r="J54" s="32"/>
    </row>
    <row r="55" spans="1:10" s="3" customFormat="1" ht="15.75" customHeight="1" x14ac:dyDescent="0.2">
      <c r="A55" s="38" t="s">
        <v>438</v>
      </c>
      <c r="B55" s="44">
        <f>'Fremtind Livsforsikring'!B55+'Storebrand Danica Pensjon'!B55+'DNB Livsforsikring'!B55+'Eika Forsikring AS'!B55+'Frende Livsforsikring'!B55+'Frende Skadeforsikring'!B55+'Gjensidige Forsikring'!B55+'Gjensidige Pensjon'!B55+'Handelsbanken Liv'!B55+'If Skadeforsikring NUF'!B55+KLP!B55+'KLP Skadeforsikring AS'!B55+'Landkreditt Forsikring'!B55+'Nordea Liv '!B55+'Oslo Pensjonsforsikring'!B55+'Protector Forsikring'!B55+'SHB Liv'!B55+'Sparebank 1 Forsikring'!B55+'Storebrand Livsforsikring'!B55+'Telenor Forsikring'!B55+'Tryg Forsikring'!B55+'WaterCircles F'!B55+'Codan Forsikring'!B55+'Euro Accident'!B55+'Ly Forsikring'!B55+'Youplus Livsforsikring'!B55</f>
        <v>6125.3109999999997</v>
      </c>
      <c r="C55" s="44">
        <f>'Fremtind Livsforsikring'!C55+'Storebrand Danica Pensjon'!C55+'DNB Livsforsikring'!C55+'Eika Forsikring AS'!C55+'Frende Livsforsikring'!C55+'Frende Skadeforsikring'!C55+'Gjensidige Forsikring'!C55+'Gjensidige Pensjon'!C55+'Handelsbanken Liv'!C55+'If Skadeforsikring NUF'!C55+KLP!C55+'KLP Skadeforsikring AS'!C55+'Landkreditt Forsikring'!C55+'Nordea Liv '!C55+'Oslo Pensjonsforsikring'!C55+'Protector Forsikring'!C55+'SHB Liv'!C55+'Sparebank 1 Forsikring'!C55+'Storebrand Livsforsikring'!C55+'Telenor Forsikring'!C55+'Tryg Forsikring'!C55+'WaterCircles F'!C55+'Codan Forsikring'!C55+'Euro Accident'!C55+'Ly Forsikring'!C55+'Youplus Livsforsikring'!C55</f>
        <v>949</v>
      </c>
      <c r="D55" s="24">
        <f t="shared" si="22"/>
        <v>-84.5</v>
      </c>
      <c r="E55" s="35"/>
      <c r="F55" s="5"/>
      <c r="G55" s="34"/>
      <c r="H55" s="33"/>
      <c r="I55" s="33"/>
      <c r="J55" s="32"/>
    </row>
    <row r="56" spans="1:10" s="419" customFormat="1" ht="15.75" customHeight="1" x14ac:dyDescent="0.2">
      <c r="A56" s="39" t="s">
        <v>440</v>
      </c>
      <c r="B56" s="235">
        <f>'Fremtind Livsforsikring'!B56+'Storebrand Danica Pensjon'!B56+'DNB Livsforsikring'!B56+'Eika Forsikring AS'!B56+'Frende Livsforsikring'!B56+'Frende Skadeforsikring'!B56+'Gjensidige Forsikring'!B56+'Gjensidige Pensjon'!B56+'Handelsbanken Liv'!B56+'If Skadeforsikring NUF'!B56+KLP!B56+'KLP Skadeforsikring AS'!B56+'Landkreditt Forsikring'!B56+'Nordea Liv '!B56+'Oslo Pensjonsforsikring'!B56+'Protector Forsikring'!B56+'SHB Liv'!B56+'Sparebank 1 Forsikring'!B56+'Storebrand Livsforsikring'!B56+'Telenor Forsikring'!B56+'Tryg Forsikring'!B56+'WaterCircles F'!B56+'Codan Forsikring'!B56+'Euro Accident'!B56+'Ly Forsikring'!B56+'Youplus Livsforsikring'!B56</f>
        <v>357127.69000000006</v>
      </c>
      <c r="C56" s="235">
        <f>'Fremtind Livsforsikring'!C56+'Storebrand Danica Pensjon'!C56+'DNB Livsforsikring'!C56+'Eika Forsikring AS'!C56+'Frende Livsforsikring'!C56+'Frende Skadeforsikring'!C56+'Gjensidige Forsikring'!C56+'Gjensidige Pensjon'!C56+'Handelsbanken Liv'!C56+'If Skadeforsikring NUF'!C56+KLP!C56+'KLP Skadeforsikring AS'!C56+'Landkreditt Forsikring'!C56+'Nordea Liv '!C56+'Oslo Pensjonsforsikring'!C56+'Protector Forsikring'!C56+'SHB Liv'!C56+'Sparebank 1 Forsikring'!C56+'Storebrand Livsforsikring'!C56+'Telenor Forsikring'!C56+'Tryg Forsikring'!C56+'WaterCircles F'!C56+'Codan Forsikring'!C56+'Euro Accident'!C56+'Ly Forsikring'!C56+'Youplus Livsforsikring'!C56</f>
        <v>108699.978</v>
      </c>
      <c r="D56" s="24">
        <f t="shared" si="22"/>
        <v>-69.599999999999994</v>
      </c>
      <c r="E56" s="420"/>
      <c r="F56" s="421"/>
      <c r="G56" s="32"/>
      <c r="H56" s="173"/>
      <c r="I56" s="173"/>
      <c r="J56" s="32"/>
    </row>
    <row r="57" spans="1:10" s="3" customFormat="1" ht="15.75" customHeight="1" x14ac:dyDescent="0.2">
      <c r="A57" s="38" t="s">
        <v>437</v>
      </c>
      <c r="B57" s="44">
        <f>'Fremtind Livsforsikring'!B57+'Storebrand Danica Pensjon'!B57+'DNB Livsforsikring'!B57+'Eika Forsikring AS'!B57+'Frende Livsforsikring'!B57+'Frende Skadeforsikring'!B57+'Gjensidige Forsikring'!B57+'Gjensidige Pensjon'!B57+'Handelsbanken Liv'!B57+'If Skadeforsikring NUF'!B57+KLP!B57+'KLP Skadeforsikring AS'!B57+'Landkreditt Forsikring'!B57+'Nordea Liv '!B57+'Oslo Pensjonsforsikring'!B57+'Protector Forsikring'!B57+'SHB Liv'!B57+'Sparebank 1 Forsikring'!B57+'Storebrand Livsforsikring'!B57+'Telenor Forsikring'!B57+'Tryg Forsikring'!B57+'WaterCircles F'!B57+'Codan Forsikring'!B57+'Euro Accident'!B57+'Ly Forsikring'!B57+'Youplus Livsforsikring'!B57</f>
        <v>357127.69000000006</v>
      </c>
      <c r="C57" s="44">
        <f>'Fremtind Livsforsikring'!C57+'Storebrand Danica Pensjon'!C57+'DNB Livsforsikring'!C57+'Eika Forsikring AS'!C57+'Frende Livsforsikring'!C57+'Frende Skadeforsikring'!C57+'Gjensidige Forsikring'!C57+'Gjensidige Pensjon'!C57+'Handelsbanken Liv'!C57+'If Skadeforsikring NUF'!C57+KLP!C57+'KLP Skadeforsikring AS'!C57+'Landkreditt Forsikring'!C57+'Nordea Liv '!C57+'Oslo Pensjonsforsikring'!C57+'Protector Forsikring'!C57+'SHB Liv'!C57+'Sparebank 1 Forsikring'!C57+'Storebrand Livsforsikring'!C57+'Telenor Forsikring'!C57+'Tryg Forsikring'!C57+'WaterCircles F'!C57+'Codan Forsikring'!C57+'Euro Accident'!C57+'Ly Forsikring'!C57+'Youplus Livsforsikring'!C57</f>
        <v>108699.978</v>
      </c>
      <c r="D57" s="24">
        <f t="shared" si="22"/>
        <v>-69.599999999999994</v>
      </c>
      <c r="E57" s="35"/>
      <c r="F57" s="5"/>
      <c r="G57" s="34"/>
      <c r="H57" s="33"/>
      <c r="I57" s="33"/>
      <c r="J57" s="32"/>
    </row>
    <row r="58" spans="1:10" s="3" customFormat="1" ht="15.75" customHeight="1" x14ac:dyDescent="0.2">
      <c r="A58" s="38" t="s">
        <v>438</v>
      </c>
      <c r="B58" s="45"/>
      <c r="C58" s="45"/>
      <c r="D58" s="36"/>
      <c r="E58" s="35"/>
      <c r="F58" s="5"/>
      <c r="G58" s="34"/>
      <c r="H58" s="33"/>
      <c r="I58" s="33"/>
      <c r="J58" s="32"/>
    </row>
    <row r="59" spans="1:10" s="3" customFormat="1" ht="15.75" customHeight="1" x14ac:dyDescent="0.25">
      <c r="A59" s="163"/>
      <c r="B59" s="30"/>
      <c r="C59" s="30"/>
      <c r="D59" s="30"/>
      <c r="E59" s="31"/>
      <c r="F59" s="31"/>
      <c r="G59" s="31"/>
      <c r="H59" s="31"/>
      <c r="I59" s="31"/>
      <c r="J59" s="31"/>
    </row>
    <row r="60" spans="1:10" ht="15.75" customHeight="1" x14ac:dyDescent="0.2">
      <c r="A60" s="154"/>
    </row>
    <row r="61" spans="1:10" ht="15.75" customHeight="1" x14ac:dyDescent="0.25">
      <c r="A61" s="146" t="s">
        <v>267</v>
      </c>
      <c r="C61" s="26"/>
      <c r="D61" s="25"/>
      <c r="E61" s="26"/>
      <c r="F61" s="26"/>
      <c r="G61" s="25"/>
      <c r="H61" s="26"/>
      <c r="I61" s="26"/>
      <c r="J61" s="25"/>
    </row>
    <row r="62" spans="1:10" ht="20.100000000000001" customHeight="1" x14ac:dyDescent="0.25">
      <c r="A62" s="148"/>
      <c r="B62" s="1006"/>
      <c r="C62" s="1006"/>
      <c r="D62" s="1006"/>
      <c r="E62" s="1006"/>
      <c r="F62" s="1006"/>
      <c r="G62" s="1006"/>
      <c r="H62" s="1006"/>
      <c r="I62" s="1006"/>
      <c r="J62" s="1006"/>
    </row>
    <row r="63" spans="1:10" ht="15.75" customHeight="1" x14ac:dyDescent="0.2">
      <c r="A63" s="143"/>
      <c r="B63" s="1003" t="s">
        <v>0</v>
      </c>
      <c r="C63" s="1004"/>
      <c r="D63" s="1004"/>
      <c r="E63" s="1003" t="s">
        <v>1</v>
      </c>
      <c r="F63" s="1004"/>
      <c r="G63" s="1005"/>
      <c r="H63" s="1004" t="s">
        <v>2</v>
      </c>
      <c r="I63" s="1004"/>
      <c r="J63" s="1005"/>
    </row>
    <row r="64" spans="1:10" ht="15.75" customHeight="1" x14ac:dyDescent="0.2">
      <c r="A64" s="139"/>
      <c r="B64" s="252" t="s">
        <v>507</v>
      </c>
      <c r="C64" s="252" t="s">
        <v>508</v>
      </c>
      <c r="D64" s="19" t="s">
        <v>3</v>
      </c>
      <c r="E64" s="252" t="s">
        <v>507</v>
      </c>
      <c r="F64" s="252" t="s">
        <v>508</v>
      </c>
      <c r="G64" s="19" t="s">
        <v>3</v>
      </c>
      <c r="H64" s="252" t="s">
        <v>507</v>
      </c>
      <c r="I64" s="252" t="s">
        <v>508</v>
      </c>
      <c r="J64" s="19" t="s">
        <v>3</v>
      </c>
    </row>
    <row r="65" spans="1:10" ht="15.75" customHeight="1" x14ac:dyDescent="0.2">
      <c r="A65" s="979"/>
      <c r="B65" s="15"/>
      <c r="C65" s="15"/>
      <c r="D65" s="17" t="s">
        <v>4</v>
      </c>
      <c r="E65" s="16"/>
      <c r="F65" s="16"/>
      <c r="G65" s="15" t="s">
        <v>4</v>
      </c>
      <c r="H65" s="16"/>
      <c r="I65" s="16"/>
      <c r="J65" s="15" t="s">
        <v>4</v>
      </c>
    </row>
    <row r="66" spans="1:10" s="43" customFormat="1" ht="15.75" customHeight="1" x14ac:dyDescent="0.2">
      <c r="A66" s="14" t="s">
        <v>23</v>
      </c>
      <c r="B66" s="331">
        <f>'Fremtind Livsforsikring'!B66+'Storebrand Danica Pensjon'!B66+'DNB Livsforsikring'!B66+'Eika Forsikring AS'!B66+'Frende Livsforsikring'!B66+'Frende Skadeforsikring'!B66+'Gjensidige Forsikring'!B66+'Gjensidige Pensjon'!B66+'Handelsbanken Liv'!B66+'If Skadeforsikring NUF'!B66+KLP!B66+'KLP Skadeforsikring AS'!B66+'Landkreditt Forsikring'!B66+'Nordea Liv '!B66+'Oslo Pensjonsforsikring'!B66+'Protector Forsikring'!B66+'SHB Liv'!B66+'Sparebank 1 Forsikring'!B66+'Storebrand Livsforsikring'!B66+'Telenor Forsikring'!B66+'Tryg Forsikring'!B66+'WaterCircles F'!B66+'Codan Forsikring'!B66+'Euro Accident'!B66+'Ly Forsikring'!B66+'Youplus Livsforsikring'!B66</f>
        <v>7601221.4551599994</v>
      </c>
      <c r="C66" s="331">
        <f>'Fremtind Livsforsikring'!C66+'Storebrand Danica Pensjon'!C66+'DNB Livsforsikring'!C66+'Eika Forsikring AS'!C66+'Frende Livsforsikring'!C66+'Frende Skadeforsikring'!C66+'Gjensidige Forsikring'!C66+'Gjensidige Pensjon'!C66+'Handelsbanken Liv'!C66+'If Skadeforsikring NUF'!C66+KLP!C66+'KLP Skadeforsikring AS'!C66+'Landkreditt Forsikring'!C66+'Nordea Liv '!C66+'Oslo Pensjonsforsikring'!C66+'Protector Forsikring'!C66+'SHB Liv'!C66+'Sparebank 1 Forsikring'!C66+'Storebrand Livsforsikring'!C66+'Telenor Forsikring'!C66+'Tryg Forsikring'!C66+'WaterCircles F'!C66+'Codan Forsikring'!C66+'Euro Accident'!C66+'Ly Forsikring'!C66+'Youplus Livsforsikring'!C66</f>
        <v>7784461.9093499994</v>
      </c>
      <c r="D66" s="24">
        <f t="shared" ref="D66:D111" si="24">IF(B66=0, "    ---- ", IF(ABS(ROUND(100/B66*C66-100,1))&lt;999,ROUND(100/B66*C66-100,1),IF(ROUND(100/B66*C66-100,1)&gt;999,999,-999)))</f>
        <v>2.4</v>
      </c>
      <c r="E66" s="235">
        <f>'Fremtind Livsforsikring'!F66+'Storebrand Danica Pensjon'!F66+'DNB Livsforsikring'!F66+'Eika Forsikring AS'!F66+'Frende Livsforsikring'!F66+'Frende Skadeforsikring'!F66+'Gjensidige Forsikring'!F66+'Gjensidige Pensjon'!F66+'Handelsbanken Liv'!F66+'If Skadeforsikring NUF'!F66+KLP!F66+'KLP Skadeforsikring AS'!F66+'Landkreditt Forsikring'!F66+'Nordea Liv '!F66+'Oslo Pensjonsforsikring'!F66+'Protector Forsikring'!F66+'SHB Liv'!F66+'Sparebank 1 Forsikring'!F66+'Storebrand Livsforsikring'!F66+'Telenor Forsikring'!F66+'Tryg Forsikring'!F66+'WaterCircles F'!F66+'Codan Forsikring'!F66+'Euro Accident'!F66+'Ly Forsikring'!F66+'Youplus Livsforsikring'!F66</f>
        <v>38178258.521789998</v>
      </c>
      <c r="F66" s="235">
        <f>'Fremtind Livsforsikring'!G66+'Storebrand Danica Pensjon'!G66+'DNB Livsforsikring'!G66+'Eika Forsikring AS'!G66+'Frende Livsforsikring'!G66+'Frende Skadeforsikring'!G66+'Gjensidige Forsikring'!G66+'Gjensidige Pensjon'!G66+'Handelsbanken Liv'!G66+'If Skadeforsikring NUF'!G66+KLP!G66+'KLP Skadeforsikring AS'!G66+'Landkreditt Forsikring'!G66+'Nordea Liv '!G66+'Oslo Pensjonsforsikring'!G66+'Protector Forsikring'!G66+'SHB Liv'!G66+'Sparebank 1 Forsikring'!G66+'Storebrand Livsforsikring'!G66+'Telenor Forsikring'!G66+'Tryg Forsikring'!G66+'WaterCircles F'!G66+'Codan Forsikring'!G66+'Euro Accident'!G66+'Ly Forsikring'!G66+'Youplus Livsforsikring'!G66</f>
        <v>43650372.811749995</v>
      </c>
      <c r="G66" s="170">
        <f t="shared" ref="G66:G125" si="25">IF(E66=0, "    ---- ", IF(ABS(ROUND(100/E66*F66-100,1))&lt;999,ROUND(100/E66*F66-100,1),IF(ROUND(100/E66*F66-100,1)&gt;999,999,-999)))</f>
        <v>14.3</v>
      </c>
      <c r="H66" s="331">
        <f t="shared" ref="H66:H86" si="26">SUM(B66,E66)</f>
        <v>45779479.976949997</v>
      </c>
      <c r="I66" s="331">
        <f t="shared" ref="I66:I86" si="27">SUM(C66,F66)</f>
        <v>51434834.721099995</v>
      </c>
      <c r="J66" s="24">
        <f t="shared" ref="J66:J111" si="28">IF(H66=0, "    ---- ", IF(ABS(ROUND(100/H66*I66-100,1))&lt;999,ROUND(100/H66*I66-100,1),IF(ROUND(100/H66*I66-100,1)&gt;999,999,-999)))</f>
        <v>12.4</v>
      </c>
    </row>
    <row r="67" spans="1:10" ht="15.75" customHeight="1" x14ac:dyDescent="0.25">
      <c r="A67" s="21" t="s">
        <v>9</v>
      </c>
      <c r="B67" s="233">
        <f>'Fremtind Livsforsikring'!B67+'Storebrand Danica Pensjon'!B67+'DNB Livsforsikring'!B67+'Eika Forsikring AS'!B67+'Frende Livsforsikring'!B67+'Frende Skadeforsikring'!B67+'Gjensidige Forsikring'!B67+'Gjensidige Pensjon'!B67+'Handelsbanken Liv'!B67+'If Skadeforsikring NUF'!B67+KLP!B67+'KLP Skadeforsikring AS'!B67+'Landkreditt Forsikring'!B67+'Nordea Liv '!B67+'Oslo Pensjonsforsikring'!B67+'Protector Forsikring'!B67+'SHB Liv'!B67+'Sparebank 1 Forsikring'!B67+'Storebrand Livsforsikring'!B67+'Telenor Forsikring'!B67+'Tryg Forsikring'!B67+'WaterCircles F'!B67+'Codan Forsikring'!B67+'Euro Accident'!B67+'Ly Forsikring'!B67+'Youplus Livsforsikring'!B67</f>
        <v>5174908.4881999996</v>
      </c>
      <c r="C67" s="233">
        <f>'Fremtind Livsforsikring'!C67+'Storebrand Danica Pensjon'!C67+'DNB Livsforsikring'!C67+'Eika Forsikring AS'!C67+'Frende Livsforsikring'!C67+'Frende Skadeforsikring'!C67+'Gjensidige Forsikring'!C67+'Gjensidige Pensjon'!C67+'Handelsbanken Liv'!C67+'If Skadeforsikring NUF'!C67+KLP!C67+'KLP Skadeforsikring AS'!C67+'Landkreditt Forsikring'!C67+'Nordea Liv '!C67+'Oslo Pensjonsforsikring'!C67+'Protector Forsikring'!C67+'SHB Liv'!C67+'Sparebank 1 Forsikring'!C67+'Storebrand Livsforsikring'!C67+'Telenor Forsikring'!C67+'Tryg Forsikring'!C67+'WaterCircles F'!C67+'Codan Forsikring'!C67+'Euro Accident'!C67+'Ly Forsikring'!C67+'Youplus Livsforsikring'!C67</f>
        <v>4839675.6841511363</v>
      </c>
      <c r="D67" s="240">
        <f t="shared" si="24"/>
        <v>-6.5</v>
      </c>
      <c r="E67" s="44"/>
      <c r="F67" s="44"/>
      <c r="G67" s="165"/>
      <c r="H67" s="236">
        <f t="shared" si="26"/>
        <v>5174908.4881999996</v>
      </c>
      <c r="I67" s="236">
        <f t="shared" si="27"/>
        <v>4839675.6841511363</v>
      </c>
      <c r="J67" s="23">
        <f t="shared" si="28"/>
        <v>-6.5</v>
      </c>
    </row>
    <row r="68" spans="1:10" ht="15.75" customHeight="1" x14ac:dyDescent="0.25">
      <c r="A68" s="21" t="s">
        <v>10</v>
      </c>
      <c r="B68" s="233">
        <f>'Fremtind Livsforsikring'!B68+'Storebrand Danica Pensjon'!B68+'DNB Livsforsikring'!B68+'Eika Forsikring AS'!B68+'Frende Livsforsikring'!B68+'Frende Skadeforsikring'!B68+'Gjensidige Forsikring'!B68+'Gjensidige Pensjon'!B68+'Handelsbanken Liv'!B68+'If Skadeforsikring NUF'!B68+KLP!B68+'KLP Skadeforsikring AS'!B68+'Landkreditt Forsikring'!B68+'Nordea Liv '!B68+'Oslo Pensjonsforsikring'!B68+'Protector Forsikring'!B68+'SHB Liv'!B68+'Sparebank 1 Forsikring'!B68+'Storebrand Livsforsikring'!B68+'Telenor Forsikring'!B68+'Tryg Forsikring'!B68+'WaterCircles F'!B68+'Codan Forsikring'!B68+'Euro Accident'!B68+'Ly Forsikring'!B68+'Youplus Livsforsikring'!B68</f>
        <v>45700.668400000002</v>
      </c>
      <c r="C68" s="233">
        <f>'Fremtind Livsforsikring'!C68+'Storebrand Danica Pensjon'!C68+'DNB Livsforsikring'!C68+'Eika Forsikring AS'!C68+'Frende Livsforsikring'!C68+'Frende Skadeforsikring'!C68+'Gjensidige Forsikring'!C68+'Gjensidige Pensjon'!C68+'Handelsbanken Liv'!C68+'If Skadeforsikring NUF'!C68+KLP!C68+'KLP Skadeforsikring AS'!C68+'Landkreditt Forsikring'!C68+'Nordea Liv '!C68+'Oslo Pensjonsforsikring'!C68+'Protector Forsikring'!C68+'SHB Liv'!C68+'Sparebank 1 Forsikring'!C68+'Storebrand Livsforsikring'!C68+'Telenor Forsikring'!C68+'Tryg Forsikring'!C68+'WaterCircles F'!C68+'Codan Forsikring'!C68+'Euro Accident'!C68+'Ly Forsikring'!C68+'Youplus Livsforsikring'!C68</f>
        <v>44956.216160000004</v>
      </c>
      <c r="D68" s="240">
        <f t="shared" si="24"/>
        <v>-1.6</v>
      </c>
      <c r="E68" s="44">
        <f>'Fremtind Livsforsikring'!F68+'Storebrand Danica Pensjon'!F68+'DNB Livsforsikring'!F68+'Eika Forsikring AS'!F68+'Frende Livsforsikring'!F68+'Frende Skadeforsikring'!F68+'Gjensidige Forsikring'!F68+'Gjensidige Pensjon'!F68+'Handelsbanken Liv'!F68+'If Skadeforsikring NUF'!F68+KLP!F68+'KLP Skadeforsikring AS'!F68+'Landkreditt Forsikring'!F68+'Nordea Liv '!F68+'Oslo Pensjonsforsikring'!F68+'Protector Forsikring'!F68+'SHB Liv'!F68+'Sparebank 1 Forsikring'!F68+'Storebrand Livsforsikring'!F68+'Telenor Forsikring'!F68+'Tryg Forsikring'!F68+'WaterCircles F'!F68+'Codan Forsikring'!F68+'Euro Accident'!F68+'Ly Forsikring'!F68+'Youplus Livsforsikring'!F68</f>
        <v>36662264.570779994</v>
      </c>
      <c r="F68" s="44">
        <f>'Fremtind Livsforsikring'!G68+'Storebrand Danica Pensjon'!G68+'DNB Livsforsikring'!G68+'Eika Forsikring AS'!G68+'Frende Livsforsikring'!G68+'Frende Skadeforsikring'!G68+'Gjensidige Forsikring'!G68+'Gjensidige Pensjon'!G68+'Handelsbanken Liv'!G68+'If Skadeforsikring NUF'!G68+KLP!G68+'KLP Skadeforsikring AS'!G68+'Landkreditt Forsikring'!G68+'Nordea Liv '!G68+'Oslo Pensjonsforsikring'!G68+'Protector Forsikring'!G68+'SHB Liv'!G68+'Sparebank 1 Forsikring'!G68+'Storebrand Livsforsikring'!G68+'Telenor Forsikring'!G68+'Tryg Forsikring'!G68+'WaterCircles F'!G68+'Codan Forsikring'!G68+'Euro Accident'!G68+'Ly Forsikring'!G68+'Youplus Livsforsikring'!G68</f>
        <v>42026880.700069994</v>
      </c>
      <c r="G68" s="165">
        <f t="shared" si="25"/>
        <v>14.6</v>
      </c>
      <c r="H68" s="236">
        <f t="shared" si="26"/>
        <v>36707965.239179991</v>
      </c>
      <c r="I68" s="236">
        <f t="shared" si="27"/>
        <v>42071836.916229993</v>
      </c>
      <c r="J68" s="23">
        <f t="shared" si="28"/>
        <v>14.6</v>
      </c>
    </row>
    <row r="69" spans="1:10" ht="15.75" customHeight="1" x14ac:dyDescent="0.2">
      <c r="A69" s="299" t="s">
        <v>441</v>
      </c>
      <c r="B69" s="44">
        <f>'Fremtind Livsforsikring'!B69+'Storebrand Danica Pensjon'!B69+'DNB Livsforsikring'!B69+'Eika Forsikring AS'!B69+'Frende Livsforsikring'!B69+'Frende Skadeforsikring'!B69+'Gjensidige Forsikring'!B69+'Gjensidige Pensjon'!B69+'Handelsbanken Liv'!B69+'If Skadeforsikring NUF'!B69+KLP!B69+'KLP Skadeforsikring AS'!B69+'Landkreditt Forsikring'!B69+'Nordea Liv '!B69+'Oslo Pensjonsforsikring'!B69+'Protector Forsikring'!B69+'SHB Liv'!B69+'Sparebank 1 Forsikring'!B69+'Storebrand Livsforsikring'!B69+'Telenor Forsikring'!B69+'Tryg Forsikring'!B69+'WaterCircles F'!B69+'Codan Forsikring'!B69+'Euro Accident'!B69+'Ly Forsikring'!B69+'Youplus Livsforsikring'!B69</f>
        <v>7541</v>
      </c>
      <c r="C69" s="44">
        <f>'Fremtind Livsforsikring'!C69+'Storebrand Danica Pensjon'!C69+'DNB Livsforsikring'!C69+'Eika Forsikring AS'!C69+'Frende Livsforsikring'!C69+'Frende Skadeforsikring'!C69+'Gjensidige Forsikring'!C69+'Gjensidige Pensjon'!C69+'Handelsbanken Liv'!C69+'If Skadeforsikring NUF'!C69+KLP!C69+'KLP Skadeforsikring AS'!C69+'Landkreditt Forsikring'!C69+'Nordea Liv '!C69+'Oslo Pensjonsforsikring'!C69+'Protector Forsikring'!C69+'SHB Liv'!C69+'Sparebank 1 Forsikring'!C69+'Storebrand Livsforsikring'!C69+'Telenor Forsikring'!C69+'Tryg Forsikring'!C69+'WaterCircles F'!C69+'Codan Forsikring'!C69+'Euro Accident'!C69+'Ly Forsikring'!C69+'Youplus Livsforsikring'!C69</f>
        <v>4233</v>
      </c>
      <c r="D69" s="27">
        <f>IF($A$1=4,IF(B69=0, "    ---- ", IF(ABS(ROUND(100/B69*C69-100,1))&lt;999,ROUND(100/B69*C69-100,1),IF(ROUND(100/B69*C69-100,1)&gt;999,999,-999))),"")</f>
        <v>-43.9</v>
      </c>
      <c r="E69" s="44">
        <f>'Fremtind Livsforsikring'!F69+'Storebrand Danica Pensjon'!F69+'DNB Livsforsikring'!F69+'Eika Forsikring AS'!F69+'Frende Livsforsikring'!F69+'Frende Skadeforsikring'!F69+'Gjensidige Forsikring'!F69+'Gjensidige Pensjon'!F69+'Handelsbanken Liv'!F69+'If Skadeforsikring NUF'!F69+KLP!F69+'KLP Skadeforsikring AS'!F69+'Landkreditt Forsikring'!F69+'Nordea Liv '!F69+'Oslo Pensjonsforsikring'!F69+'Protector Forsikring'!F69+'SHB Liv'!F69+'Sparebank 1 Forsikring'!F69+'Storebrand Livsforsikring'!F69+'Telenor Forsikring'!F69+'Tryg Forsikring'!F69+'WaterCircles F'!F69+'Codan Forsikring'!F69+'Euro Accident'!F69+'Ly Forsikring'!F69+'Youplus Livsforsikring'!F69</f>
        <v>2145</v>
      </c>
      <c r="F69" s="44">
        <f>'Fremtind Livsforsikring'!G69+'Storebrand Danica Pensjon'!G69+'DNB Livsforsikring'!G69+'Eika Forsikring AS'!G69+'Frende Livsforsikring'!G69+'Frende Skadeforsikring'!G69+'Gjensidige Forsikring'!G69+'Gjensidige Pensjon'!G69+'Handelsbanken Liv'!G69+'If Skadeforsikring NUF'!G69+KLP!G69+'KLP Skadeforsikring AS'!G69+'Landkreditt Forsikring'!G69+'Nordea Liv '!G69+'Oslo Pensjonsforsikring'!G69+'Protector Forsikring'!G69+'SHB Liv'!G69+'Sparebank 1 Forsikring'!G69+'Storebrand Livsforsikring'!G69+'Telenor Forsikring'!G69+'Tryg Forsikring'!G69+'WaterCircles F'!G69+'Codan Forsikring'!G69+'Euro Accident'!G69+'Ly Forsikring'!G69+'Youplus Livsforsikring'!G69</f>
        <v>2559.5900000000038</v>
      </c>
      <c r="G69" s="165">
        <f t="shared" si="25"/>
        <v>19.3</v>
      </c>
      <c r="H69" s="236">
        <f t="shared" si="26"/>
        <v>9686</v>
      </c>
      <c r="I69" s="236">
        <f t="shared" si="27"/>
        <v>6792.5900000000038</v>
      </c>
      <c r="J69" s="23">
        <f t="shared" si="28"/>
        <v>-29.9</v>
      </c>
    </row>
    <row r="70" spans="1:10" ht="15.75" customHeight="1" x14ac:dyDescent="0.2">
      <c r="A70" s="299" t="s">
        <v>12</v>
      </c>
      <c r="B70" s="234"/>
      <c r="C70" s="234"/>
      <c r="D70" s="27"/>
      <c r="E70" s="44"/>
      <c r="F70" s="44"/>
      <c r="G70" s="165"/>
      <c r="H70" s="236"/>
      <c r="I70" s="236"/>
      <c r="J70" s="23"/>
    </row>
    <row r="71" spans="1:10" ht="15.75" customHeight="1" x14ac:dyDescent="0.2">
      <c r="A71" s="299" t="s">
        <v>13</v>
      </c>
      <c r="B71" s="234"/>
      <c r="C71" s="234"/>
      <c r="D71" s="27"/>
      <c r="E71" s="44">
        <f>'Fremtind Livsforsikring'!F71+'Storebrand Danica Pensjon'!F71+'DNB Livsforsikring'!F71+'Eika Forsikring AS'!F71+'Frende Livsforsikring'!F71+'Frende Skadeforsikring'!F71+'Gjensidige Forsikring'!F71+'Gjensidige Pensjon'!F71+'Handelsbanken Liv'!F71+'If Skadeforsikring NUF'!F71+KLP!F71+'KLP Skadeforsikring AS'!F71+'Landkreditt Forsikring'!F71+'Nordea Liv '!F71+'Oslo Pensjonsforsikring'!F71+'Protector Forsikring'!F71+'SHB Liv'!F71+'Sparebank 1 Forsikring'!F71+'Storebrand Livsforsikring'!F71+'Telenor Forsikring'!F71+'Tryg Forsikring'!F71+'WaterCircles F'!F71+'Codan Forsikring'!F71+'Euro Accident'!F71+'Ly Forsikring'!F71+'Youplus Livsforsikring'!F71</f>
        <v>2145</v>
      </c>
      <c r="F71" s="44">
        <f>'Fremtind Livsforsikring'!G71+'Storebrand Danica Pensjon'!G71+'DNB Livsforsikring'!G71+'Eika Forsikring AS'!G71+'Frende Livsforsikring'!G71+'Frende Skadeforsikring'!G71+'Gjensidige Forsikring'!G71+'Gjensidige Pensjon'!G71+'Handelsbanken Liv'!G71+'If Skadeforsikring NUF'!G71+KLP!G71+'KLP Skadeforsikring AS'!G71+'Landkreditt Forsikring'!G71+'Nordea Liv '!G71+'Oslo Pensjonsforsikring'!G71+'Protector Forsikring'!G71+'SHB Liv'!G71+'Sparebank 1 Forsikring'!G71+'Storebrand Livsforsikring'!G71+'Telenor Forsikring'!G71+'Tryg Forsikring'!G71+'WaterCircles F'!G71+'Codan Forsikring'!G71+'Euro Accident'!G71+'Ly Forsikring'!G71+'Youplus Livsforsikring'!G71</f>
        <v>2559.5859758800898</v>
      </c>
      <c r="G71" s="165">
        <f t="shared" si="25"/>
        <v>19.3</v>
      </c>
      <c r="H71" s="236">
        <f t="shared" si="26"/>
        <v>2145</v>
      </c>
      <c r="I71" s="236">
        <f t="shared" si="27"/>
        <v>2559.5859758800898</v>
      </c>
      <c r="J71" s="23">
        <f t="shared" si="28"/>
        <v>19.3</v>
      </c>
    </row>
    <row r="72" spans="1:10" ht="15.75" customHeight="1" x14ac:dyDescent="0.2">
      <c r="A72" s="299" t="s">
        <v>442</v>
      </c>
      <c r="B72" s="44">
        <f>'Fremtind Livsforsikring'!B72+'Storebrand Danica Pensjon'!B72+'DNB Livsforsikring'!B72+'Eika Forsikring AS'!B72+'Frende Livsforsikring'!B72+'Frende Skadeforsikring'!B72+'Gjensidige Forsikring'!B72+'Gjensidige Pensjon'!B72+'Handelsbanken Liv'!B72+'If Skadeforsikring NUF'!B72+KLP!B72+'KLP Skadeforsikring AS'!B72+'Landkreditt Forsikring'!B72+'Nordea Liv '!B72+'Oslo Pensjonsforsikring'!B72+'Protector Forsikring'!B72+'SHB Liv'!B72+'Sparebank 1 Forsikring'!B72+'Storebrand Livsforsikring'!B72+'Telenor Forsikring'!B72+'Tryg Forsikring'!B72+'WaterCircles F'!B72+'Codan Forsikring'!B72+'Euro Accident'!B72+'Ly Forsikring'!B72+'Youplus Livsforsikring'!B72</f>
        <v>38159.668400000002</v>
      </c>
      <c r="C72" s="44">
        <f>'Fremtind Livsforsikring'!C72+'Storebrand Danica Pensjon'!C72+'DNB Livsforsikring'!C72+'Eika Forsikring AS'!C72+'Frende Livsforsikring'!C72+'Frende Skadeforsikring'!C72+'Gjensidige Forsikring'!C72+'Gjensidige Pensjon'!C72+'Handelsbanken Liv'!C72+'If Skadeforsikring NUF'!C72+KLP!C72+'KLP Skadeforsikring AS'!C72+'Landkreditt Forsikring'!C72+'Nordea Liv '!C72+'Oslo Pensjonsforsikring'!C72+'Protector Forsikring'!C72+'SHB Liv'!C72+'Sparebank 1 Forsikring'!C72+'Storebrand Livsforsikring'!C72+'Telenor Forsikring'!C72+'Tryg Forsikring'!C72+'WaterCircles F'!C72+'Codan Forsikring'!C72+'Euro Accident'!C72+'Ly Forsikring'!C72+'Youplus Livsforsikring'!C72</f>
        <v>40723.216160000004</v>
      </c>
      <c r="D72" s="27">
        <f>IF($A$1=4,IF(B72=0, "    ---- ", IF(ABS(ROUND(100/B72*C72-100,1))&lt;999,ROUND(100/B72*C72-100,1),IF(ROUND(100/B72*C72-100,1)&gt;999,999,-999))),"")</f>
        <v>6.7</v>
      </c>
      <c r="E72" s="44">
        <f>'Fremtind Livsforsikring'!F72+'Storebrand Danica Pensjon'!F72+'DNB Livsforsikring'!F72+'Eika Forsikring AS'!F72+'Frende Livsforsikring'!F72+'Frende Skadeforsikring'!F72+'Gjensidige Forsikring'!F72+'Gjensidige Pensjon'!F72+'Handelsbanken Liv'!F72+'If Skadeforsikring NUF'!F72+KLP!F72+'KLP Skadeforsikring AS'!F72+'Landkreditt Forsikring'!F72+'Nordea Liv '!F72+'Oslo Pensjonsforsikring'!F72+'Protector Forsikring'!F72+'SHB Liv'!F72+'Sparebank 1 Forsikring'!F72+'Storebrand Livsforsikring'!F72+'Telenor Forsikring'!F72+'Tryg Forsikring'!F72+'WaterCircles F'!F72+'Codan Forsikring'!F72+'Euro Accident'!F72+'Ly Forsikring'!F72+'Youplus Livsforsikring'!F72</f>
        <v>36660119.570779994</v>
      </c>
      <c r="F72" s="44">
        <f>'Fremtind Livsforsikring'!G72+'Storebrand Danica Pensjon'!G72+'DNB Livsforsikring'!G72+'Eika Forsikring AS'!G72+'Frende Livsforsikring'!G72+'Frende Skadeforsikring'!G72+'Gjensidige Forsikring'!G72+'Gjensidige Pensjon'!G72+'Handelsbanken Liv'!G72+'If Skadeforsikring NUF'!G72+KLP!G72+'KLP Skadeforsikring AS'!G72+'Landkreditt Forsikring'!G72+'Nordea Liv '!G72+'Oslo Pensjonsforsikring'!G72+'Protector Forsikring'!G72+'SHB Liv'!G72+'Sparebank 1 Forsikring'!G72+'Storebrand Livsforsikring'!G72+'Telenor Forsikring'!G72+'Tryg Forsikring'!G72+'WaterCircles F'!G72+'Codan Forsikring'!G72+'Euro Accident'!G72+'Ly Forsikring'!G72+'Youplus Livsforsikring'!G72</f>
        <v>42024321.110069998</v>
      </c>
      <c r="G72" s="165">
        <f t="shared" si="25"/>
        <v>14.6</v>
      </c>
      <c r="H72" s="236">
        <f t="shared" si="26"/>
        <v>36698279.239179991</v>
      </c>
      <c r="I72" s="236">
        <f t="shared" si="27"/>
        <v>42065044.326229997</v>
      </c>
      <c r="J72" s="24">
        <f t="shared" si="28"/>
        <v>14.6</v>
      </c>
    </row>
    <row r="73" spans="1:10" ht="15.75" customHeight="1" x14ac:dyDescent="0.2">
      <c r="A73" s="299" t="s">
        <v>12</v>
      </c>
      <c r="B73" s="234"/>
      <c r="C73" s="234"/>
      <c r="D73" s="27"/>
      <c r="E73" s="44">
        <f>'Fremtind Livsforsikring'!F73+'Storebrand Danica Pensjon'!F73+'DNB Livsforsikring'!F73+'Eika Forsikring AS'!F73+'Frende Livsforsikring'!F73+'Frende Skadeforsikring'!F73+'Gjensidige Forsikring'!F73+'Gjensidige Pensjon'!F73+'Handelsbanken Liv'!F73+'If Skadeforsikring NUF'!F73+KLP!F73+'KLP Skadeforsikring AS'!F73+'Landkreditt Forsikring'!F73+'Nordea Liv '!F73+'Oslo Pensjonsforsikring'!F73+'Protector Forsikring'!F73+'SHB Liv'!F73+'Sparebank 1 Forsikring'!F73+'Storebrand Livsforsikring'!F73+'Telenor Forsikring'!F73+'Tryg Forsikring'!F73+'WaterCircles F'!F73+'Codan Forsikring'!F73+'Euro Accident'!F73+'Ly Forsikring'!F73+'Youplus Livsforsikring'!F73</f>
        <v>8</v>
      </c>
      <c r="F73" s="44">
        <f>'Fremtind Livsforsikring'!G73+'Storebrand Danica Pensjon'!G73+'DNB Livsforsikring'!G73+'Eika Forsikring AS'!G73+'Frende Livsforsikring'!G73+'Frende Skadeforsikring'!G73+'Gjensidige Forsikring'!G73+'Gjensidige Pensjon'!G73+'Handelsbanken Liv'!G73+'If Skadeforsikring NUF'!G73+KLP!G73+'KLP Skadeforsikring AS'!G73+'Landkreditt Forsikring'!G73+'Nordea Liv '!G73+'Oslo Pensjonsforsikring'!G73+'Protector Forsikring'!G73+'SHB Liv'!G73+'Sparebank 1 Forsikring'!G73+'Storebrand Livsforsikring'!G73+'Telenor Forsikring'!G73+'Tryg Forsikring'!G73+'WaterCircles F'!G73+'Codan Forsikring'!G73+'Euro Accident'!G73+'Ly Forsikring'!G73+'Youplus Livsforsikring'!G73</f>
        <v>10.974939696668301</v>
      </c>
      <c r="G73" s="165">
        <f t="shared" si="25"/>
        <v>37.200000000000003</v>
      </c>
      <c r="H73" s="236">
        <f t="shared" si="26"/>
        <v>8</v>
      </c>
      <c r="I73" s="236">
        <f t="shared" si="27"/>
        <v>10.974939696668301</v>
      </c>
      <c r="J73" s="23">
        <f t="shared" si="28"/>
        <v>37.200000000000003</v>
      </c>
    </row>
    <row r="74" spans="1:10" s="3" customFormat="1" ht="15.75" customHeight="1" x14ac:dyDescent="0.2">
      <c r="A74" s="299" t="s">
        <v>13</v>
      </c>
      <c r="B74" s="234"/>
      <c r="C74" s="234"/>
      <c r="D74" s="27"/>
      <c r="E74" s="44">
        <f>'Fremtind Livsforsikring'!F74+'Storebrand Danica Pensjon'!F74+'DNB Livsforsikring'!F74+'Eika Forsikring AS'!F74+'Frende Livsforsikring'!F74+'Frende Skadeforsikring'!F74+'Gjensidige Forsikring'!F74+'Gjensidige Pensjon'!F74+'Handelsbanken Liv'!F74+'If Skadeforsikring NUF'!F74+KLP!F74+'KLP Skadeforsikring AS'!F74+'Landkreditt Forsikring'!F74+'Nordea Liv '!F74+'Oslo Pensjonsforsikring'!F74+'Protector Forsikring'!F74+'SHB Liv'!F74+'Sparebank 1 Forsikring'!F74+'Storebrand Livsforsikring'!F74+'Telenor Forsikring'!F74+'Tryg Forsikring'!F74+'WaterCircles F'!F74+'Codan Forsikring'!F74+'Euro Accident'!F74+'Ly Forsikring'!F74+'Youplus Livsforsikring'!F74</f>
        <v>36660111.570779994</v>
      </c>
      <c r="F74" s="44">
        <f>'Fremtind Livsforsikring'!G74+'Storebrand Danica Pensjon'!G74+'DNB Livsforsikring'!G74+'Eika Forsikring AS'!G74+'Frende Livsforsikring'!G74+'Frende Skadeforsikring'!G74+'Gjensidige Forsikring'!G74+'Gjensidige Pensjon'!G74+'Handelsbanken Liv'!G74+'If Skadeforsikring NUF'!G74+KLP!G74+'KLP Skadeforsikring AS'!G74+'Landkreditt Forsikring'!G74+'Nordea Liv '!G74+'Oslo Pensjonsforsikring'!G74+'Protector Forsikring'!G74+'SHB Liv'!G74+'Sparebank 1 Forsikring'!G74+'Storebrand Livsforsikring'!G74+'Telenor Forsikring'!G74+'Tryg Forsikring'!G74+'WaterCircles F'!G74+'Codan Forsikring'!G74+'Euro Accident'!G74+'Ly Forsikring'!G74+'Youplus Livsforsikring'!G74</f>
        <v>42024310.135130301</v>
      </c>
      <c r="G74" s="165">
        <f t="shared" si="25"/>
        <v>14.6</v>
      </c>
      <c r="H74" s="236">
        <f t="shared" si="26"/>
        <v>36660111.570779994</v>
      </c>
      <c r="I74" s="236">
        <f t="shared" si="27"/>
        <v>42024310.135130301</v>
      </c>
      <c r="J74" s="23">
        <f t="shared" si="28"/>
        <v>14.6</v>
      </c>
    </row>
    <row r="75" spans="1:10" s="3" customFormat="1" ht="15.75" customHeight="1" x14ac:dyDescent="0.2">
      <c r="A75" s="21" t="s">
        <v>335</v>
      </c>
      <c r="B75" s="44">
        <f>'Fremtind Livsforsikring'!B75+'Storebrand Danica Pensjon'!B75+'DNB Livsforsikring'!B75+'Eika Forsikring AS'!B75+'Frende Livsforsikring'!B75+'Frende Skadeforsikring'!B75+'Gjensidige Forsikring'!B75+'Gjensidige Pensjon'!B75+'Handelsbanken Liv'!B75+'If Skadeforsikring NUF'!B75+KLP!B75+'KLP Skadeforsikring AS'!B75+'Landkreditt Forsikring'!B75+'Nordea Liv '!B75+'Oslo Pensjonsforsikring'!B75+'Protector Forsikring'!B75+'SHB Liv'!B75+'Sparebank 1 Forsikring'!B75+'Storebrand Livsforsikring'!B75+'Telenor Forsikring'!B75+'Tryg Forsikring'!B75+'WaterCircles F'!B75+'Codan Forsikring'!B75+'Euro Accident'!B75+'Ly Forsikring'!B75+'Youplus Livsforsikring'!B75</f>
        <v>532842.79666999995</v>
      </c>
      <c r="C75" s="44">
        <f>'Fremtind Livsforsikring'!C75+'Storebrand Danica Pensjon'!C75+'DNB Livsforsikring'!C75+'Eika Forsikring AS'!C75+'Frende Livsforsikring'!C75+'Frende Skadeforsikring'!C75+'Gjensidige Forsikring'!C75+'Gjensidige Pensjon'!C75+'Handelsbanken Liv'!C75+'If Skadeforsikring NUF'!C75+KLP!C75+'KLP Skadeforsikring AS'!C75+'Landkreditt Forsikring'!C75+'Nordea Liv '!C75+'Oslo Pensjonsforsikring'!C75+'Protector Forsikring'!C75+'SHB Liv'!C75+'Sparebank 1 Forsikring'!C75+'Storebrand Livsforsikring'!C75+'Telenor Forsikring'!C75+'Tryg Forsikring'!C75+'WaterCircles F'!C75+'Codan Forsikring'!C75+'Euro Accident'!C75+'Ly Forsikring'!C75+'Youplus Livsforsikring'!C75</f>
        <v>650204.59808999998</v>
      </c>
      <c r="D75" s="23">
        <f t="shared" si="24"/>
        <v>22</v>
      </c>
      <c r="E75" s="44">
        <f>'Fremtind Livsforsikring'!F75+'Storebrand Danica Pensjon'!F75+'DNB Livsforsikring'!F75+'Eika Forsikring AS'!F75+'Frende Livsforsikring'!F75+'Frende Skadeforsikring'!F75+'Gjensidige Forsikring'!F75+'Gjensidige Pensjon'!F75+'Handelsbanken Liv'!F75+'If Skadeforsikring NUF'!F75+KLP!F75+'KLP Skadeforsikring AS'!F75+'Landkreditt Forsikring'!F75+'Nordea Liv '!F75+'Oslo Pensjonsforsikring'!F75+'Protector Forsikring'!F75+'SHB Liv'!F75+'Sparebank 1 Forsikring'!F75+'Storebrand Livsforsikring'!F75+'Telenor Forsikring'!F75+'Tryg Forsikring'!F75+'WaterCircles F'!F75+'Codan Forsikring'!F75+'Euro Accident'!F75+'Ly Forsikring'!F75+'Youplus Livsforsikring'!F75</f>
        <v>1515993.95101</v>
      </c>
      <c r="F75" s="44">
        <f>'Fremtind Livsforsikring'!G75+'Storebrand Danica Pensjon'!G75+'DNB Livsforsikring'!G75+'Eika Forsikring AS'!G75+'Frende Livsforsikring'!G75+'Frende Skadeforsikring'!G75+'Gjensidige Forsikring'!G75+'Gjensidige Pensjon'!G75+'Handelsbanken Liv'!G75+'If Skadeforsikring NUF'!G75+KLP!G75+'KLP Skadeforsikring AS'!G75+'Landkreditt Forsikring'!G75+'Nordea Liv '!G75+'Oslo Pensjonsforsikring'!G75+'Protector Forsikring'!G75+'SHB Liv'!G75+'Sparebank 1 Forsikring'!G75+'Storebrand Livsforsikring'!G75+'Telenor Forsikring'!G75+'Tryg Forsikring'!G75+'WaterCircles F'!G75+'Codan Forsikring'!G75+'Euro Accident'!G75+'Ly Forsikring'!G75+'Youplus Livsforsikring'!G75</f>
        <v>1623492.1116800001</v>
      </c>
      <c r="G75" s="165">
        <f t="shared" si="25"/>
        <v>7.1</v>
      </c>
      <c r="H75" s="236">
        <f t="shared" si="26"/>
        <v>2048836.74768</v>
      </c>
      <c r="I75" s="236">
        <f>SUM(C75,F75)</f>
        <v>2273696.7097700001</v>
      </c>
      <c r="J75" s="23">
        <f t="shared" si="28"/>
        <v>11</v>
      </c>
    </row>
    <row r="76" spans="1:10" s="3" customFormat="1" ht="15.75" customHeight="1" x14ac:dyDescent="0.2">
      <c r="A76" s="21" t="s">
        <v>334</v>
      </c>
      <c r="B76" s="44">
        <f>'Fremtind Livsforsikring'!B76+'Storebrand Danica Pensjon'!B76+'DNB Livsforsikring'!B76+'Eika Forsikring AS'!B76+'Frende Livsforsikring'!B76+'Frende Skadeforsikring'!B76+'Gjensidige Forsikring'!B76+'Gjensidige Pensjon'!B76+'Handelsbanken Liv'!B76+'If Skadeforsikring NUF'!B76+KLP!B76+'KLP Skadeforsikring AS'!B76+'Landkreditt Forsikring'!B76+'Nordea Liv '!B76+'Oslo Pensjonsforsikring'!B76+'Protector Forsikring'!B76+'SHB Liv'!B76+'Sparebank 1 Forsikring'!B76+'Storebrand Livsforsikring'!B76+'Telenor Forsikring'!B76+'Tryg Forsikring'!B76+'WaterCircles F'!B76+'Codan Forsikring'!B76+'Euro Accident'!B76+'Ly Forsikring'!B76+'Youplus Livsforsikring'!B76</f>
        <v>1847769.50189</v>
      </c>
      <c r="C76" s="44">
        <f>'Fremtind Livsforsikring'!C76+'Storebrand Danica Pensjon'!C76+'DNB Livsforsikring'!C76+'Eika Forsikring AS'!C76+'Frende Livsforsikring'!C76+'Frende Skadeforsikring'!C76+'Gjensidige Forsikring'!C76+'Gjensidige Pensjon'!C76+'Handelsbanken Liv'!C76+'If Skadeforsikring NUF'!C76+KLP!C76+'KLP Skadeforsikring AS'!C76+'Landkreditt Forsikring'!C76+'Nordea Liv '!C76+'Oslo Pensjonsforsikring'!C76+'Protector Forsikring'!C76+'SHB Liv'!C76+'Sparebank 1 Forsikring'!C76+'Storebrand Livsforsikring'!C76+'Telenor Forsikring'!C76+'Tryg Forsikring'!C76+'WaterCircles F'!C76+'Codan Forsikring'!C76+'Euro Accident'!C76+'Ly Forsikring'!C76+'Youplus Livsforsikring'!C76</f>
        <v>2249625.4109488637</v>
      </c>
      <c r="D76" s="23">
        <f t="shared" ref="D76" si="29">IF(B76=0, "    ---- ", IF(ABS(ROUND(100/B76*C76-100,1))&lt;999,ROUND(100/B76*C76-100,1),IF(ROUND(100/B76*C76-100,1)&gt;999,999,-999)))</f>
        <v>21.7</v>
      </c>
      <c r="E76" s="44"/>
      <c r="F76" s="44"/>
      <c r="G76" s="165"/>
      <c r="H76" s="236">
        <f t="shared" ref="H76" si="30">SUM(B76,E76)</f>
        <v>1847769.50189</v>
      </c>
      <c r="I76" s="236">
        <f t="shared" ref="I76" si="31">SUM(C76,F76)</f>
        <v>2249625.4109488637</v>
      </c>
      <c r="J76" s="23">
        <f t="shared" ref="J76" si="32">IF(H76=0, "    ---- ", IF(ABS(ROUND(100/H76*I76-100,1))&lt;999,ROUND(100/H76*I76-100,1),IF(ROUND(100/H76*I76-100,1)&gt;999,999,-999)))</f>
        <v>21.7</v>
      </c>
    </row>
    <row r="77" spans="1:10" ht="15.75" customHeight="1" x14ac:dyDescent="0.2">
      <c r="A77" s="21" t="s">
        <v>443</v>
      </c>
      <c r="B77" s="44">
        <f>'Fremtind Livsforsikring'!B77+'Storebrand Danica Pensjon'!B77+'DNB Livsforsikring'!B77+'Eika Forsikring AS'!B77+'Frende Livsforsikring'!B77+'Frende Skadeforsikring'!B77+'Gjensidige Forsikring'!B77+'Gjensidige Pensjon'!B77+'Handelsbanken Liv'!B77+'If Skadeforsikring NUF'!B77+KLP!B77+'KLP Skadeforsikring AS'!B77+'Landkreditt Forsikring'!B77+'Nordea Liv '!B77+'Oslo Pensjonsforsikring'!B77+'Protector Forsikring'!B77+'SHB Liv'!B77+'Sparebank 1 Forsikring'!B77+'Storebrand Livsforsikring'!B77+'Telenor Forsikring'!B77+'Tryg Forsikring'!B77+'WaterCircles F'!B77+'Codan Forsikring'!B77+'Euro Accident'!B77+'Ly Forsikring'!B77+'Youplus Livsforsikring'!B77</f>
        <v>5123961.1226000004</v>
      </c>
      <c r="C77" s="44">
        <f>'Fremtind Livsforsikring'!C77+'Storebrand Danica Pensjon'!C77+'DNB Livsforsikring'!C77+'Eika Forsikring AS'!C77+'Frende Livsforsikring'!C77+'Frende Skadeforsikring'!C77+'Gjensidige Forsikring'!C77+'Gjensidige Pensjon'!C77+'Handelsbanken Liv'!C77+'If Skadeforsikring NUF'!C77+KLP!C77+'KLP Skadeforsikring AS'!C77+'Landkreditt Forsikring'!C77+'Nordea Liv '!C77+'Oslo Pensjonsforsikring'!C77+'Protector Forsikring'!C77+'SHB Liv'!C77+'Sparebank 1 Forsikring'!C77+'Storebrand Livsforsikring'!C77+'Telenor Forsikring'!C77+'Tryg Forsikring'!C77+'WaterCircles F'!C77+'Codan Forsikring'!C77+'Euro Accident'!C77+'Ly Forsikring'!C77+'Youplus Livsforsikring'!C77</f>
        <v>4795212.453311136</v>
      </c>
      <c r="D77" s="23">
        <f t="shared" si="24"/>
        <v>-6.4</v>
      </c>
      <c r="E77" s="44">
        <f>'Fremtind Livsforsikring'!F77+'Storebrand Danica Pensjon'!F77+'DNB Livsforsikring'!F77+'Eika Forsikring AS'!F77+'Frende Livsforsikring'!F77+'Frende Skadeforsikring'!F77+'Gjensidige Forsikring'!F77+'Gjensidige Pensjon'!F77+'Handelsbanken Liv'!F77+'If Skadeforsikring NUF'!F77+KLP!F77+'KLP Skadeforsikring AS'!F77+'Landkreditt Forsikring'!F77+'Nordea Liv '!F77+'Oslo Pensjonsforsikring'!F77+'Protector Forsikring'!F77+'SHB Liv'!F77+'Sparebank 1 Forsikring'!F77+'Storebrand Livsforsikring'!F77+'Telenor Forsikring'!F77+'Tryg Forsikring'!F77+'WaterCircles F'!F77+'Codan Forsikring'!F77+'Euro Accident'!F77+'Ly Forsikring'!F77+'Youplus Livsforsikring'!F77</f>
        <v>36650206.860770002</v>
      </c>
      <c r="F77" s="44">
        <f>'Fremtind Livsforsikring'!G77+'Storebrand Danica Pensjon'!G77+'DNB Livsforsikring'!G77+'Eika Forsikring AS'!G77+'Frende Livsforsikring'!G77+'Frende Skadeforsikring'!G77+'Gjensidige Forsikring'!G77+'Gjensidige Pensjon'!G77+'Handelsbanken Liv'!G77+'If Skadeforsikring NUF'!G77+KLP!G77+'KLP Skadeforsikring AS'!G77+'Landkreditt Forsikring'!G77+'Nordea Liv '!G77+'Oslo Pensjonsforsikring'!G77+'Protector Forsikring'!G77+'SHB Liv'!G77+'Sparebank 1 Forsikring'!G77+'Storebrand Livsforsikring'!G77+'Telenor Forsikring'!G77+'Tryg Forsikring'!G77+'WaterCircles F'!G77+'Codan Forsikring'!G77+'Euro Accident'!G77+'Ly Forsikring'!G77+'Youplus Livsforsikring'!G77</f>
        <v>42013504.497569993</v>
      </c>
      <c r="G77" s="165">
        <f t="shared" si="25"/>
        <v>14.6</v>
      </c>
      <c r="H77" s="236">
        <f t="shared" si="26"/>
        <v>41774167.983370006</v>
      </c>
      <c r="I77" s="236">
        <f t="shared" si="27"/>
        <v>46808716.950881131</v>
      </c>
      <c r="J77" s="23">
        <f t="shared" si="28"/>
        <v>12.1</v>
      </c>
    </row>
    <row r="78" spans="1:10" ht="15.75" customHeight="1" x14ac:dyDescent="0.2">
      <c r="A78" s="21" t="s">
        <v>9</v>
      </c>
      <c r="B78" s="44">
        <f>'Fremtind Livsforsikring'!B78+'Storebrand Danica Pensjon'!B78+'DNB Livsforsikring'!B78+'Eika Forsikring AS'!B78+'Frende Livsforsikring'!B78+'Frende Skadeforsikring'!B78+'Gjensidige Forsikring'!B78+'Gjensidige Pensjon'!B78+'Handelsbanken Liv'!B78+'If Skadeforsikring NUF'!B78+KLP!B78+'KLP Skadeforsikring AS'!B78+'Landkreditt Forsikring'!B78+'Nordea Liv '!B78+'Oslo Pensjonsforsikring'!B78+'Protector Forsikring'!B78+'SHB Liv'!B78+'Sparebank 1 Forsikring'!B78+'Storebrand Livsforsikring'!B78+'Telenor Forsikring'!B78+'Tryg Forsikring'!B78+'WaterCircles F'!B78+'Codan Forsikring'!B78+'Euro Accident'!B78+'Ly Forsikring'!B78+'Youplus Livsforsikring'!B78</f>
        <v>5080412.4541999996</v>
      </c>
      <c r="C78" s="44">
        <f>'Fremtind Livsforsikring'!C78+'Storebrand Danica Pensjon'!C78+'DNB Livsforsikring'!C78+'Eika Forsikring AS'!C78+'Frende Livsforsikring'!C78+'Frende Skadeforsikring'!C78+'Gjensidige Forsikring'!C78+'Gjensidige Pensjon'!C78+'Handelsbanken Liv'!C78+'If Skadeforsikring NUF'!C78+KLP!C78+'KLP Skadeforsikring AS'!C78+'Landkreditt Forsikring'!C78+'Nordea Liv '!C78+'Oslo Pensjonsforsikring'!C78+'Protector Forsikring'!C78+'SHB Liv'!C78+'Sparebank 1 Forsikring'!C78+'Storebrand Livsforsikring'!C78+'Telenor Forsikring'!C78+'Tryg Forsikring'!C78+'WaterCircles F'!C78+'Codan Forsikring'!C78+'Euro Accident'!C78+'Ly Forsikring'!C78+'Youplus Livsforsikring'!C78</f>
        <v>4752822.6331511363</v>
      </c>
      <c r="D78" s="23">
        <f t="shared" si="24"/>
        <v>-6.4</v>
      </c>
      <c r="E78" s="44"/>
      <c r="F78" s="44"/>
      <c r="G78" s="165"/>
      <c r="H78" s="236">
        <f t="shared" si="26"/>
        <v>5080412.4541999996</v>
      </c>
      <c r="I78" s="236">
        <f t="shared" si="27"/>
        <v>4752822.6331511363</v>
      </c>
      <c r="J78" s="23">
        <f t="shared" si="28"/>
        <v>-6.4</v>
      </c>
    </row>
    <row r="79" spans="1:10" ht="15.75" customHeight="1" x14ac:dyDescent="0.2">
      <c r="A79" s="38" t="s">
        <v>473</v>
      </c>
      <c r="B79" s="44">
        <f>'Fremtind Livsforsikring'!B79+'Storebrand Danica Pensjon'!B79+'DNB Livsforsikring'!B79+'Eika Forsikring AS'!B79+'Frende Livsforsikring'!B79+'Frende Skadeforsikring'!B79+'Gjensidige Forsikring'!B79+'Gjensidige Pensjon'!B79+'Handelsbanken Liv'!B79+'If Skadeforsikring NUF'!B79+KLP!B79+'KLP Skadeforsikring AS'!B79+'Landkreditt Forsikring'!B79+'Nordea Liv '!B79+'Oslo Pensjonsforsikring'!B79+'Protector Forsikring'!B79+'SHB Liv'!B79+'Sparebank 1 Forsikring'!B79+'Storebrand Livsforsikring'!B79+'Telenor Forsikring'!B79+'Tryg Forsikring'!B79+'WaterCircles F'!B79+'Codan Forsikring'!B79+'Euro Accident'!B79+'Ly Forsikring'!B79+'Youplus Livsforsikring'!B79</f>
        <v>43548.668400000002</v>
      </c>
      <c r="C79" s="44">
        <f>'Fremtind Livsforsikring'!C79+'Storebrand Danica Pensjon'!C79+'DNB Livsforsikring'!C79+'Eika Forsikring AS'!C79+'Frende Livsforsikring'!C79+'Frende Skadeforsikring'!C79+'Gjensidige Forsikring'!C79+'Gjensidige Pensjon'!C79+'Handelsbanken Liv'!C79+'If Skadeforsikring NUF'!C79+KLP!C79+'KLP Skadeforsikring AS'!C79+'Landkreditt Forsikring'!C79+'Nordea Liv '!C79+'Oslo Pensjonsforsikring'!C79+'Protector Forsikring'!C79+'SHB Liv'!C79+'Sparebank 1 Forsikring'!C79+'Storebrand Livsforsikring'!C79+'Telenor Forsikring'!C79+'Tryg Forsikring'!C79+'WaterCircles F'!C79+'Codan Forsikring'!C79+'Euro Accident'!C79+'Ly Forsikring'!C79+'Youplus Livsforsikring'!C79</f>
        <v>42389.820160000003</v>
      </c>
      <c r="D79" s="23">
        <f t="shared" si="24"/>
        <v>-2.7</v>
      </c>
      <c r="E79" s="44">
        <f>'Fremtind Livsforsikring'!F79+'Storebrand Danica Pensjon'!F79+'DNB Livsforsikring'!F79+'Eika Forsikring AS'!F79+'Frende Livsforsikring'!F79+'Frende Skadeforsikring'!F79+'Gjensidige Forsikring'!F79+'Gjensidige Pensjon'!F79+'Handelsbanken Liv'!F79+'If Skadeforsikring NUF'!F79+KLP!F79+'KLP Skadeforsikring AS'!F79+'Landkreditt Forsikring'!F79+'Nordea Liv '!F79+'Oslo Pensjonsforsikring'!F79+'Protector Forsikring'!F79+'SHB Liv'!F79+'Sparebank 1 Forsikring'!F79+'Storebrand Livsforsikring'!F79+'Telenor Forsikring'!F79+'Tryg Forsikring'!F79+'WaterCircles F'!F79+'Codan Forsikring'!F79+'Euro Accident'!F79+'Ly Forsikring'!F79+'Youplus Livsforsikring'!F79</f>
        <v>36650206.860770002</v>
      </c>
      <c r="F79" s="44">
        <f>'Fremtind Livsforsikring'!G79+'Storebrand Danica Pensjon'!G79+'DNB Livsforsikring'!G79+'Eika Forsikring AS'!G79+'Frende Livsforsikring'!G79+'Frende Skadeforsikring'!G79+'Gjensidige Forsikring'!G79+'Gjensidige Pensjon'!G79+'Handelsbanken Liv'!G79+'If Skadeforsikring NUF'!G79+KLP!G79+'KLP Skadeforsikring AS'!G79+'Landkreditt Forsikring'!G79+'Nordea Liv '!G79+'Oslo Pensjonsforsikring'!G79+'Protector Forsikring'!G79+'SHB Liv'!G79+'Sparebank 1 Forsikring'!G79+'Storebrand Livsforsikring'!G79+'Telenor Forsikring'!G79+'Tryg Forsikring'!G79+'WaterCircles F'!G79+'Codan Forsikring'!G79+'Euro Accident'!G79+'Ly Forsikring'!G79+'Youplus Livsforsikring'!G79</f>
        <v>42013504.497569993</v>
      </c>
      <c r="G79" s="165">
        <f t="shared" si="25"/>
        <v>14.6</v>
      </c>
      <c r="H79" s="236">
        <f t="shared" si="26"/>
        <v>36693755.529169999</v>
      </c>
      <c r="I79" s="236">
        <f t="shared" si="27"/>
        <v>42055894.317729995</v>
      </c>
      <c r="J79" s="23">
        <f t="shared" si="28"/>
        <v>14.6</v>
      </c>
    </row>
    <row r="80" spans="1:10" ht="15.75" customHeight="1" x14ac:dyDescent="0.2">
      <c r="A80" s="299" t="s">
        <v>441</v>
      </c>
      <c r="B80" s="44"/>
      <c r="C80" s="44"/>
      <c r="D80" s="27"/>
      <c r="E80" s="44"/>
      <c r="F80" s="44"/>
      <c r="G80" s="165"/>
      <c r="H80" s="236"/>
      <c r="I80" s="236"/>
      <c r="J80" s="23"/>
    </row>
    <row r="81" spans="1:13" ht="15.75" customHeight="1" x14ac:dyDescent="0.2">
      <c r="A81" s="299" t="s">
        <v>12</v>
      </c>
      <c r="B81" s="234"/>
      <c r="C81" s="234"/>
      <c r="D81" s="27"/>
      <c r="E81" s="44"/>
      <c r="F81" s="44"/>
      <c r="G81" s="165"/>
      <c r="H81" s="236"/>
      <c r="I81" s="236"/>
      <c r="J81" s="23"/>
    </row>
    <row r="82" spans="1:13" ht="15.75" customHeight="1" x14ac:dyDescent="0.2">
      <c r="A82" s="299" t="s">
        <v>13</v>
      </c>
      <c r="B82" s="234"/>
      <c r="C82" s="234"/>
      <c r="D82" s="27"/>
      <c r="E82" s="44"/>
      <c r="F82" s="44"/>
      <c r="G82" s="165"/>
      <c r="H82" s="236"/>
      <c r="I82" s="236"/>
      <c r="J82" s="23"/>
    </row>
    <row r="83" spans="1:13" ht="15.75" customHeight="1" x14ac:dyDescent="0.2">
      <c r="A83" s="299" t="s">
        <v>442</v>
      </c>
      <c r="B83" s="44">
        <f>'Fremtind Livsforsikring'!B83+'Storebrand Danica Pensjon'!B83+'DNB Livsforsikring'!B83+'Eika Forsikring AS'!B83+'Frende Livsforsikring'!B83+'Frende Skadeforsikring'!B83+'Gjensidige Forsikring'!B83+'Gjensidige Pensjon'!B83+'Handelsbanken Liv'!B83+'If Skadeforsikring NUF'!B83+KLP!B83+'KLP Skadeforsikring AS'!B83+'Landkreditt Forsikring'!B83+'Nordea Liv '!B83+'Oslo Pensjonsforsikring'!B83+'Protector Forsikring'!B83+'SHB Liv'!B83+'Sparebank 1 Forsikring'!B83+'Storebrand Livsforsikring'!B83+'Telenor Forsikring'!B83+'Tryg Forsikring'!B83+'WaterCircles F'!B83+'Codan Forsikring'!B83+'Euro Accident'!B83+'Ly Forsikring'!B83+'Youplus Livsforsikring'!B83</f>
        <v>43548.668400000002</v>
      </c>
      <c r="C83" s="44">
        <f>'Fremtind Livsforsikring'!C83+'Storebrand Danica Pensjon'!C83+'DNB Livsforsikring'!C83+'Eika Forsikring AS'!C83+'Frende Livsforsikring'!C83+'Frende Skadeforsikring'!C83+'Gjensidige Forsikring'!C83+'Gjensidige Pensjon'!C83+'Handelsbanken Liv'!C83+'If Skadeforsikring NUF'!C83+KLP!C83+'KLP Skadeforsikring AS'!C83+'Landkreditt Forsikring'!C83+'Nordea Liv '!C83+'Oslo Pensjonsforsikring'!C83+'Protector Forsikring'!C83+'SHB Liv'!C83+'Sparebank 1 Forsikring'!C83+'Storebrand Livsforsikring'!C83+'Telenor Forsikring'!C83+'Tryg Forsikring'!C83+'WaterCircles F'!C83+'Codan Forsikring'!C83+'Euro Accident'!C83+'Ly Forsikring'!C83+'Youplus Livsforsikring'!C83</f>
        <v>42389.820160000003</v>
      </c>
      <c r="D83" s="27">
        <f t="shared" ref="D83" si="33">IF($A$1=4,IF(B83=0, "    ---- ", IF(ABS(ROUND(100/B83*C83-100,1))&lt;999,ROUND(100/B83*C83-100,1),IF(ROUND(100/B83*C83-100,1)&gt;999,999,-999))),"")</f>
        <v>-2.7</v>
      </c>
      <c r="E83" s="44">
        <f>'Fremtind Livsforsikring'!F83+'Storebrand Danica Pensjon'!F83+'DNB Livsforsikring'!F83+'Eika Forsikring AS'!F83+'Frende Livsforsikring'!F83+'Frende Skadeforsikring'!F83+'Gjensidige Forsikring'!F83+'Gjensidige Pensjon'!F83+'Handelsbanken Liv'!F83+'If Skadeforsikring NUF'!F83+KLP!F83+'KLP Skadeforsikring AS'!F83+'Landkreditt Forsikring'!F83+'Nordea Liv '!F83+'Oslo Pensjonsforsikring'!F83+'Protector Forsikring'!F83+'SHB Liv'!F83+'Sparebank 1 Forsikring'!F83+'Storebrand Livsforsikring'!F83+'Telenor Forsikring'!F83+'Tryg Forsikring'!F83+'WaterCircles F'!F83+'Codan Forsikring'!F83+'Euro Accident'!F83+'Ly Forsikring'!F83+'Youplus Livsforsikring'!F83</f>
        <v>36650206.860770002</v>
      </c>
      <c r="F83" s="44">
        <f>'Fremtind Livsforsikring'!G83+'Storebrand Danica Pensjon'!G83+'DNB Livsforsikring'!G83+'Eika Forsikring AS'!G83+'Frende Livsforsikring'!G83+'Frende Skadeforsikring'!G83+'Gjensidige Forsikring'!G83+'Gjensidige Pensjon'!G83+'Handelsbanken Liv'!G83+'If Skadeforsikring NUF'!G83+KLP!G83+'KLP Skadeforsikring AS'!G83+'Landkreditt Forsikring'!G83+'Nordea Liv '!G83+'Oslo Pensjonsforsikring'!G83+'Protector Forsikring'!G83+'SHB Liv'!G83+'Sparebank 1 Forsikring'!G83+'Storebrand Livsforsikring'!G83+'Telenor Forsikring'!G83+'Tryg Forsikring'!G83+'WaterCircles F'!G83+'Codan Forsikring'!G83+'Euro Accident'!G83+'Ly Forsikring'!G83+'Youplus Livsforsikring'!G83</f>
        <v>42013504.497569993</v>
      </c>
      <c r="G83" s="165">
        <f t="shared" si="25"/>
        <v>14.6</v>
      </c>
      <c r="H83" s="236">
        <f t="shared" si="26"/>
        <v>36693755.529169999</v>
      </c>
      <c r="I83" s="236">
        <f t="shared" si="27"/>
        <v>42055894.317729995</v>
      </c>
      <c r="J83" s="24">
        <f t="shared" si="28"/>
        <v>14.6</v>
      </c>
    </row>
    <row r="84" spans="1:13" ht="15.75" customHeight="1" x14ac:dyDescent="0.2">
      <c r="A84" s="299" t="s">
        <v>12</v>
      </c>
      <c r="B84" s="234"/>
      <c r="C84" s="234"/>
      <c r="D84" s="27"/>
      <c r="E84" s="44">
        <f>'Fremtind Livsforsikring'!F84+'Storebrand Danica Pensjon'!F84+'DNB Livsforsikring'!F84+'Eika Forsikring AS'!F84+'Frende Livsforsikring'!F84+'Frende Skadeforsikring'!F84+'Gjensidige Forsikring'!F84+'Gjensidige Pensjon'!F84+'Handelsbanken Liv'!F84+'If Skadeforsikring NUF'!F84+KLP!F84+'KLP Skadeforsikring AS'!F84+'Landkreditt Forsikring'!F84+'Nordea Liv '!F84+'Oslo Pensjonsforsikring'!F84+'Protector Forsikring'!F84+'SHB Liv'!F84+'Sparebank 1 Forsikring'!F84+'Storebrand Livsforsikring'!F84+'Telenor Forsikring'!F84+'Tryg Forsikring'!F84+'WaterCircles F'!F84+'Codan Forsikring'!F84+'Euro Accident'!F84+'Ly Forsikring'!F84+'Youplus Livsforsikring'!F84</f>
        <v>8</v>
      </c>
      <c r="F84" s="44">
        <f>'Fremtind Livsforsikring'!G84+'Storebrand Danica Pensjon'!G84+'DNB Livsforsikring'!G84+'Eika Forsikring AS'!G84+'Frende Livsforsikring'!G84+'Frende Skadeforsikring'!G84+'Gjensidige Forsikring'!G84+'Gjensidige Pensjon'!G84+'Handelsbanken Liv'!G84+'If Skadeforsikring NUF'!G84+KLP!G84+'KLP Skadeforsikring AS'!G84+'Landkreditt Forsikring'!G84+'Nordea Liv '!G84+'Oslo Pensjonsforsikring'!G84+'Protector Forsikring'!G84+'SHB Liv'!G84+'Sparebank 1 Forsikring'!G84+'Storebrand Livsforsikring'!G84+'Telenor Forsikring'!G84+'Tryg Forsikring'!G84+'WaterCircles F'!G84+'Codan Forsikring'!G84+'Euro Accident'!G84+'Ly Forsikring'!G84+'Youplus Livsforsikring'!G84</f>
        <v>10.974939696668301</v>
      </c>
      <c r="G84" s="165">
        <f t="shared" si="25"/>
        <v>37.200000000000003</v>
      </c>
      <c r="H84" s="236">
        <f t="shared" si="26"/>
        <v>8</v>
      </c>
      <c r="I84" s="236">
        <f t="shared" si="27"/>
        <v>10.974939696668301</v>
      </c>
      <c r="J84" s="23">
        <f t="shared" si="28"/>
        <v>37.200000000000003</v>
      </c>
    </row>
    <row r="85" spans="1:13" ht="15.75" customHeight="1" x14ac:dyDescent="0.2">
      <c r="A85" s="299" t="s">
        <v>13</v>
      </c>
      <c r="B85" s="234"/>
      <c r="C85" s="234"/>
      <c r="D85" s="27"/>
      <c r="E85" s="44">
        <f>'Fremtind Livsforsikring'!F85+'Storebrand Danica Pensjon'!F85+'DNB Livsforsikring'!F85+'Eika Forsikring AS'!F85+'Frende Livsforsikring'!F85+'Frende Skadeforsikring'!F85+'Gjensidige Forsikring'!F85+'Gjensidige Pensjon'!F85+'Handelsbanken Liv'!F85+'If Skadeforsikring NUF'!F85+KLP!F85+'KLP Skadeforsikring AS'!F85+'Landkreditt Forsikring'!F85+'Nordea Liv '!F85+'Oslo Pensjonsforsikring'!F85+'Protector Forsikring'!F85+'SHB Liv'!F85+'Sparebank 1 Forsikring'!F85+'Storebrand Livsforsikring'!F85+'Telenor Forsikring'!F85+'Tryg Forsikring'!F85+'WaterCircles F'!F85+'Codan Forsikring'!F85+'Euro Accident'!F85+'Ly Forsikring'!F85+'Youplus Livsforsikring'!F85</f>
        <v>36650198.860770002</v>
      </c>
      <c r="F85" s="44">
        <f>'Fremtind Livsforsikring'!G85+'Storebrand Danica Pensjon'!G85+'DNB Livsforsikring'!G85+'Eika Forsikring AS'!G85+'Frende Livsforsikring'!G85+'Frende Skadeforsikring'!G85+'Gjensidige Forsikring'!G85+'Gjensidige Pensjon'!G85+'Handelsbanken Liv'!G85+'If Skadeforsikring NUF'!G85+KLP!G85+'KLP Skadeforsikring AS'!G85+'Landkreditt Forsikring'!G85+'Nordea Liv '!G85+'Oslo Pensjonsforsikring'!G85+'Protector Forsikring'!G85+'SHB Liv'!G85+'Sparebank 1 Forsikring'!G85+'Storebrand Livsforsikring'!G85+'Telenor Forsikring'!G85+'Tryg Forsikring'!G85+'WaterCircles F'!G85+'Codan Forsikring'!G85+'Euro Accident'!G85+'Ly Forsikring'!G85+'Youplus Livsforsikring'!G85</f>
        <v>42013493.522630304</v>
      </c>
      <c r="G85" s="165">
        <f t="shared" si="25"/>
        <v>14.6</v>
      </c>
      <c r="H85" s="236">
        <f t="shared" si="26"/>
        <v>36650198.860770002</v>
      </c>
      <c r="I85" s="236">
        <f t="shared" si="27"/>
        <v>42013493.522630304</v>
      </c>
      <c r="J85" s="23">
        <f t="shared" si="28"/>
        <v>14.6</v>
      </c>
    </row>
    <row r="86" spans="1:13" ht="15.75" customHeight="1" x14ac:dyDescent="0.2">
      <c r="A86" s="21" t="s">
        <v>444</v>
      </c>
      <c r="B86" s="233">
        <f>'Fremtind Livsforsikring'!B86+'Storebrand Danica Pensjon'!B86+'DNB Livsforsikring'!B86+'Eika Forsikring AS'!B86+'Frende Livsforsikring'!B86+'Frende Skadeforsikring'!B86+'Gjensidige Forsikring'!B86+'Gjensidige Pensjon'!B86+'Handelsbanken Liv'!B86+'If Skadeforsikring NUF'!B86+KLP!B86+'KLP Skadeforsikring AS'!B86+'Landkreditt Forsikring'!B86+'Nordea Liv '!B86+'Oslo Pensjonsforsikring'!B86+'Protector Forsikring'!B86+'SHB Liv'!B86+'Sparebank 1 Forsikring'!B86+'Storebrand Livsforsikring'!B86+'Telenor Forsikring'!B86+'Tryg Forsikring'!B86+'WaterCircles F'!B86+'Codan Forsikring'!B86+'Euro Accident'!B86+'Ly Forsikring'!B86+'Youplus Livsforsikring'!B86</f>
        <v>96647.686000000016</v>
      </c>
      <c r="C86" s="233">
        <f>'Fremtind Livsforsikring'!C86+'Storebrand Danica Pensjon'!C86+'DNB Livsforsikring'!C86+'Eika Forsikring AS'!C86+'Frende Livsforsikring'!C86+'Frende Skadeforsikring'!C86+'Gjensidige Forsikring'!C86+'Gjensidige Pensjon'!C86+'Handelsbanken Liv'!C86+'If Skadeforsikring NUF'!C86+KLP!C86+'KLP Skadeforsikring AS'!C86+'Landkreditt Forsikring'!C86+'Nordea Liv '!C86+'Oslo Pensjonsforsikring'!C86+'Protector Forsikring'!C86+'SHB Liv'!C86+'Sparebank 1 Forsikring'!C86+'Storebrand Livsforsikring'!C86+'Telenor Forsikring'!C86+'Tryg Forsikring'!C86+'WaterCircles F'!C86+'Codan Forsikring'!C86+'Euro Accident'!C86+'Ly Forsikring'!C86+'Youplus Livsforsikring'!C86</f>
        <v>89419.888000000006</v>
      </c>
      <c r="D86" s="23">
        <f t="shared" si="24"/>
        <v>-7.5</v>
      </c>
      <c r="E86" s="44">
        <f>'Fremtind Livsforsikring'!F86+'Storebrand Danica Pensjon'!F86+'DNB Livsforsikring'!F86+'Eika Forsikring AS'!F86+'Frende Livsforsikring'!F86+'Frende Skadeforsikring'!F86+'Gjensidige Forsikring'!F86+'Gjensidige Pensjon'!F86+'Handelsbanken Liv'!F86+'If Skadeforsikring NUF'!F86+KLP!F86+'KLP Skadeforsikring AS'!F86+'Landkreditt Forsikring'!F86+'Nordea Liv '!F86+'Oslo Pensjonsforsikring'!F86+'Protector Forsikring'!F86+'SHB Liv'!F86+'Sparebank 1 Forsikring'!F86+'Storebrand Livsforsikring'!F86+'Telenor Forsikring'!F86+'Tryg Forsikring'!F86+'WaterCircles F'!F86+'Codan Forsikring'!F86+'Euro Accident'!F86+'Ly Forsikring'!F86+'Youplus Livsforsikring'!F86</f>
        <v>12057.710010000001</v>
      </c>
      <c r="F86" s="44">
        <f>'Fremtind Livsforsikring'!G86+'Storebrand Danica Pensjon'!G86+'DNB Livsforsikring'!G86+'Eika Forsikring AS'!G86+'Frende Livsforsikring'!G86+'Frende Skadeforsikring'!G86+'Gjensidige Forsikring'!G86+'Gjensidige Pensjon'!G86+'Handelsbanken Liv'!G86+'If Skadeforsikring NUF'!G86+KLP!G86+'KLP Skadeforsikring AS'!G86+'Landkreditt Forsikring'!G86+'Nordea Liv '!G86+'Oslo Pensjonsforsikring'!G86+'Protector Forsikring'!G86+'SHB Liv'!G86+'Sparebank 1 Forsikring'!G86+'Storebrand Livsforsikring'!G86+'Telenor Forsikring'!G86+'Tryg Forsikring'!G86+'WaterCircles F'!G86+'Codan Forsikring'!G86+'Euro Accident'!G86+'Ly Forsikring'!G86+'Youplus Livsforsikring'!G86</f>
        <v>13376.59</v>
      </c>
      <c r="G86" s="165">
        <f t="shared" si="25"/>
        <v>10.9</v>
      </c>
      <c r="H86" s="236">
        <f t="shared" si="26"/>
        <v>108705.39601000001</v>
      </c>
      <c r="I86" s="236">
        <f t="shared" si="27"/>
        <v>102796.478</v>
      </c>
      <c r="J86" s="23">
        <f t="shared" si="28"/>
        <v>-5.4</v>
      </c>
    </row>
    <row r="87" spans="1:13" s="43" customFormat="1" ht="15.75" customHeight="1" x14ac:dyDescent="0.2">
      <c r="A87" s="13" t="s">
        <v>426</v>
      </c>
      <c r="B87" s="311">
        <f>'Fremtind Livsforsikring'!B87+'Storebrand Danica Pensjon'!B87+'DNB Livsforsikring'!B87+'Eika Forsikring AS'!B87+'Frende Livsforsikring'!B87+'Frende Skadeforsikring'!B87+'Gjensidige Forsikring'!B87+'Gjensidige Pensjon'!B87+'Handelsbanken Liv'!B87+'If Skadeforsikring NUF'!B87+KLP!B87+'KLP Skadeforsikring AS'!B87+'Landkreditt Forsikring'!B87+'Nordea Liv '!B87+'Oslo Pensjonsforsikring'!B87+'Protector Forsikring'!B87+'SHB Liv'!B87+'Sparebank 1 Forsikring'!B87+'Storebrand Livsforsikring'!B87+'Telenor Forsikring'!B87+'Tryg Forsikring'!B87+'WaterCircles F'!B87+'Codan Forsikring'!B87+'Euro Accident'!B87+'Ly Forsikring'!B87+'Youplus Livsforsikring'!B87</f>
        <v>404437490.50348002</v>
      </c>
      <c r="C87" s="311">
        <f>'Fremtind Livsforsikring'!C87+'Storebrand Danica Pensjon'!C87+'DNB Livsforsikring'!C87+'Eika Forsikring AS'!C87+'Frende Livsforsikring'!C87+'Frende Skadeforsikring'!C87+'Gjensidige Forsikring'!C87+'Gjensidige Pensjon'!C87+'Handelsbanken Liv'!C87+'If Skadeforsikring NUF'!C87+KLP!C87+'KLP Skadeforsikring AS'!C87+'Landkreditt Forsikring'!C87+'Nordea Liv '!C87+'Oslo Pensjonsforsikring'!C87+'Protector Forsikring'!C87+'SHB Liv'!C87+'Sparebank 1 Forsikring'!C87+'Storebrand Livsforsikring'!C87+'Telenor Forsikring'!C87+'Tryg Forsikring'!C87+'WaterCircles F'!C87+'Codan Forsikring'!C87+'Euro Accident'!C87+'Ly Forsikring'!C87+'Youplus Livsforsikring'!C87</f>
        <v>398290917.16664958</v>
      </c>
      <c r="D87" s="24">
        <f t="shared" si="24"/>
        <v>-1.5</v>
      </c>
      <c r="E87" s="235">
        <f>'Fremtind Livsforsikring'!F87+'Storebrand Danica Pensjon'!F87+'DNB Livsforsikring'!F87+'Eika Forsikring AS'!F87+'Frende Livsforsikring'!F87+'Frende Skadeforsikring'!F87+'Gjensidige Forsikring'!F87+'Gjensidige Pensjon'!F87+'Handelsbanken Liv'!F87+'If Skadeforsikring NUF'!F87+KLP!F87+'KLP Skadeforsikring AS'!F87+'Landkreditt Forsikring'!F87+'Nordea Liv '!F87+'Oslo Pensjonsforsikring'!F87+'Protector Forsikring'!F87+'SHB Liv'!F87+'Sparebank 1 Forsikring'!F87+'Storebrand Livsforsikring'!F87+'Telenor Forsikring'!F87+'Tryg Forsikring'!F87+'WaterCircles F'!F87+'Codan Forsikring'!F87+'Euro Accident'!F87+'Ly Forsikring'!F87+'Youplus Livsforsikring'!F87</f>
        <v>449882436.57108998</v>
      </c>
      <c r="F87" s="235">
        <f>'Fremtind Livsforsikring'!G87+'Storebrand Danica Pensjon'!G87+'DNB Livsforsikring'!G87+'Eika Forsikring AS'!G87+'Frende Livsforsikring'!G87+'Frende Skadeforsikring'!G87+'Gjensidige Forsikring'!G87+'Gjensidige Pensjon'!G87+'Handelsbanken Liv'!G87+'If Skadeforsikring NUF'!G87+KLP!G87+'KLP Skadeforsikring AS'!G87+'Landkreditt Forsikring'!G87+'Nordea Liv '!G87+'Oslo Pensjonsforsikring'!G87+'Protector Forsikring'!G87+'SHB Liv'!G87+'Sparebank 1 Forsikring'!G87+'Storebrand Livsforsikring'!G87+'Telenor Forsikring'!G87+'Tryg Forsikring'!G87+'WaterCircles F'!G87+'Codan Forsikring'!G87+'Euro Accident'!G87+'Ly Forsikring'!G87+'Youplus Livsforsikring'!G87</f>
        <v>442930701.15636003</v>
      </c>
      <c r="G87" s="170">
        <f t="shared" si="25"/>
        <v>-1.5</v>
      </c>
      <c r="H87" s="331">
        <f t="shared" ref="H87:H111" si="34">SUM(B87,E87)</f>
        <v>854319927.07456994</v>
      </c>
      <c r="I87" s="331">
        <f t="shared" ref="I87:I111" si="35">SUM(C87,F87)</f>
        <v>841221618.32300961</v>
      </c>
      <c r="J87" s="24">
        <f t="shared" si="28"/>
        <v>-1.5</v>
      </c>
    </row>
    <row r="88" spans="1:13" ht="15.75" customHeight="1" x14ac:dyDescent="0.2">
      <c r="A88" s="21" t="s">
        <v>9</v>
      </c>
      <c r="B88" s="233">
        <f>'Fremtind Livsforsikring'!B88+'Storebrand Danica Pensjon'!B88+'DNB Livsforsikring'!B88+'Eika Forsikring AS'!B88+'Frende Livsforsikring'!B88+'Frende Skadeforsikring'!B88+'Gjensidige Forsikring'!B88+'Gjensidige Pensjon'!B88+'Handelsbanken Liv'!B88+'If Skadeforsikring NUF'!B88+KLP!B88+'KLP Skadeforsikring AS'!B88+'Landkreditt Forsikring'!B88+'Nordea Liv '!B88+'Oslo Pensjonsforsikring'!B88+'Protector Forsikring'!B88+'SHB Liv'!B88+'Sparebank 1 Forsikring'!B88+'Storebrand Livsforsikring'!B88+'Telenor Forsikring'!B88+'Tryg Forsikring'!B88+'WaterCircles F'!B88+'Codan Forsikring'!B88+'Euro Accident'!B88+'Ly Forsikring'!B88+'Youplus Livsforsikring'!B88</f>
        <v>390532172.21518004</v>
      </c>
      <c r="C88" s="233">
        <f>'Fremtind Livsforsikring'!C88+'Storebrand Danica Pensjon'!C88+'DNB Livsforsikring'!C88+'Eika Forsikring AS'!C88+'Frende Livsforsikring'!C88+'Frende Skadeforsikring'!C88+'Gjensidige Forsikring'!C88+'Gjensidige Pensjon'!C88+'Handelsbanken Liv'!C88+'If Skadeforsikring NUF'!C88+KLP!C88+'KLP Skadeforsikring AS'!C88+'Landkreditt Forsikring'!C88+'Nordea Liv '!C88+'Oslo Pensjonsforsikring'!C88+'Protector Forsikring'!C88+'SHB Liv'!C88+'Sparebank 1 Forsikring'!C88+'Storebrand Livsforsikring'!C88+'Telenor Forsikring'!C88+'Tryg Forsikring'!C88+'WaterCircles F'!C88+'Codan Forsikring'!C88+'Euro Accident'!C88+'Ly Forsikring'!C88+'Youplus Livsforsikring'!C88</f>
        <v>382646892.41491961</v>
      </c>
      <c r="D88" s="23">
        <f t="shared" si="24"/>
        <v>-2</v>
      </c>
      <c r="E88" s="44"/>
      <c r="F88" s="44"/>
      <c r="G88" s="165"/>
      <c r="H88" s="236">
        <f t="shared" si="34"/>
        <v>390532172.21518004</v>
      </c>
      <c r="I88" s="236">
        <f t="shared" si="35"/>
        <v>382646892.41491961</v>
      </c>
      <c r="J88" s="23">
        <f t="shared" si="28"/>
        <v>-2</v>
      </c>
      <c r="M88" s="148"/>
    </row>
    <row r="89" spans="1:13" ht="15.75" customHeight="1" x14ac:dyDescent="0.2">
      <c r="A89" s="21" t="s">
        <v>10</v>
      </c>
      <c r="B89" s="233">
        <f>'Fremtind Livsforsikring'!B89+'Storebrand Danica Pensjon'!B89+'DNB Livsforsikring'!B89+'Eika Forsikring AS'!B89+'Frende Livsforsikring'!B89+'Frende Skadeforsikring'!B89+'Gjensidige Forsikring'!B89+'Gjensidige Pensjon'!B89+'Handelsbanken Liv'!B89+'If Skadeforsikring NUF'!B89+KLP!B89+'KLP Skadeforsikring AS'!B89+'Landkreditt Forsikring'!B89+'Nordea Liv '!B89+'Oslo Pensjonsforsikring'!B89+'Protector Forsikring'!B89+'SHB Liv'!B89+'Sparebank 1 Forsikring'!B89+'Storebrand Livsforsikring'!B89+'Telenor Forsikring'!B89+'Tryg Forsikring'!B89+'WaterCircles F'!B89+'Codan Forsikring'!B89+'Euro Accident'!B89+'Ly Forsikring'!B89+'Youplus Livsforsikring'!B89</f>
        <v>3168532.6383400001</v>
      </c>
      <c r="C89" s="233">
        <f>'Fremtind Livsforsikring'!C89+'Storebrand Danica Pensjon'!C89+'DNB Livsforsikring'!C89+'Eika Forsikring AS'!C89+'Frende Livsforsikring'!C89+'Frende Skadeforsikring'!C89+'Gjensidige Forsikring'!C89+'Gjensidige Pensjon'!C89+'Handelsbanken Liv'!C89+'If Skadeforsikring NUF'!C89+KLP!C89+'KLP Skadeforsikring AS'!C89+'Landkreditt Forsikring'!C89+'Nordea Liv '!C89+'Oslo Pensjonsforsikring'!C89+'Protector Forsikring'!C89+'SHB Liv'!C89+'Sparebank 1 Forsikring'!C89+'Storebrand Livsforsikring'!C89+'Telenor Forsikring'!C89+'Tryg Forsikring'!C89+'WaterCircles F'!C89+'Codan Forsikring'!C89+'Euro Accident'!C89+'Ly Forsikring'!C89+'Youplus Livsforsikring'!C89</f>
        <v>3310351.1074200002</v>
      </c>
      <c r="D89" s="23">
        <f t="shared" si="24"/>
        <v>4.5</v>
      </c>
      <c r="E89" s="44">
        <f>'Fremtind Livsforsikring'!F89+'Storebrand Danica Pensjon'!F89+'DNB Livsforsikring'!F89+'Eika Forsikring AS'!F89+'Frende Livsforsikring'!F89+'Frende Skadeforsikring'!F89+'Gjensidige Forsikring'!F89+'Gjensidige Pensjon'!F89+'Handelsbanken Liv'!F89+'If Skadeforsikring NUF'!F89+KLP!F89+'KLP Skadeforsikring AS'!F89+'Landkreditt Forsikring'!F89+'Nordea Liv '!F89+'Oslo Pensjonsforsikring'!F89+'Protector Forsikring'!F89+'SHB Liv'!F89+'Sparebank 1 Forsikring'!F89+'Storebrand Livsforsikring'!F89+'Telenor Forsikring'!F89+'Tryg Forsikring'!F89+'WaterCircles F'!F89+'Codan Forsikring'!F89+'Euro Accident'!F89+'Ly Forsikring'!F89+'Youplus Livsforsikring'!F89</f>
        <v>445034746.03806996</v>
      </c>
      <c r="F89" s="44">
        <f>'Fremtind Livsforsikring'!G89+'Storebrand Danica Pensjon'!G89+'DNB Livsforsikring'!G89+'Eika Forsikring AS'!G89+'Frende Livsforsikring'!G89+'Frende Skadeforsikring'!G89+'Gjensidige Forsikring'!G89+'Gjensidige Pensjon'!G89+'Handelsbanken Liv'!G89+'If Skadeforsikring NUF'!G89+KLP!G89+'KLP Skadeforsikring AS'!G89+'Landkreditt Forsikring'!G89+'Nordea Liv '!G89+'Oslo Pensjonsforsikring'!G89+'Protector Forsikring'!G89+'SHB Liv'!G89+'Sparebank 1 Forsikring'!G89+'Storebrand Livsforsikring'!G89+'Telenor Forsikring'!G89+'Tryg Forsikring'!G89+'WaterCircles F'!G89+'Codan Forsikring'!G89+'Euro Accident'!G89+'Ly Forsikring'!G89+'Youplus Livsforsikring'!G89</f>
        <v>437450387.52889001</v>
      </c>
      <c r="G89" s="165">
        <f t="shared" si="25"/>
        <v>-1.7</v>
      </c>
      <c r="H89" s="236">
        <f t="shared" si="34"/>
        <v>448203278.67640996</v>
      </c>
      <c r="I89" s="236">
        <f t="shared" si="35"/>
        <v>440760738.63631004</v>
      </c>
      <c r="J89" s="23">
        <f t="shared" si="28"/>
        <v>-1.7</v>
      </c>
    </row>
    <row r="90" spans="1:13" ht="15.75" customHeight="1" x14ac:dyDescent="0.2">
      <c r="A90" s="299" t="s">
        <v>441</v>
      </c>
      <c r="B90" s="44"/>
      <c r="C90" s="44"/>
      <c r="D90" s="27"/>
      <c r="E90" s="44">
        <f>'Fremtind Livsforsikring'!F90+'Storebrand Danica Pensjon'!F90+'DNB Livsforsikring'!F90+'Eika Forsikring AS'!F90+'Frende Livsforsikring'!F90+'Frende Skadeforsikring'!F90+'Gjensidige Forsikring'!F90+'Gjensidige Pensjon'!F90+'Handelsbanken Liv'!F90+'If Skadeforsikring NUF'!F90+KLP!F90+'KLP Skadeforsikring AS'!F90+'Landkreditt Forsikring'!F90+'Nordea Liv '!F90+'Oslo Pensjonsforsikring'!F90+'Protector Forsikring'!F90+'SHB Liv'!F90+'Sparebank 1 Forsikring'!F90+'Storebrand Livsforsikring'!F90+'Telenor Forsikring'!F90+'Tryg Forsikring'!F90+'WaterCircles F'!F90+'Codan Forsikring'!F90+'Euro Accident'!F90+'Ly Forsikring'!F90+'Youplus Livsforsikring'!F90</f>
        <v>115267</v>
      </c>
      <c r="F90" s="44">
        <f>'Fremtind Livsforsikring'!G90+'Storebrand Danica Pensjon'!G90+'DNB Livsforsikring'!G90+'Eika Forsikring AS'!G90+'Frende Livsforsikring'!G90+'Frende Skadeforsikring'!G90+'Gjensidige Forsikring'!G90+'Gjensidige Pensjon'!G90+'Handelsbanken Liv'!G90+'If Skadeforsikring NUF'!G90+KLP!G90+'KLP Skadeforsikring AS'!G90+'Landkreditt Forsikring'!G90+'Nordea Liv '!G90+'Oslo Pensjonsforsikring'!G90+'Protector Forsikring'!G90+'SHB Liv'!G90+'Sparebank 1 Forsikring'!G90+'Storebrand Livsforsikring'!G90+'Telenor Forsikring'!G90+'Tryg Forsikring'!G90+'WaterCircles F'!G90+'Codan Forsikring'!G90+'Euro Accident'!G90+'Ly Forsikring'!G90+'Youplus Livsforsikring'!G90</f>
        <v>101555.167</v>
      </c>
      <c r="G90" s="165">
        <f t="shared" si="25"/>
        <v>-11.9</v>
      </c>
      <c r="H90" s="236">
        <f t="shared" si="34"/>
        <v>115267</v>
      </c>
      <c r="I90" s="236">
        <f t="shared" si="35"/>
        <v>101555.167</v>
      </c>
      <c r="J90" s="23">
        <f t="shared" si="28"/>
        <v>-11.9</v>
      </c>
    </row>
    <row r="91" spans="1:13" ht="15.75" customHeight="1" x14ac:dyDescent="0.2">
      <c r="A91" s="299" t="s">
        <v>12</v>
      </c>
      <c r="B91" s="234"/>
      <c r="C91" s="234"/>
      <c r="D91" s="27"/>
      <c r="E91" s="44">
        <f>'Fremtind Livsforsikring'!F91+'Storebrand Danica Pensjon'!F91+'DNB Livsforsikring'!F91+'Eika Forsikring AS'!F91+'Frende Livsforsikring'!F91+'Frende Skadeforsikring'!F91+'Gjensidige Forsikring'!F91+'Gjensidige Pensjon'!F91+'Handelsbanken Liv'!F91+'If Skadeforsikring NUF'!F91+KLP!F91+'KLP Skadeforsikring AS'!F91+'Landkreditt Forsikring'!F91+'Nordea Liv '!F91+'Oslo Pensjonsforsikring'!F91+'Protector Forsikring'!F91+'SHB Liv'!F91+'Sparebank 1 Forsikring'!F91+'Storebrand Livsforsikring'!F91+'Telenor Forsikring'!F91+'Tryg Forsikring'!F91+'WaterCircles F'!F91+'Codan Forsikring'!F91+'Euro Accident'!F91+'Ly Forsikring'!F91+'Youplus Livsforsikring'!F91</f>
        <v>101501</v>
      </c>
      <c r="F91" s="44">
        <f>'Fremtind Livsforsikring'!G91+'Storebrand Danica Pensjon'!G91+'DNB Livsforsikring'!G91+'Eika Forsikring AS'!G91+'Frende Livsforsikring'!G91+'Frende Skadeforsikring'!G91+'Gjensidige Forsikring'!G91+'Gjensidige Pensjon'!G91+'Handelsbanken Liv'!G91+'If Skadeforsikring NUF'!G91+KLP!G91+'KLP Skadeforsikring AS'!G91+'Landkreditt Forsikring'!G91+'Nordea Liv '!G91+'Oslo Pensjonsforsikring'!G91+'Protector Forsikring'!G91+'SHB Liv'!G91+'Sparebank 1 Forsikring'!G91+'Storebrand Livsforsikring'!G91+'Telenor Forsikring'!G91+'Tryg Forsikring'!G91+'WaterCircles F'!G91+'Codan Forsikring'!G91+'Euro Accident'!G91+'Ly Forsikring'!G91+'Youplus Livsforsikring'!G91</f>
        <v>88081</v>
      </c>
      <c r="G91" s="165">
        <f t="shared" si="25"/>
        <v>-13.2</v>
      </c>
      <c r="H91" s="236">
        <f t="shared" si="34"/>
        <v>101501</v>
      </c>
      <c r="I91" s="236">
        <f t="shared" si="35"/>
        <v>88081</v>
      </c>
      <c r="J91" s="23">
        <f t="shared" si="28"/>
        <v>-13.2</v>
      </c>
      <c r="M91" s="148"/>
    </row>
    <row r="92" spans="1:13" ht="15.75" customHeight="1" x14ac:dyDescent="0.2">
      <c r="A92" s="299" t="s">
        <v>13</v>
      </c>
      <c r="B92" s="234"/>
      <c r="C92" s="234"/>
      <c r="D92" s="27"/>
      <c r="E92" s="44">
        <f>'Fremtind Livsforsikring'!F92+'Storebrand Danica Pensjon'!F92+'DNB Livsforsikring'!F92+'Eika Forsikring AS'!F92+'Frende Livsforsikring'!F92+'Frende Skadeforsikring'!F92+'Gjensidige Forsikring'!F92+'Gjensidige Pensjon'!F92+'Handelsbanken Liv'!F92+'If Skadeforsikring NUF'!F92+KLP!F92+'KLP Skadeforsikring AS'!F92+'Landkreditt Forsikring'!F92+'Nordea Liv '!F92+'Oslo Pensjonsforsikring'!F92+'Protector Forsikring'!F92+'SHB Liv'!F92+'Sparebank 1 Forsikring'!F92+'Storebrand Livsforsikring'!F92+'Telenor Forsikring'!F92+'Tryg Forsikring'!F92+'WaterCircles F'!F92+'Codan Forsikring'!F92+'Euro Accident'!F92+'Ly Forsikring'!F92+'Youplus Livsforsikring'!F92</f>
        <v>13766</v>
      </c>
      <c r="F92" s="44">
        <f>'Fremtind Livsforsikring'!G92+'Storebrand Danica Pensjon'!G92+'DNB Livsforsikring'!G92+'Eika Forsikring AS'!G92+'Frende Livsforsikring'!G92+'Frende Skadeforsikring'!G92+'Gjensidige Forsikring'!G92+'Gjensidige Pensjon'!G92+'Handelsbanken Liv'!G92+'If Skadeforsikring NUF'!G92+KLP!G92+'KLP Skadeforsikring AS'!G92+'Landkreditt Forsikring'!G92+'Nordea Liv '!G92+'Oslo Pensjonsforsikring'!G92+'Protector Forsikring'!G92+'SHB Liv'!G92+'Sparebank 1 Forsikring'!G92+'Storebrand Livsforsikring'!G92+'Telenor Forsikring'!G92+'Tryg Forsikring'!G92+'WaterCircles F'!G92+'Codan Forsikring'!G92+'Euro Accident'!G92+'Ly Forsikring'!G92+'Youplus Livsforsikring'!G92</f>
        <v>13474.166999999999</v>
      </c>
      <c r="G92" s="165">
        <f t="shared" si="25"/>
        <v>-2.1</v>
      </c>
      <c r="H92" s="236">
        <f t="shared" si="34"/>
        <v>13766</v>
      </c>
      <c r="I92" s="236">
        <f t="shared" si="35"/>
        <v>13474.166999999999</v>
      </c>
      <c r="J92" s="23">
        <f t="shared" si="28"/>
        <v>-2.1</v>
      </c>
    </row>
    <row r="93" spans="1:13" ht="15.75" customHeight="1" x14ac:dyDescent="0.2">
      <c r="A93" s="299" t="s">
        <v>442</v>
      </c>
      <c r="B93" s="44">
        <f>'Fremtind Livsforsikring'!B93+'Storebrand Danica Pensjon'!B93+'DNB Livsforsikring'!B93+'Eika Forsikring AS'!B93+'Frende Livsforsikring'!B93+'Frende Skadeforsikring'!B93+'Gjensidige Forsikring'!B93+'Gjensidige Pensjon'!B93+'Handelsbanken Liv'!B93+'If Skadeforsikring NUF'!B93+KLP!B93+'KLP Skadeforsikring AS'!B93+'Landkreditt Forsikring'!B93+'Nordea Liv '!B93+'Oslo Pensjonsforsikring'!B93+'Protector Forsikring'!B93+'SHB Liv'!B93+'Sparebank 1 Forsikring'!B93+'Storebrand Livsforsikring'!B93+'Telenor Forsikring'!B93+'Tryg Forsikring'!B93+'WaterCircles F'!B93+'Codan Forsikring'!B93+'Euro Accident'!B93+'Ly Forsikring'!B93+'Youplus Livsforsikring'!B93</f>
        <v>3168532.6383400001</v>
      </c>
      <c r="C93" s="44">
        <f>'Fremtind Livsforsikring'!C93+'Storebrand Danica Pensjon'!C93+'DNB Livsforsikring'!C93+'Eika Forsikring AS'!C93+'Frende Livsforsikring'!C93+'Frende Skadeforsikring'!C93+'Gjensidige Forsikring'!C93+'Gjensidige Pensjon'!C93+'Handelsbanken Liv'!C93+'If Skadeforsikring NUF'!C93+KLP!C93+'KLP Skadeforsikring AS'!C93+'Landkreditt Forsikring'!C93+'Nordea Liv '!C93+'Oslo Pensjonsforsikring'!C93+'Protector Forsikring'!C93+'SHB Liv'!C93+'Sparebank 1 Forsikring'!C93+'Storebrand Livsforsikring'!C93+'Telenor Forsikring'!C93+'Tryg Forsikring'!C93+'WaterCircles F'!C93+'Codan Forsikring'!C93+'Euro Accident'!C93+'Ly Forsikring'!C93+'Youplus Livsforsikring'!C93</f>
        <v>3310351.1074200002</v>
      </c>
      <c r="D93" s="27">
        <f t="shared" ref="D93" si="36">IF($A$1=4,IF(B93=0, "    ---- ", IF(ABS(ROUND(100/B93*C93-100,1))&lt;999,ROUND(100/B93*C93-100,1),IF(ROUND(100/B93*C93-100,1)&gt;999,999,-999))),"")</f>
        <v>4.5</v>
      </c>
      <c r="E93" s="44">
        <f>'Fremtind Livsforsikring'!F93+'Storebrand Danica Pensjon'!F93+'DNB Livsforsikring'!F93+'Eika Forsikring AS'!F93+'Frende Livsforsikring'!F93+'Frende Skadeforsikring'!F93+'Gjensidige Forsikring'!F93+'Gjensidige Pensjon'!F93+'Handelsbanken Liv'!F93+'If Skadeforsikring NUF'!F93+KLP!F93+'KLP Skadeforsikring AS'!F93+'Landkreditt Forsikring'!F93+'Nordea Liv '!F93+'Oslo Pensjonsforsikring'!F93+'Protector Forsikring'!F93+'SHB Liv'!F93+'Sparebank 1 Forsikring'!F93+'Storebrand Livsforsikring'!F93+'Telenor Forsikring'!F93+'Tryg Forsikring'!F93+'WaterCircles F'!F93+'Codan Forsikring'!F93+'Euro Accident'!F93+'Ly Forsikring'!F93+'Youplus Livsforsikring'!F93</f>
        <v>444919479.03806996</v>
      </c>
      <c r="F93" s="44">
        <f>'Fremtind Livsforsikring'!G93+'Storebrand Danica Pensjon'!G93+'DNB Livsforsikring'!G93+'Eika Forsikring AS'!G93+'Frende Livsforsikring'!G93+'Frende Skadeforsikring'!G93+'Gjensidige Forsikring'!G93+'Gjensidige Pensjon'!G93+'Handelsbanken Liv'!G93+'If Skadeforsikring NUF'!G93+KLP!G93+'KLP Skadeforsikring AS'!G93+'Landkreditt Forsikring'!G93+'Nordea Liv '!G93+'Oslo Pensjonsforsikring'!G93+'Protector Forsikring'!G93+'SHB Liv'!G93+'Sparebank 1 Forsikring'!G93+'Storebrand Livsforsikring'!G93+'Telenor Forsikring'!G93+'Tryg Forsikring'!G93+'WaterCircles F'!G93+'Codan Forsikring'!G93+'Euro Accident'!G93+'Ly Forsikring'!G93+'Youplus Livsforsikring'!G93</f>
        <v>437348832.36189008</v>
      </c>
      <c r="G93" s="165">
        <f t="shared" si="25"/>
        <v>-1.7</v>
      </c>
      <c r="H93" s="236">
        <f t="shared" si="34"/>
        <v>448088011.67640996</v>
      </c>
      <c r="I93" s="236">
        <f t="shared" si="35"/>
        <v>440659183.4693101</v>
      </c>
      <c r="J93" s="23">
        <f t="shared" si="28"/>
        <v>-1.7</v>
      </c>
    </row>
    <row r="94" spans="1:13" ht="15.75" customHeight="1" x14ac:dyDescent="0.2">
      <c r="A94" s="299" t="s">
        <v>12</v>
      </c>
      <c r="B94" s="234"/>
      <c r="C94" s="234"/>
      <c r="D94" s="27"/>
      <c r="E94" s="44">
        <f>'Fremtind Livsforsikring'!F94+'Storebrand Danica Pensjon'!F94+'DNB Livsforsikring'!F94+'Eika Forsikring AS'!F94+'Frende Livsforsikring'!F94+'Frende Skadeforsikring'!F94+'Gjensidige Forsikring'!F94+'Gjensidige Pensjon'!F94+'Handelsbanken Liv'!F94+'If Skadeforsikring NUF'!F94+KLP!F94+'KLP Skadeforsikring AS'!F94+'Landkreditt Forsikring'!F94+'Nordea Liv '!F94+'Oslo Pensjonsforsikring'!F94+'Protector Forsikring'!F94+'SHB Liv'!F94+'Sparebank 1 Forsikring'!F94+'Storebrand Livsforsikring'!F94+'Telenor Forsikring'!F94+'Tryg Forsikring'!F94+'WaterCircles F'!F94+'Codan Forsikring'!F94+'Euro Accident'!F94+'Ly Forsikring'!F94+'Youplus Livsforsikring'!F94</f>
        <v>760718.19099999999</v>
      </c>
      <c r="F94" s="44">
        <f>'Fremtind Livsforsikring'!G94+'Storebrand Danica Pensjon'!G94+'DNB Livsforsikring'!G94+'Eika Forsikring AS'!G94+'Frende Livsforsikring'!G94+'Frende Skadeforsikring'!G94+'Gjensidige Forsikring'!G94+'Gjensidige Pensjon'!G94+'Handelsbanken Liv'!G94+'If Skadeforsikring NUF'!G94+KLP!G94+'KLP Skadeforsikring AS'!G94+'Landkreditt Forsikring'!G94+'Nordea Liv '!G94+'Oslo Pensjonsforsikring'!G94+'Protector Forsikring'!G94+'SHB Liv'!G94+'Sparebank 1 Forsikring'!G94+'Storebrand Livsforsikring'!G94+'Telenor Forsikring'!G94+'Tryg Forsikring'!G94+'WaterCircles F'!G94+'Codan Forsikring'!G94+'Euro Accident'!G94+'Ly Forsikring'!G94+'Youplus Livsforsikring'!G94</f>
        <v>21404.90765862626</v>
      </c>
      <c r="G94" s="165">
        <f t="shared" si="25"/>
        <v>-97.2</v>
      </c>
      <c r="H94" s="236">
        <f t="shared" si="34"/>
        <v>760718.19099999999</v>
      </c>
      <c r="I94" s="236">
        <f t="shared" si="35"/>
        <v>21404.90765862626</v>
      </c>
      <c r="J94" s="23">
        <f t="shared" si="28"/>
        <v>-97.2</v>
      </c>
    </row>
    <row r="95" spans="1:13" ht="15.75" customHeight="1" x14ac:dyDescent="0.2">
      <c r="A95" s="299" t="s">
        <v>13</v>
      </c>
      <c r="B95" s="234"/>
      <c r="C95" s="234"/>
      <c r="D95" s="27"/>
      <c r="E95" s="44">
        <f>'Fremtind Livsforsikring'!F95+'Storebrand Danica Pensjon'!F95+'DNB Livsforsikring'!F95+'Eika Forsikring AS'!F95+'Frende Livsforsikring'!F95+'Frende Skadeforsikring'!F95+'Gjensidige Forsikring'!F95+'Gjensidige Pensjon'!F95+'Handelsbanken Liv'!F95+'If Skadeforsikring NUF'!F95+KLP!F95+'KLP Skadeforsikring AS'!F95+'Landkreditt Forsikring'!F95+'Nordea Liv '!F95+'Oslo Pensjonsforsikring'!F95+'Protector Forsikring'!F95+'SHB Liv'!F95+'Sparebank 1 Forsikring'!F95+'Storebrand Livsforsikring'!F95+'Telenor Forsikring'!F95+'Tryg Forsikring'!F95+'WaterCircles F'!F95+'Codan Forsikring'!F95+'Euro Accident'!F95+'Ly Forsikring'!F95+'Youplus Livsforsikring'!F95</f>
        <v>444158760.84706998</v>
      </c>
      <c r="F95" s="44">
        <f>'Fremtind Livsforsikring'!G95+'Storebrand Danica Pensjon'!G95+'DNB Livsforsikring'!G95+'Eika Forsikring AS'!G95+'Frende Livsforsikring'!G95+'Frende Skadeforsikring'!G95+'Gjensidige Forsikring'!G95+'Gjensidige Pensjon'!G95+'Handelsbanken Liv'!G95+'If Skadeforsikring NUF'!G95+KLP!G95+'KLP Skadeforsikring AS'!G95+'Landkreditt Forsikring'!G95+'Nordea Liv '!G95+'Oslo Pensjonsforsikring'!G95+'Protector Forsikring'!G95+'SHB Liv'!G95+'Sparebank 1 Forsikring'!G95+'Storebrand Livsforsikring'!G95+'Telenor Forsikring'!G95+'Tryg Forsikring'!G95+'WaterCircles F'!G95+'Codan Forsikring'!G95+'Euro Accident'!G95+'Ly Forsikring'!G95+'Youplus Livsforsikring'!G95</f>
        <v>437327427.45423138</v>
      </c>
      <c r="G95" s="165">
        <f t="shared" si="25"/>
        <v>-1.5</v>
      </c>
      <c r="H95" s="236">
        <f t="shared" si="34"/>
        <v>444158760.84706998</v>
      </c>
      <c r="I95" s="236">
        <f t="shared" si="35"/>
        <v>437327427.45423138</v>
      </c>
      <c r="J95" s="23">
        <f t="shared" si="28"/>
        <v>-1.5</v>
      </c>
    </row>
    <row r="96" spans="1:13" ht="15.75" customHeight="1" x14ac:dyDescent="0.2">
      <c r="A96" s="21" t="s">
        <v>335</v>
      </c>
      <c r="B96" s="233">
        <f>'Fremtind Livsforsikring'!B96+'Storebrand Danica Pensjon'!B96+'DNB Livsforsikring'!B96+'Eika Forsikring AS'!B96+'Frende Livsforsikring'!B96+'Frende Skadeforsikring'!B96+'Gjensidige Forsikring'!B96+'Gjensidige Pensjon'!B96+'Handelsbanken Liv'!B96+'If Skadeforsikring NUF'!B96+KLP!B96+'KLP Skadeforsikring AS'!B96+'Landkreditt Forsikring'!B96+'Nordea Liv '!B96+'Oslo Pensjonsforsikring'!B96+'Protector Forsikring'!B96+'SHB Liv'!B96+'Sparebank 1 Forsikring'!B96+'Storebrand Livsforsikring'!B96+'Telenor Forsikring'!B96+'Tryg Forsikring'!B96+'WaterCircles F'!B96+'Codan Forsikring'!B96+'Euro Accident'!B96+'Ly Forsikring'!B96+'Youplus Livsforsikring'!B96</f>
        <v>2858183.9760099999</v>
      </c>
      <c r="C96" s="233">
        <f>'Fremtind Livsforsikring'!C96+'Storebrand Danica Pensjon'!C96+'DNB Livsforsikring'!C96+'Eika Forsikring AS'!C96+'Frende Livsforsikring'!C96+'Frende Skadeforsikring'!C96+'Gjensidige Forsikring'!C96+'Gjensidige Pensjon'!C96+'Handelsbanken Liv'!C96+'If Skadeforsikring NUF'!C96+KLP!C96+'KLP Skadeforsikring AS'!C96+'Landkreditt Forsikring'!C96+'Nordea Liv '!C96+'Oslo Pensjonsforsikring'!C96+'Protector Forsikring'!C96+'SHB Liv'!C96+'Sparebank 1 Forsikring'!C96+'Storebrand Livsforsikring'!C96+'Telenor Forsikring'!C96+'Tryg Forsikring'!C96+'WaterCircles F'!C96+'Codan Forsikring'!C96+'Euro Accident'!C96+'Ly Forsikring'!C96+'Youplus Livsforsikring'!C96</f>
        <v>3767857.6658300003</v>
      </c>
      <c r="D96" s="23">
        <f t="shared" si="24"/>
        <v>31.8</v>
      </c>
      <c r="E96" s="44">
        <f>'Fremtind Livsforsikring'!F96+'Storebrand Danica Pensjon'!F96+'DNB Livsforsikring'!F96+'Eika Forsikring AS'!F96+'Frende Livsforsikring'!F96+'Frende Skadeforsikring'!F96+'Gjensidige Forsikring'!F96+'Gjensidige Pensjon'!F96+'Handelsbanken Liv'!F96+'If Skadeforsikring NUF'!F96+KLP!F96+'KLP Skadeforsikring AS'!F96+'Landkreditt Forsikring'!F96+'Nordea Liv '!F96+'Oslo Pensjonsforsikring'!F96+'Protector Forsikring'!F96+'SHB Liv'!F96+'Sparebank 1 Forsikring'!F96+'Storebrand Livsforsikring'!F96+'Telenor Forsikring'!F96+'Tryg Forsikring'!F96+'WaterCircles F'!F96+'Codan Forsikring'!F96+'Euro Accident'!F96+'Ly Forsikring'!F96+'Youplus Livsforsikring'!F96</f>
        <v>4847690.53302</v>
      </c>
      <c r="F96" s="44">
        <f>'Fremtind Livsforsikring'!G96+'Storebrand Danica Pensjon'!G96+'DNB Livsforsikring'!G96+'Eika Forsikring AS'!G96+'Frende Livsforsikring'!G96+'Frende Skadeforsikring'!G96+'Gjensidige Forsikring'!G96+'Gjensidige Pensjon'!G96+'Handelsbanken Liv'!G96+'If Skadeforsikring NUF'!G96+KLP!G96+'KLP Skadeforsikring AS'!G96+'Landkreditt Forsikring'!G96+'Nordea Liv '!G96+'Oslo Pensjonsforsikring'!G96+'Protector Forsikring'!G96+'SHB Liv'!G96+'Sparebank 1 Forsikring'!G96+'Storebrand Livsforsikring'!G96+'Telenor Forsikring'!G96+'Tryg Forsikring'!G96+'WaterCircles F'!G96+'Codan Forsikring'!G96+'Euro Accident'!G96+'Ly Forsikring'!G96+'Youplus Livsforsikring'!G96</f>
        <v>5480313.6274699997</v>
      </c>
      <c r="G96" s="165">
        <f t="shared" si="25"/>
        <v>13</v>
      </c>
      <c r="H96" s="236">
        <f t="shared" si="34"/>
        <v>7705874.5090299994</v>
      </c>
      <c r="I96" s="236">
        <f t="shared" si="35"/>
        <v>9248171.2932999991</v>
      </c>
      <c r="J96" s="23">
        <f t="shared" si="28"/>
        <v>20</v>
      </c>
    </row>
    <row r="97" spans="1:12" ht="15.75" customHeight="1" x14ac:dyDescent="0.2">
      <c r="A97" s="21" t="s">
        <v>334</v>
      </c>
      <c r="B97" s="233">
        <f>'Fremtind Livsforsikring'!B97+'Storebrand Danica Pensjon'!B97+'DNB Livsforsikring'!B97+'Eika Forsikring AS'!B97+'Frende Livsforsikring'!B97+'Frende Skadeforsikring'!B97+'Gjensidige Forsikring'!B97+'Gjensidige Pensjon'!B97+'Handelsbanken Liv'!B97+'If Skadeforsikring NUF'!B97+KLP!B97+'KLP Skadeforsikring AS'!B97+'Landkreditt Forsikring'!B97+'Nordea Liv '!B97+'Oslo Pensjonsforsikring'!B97+'Protector Forsikring'!B97+'SHB Liv'!B97+'Sparebank 1 Forsikring'!B97+'Storebrand Livsforsikring'!B97+'Telenor Forsikring'!B97+'Tryg Forsikring'!B97+'WaterCircles F'!B97+'Codan Forsikring'!B97+'Euro Accident'!B97+'Ly Forsikring'!B97+'Youplus Livsforsikring'!B97</f>
        <v>7878601.6739500007</v>
      </c>
      <c r="C97" s="233">
        <f>'Fremtind Livsforsikring'!C97+'Storebrand Danica Pensjon'!C97+'DNB Livsforsikring'!C97+'Eika Forsikring AS'!C97+'Frende Livsforsikring'!C97+'Frende Skadeforsikring'!C97+'Gjensidige Forsikring'!C97+'Gjensidige Pensjon'!C97+'Handelsbanken Liv'!C97+'If Skadeforsikring NUF'!C97+KLP!C97+'KLP Skadeforsikring AS'!C97+'Landkreditt Forsikring'!C97+'Nordea Liv '!C97+'Oslo Pensjonsforsikring'!C97+'Protector Forsikring'!C97+'SHB Liv'!C97+'Sparebank 1 Forsikring'!C97+'Storebrand Livsforsikring'!C97+'Telenor Forsikring'!C97+'Tryg Forsikring'!C97+'WaterCircles F'!C97+'Codan Forsikring'!C97+'Euro Accident'!C97+'Ly Forsikring'!C97+'Youplus Livsforsikring'!C97</f>
        <v>8565815.97848</v>
      </c>
      <c r="D97" s="23">
        <f t="shared" ref="D97" si="37">IF(B97=0, "    ---- ", IF(ABS(ROUND(100/B97*C97-100,1))&lt;999,ROUND(100/B97*C97-100,1),IF(ROUND(100/B97*C97-100,1)&gt;999,999,-999)))</f>
        <v>8.6999999999999993</v>
      </c>
      <c r="E97" s="44"/>
      <c r="F97" s="44"/>
      <c r="G97" s="165"/>
      <c r="H97" s="236">
        <f t="shared" ref="H97" si="38">SUM(B97,E97)</f>
        <v>7878601.6739500007</v>
      </c>
      <c r="I97" s="236">
        <f t="shared" ref="I97" si="39">SUM(C97,F97)</f>
        <v>8565815.97848</v>
      </c>
      <c r="J97" s="23">
        <f t="shared" ref="J97" si="40">IF(H97=0, "    ---- ", IF(ABS(ROUND(100/H97*I97-100,1))&lt;999,ROUND(100/H97*I97-100,1),IF(ROUND(100/H97*I97-100,1)&gt;999,999,-999)))</f>
        <v>8.6999999999999993</v>
      </c>
    </row>
    <row r="98" spans="1:12" ht="15.75" customHeight="1" x14ac:dyDescent="0.2">
      <c r="A98" s="21" t="s">
        <v>443</v>
      </c>
      <c r="B98" s="233">
        <f>'Fremtind Livsforsikring'!B98+'Storebrand Danica Pensjon'!B98+'DNB Livsforsikring'!B98+'Eika Forsikring AS'!B98+'Frende Livsforsikring'!B98+'Frende Skadeforsikring'!B98+'Gjensidige Forsikring'!B98+'Gjensidige Pensjon'!B98+'Handelsbanken Liv'!B98+'If Skadeforsikring NUF'!B98+KLP!B98+'KLP Skadeforsikring AS'!B98+'Landkreditt Forsikring'!B98+'Nordea Liv '!B98+'Oslo Pensjonsforsikring'!B98+'Protector Forsikring'!B98+'SHB Liv'!B98+'Sparebank 1 Forsikring'!B98+'Storebrand Livsforsikring'!B98+'Telenor Forsikring'!B98+'Tryg Forsikring'!B98+'WaterCircles F'!B98+'Codan Forsikring'!B98+'Euro Accident'!B98+'Ly Forsikring'!B98+'Youplus Livsforsikring'!B98</f>
        <v>389184367.90952003</v>
      </c>
      <c r="C98" s="233">
        <f>'Fremtind Livsforsikring'!C98+'Storebrand Danica Pensjon'!C98+'DNB Livsforsikring'!C98+'Eika Forsikring AS'!C98+'Frende Livsforsikring'!C98+'Frende Skadeforsikring'!C98+'Gjensidige Forsikring'!C98+'Gjensidige Pensjon'!C98+'Handelsbanken Liv'!C98+'If Skadeforsikring NUF'!C98+KLP!C98+'KLP Skadeforsikring AS'!C98+'Landkreditt Forsikring'!C98+'Nordea Liv '!C98+'Oslo Pensjonsforsikring'!C98+'Protector Forsikring'!C98+'SHB Liv'!C98+'Sparebank 1 Forsikring'!C98+'Storebrand Livsforsikring'!C98+'Telenor Forsikring'!C98+'Tryg Forsikring'!C98+'WaterCircles F'!C98+'Codan Forsikring'!C98+'Euro Accident'!C98+'Ly Forsikring'!C98+'Youplus Livsforsikring'!C98</f>
        <v>381513070.31457961</v>
      </c>
      <c r="D98" s="23">
        <f t="shared" si="24"/>
        <v>-2</v>
      </c>
      <c r="E98" s="44">
        <f>'Fremtind Livsforsikring'!F98+'Storebrand Danica Pensjon'!F98+'DNB Livsforsikring'!F98+'Eika Forsikring AS'!F98+'Frende Livsforsikring'!F98+'Frende Skadeforsikring'!F98+'Gjensidige Forsikring'!F98+'Gjensidige Pensjon'!F98+'Handelsbanken Liv'!F98+'If Skadeforsikring NUF'!F98+KLP!F98+'KLP Skadeforsikring AS'!F98+'Landkreditt Forsikring'!F98+'Nordea Liv '!F98+'Oslo Pensjonsforsikring'!F98+'Protector Forsikring'!F98+'SHB Liv'!F98+'Sparebank 1 Forsikring'!F98+'Storebrand Livsforsikring'!F98+'Telenor Forsikring'!F98+'Tryg Forsikring'!F98+'WaterCircles F'!F98+'Codan Forsikring'!F98+'Euro Accident'!F98+'Ly Forsikring'!F98+'Youplus Livsforsikring'!F98</f>
        <v>444072896.72666001</v>
      </c>
      <c r="F98" s="44">
        <f>'Fremtind Livsforsikring'!G98+'Storebrand Danica Pensjon'!G98+'DNB Livsforsikring'!G98+'Eika Forsikring AS'!G98+'Frende Livsforsikring'!G98+'Frende Skadeforsikring'!G98+'Gjensidige Forsikring'!G98+'Gjensidige Pensjon'!G98+'Handelsbanken Liv'!G98+'If Skadeforsikring NUF'!G98+KLP!G98+'KLP Skadeforsikring AS'!G98+'Landkreditt Forsikring'!G98+'Nordea Liv '!G98+'Oslo Pensjonsforsikring'!G98+'Protector Forsikring'!G98+'SHB Liv'!G98+'Sparebank 1 Forsikring'!G98+'Storebrand Livsforsikring'!G98+'Telenor Forsikring'!G98+'Tryg Forsikring'!G98+'WaterCircles F'!G98+'Codan Forsikring'!G98+'Euro Accident'!G98+'Ly Forsikring'!G98+'Youplus Livsforsikring'!G98</f>
        <v>437244951.36189008</v>
      </c>
      <c r="G98" s="165">
        <f t="shared" si="25"/>
        <v>-1.5</v>
      </c>
      <c r="H98" s="236">
        <f t="shared" si="34"/>
        <v>833257264.63618004</v>
      </c>
      <c r="I98" s="236">
        <f t="shared" si="35"/>
        <v>818758021.67646968</v>
      </c>
      <c r="J98" s="23">
        <f t="shared" si="28"/>
        <v>-1.7</v>
      </c>
    </row>
    <row r="99" spans="1:12" ht="15.75" customHeight="1" x14ac:dyDescent="0.2">
      <c r="A99" s="21" t="s">
        <v>9</v>
      </c>
      <c r="B99" s="233">
        <f>'Fremtind Livsforsikring'!B99+'Storebrand Danica Pensjon'!B99+'DNB Livsforsikring'!B99+'Eika Forsikring AS'!B99+'Frende Livsforsikring'!B99+'Frende Skadeforsikring'!B99+'Gjensidige Forsikring'!B99+'Gjensidige Pensjon'!B99+'Handelsbanken Liv'!B99+'If Skadeforsikring NUF'!B99+KLP!B99+'KLP Skadeforsikring AS'!B99+'Landkreditt Forsikring'!B99+'Nordea Liv '!B99+'Oslo Pensjonsforsikring'!B99+'Protector Forsikring'!B99+'SHB Liv'!B99+'Sparebank 1 Forsikring'!B99+'Storebrand Livsforsikring'!B99+'Telenor Forsikring'!B99+'Tryg Forsikring'!B99+'WaterCircles F'!B99+'Codan Forsikring'!B99+'Euro Accident'!B99+'Ly Forsikring'!B99+'Youplus Livsforsikring'!B99</f>
        <v>386015835.27118003</v>
      </c>
      <c r="C99" s="233">
        <f>'Fremtind Livsforsikring'!C99+'Storebrand Danica Pensjon'!C99+'DNB Livsforsikring'!C99+'Eika Forsikring AS'!C99+'Frende Livsforsikring'!C99+'Frende Skadeforsikring'!C99+'Gjensidige Forsikring'!C99+'Gjensidige Pensjon'!C99+'Handelsbanken Liv'!C99+'If Skadeforsikring NUF'!C99+KLP!C99+'KLP Skadeforsikring AS'!C99+'Landkreditt Forsikring'!C99+'Nordea Liv '!C99+'Oslo Pensjonsforsikring'!C99+'Protector Forsikring'!C99+'SHB Liv'!C99+'Sparebank 1 Forsikring'!C99+'Storebrand Livsforsikring'!C99+'Telenor Forsikring'!C99+'Tryg Forsikring'!C99+'WaterCircles F'!C99+'Codan Forsikring'!C99+'Euro Accident'!C99+'Ly Forsikring'!C99+'Youplus Livsforsikring'!C99</f>
        <v>378202719.58891964</v>
      </c>
      <c r="D99" s="23">
        <f t="shared" si="24"/>
        <v>-2</v>
      </c>
      <c r="E99" s="44"/>
      <c r="F99" s="44"/>
      <c r="G99" s="165"/>
      <c r="H99" s="236">
        <f t="shared" si="34"/>
        <v>386015835.27118003</v>
      </c>
      <c r="I99" s="236">
        <f t="shared" si="35"/>
        <v>378202719.58891964</v>
      </c>
      <c r="J99" s="23">
        <f t="shared" si="28"/>
        <v>-2</v>
      </c>
    </row>
    <row r="100" spans="1:12" ht="15.75" customHeight="1" x14ac:dyDescent="0.2">
      <c r="A100" s="38" t="s">
        <v>473</v>
      </c>
      <c r="B100" s="233">
        <f>'Fremtind Livsforsikring'!B100+'Storebrand Danica Pensjon'!B100+'DNB Livsforsikring'!B100+'Eika Forsikring AS'!B100+'Frende Livsforsikring'!B100+'Frende Skadeforsikring'!B100+'Gjensidige Forsikring'!B100+'Gjensidige Pensjon'!B100+'Handelsbanken Liv'!B100+'If Skadeforsikring NUF'!B100+KLP!B100+'KLP Skadeforsikring AS'!B100+'Landkreditt Forsikring'!B100+'Nordea Liv '!B100+'Oslo Pensjonsforsikring'!B100+'Protector Forsikring'!B100+'SHB Liv'!B100+'Sparebank 1 Forsikring'!B100+'Storebrand Livsforsikring'!B100+'Telenor Forsikring'!B100+'Tryg Forsikring'!B100+'WaterCircles F'!B100+'Codan Forsikring'!B100+'Euro Accident'!B100+'Ly Forsikring'!B100+'Youplus Livsforsikring'!B100</f>
        <v>3168532.6383400001</v>
      </c>
      <c r="C100" s="233">
        <f>'Fremtind Livsforsikring'!C100+'Storebrand Danica Pensjon'!C100+'DNB Livsforsikring'!C100+'Eika Forsikring AS'!C100+'Frende Livsforsikring'!C100+'Frende Skadeforsikring'!C100+'Gjensidige Forsikring'!C100+'Gjensidige Pensjon'!C100+'Handelsbanken Liv'!C100+'If Skadeforsikring NUF'!C100+KLP!C100+'KLP Skadeforsikring AS'!C100+'Landkreditt Forsikring'!C100+'Nordea Liv '!C100+'Oslo Pensjonsforsikring'!C100+'Protector Forsikring'!C100+'SHB Liv'!C100+'Sparebank 1 Forsikring'!C100+'Storebrand Livsforsikring'!C100+'Telenor Forsikring'!C100+'Tryg Forsikring'!C100+'WaterCircles F'!C100+'Codan Forsikring'!C100+'Euro Accident'!C100+'Ly Forsikring'!C100+'Youplus Livsforsikring'!C100</f>
        <v>3310350.72566</v>
      </c>
      <c r="D100" s="23">
        <f t="shared" si="24"/>
        <v>4.5</v>
      </c>
      <c r="E100" s="44">
        <f>'Fremtind Livsforsikring'!F100+'Storebrand Danica Pensjon'!F100+'DNB Livsforsikring'!F100+'Eika Forsikring AS'!F100+'Frende Livsforsikring'!F100+'Frende Skadeforsikring'!F100+'Gjensidige Forsikring'!F100+'Gjensidige Pensjon'!F100+'Handelsbanken Liv'!F100+'If Skadeforsikring NUF'!F100+KLP!F100+'KLP Skadeforsikring AS'!F100+'Landkreditt Forsikring'!F100+'Nordea Liv '!F100+'Oslo Pensjonsforsikring'!F100+'Protector Forsikring'!F100+'SHB Liv'!F100+'Sparebank 1 Forsikring'!F100+'Storebrand Livsforsikring'!F100+'Telenor Forsikring'!F100+'Tryg Forsikring'!F100+'WaterCircles F'!F100+'Codan Forsikring'!F100+'Euro Accident'!F100+'Ly Forsikring'!F100+'Youplus Livsforsikring'!F100</f>
        <v>444072896.72666001</v>
      </c>
      <c r="F100" s="44">
        <f>'Fremtind Livsforsikring'!G100+'Storebrand Danica Pensjon'!G100+'DNB Livsforsikring'!G100+'Eika Forsikring AS'!G100+'Frende Livsforsikring'!G100+'Frende Skadeforsikring'!G100+'Gjensidige Forsikring'!G100+'Gjensidige Pensjon'!G100+'Handelsbanken Liv'!G100+'If Skadeforsikring NUF'!G100+KLP!G100+'KLP Skadeforsikring AS'!G100+'Landkreditt Forsikring'!G100+'Nordea Liv '!G100+'Oslo Pensjonsforsikring'!G100+'Protector Forsikring'!G100+'SHB Liv'!G100+'Sparebank 1 Forsikring'!G100+'Storebrand Livsforsikring'!G100+'Telenor Forsikring'!G100+'Tryg Forsikring'!G100+'WaterCircles F'!G100+'Codan Forsikring'!G100+'Euro Accident'!G100+'Ly Forsikring'!G100+'Youplus Livsforsikring'!G100</f>
        <v>437244951.36189008</v>
      </c>
      <c r="G100" s="165">
        <f t="shared" si="25"/>
        <v>-1.5</v>
      </c>
      <c r="H100" s="236">
        <f t="shared" si="34"/>
        <v>447241429.36500001</v>
      </c>
      <c r="I100" s="236">
        <f t="shared" si="35"/>
        <v>440555302.0875501</v>
      </c>
      <c r="J100" s="23">
        <f t="shared" si="28"/>
        <v>-1.5</v>
      </c>
    </row>
    <row r="101" spans="1:12" ht="15.75" customHeight="1" x14ac:dyDescent="0.2">
      <c r="A101" s="299" t="s">
        <v>441</v>
      </c>
      <c r="B101" s="44"/>
      <c r="C101" s="44"/>
      <c r="D101" s="27"/>
      <c r="E101" s="44"/>
      <c r="F101" s="44"/>
      <c r="G101" s="165"/>
      <c r="H101" s="236"/>
      <c r="I101" s="236"/>
      <c r="J101" s="23"/>
    </row>
    <row r="102" spans="1:12" ht="15.75" customHeight="1" x14ac:dyDescent="0.2">
      <c r="A102" s="299" t="s">
        <v>12</v>
      </c>
      <c r="B102" s="234"/>
      <c r="C102" s="234"/>
      <c r="D102" s="27"/>
      <c r="E102" s="44"/>
      <c r="F102" s="44"/>
      <c r="G102" s="165"/>
      <c r="H102" s="236"/>
      <c r="I102" s="236"/>
      <c r="J102" s="23"/>
    </row>
    <row r="103" spans="1:12" ht="15.75" customHeight="1" x14ac:dyDescent="0.2">
      <c r="A103" s="299" t="s">
        <v>13</v>
      </c>
      <c r="B103" s="234"/>
      <c r="C103" s="234"/>
      <c r="D103" s="27"/>
      <c r="E103" s="44"/>
      <c r="F103" s="44"/>
      <c r="G103" s="165"/>
      <c r="H103" s="236"/>
      <c r="I103" s="236"/>
      <c r="J103" s="23"/>
    </row>
    <row r="104" spans="1:12" ht="15.75" customHeight="1" x14ac:dyDescent="0.2">
      <c r="A104" s="299" t="s">
        <v>442</v>
      </c>
      <c r="B104" s="44">
        <f>'Fremtind Livsforsikring'!B104+'Storebrand Danica Pensjon'!B104+'DNB Livsforsikring'!B104+'Eika Forsikring AS'!B104+'Frende Livsforsikring'!B104+'Frende Skadeforsikring'!B104+'Gjensidige Forsikring'!B104+'Gjensidige Pensjon'!B104+'Handelsbanken Liv'!B104+'If Skadeforsikring NUF'!B104+KLP!B104+'KLP Skadeforsikring AS'!B104+'Landkreditt Forsikring'!B104+'Nordea Liv '!B104+'Oslo Pensjonsforsikring'!B104+'Protector Forsikring'!B104+'SHB Liv'!B104+'Sparebank 1 Forsikring'!B104+'Storebrand Livsforsikring'!B104+'Telenor Forsikring'!B104+'Tryg Forsikring'!B104+'WaterCircles F'!B104+'Codan Forsikring'!B104+'Euro Accident'!B104+'Ly Forsikring'!B104+'Youplus Livsforsikring'!B104</f>
        <v>3168532.6383400001</v>
      </c>
      <c r="C104" s="44">
        <f>'Fremtind Livsforsikring'!C104+'Storebrand Danica Pensjon'!C104+'DNB Livsforsikring'!C104+'Eika Forsikring AS'!C104+'Frende Livsforsikring'!C104+'Frende Skadeforsikring'!C104+'Gjensidige Forsikring'!C104+'Gjensidige Pensjon'!C104+'Handelsbanken Liv'!C104+'If Skadeforsikring NUF'!C104+KLP!C104+'KLP Skadeforsikring AS'!C104+'Landkreditt Forsikring'!C104+'Nordea Liv '!C104+'Oslo Pensjonsforsikring'!C104+'Protector Forsikring'!C104+'SHB Liv'!C104+'Sparebank 1 Forsikring'!C104+'Storebrand Livsforsikring'!C104+'Telenor Forsikring'!C104+'Tryg Forsikring'!C104+'WaterCircles F'!C104+'Codan Forsikring'!C104+'Euro Accident'!C104+'Ly Forsikring'!C104+'Youplus Livsforsikring'!C104</f>
        <v>3310350.72566</v>
      </c>
      <c r="D104" s="27">
        <f t="shared" ref="D104" si="41">IF($A$1=4,IF(B104=0, "    ---- ", IF(ABS(ROUND(100/B104*C104-100,1))&lt;999,ROUND(100/B104*C104-100,1),IF(ROUND(100/B104*C104-100,1)&gt;999,999,-999))),"")</f>
        <v>4.5</v>
      </c>
      <c r="E104" s="44">
        <f>'Fremtind Livsforsikring'!F104+'Storebrand Danica Pensjon'!F104+'DNB Livsforsikring'!F104+'Eika Forsikring AS'!F104+'Frende Livsforsikring'!F104+'Frende Skadeforsikring'!F104+'Gjensidige Forsikring'!F104+'Gjensidige Pensjon'!F104+'Handelsbanken Liv'!F104+'If Skadeforsikring NUF'!F104+KLP!F104+'KLP Skadeforsikring AS'!F104+'Landkreditt Forsikring'!F104+'Nordea Liv '!F104+'Oslo Pensjonsforsikring'!F104+'Protector Forsikring'!F104+'SHB Liv'!F104+'Sparebank 1 Forsikring'!F104+'Storebrand Livsforsikring'!F104+'Telenor Forsikring'!F104+'Tryg Forsikring'!F104+'WaterCircles F'!F104+'Codan Forsikring'!F104+'Euro Accident'!F104+'Ly Forsikring'!F104+'Youplus Livsforsikring'!F104</f>
        <v>444072896.72666001</v>
      </c>
      <c r="F104" s="44">
        <f>'Fremtind Livsforsikring'!G104+'Storebrand Danica Pensjon'!G104+'DNB Livsforsikring'!G104+'Eika Forsikring AS'!G104+'Frende Livsforsikring'!G104+'Frende Skadeforsikring'!G104+'Gjensidige Forsikring'!G104+'Gjensidige Pensjon'!G104+'Handelsbanken Liv'!G104+'If Skadeforsikring NUF'!G104+KLP!G104+'KLP Skadeforsikring AS'!G104+'Landkreditt Forsikring'!G104+'Nordea Liv '!G104+'Oslo Pensjonsforsikring'!G104+'Protector Forsikring'!G104+'SHB Liv'!G104+'Sparebank 1 Forsikring'!G104+'Storebrand Livsforsikring'!G104+'Telenor Forsikring'!G104+'Tryg Forsikring'!G104+'WaterCircles F'!G104+'Codan Forsikring'!G104+'Euro Accident'!G104+'Ly Forsikring'!G104+'Youplus Livsforsikring'!G104</f>
        <v>437244951.36189008</v>
      </c>
      <c r="G104" s="165">
        <f t="shared" si="25"/>
        <v>-1.5</v>
      </c>
      <c r="H104" s="236">
        <f t="shared" si="34"/>
        <v>447241429.36500001</v>
      </c>
      <c r="I104" s="236">
        <f t="shared" si="35"/>
        <v>440555302.0875501</v>
      </c>
      <c r="J104" s="23">
        <f t="shared" si="28"/>
        <v>-1.5</v>
      </c>
    </row>
    <row r="105" spans="1:12" ht="15.75" customHeight="1" x14ac:dyDescent="0.2">
      <c r="A105" s="299" t="s">
        <v>12</v>
      </c>
      <c r="B105" s="234"/>
      <c r="C105" s="234"/>
      <c r="D105" s="27"/>
      <c r="E105" s="44">
        <f>'Fremtind Livsforsikring'!F105+'Storebrand Danica Pensjon'!F105+'DNB Livsforsikring'!F105+'Eika Forsikring AS'!F105+'Frende Livsforsikring'!F105+'Frende Skadeforsikring'!F105+'Gjensidige Forsikring'!F105+'Gjensidige Pensjon'!F105+'Handelsbanken Liv'!F105+'If Skadeforsikring NUF'!F105+KLP!F105+'KLP Skadeforsikring AS'!F105+'Landkreditt Forsikring'!F105+'Nordea Liv '!F105+'Oslo Pensjonsforsikring'!F105+'Protector Forsikring'!F105+'SHB Liv'!F105+'Sparebank 1 Forsikring'!F105+'Storebrand Livsforsikring'!F105+'Telenor Forsikring'!F105+'Tryg Forsikring'!F105+'WaterCircles F'!F105+'Codan Forsikring'!F105+'Euro Accident'!F105+'Ly Forsikring'!F105+'Youplus Livsforsikring'!F105</f>
        <v>92.27</v>
      </c>
      <c r="F105" s="44">
        <f>'Fremtind Livsforsikring'!G105+'Storebrand Danica Pensjon'!G105+'DNB Livsforsikring'!G105+'Eika Forsikring AS'!G105+'Frende Livsforsikring'!G105+'Frende Skadeforsikring'!G105+'Gjensidige Forsikring'!G105+'Gjensidige Pensjon'!G105+'Handelsbanken Liv'!G105+'If Skadeforsikring NUF'!G105+KLP!G105+'KLP Skadeforsikring AS'!G105+'Landkreditt Forsikring'!G105+'Nordea Liv '!G105+'Oslo Pensjonsforsikring'!G105+'Protector Forsikring'!G105+'SHB Liv'!G105+'Sparebank 1 Forsikring'!G105+'Storebrand Livsforsikring'!G105+'Telenor Forsikring'!G105+'Tryg Forsikring'!G105+'WaterCircles F'!G105+'Codan Forsikring'!G105+'Euro Accident'!G105+'Ly Forsikring'!G105+'Youplus Livsforsikring'!G105</f>
        <v>107.907658626261</v>
      </c>
      <c r="G105" s="165">
        <f t="shared" si="25"/>
        <v>16.899999999999999</v>
      </c>
      <c r="H105" s="236">
        <f t="shared" si="34"/>
        <v>92.27</v>
      </c>
      <c r="I105" s="236">
        <f t="shared" si="35"/>
        <v>107.907658626261</v>
      </c>
      <c r="J105" s="23">
        <f t="shared" si="28"/>
        <v>16.899999999999999</v>
      </c>
    </row>
    <row r="106" spans="1:12" ht="15.75" customHeight="1" x14ac:dyDescent="0.2">
      <c r="A106" s="299" t="s">
        <v>13</v>
      </c>
      <c r="B106" s="234"/>
      <c r="C106" s="234"/>
      <c r="D106" s="27"/>
      <c r="E106" s="44">
        <f>'Fremtind Livsforsikring'!F106+'Storebrand Danica Pensjon'!F106+'DNB Livsforsikring'!F106+'Eika Forsikring AS'!F106+'Frende Livsforsikring'!F106+'Frende Skadeforsikring'!F106+'Gjensidige Forsikring'!F106+'Gjensidige Pensjon'!F106+'Handelsbanken Liv'!F106+'If Skadeforsikring NUF'!F106+KLP!F106+'KLP Skadeforsikring AS'!F106+'Landkreditt Forsikring'!F106+'Nordea Liv '!F106+'Oslo Pensjonsforsikring'!F106+'Protector Forsikring'!F106+'SHB Liv'!F106+'Sparebank 1 Forsikring'!F106+'Storebrand Livsforsikring'!F106+'Telenor Forsikring'!F106+'Tryg Forsikring'!F106+'WaterCircles F'!F106+'Codan Forsikring'!F106+'Euro Accident'!F106+'Ly Forsikring'!F106+'Youplus Livsforsikring'!F106</f>
        <v>444072804.45666003</v>
      </c>
      <c r="F106" s="44">
        <f>'Fremtind Livsforsikring'!G106+'Storebrand Danica Pensjon'!G106+'DNB Livsforsikring'!G106+'Eika Forsikring AS'!G106+'Frende Livsforsikring'!G106+'Frende Skadeforsikring'!G106+'Gjensidige Forsikring'!G106+'Gjensidige Pensjon'!G106+'Handelsbanken Liv'!G106+'If Skadeforsikring NUF'!G106+KLP!G106+'KLP Skadeforsikring AS'!G106+'Landkreditt Forsikring'!G106+'Nordea Liv '!G106+'Oslo Pensjonsforsikring'!G106+'Protector Forsikring'!G106+'SHB Liv'!G106+'Sparebank 1 Forsikring'!G106+'Storebrand Livsforsikring'!G106+'Telenor Forsikring'!G106+'Tryg Forsikring'!G106+'WaterCircles F'!G106+'Codan Forsikring'!G106+'Euro Accident'!G106+'Ly Forsikring'!G106+'Youplus Livsforsikring'!G106</f>
        <v>437244843.45423138</v>
      </c>
      <c r="G106" s="165">
        <f t="shared" si="25"/>
        <v>-1.5</v>
      </c>
      <c r="H106" s="236">
        <f t="shared" si="34"/>
        <v>444072804.45666003</v>
      </c>
      <c r="I106" s="236">
        <f t="shared" si="35"/>
        <v>437244843.45423138</v>
      </c>
      <c r="J106" s="23">
        <f t="shared" si="28"/>
        <v>-1.5</v>
      </c>
    </row>
    <row r="107" spans="1:12" ht="15.75" customHeight="1" x14ac:dyDescent="0.2">
      <c r="A107" s="21" t="s">
        <v>444</v>
      </c>
      <c r="B107" s="233">
        <f>'Fremtind Livsforsikring'!B107+'Storebrand Danica Pensjon'!B107+'DNB Livsforsikring'!B107+'Eika Forsikring AS'!B107+'Frende Livsforsikring'!B107+'Frende Skadeforsikring'!B107+'Gjensidige Forsikring'!B107+'Gjensidige Pensjon'!B107+'Handelsbanken Liv'!B107+'If Skadeforsikring NUF'!B107+KLP!B107+'KLP Skadeforsikring AS'!B107+'Landkreditt Forsikring'!B107+'Nordea Liv '!B107+'Oslo Pensjonsforsikring'!B107+'Protector Forsikring'!B107+'SHB Liv'!B107+'Sparebank 1 Forsikring'!B107+'Storebrand Livsforsikring'!B107+'Telenor Forsikring'!B107+'Tryg Forsikring'!B107+'WaterCircles F'!B107+'Codan Forsikring'!B107+'Euro Accident'!B107+'Ly Forsikring'!B107+'Youplus Livsforsikring'!B107</f>
        <v>4516336.5240000002</v>
      </c>
      <c r="C107" s="233">
        <f>'Fremtind Livsforsikring'!C107+'Storebrand Danica Pensjon'!C107+'DNB Livsforsikring'!C107+'Eika Forsikring AS'!C107+'Frende Livsforsikring'!C107+'Frende Skadeforsikring'!C107+'Gjensidige Forsikring'!C107+'Gjensidige Pensjon'!C107+'Handelsbanken Liv'!C107+'If Skadeforsikring NUF'!C107+KLP!C107+'KLP Skadeforsikring AS'!C107+'Landkreditt Forsikring'!C107+'Nordea Liv '!C107+'Oslo Pensjonsforsikring'!C107+'Protector Forsikring'!C107+'SHB Liv'!C107+'Sparebank 1 Forsikring'!C107+'Storebrand Livsforsikring'!C107+'Telenor Forsikring'!C107+'Tryg Forsikring'!C107+'WaterCircles F'!C107+'Codan Forsikring'!C107+'Euro Accident'!C107+'Ly Forsikring'!C107+'Youplus Livsforsikring'!C107</f>
        <v>4444172.8260000004</v>
      </c>
      <c r="D107" s="23">
        <f t="shared" si="24"/>
        <v>-1.6</v>
      </c>
      <c r="E107" s="44">
        <f>'Fremtind Livsforsikring'!F107+'Storebrand Danica Pensjon'!F107+'DNB Livsforsikring'!F107+'Eika Forsikring AS'!F107+'Frende Livsforsikring'!F107+'Frende Skadeforsikring'!F107+'Gjensidige Forsikring'!F107+'Gjensidige Pensjon'!F107+'Handelsbanken Liv'!F107+'If Skadeforsikring NUF'!F107+KLP!F107+'KLP Skadeforsikring AS'!F107+'Landkreditt Forsikring'!F107+'Nordea Liv '!F107+'Oslo Pensjonsforsikring'!F107+'Protector Forsikring'!F107+'SHB Liv'!F107+'Sparebank 1 Forsikring'!F107+'Storebrand Livsforsikring'!F107+'Telenor Forsikring'!F107+'Tryg Forsikring'!F107+'WaterCircles F'!F107+'Codan Forsikring'!F107+'Euro Accident'!F107+'Ly Forsikring'!F107+'Youplus Livsforsikring'!F107</f>
        <v>961849.31140999985</v>
      </c>
      <c r="F107" s="44">
        <f>'Fremtind Livsforsikring'!G107+'Storebrand Danica Pensjon'!G107+'DNB Livsforsikring'!G107+'Eika Forsikring AS'!G107+'Frende Livsforsikring'!G107+'Frende Skadeforsikring'!G107+'Gjensidige Forsikring'!G107+'Gjensidige Pensjon'!G107+'Handelsbanken Liv'!G107+'If Skadeforsikring NUF'!G107+KLP!G107+'KLP Skadeforsikring AS'!G107+'Landkreditt Forsikring'!G107+'Nordea Liv '!G107+'Oslo Pensjonsforsikring'!G107+'Protector Forsikring'!G107+'SHB Liv'!G107+'Sparebank 1 Forsikring'!G107+'Storebrand Livsforsikring'!G107+'Telenor Forsikring'!G107+'Tryg Forsikring'!G107+'WaterCircles F'!G107+'Codan Forsikring'!G107+'Euro Accident'!G107+'Ly Forsikring'!G107+'Youplus Livsforsikring'!G107</f>
        <v>184158.15299999999</v>
      </c>
      <c r="G107" s="165">
        <f t="shared" si="25"/>
        <v>-80.900000000000006</v>
      </c>
      <c r="H107" s="236">
        <f t="shared" si="34"/>
        <v>5478185.8354099998</v>
      </c>
      <c r="I107" s="236">
        <f t="shared" si="35"/>
        <v>4628330.9790000003</v>
      </c>
      <c r="J107" s="23">
        <f t="shared" si="28"/>
        <v>-15.5</v>
      </c>
    </row>
    <row r="108" spans="1:12" ht="15.75" customHeight="1" x14ac:dyDescent="0.2">
      <c r="A108" s="21" t="s">
        <v>445</v>
      </c>
      <c r="B108" s="233">
        <f>'Fremtind Livsforsikring'!B108+'Storebrand Danica Pensjon'!B108+'DNB Livsforsikring'!B108+'Eika Forsikring AS'!B108+'Frende Livsforsikring'!B108+'Frende Skadeforsikring'!B108+'Gjensidige Forsikring'!B108+'Gjensidige Pensjon'!B108+'Handelsbanken Liv'!B108+'If Skadeforsikring NUF'!B108+KLP!B108+'KLP Skadeforsikring AS'!B108+'Landkreditt Forsikring'!B108+'Nordea Liv '!B108+'Oslo Pensjonsforsikring'!B108+'Protector Forsikring'!B108+'SHB Liv'!B108+'Sparebank 1 Forsikring'!B108+'Storebrand Livsforsikring'!B108+'Telenor Forsikring'!B108+'Tryg Forsikring'!B108+'WaterCircles F'!B108+'Codan Forsikring'!B108+'Euro Accident'!B108+'Ly Forsikring'!B108+'Youplus Livsforsikring'!B108</f>
        <v>336387952.71446502</v>
      </c>
      <c r="C108" s="233">
        <f>'Fremtind Livsforsikring'!C108+'Storebrand Danica Pensjon'!C108+'DNB Livsforsikring'!C108+'Eika Forsikring AS'!C108+'Frende Livsforsikring'!C108+'Frende Skadeforsikring'!C108+'Gjensidige Forsikring'!C108+'Gjensidige Pensjon'!C108+'Handelsbanken Liv'!C108+'If Skadeforsikring NUF'!C108+KLP!C108+'KLP Skadeforsikring AS'!C108+'Landkreditt Forsikring'!C108+'Nordea Liv '!C108+'Oslo Pensjonsforsikring'!C108+'Protector Forsikring'!C108+'SHB Liv'!C108+'Sparebank 1 Forsikring'!C108+'Storebrand Livsforsikring'!C108+'Telenor Forsikring'!C108+'Tryg Forsikring'!C108+'WaterCircles F'!C108+'Codan Forsikring'!C108+'Euro Accident'!C108+'Ly Forsikring'!C108+'Youplus Livsforsikring'!C108</f>
        <v>328585468.30455899</v>
      </c>
      <c r="D108" s="23">
        <f t="shared" si="24"/>
        <v>-2.2999999999999998</v>
      </c>
      <c r="E108" s="44">
        <f>'Fremtind Livsforsikring'!F108+'Storebrand Danica Pensjon'!F108+'DNB Livsforsikring'!F108+'Eika Forsikring AS'!F108+'Frende Livsforsikring'!F108+'Frende Skadeforsikring'!F108+'Gjensidige Forsikring'!F108+'Gjensidige Pensjon'!F108+'Handelsbanken Liv'!F108+'If Skadeforsikring NUF'!F108+KLP!F108+'KLP Skadeforsikring AS'!F108+'Landkreditt Forsikring'!F108+'Nordea Liv '!F108+'Oslo Pensjonsforsikring'!F108+'Protector Forsikring'!F108+'SHB Liv'!F108+'Sparebank 1 Forsikring'!F108+'Storebrand Livsforsikring'!F108+'Telenor Forsikring'!F108+'Tryg Forsikring'!F108+'WaterCircles F'!F108+'Codan Forsikring'!F108+'Euro Accident'!F108+'Ly Forsikring'!F108+'Youplus Livsforsikring'!F108</f>
        <v>21054265.138</v>
      </c>
      <c r="F108" s="44">
        <f>'Fremtind Livsforsikring'!G108+'Storebrand Danica Pensjon'!G108+'DNB Livsforsikring'!G108+'Eika Forsikring AS'!G108+'Frende Livsforsikring'!G108+'Frende Skadeforsikring'!G108+'Gjensidige Forsikring'!G108+'Gjensidige Pensjon'!G108+'Handelsbanken Liv'!G108+'If Skadeforsikring NUF'!G108+KLP!G108+'KLP Skadeforsikring AS'!G108+'Landkreditt Forsikring'!G108+'Nordea Liv '!G108+'Oslo Pensjonsforsikring'!G108+'Protector Forsikring'!G108+'SHB Liv'!G108+'Sparebank 1 Forsikring'!G108+'Storebrand Livsforsikring'!G108+'Telenor Forsikring'!G108+'Tryg Forsikring'!G108+'WaterCircles F'!G108+'Codan Forsikring'!G108+'Euro Accident'!G108+'Ly Forsikring'!G108+'Youplus Livsforsikring'!G108</f>
        <v>19229622.66316</v>
      </c>
      <c r="G108" s="165">
        <f t="shared" si="25"/>
        <v>-8.6999999999999993</v>
      </c>
      <c r="H108" s="236">
        <f t="shared" si="34"/>
        <v>357442217.85246503</v>
      </c>
      <c r="I108" s="236">
        <f t="shared" si="35"/>
        <v>347815090.96771902</v>
      </c>
      <c r="J108" s="23">
        <f t="shared" si="28"/>
        <v>-2.7</v>
      </c>
    </row>
    <row r="109" spans="1:12" ht="15.75" customHeight="1" x14ac:dyDescent="0.2">
      <c r="A109" s="38" t="s">
        <v>481</v>
      </c>
      <c r="B109" s="233">
        <f>'Fremtind Livsforsikring'!B109+'Storebrand Danica Pensjon'!B109+'DNB Livsforsikring'!B109+'Eika Forsikring AS'!B109+'Frende Livsforsikring'!B109+'Frende Skadeforsikring'!B109+'Gjensidige Forsikring'!B109+'Gjensidige Pensjon'!B109+'Handelsbanken Liv'!B109+'If Skadeforsikring NUF'!B109+KLP!B109+'KLP Skadeforsikring AS'!B109+'Landkreditt Forsikring'!B109+'Nordea Liv '!B109+'Oslo Pensjonsforsikring'!B109+'Protector Forsikring'!B109+'SHB Liv'!B109+'Sparebank 1 Forsikring'!B109+'Storebrand Livsforsikring'!B109+'Telenor Forsikring'!B109+'Tryg Forsikring'!B109+'WaterCircles F'!B109+'Codan Forsikring'!B109+'Euro Accident'!B109+'Ly Forsikring'!B109+'Youplus Livsforsikring'!B109</f>
        <v>1649708.3853500001</v>
      </c>
      <c r="C109" s="233">
        <f>'Fremtind Livsforsikring'!C109+'Storebrand Danica Pensjon'!C109+'DNB Livsforsikring'!C109+'Eika Forsikring AS'!C109+'Frende Livsforsikring'!C109+'Frende Skadeforsikring'!C109+'Gjensidige Forsikring'!C109+'Gjensidige Pensjon'!C109+'Handelsbanken Liv'!C109+'If Skadeforsikring NUF'!C109+KLP!C109+'KLP Skadeforsikring AS'!C109+'Landkreditt Forsikring'!C109+'Nordea Liv '!C109+'Oslo Pensjonsforsikring'!C109+'Protector Forsikring'!C109+'SHB Liv'!C109+'Sparebank 1 Forsikring'!C109+'Storebrand Livsforsikring'!C109+'Telenor Forsikring'!C109+'Tryg Forsikring'!C109+'WaterCircles F'!C109+'Codan Forsikring'!C109+'Euro Accident'!C109+'Ly Forsikring'!C109+'Youplus Livsforsikring'!C109</f>
        <v>1805905.947634724</v>
      </c>
      <c r="D109" s="23">
        <f t="shared" si="24"/>
        <v>9.5</v>
      </c>
      <c r="E109" s="44">
        <f>'Fremtind Livsforsikring'!F109+'Storebrand Danica Pensjon'!F109+'DNB Livsforsikring'!F109+'Eika Forsikring AS'!F109+'Frende Livsforsikring'!F109+'Frende Skadeforsikring'!F109+'Gjensidige Forsikring'!F109+'Gjensidige Pensjon'!F109+'Handelsbanken Liv'!F109+'If Skadeforsikring NUF'!F109+KLP!F109+'KLP Skadeforsikring AS'!F109+'Landkreditt Forsikring'!F109+'Nordea Liv '!F109+'Oslo Pensjonsforsikring'!F109+'Protector Forsikring'!F109+'SHB Liv'!F109+'Sparebank 1 Forsikring'!F109+'Storebrand Livsforsikring'!F109+'Telenor Forsikring'!F109+'Tryg Forsikring'!F109+'WaterCircles F'!F109+'Codan Forsikring'!F109+'Euro Accident'!F109+'Ly Forsikring'!F109+'Youplus Livsforsikring'!F109</f>
        <v>155285126.70300001</v>
      </c>
      <c r="F109" s="44">
        <f>'Fremtind Livsforsikring'!G109+'Storebrand Danica Pensjon'!G109+'DNB Livsforsikring'!G109+'Eika Forsikring AS'!G109+'Frende Livsforsikring'!G109+'Frende Skadeforsikring'!G109+'Gjensidige Forsikring'!G109+'Gjensidige Pensjon'!G109+'Handelsbanken Liv'!G109+'If Skadeforsikring NUF'!G109+KLP!G109+'KLP Skadeforsikring AS'!G109+'Landkreditt Forsikring'!G109+'Nordea Liv '!G109+'Oslo Pensjonsforsikring'!G109+'Protector Forsikring'!G109+'SHB Liv'!G109+'Sparebank 1 Forsikring'!G109+'Storebrand Livsforsikring'!G109+'Telenor Forsikring'!G109+'Tryg Forsikring'!G109+'WaterCircles F'!G109+'Codan Forsikring'!G109+'Euro Accident'!G109+'Ly Forsikring'!G109+'Youplus Livsforsikring'!G109</f>
        <v>159640881.03203711</v>
      </c>
      <c r="G109" s="165">
        <f t="shared" si="25"/>
        <v>2.8</v>
      </c>
      <c r="H109" s="236">
        <f t="shared" si="34"/>
        <v>156934835.08835</v>
      </c>
      <c r="I109" s="236">
        <f t="shared" si="35"/>
        <v>161446786.97967184</v>
      </c>
      <c r="J109" s="23">
        <f t="shared" si="28"/>
        <v>2.9</v>
      </c>
      <c r="L109" s="3"/>
    </row>
    <row r="110" spans="1:12" ht="15.75" customHeight="1" x14ac:dyDescent="0.2">
      <c r="A110" s="21" t="s">
        <v>446</v>
      </c>
      <c r="B110" s="233">
        <f>'Fremtind Livsforsikring'!B110+'Storebrand Danica Pensjon'!B110+'DNB Livsforsikring'!B110+'Eika Forsikring AS'!B110+'Frende Livsforsikring'!B110+'Frende Skadeforsikring'!B110+'Gjensidige Forsikring'!B110+'Gjensidige Pensjon'!B110+'Handelsbanken Liv'!B110+'If Skadeforsikring NUF'!B110+KLP!B110+'KLP Skadeforsikring AS'!B110+'Landkreditt Forsikring'!B110+'Nordea Liv '!B110+'Oslo Pensjonsforsikring'!B110+'Protector Forsikring'!B110+'SHB Liv'!B110+'Sparebank 1 Forsikring'!B110+'Storebrand Livsforsikring'!B110+'Telenor Forsikring'!B110+'Tryg Forsikring'!B110+'WaterCircles F'!B110+'Codan Forsikring'!B110+'Euro Accident'!B110+'Ly Forsikring'!B110+'Youplus Livsforsikring'!B110</f>
        <v>904206.54885000002</v>
      </c>
      <c r="C110" s="233">
        <f>'Fremtind Livsforsikring'!C110+'Storebrand Danica Pensjon'!C110+'DNB Livsforsikring'!C110+'Eika Forsikring AS'!C110+'Frende Livsforsikring'!C110+'Frende Skadeforsikring'!C110+'Gjensidige Forsikring'!C110+'Gjensidige Pensjon'!C110+'Handelsbanken Liv'!C110+'If Skadeforsikring NUF'!C110+KLP!C110+'KLP Skadeforsikring AS'!C110+'Landkreditt Forsikring'!C110+'Nordea Liv '!C110+'Oslo Pensjonsforsikring'!C110+'Protector Forsikring'!C110+'SHB Liv'!C110+'Sparebank 1 Forsikring'!C110+'Storebrand Livsforsikring'!C110+'Telenor Forsikring'!C110+'Tryg Forsikring'!C110+'WaterCircles F'!C110+'Codan Forsikring'!C110+'Euro Accident'!C110+'Ly Forsikring'!C110+'Youplus Livsforsikring'!C110</f>
        <v>1469098.3456600001</v>
      </c>
      <c r="D110" s="23">
        <f t="shared" si="24"/>
        <v>62.5</v>
      </c>
      <c r="E110" s="44"/>
      <c r="F110" s="44"/>
      <c r="G110" s="165"/>
      <c r="H110" s="236">
        <f t="shared" si="34"/>
        <v>904206.54885000002</v>
      </c>
      <c r="I110" s="236">
        <f t="shared" si="35"/>
        <v>1469098.3456600001</v>
      </c>
      <c r="J110" s="23">
        <f t="shared" si="28"/>
        <v>62.5</v>
      </c>
    </row>
    <row r="111" spans="1:12" s="43" customFormat="1" ht="15.75" customHeight="1" x14ac:dyDescent="0.2">
      <c r="A111" s="13" t="s">
        <v>427</v>
      </c>
      <c r="B111" s="311">
        <f>'Fremtind Livsforsikring'!B111+'Storebrand Danica Pensjon'!B111+'DNB Livsforsikring'!B111+'Eika Forsikring AS'!B111+'Frende Livsforsikring'!B111+'Frende Skadeforsikring'!B111+'Gjensidige Forsikring'!B111+'Gjensidige Pensjon'!B111+'Handelsbanken Liv'!B111+'If Skadeforsikring NUF'!B111+KLP!B111+'KLP Skadeforsikring AS'!B111+'Landkreditt Forsikring'!B111+'Nordea Liv '!B111+'Oslo Pensjonsforsikring'!B111+'Protector Forsikring'!B111+'SHB Liv'!B111+'Sparebank 1 Forsikring'!B111+'Storebrand Livsforsikring'!B111+'Telenor Forsikring'!B111+'Tryg Forsikring'!B111+'WaterCircles F'!B111+'Codan Forsikring'!B111+'Euro Accident'!B111+'Ly Forsikring'!B111+'Youplus Livsforsikring'!B111</f>
        <v>567894.66876000003</v>
      </c>
      <c r="C111" s="311">
        <f>'Fremtind Livsforsikring'!C111+'Storebrand Danica Pensjon'!C111+'DNB Livsforsikring'!C111+'Eika Forsikring AS'!C111+'Frende Livsforsikring'!C111+'Frende Skadeforsikring'!C111+'Gjensidige Forsikring'!C111+'Gjensidige Pensjon'!C111+'Handelsbanken Liv'!C111+'If Skadeforsikring NUF'!C111+KLP!C111+'KLP Skadeforsikring AS'!C111+'Landkreditt Forsikring'!C111+'Nordea Liv '!C111+'Oslo Pensjonsforsikring'!C111+'Protector Forsikring'!C111+'SHB Liv'!C111+'Sparebank 1 Forsikring'!C111+'Storebrand Livsforsikring'!C111+'Telenor Forsikring'!C111+'Tryg Forsikring'!C111+'WaterCircles F'!C111+'Codan Forsikring'!C111+'Euro Accident'!C111+'Ly Forsikring'!C111+'Youplus Livsforsikring'!C111</f>
        <v>775534.34967999998</v>
      </c>
      <c r="D111" s="24">
        <f t="shared" si="24"/>
        <v>36.6</v>
      </c>
      <c r="E111" s="235">
        <f>'Fremtind Livsforsikring'!F111+'Storebrand Danica Pensjon'!F111+'DNB Livsforsikring'!F111+'Eika Forsikring AS'!F111+'Frende Livsforsikring'!F111+'Frende Skadeforsikring'!F111+'Gjensidige Forsikring'!F111+'Gjensidige Pensjon'!F111+'Handelsbanken Liv'!F111+'If Skadeforsikring NUF'!F111+KLP!F111+'KLP Skadeforsikring AS'!F111+'Landkreditt Forsikring'!F111+'Nordea Liv '!F111+'Oslo Pensjonsforsikring'!F111+'Protector Forsikring'!F111+'SHB Liv'!F111+'Sparebank 1 Forsikring'!F111+'Storebrand Livsforsikring'!F111+'Telenor Forsikring'!F111+'Tryg Forsikring'!F111+'WaterCircles F'!F111+'Codan Forsikring'!F111+'Euro Accident'!F111+'Ly Forsikring'!F111+'Youplus Livsforsikring'!F111</f>
        <v>84204706.359149992</v>
      </c>
      <c r="F111" s="235">
        <f>'Fremtind Livsforsikring'!G111+'Storebrand Danica Pensjon'!G111+'DNB Livsforsikring'!G111+'Eika Forsikring AS'!G111+'Frende Livsforsikring'!G111+'Frende Skadeforsikring'!G111+'Gjensidige Forsikring'!G111+'Gjensidige Pensjon'!G111+'Handelsbanken Liv'!G111+'If Skadeforsikring NUF'!G111+KLP!G111+'KLP Skadeforsikring AS'!G111+'Landkreditt Forsikring'!G111+'Nordea Liv '!G111+'Oslo Pensjonsforsikring'!G111+'Protector Forsikring'!G111+'SHB Liv'!G111+'Sparebank 1 Forsikring'!G111+'Storebrand Livsforsikring'!G111+'Telenor Forsikring'!G111+'Tryg Forsikring'!G111+'WaterCircles F'!G111+'Codan Forsikring'!G111+'Euro Accident'!G111+'Ly Forsikring'!G111+'Youplus Livsforsikring'!G111</f>
        <v>40606946.49368</v>
      </c>
      <c r="G111" s="170">
        <f t="shared" si="25"/>
        <v>-51.8</v>
      </c>
      <c r="H111" s="331">
        <f t="shared" si="34"/>
        <v>84772601.027909994</v>
      </c>
      <c r="I111" s="331">
        <f t="shared" si="35"/>
        <v>41382480.843359999</v>
      </c>
      <c r="J111" s="24">
        <f t="shared" si="28"/>
        <v>-51.2</v>
      </c>
    </row>
    <row r="112" spans="1:12" ht="15.75" customHeight="1" x14ac:dyDescent="0.2">
      <c r="A112" s="21" t="s">
        <v>9</v>
      </c>
      <c r="B112" s="233">
        <f>'Fremtind Livsforsikring'!B112+'Storebrand Danica Pensjon'!B112+'DNB Livsforsikring'!B112+'Eika Forsikring AS'!B112+'Frende Livsforsikring'!B112+'Frende Skadeforsikring'!B112+'Gjensidige Forsikring'!B112+'Gjensidige Pensjon'!B112+'Handelsbanken Liv'!B112+'If Skadeforsikring NUF'!B112+KLP!B112+'KLP Skadeforsikring AS'!B112+'Landkreditt Forsikring'!B112+'Nordea Liv '!B112+'Oslo Pensjonsforsikring'!B112+'Protector Forsikring'!B112+'SHB Liv'!B112+'Sparebank 1 Forsikring'!B112+'Storebrand Livsforsikring'!B112+'Telenor Forsikring'!B112+'Tryg Forsikring'!B112+'WaterCircles F'!B112+'Codan Forsikring'!B112+'Euro Accident'!B112+'Ly Forsikring'!B112+'Youplus Livsforsikring'!B112</f>
        <v>441955.22438999999</v>
      </c>
      <c r="C112" s="233">
        <f>'Fremtind Livsforsikring'!C112+'Storebrand Danica Pensjon'!C112+'DNB Livsforsikring'!C112+'Eika Forsikring AS'!C112+'Frende Livsforsikring'!C112+'Frende Skadeforsikring'!C112+'Gjensidige Forsikring'!C112+'Gjensidige Pensjon'!C112+'Handelsbanken Liv'!C112+'If Skadeforsikring NUF'!C112+KLP!C112+'KLP Skadeforsikring AS'!C112+'Landkreditt Forsikring'!C112+'Nordea Liv '!C112+'Oslo Pensjonsforsikring'!C112+'Protector Forsikring'!C112+'SHB Liv'!C112+'Sparebank 1 Forsikring'!C112+'Storebrand Livsforsikring'!C112+'Telenor Forsikring'!C112+'Tryg Forsikring'!C112+'WaterCircles F'!C112+'Codan Forsikring'!C112+'Euro Accident'!C112+'Ly Forsikring'!C112+'Youplus Livsforsikring'!C112</f>
        <v>480151.48168000003</v>
      </c>
      <c r="D112" s="23">
        <f t="shared" ref="D112:D126" si="42">IF(B112=0, "    ---- ", IF(ABS(ROUND(100/B112*C112-100,1))&lt;999,ROUND(100/B112*C112-100,1),IF(ROUND(100/B112*C112-100,1)&gt;999,999,-999)))</f>
        <v>8.6</v>
      </c>
      <c r="E112" s="44">
        <f>'Fremtind Livsforsikring'!F112+'Storebrand Danica Pensjon'!F112+'DNB Livsforsikring'!F112+'Eika Forsikring AS'!F112+'Frende Livsforsikring'!F112+'Frende Skadeforsikring'!F112+'Gjensidige Forsikring'!F112+'Gjensidige Pensjon'!F112+'Handelsbanken Liv'!F112+'If Skadeforsikring NUF'!F112+KLP!F112+'KLP Skadeforsikring AS'!F112+'Landkreditt Forsikring'!F112+'Nordea Liv '!F112+'Oslo Pensjonsforsikring'!F112+'Protector Forsikring'!F112+'SHB Liv'!F112+'Sparebank 1 Forsikring'!F112+'Storebrand Livsforsikring'!F112+'Telenor Forsikring'!F112+'Tryg Forsikring'!F112+'WaterCircles F'!F112+'Codan Forsikring'!F112+'Euro Accident'!F112+'Ly Forsikring'!F112+'Youplus Livsforsikring'!F112</f>
        <v>11434.885</v>
      </c>
      <c r="F112" s="44">
        <f>'Fremtind Livsforsikring'!G112+'Storebrand Danica Pensjon'!G112+'DNB Livsforsikring'!G112+'Eika Forsikring AS'!G112+'Frende Livsforsikring'!G112+'Frende Skadeforsikring'!G112+'Gjensidige Forsikring'!G112+'Gjensidige Pensjon'!G112+'Handelsbanken Liv'!G112+'If Skadeforsikring NUF'!G112+KLP!G112+'KLP Skadeforsikring AS'!G112+'Landkreditt Forsikring'!G112+'Nordea Liv '!G112+'Oslo Pensjonsforsikring'!G112+'Protector Forsikring'!G112+'SHB Liv'!G112+'Sparebank 1 Forsikring'!G112+'Storebrand Livsforsikring'!G112+'Telenor Forsikring'!G112+'Tryg Forsikring'!G112+'WaterCircles F'!G112+'Codan Forsikring'!G112+'Euro Accident'!G112+'Ly Forsikring'!G112+'Youplus Livsforsikring'!G112</f>
        <v>4486.2449999999999</v>
      </c>
      <c r="G112" s="165">
        <f t="shared" si="25"/>
        <v>-60.8</v>
      </c>
      <c r="H112" s="236">
        <f t="shared" ref="H112:H126" si="43">SUM(B112,E112)</f>
        <v>453390.10939</v>
      </c>
      <c r="I112" s="236">
        <f t="shared" ref="I112:I126" si="44">SUM(C112,F112)</f>
        <v>484637.72668000002</v>
      </c>
      <c r="J112" s="23">
        <f t="shared" ref="J112:J126" si="45">IF(H112=0, "    ---- ", IF(ABS(ROUND(100/H112*I112-100,1))&lt;999,ROUND(100/H112*I112-100,1),IF(ROUND(100/H112*I112-100,1)&gt;999,999,-999)))</f>
        <v>6.9</v>
      </c>
    </row>
    <row r="113" spans="1:10" ht="15.75" customHeight="1" x14ac:dyDescent="0.2">
      <c r="A113" s="21" t="s">
        <v>10</v>
      </c>
      <c r="B113" s="233">
        <f>'Fremtind Livsforsikring'!B113+'Storebrand Danica Pensjon'!B113+'DNB Livsforsikring'!B113+'Eika Forsikring AS'!B113+'Frende Livsforsikring'!B113+'Frende Skadeforsikring'!B113+'Gjensidige Forsikring'!B113+'Gjensidige Pensjon'!B113+'Handelsbanken Liv'!B113+'If Skadeforsikring NUF'!B113+KLP!B113+'KLP Skadeforsikring AS'!B113+'Landkreditt Forsikring'!B113+'Nordea Liv '!B113+'Oslo Pensjonsforsikring'!B113+'Protector Forsikring'!B113+'SHB Liv'!B113+'Sparebank 1 Forsikring'!B113+'Storebrand Livsforsikring'!B113+'Telenor Forsikring'!B113+'Tryg Forsikring'!B113+'WaterCircles F'!B113+'Codan Forsikring'!B113+'Euro Accident'!B113+'Ly Forsikring'!B113+'Youplus Livsforsikring'!B113</f>
        <v>249.36847</v>
      </c>
      <c r="C113" s="233">
        <f>'Fremtind Livsforsikring'!C113+'Storebrand Danica Pensjon'!C113+'DNB Livsforsikring'!C113+'Eika Forsikring AS'!C113+'Frende Livsforsikring'!C113+'Frende Skadeforsikring'!C113+'Gjensidige Forsikring'!C113+'Gjensidige Pensjon'!C113+'Handelsbanken Liv'!C113+'If Skadeforsikring NUF'!C113+KLP!C113+'KLP Skadeforsikring AS'!C113+'Landkreditt Forsikring'!C113+'Nordea Liv '!C113+'Oslo Pensjonsforsikring'!C113+'Protector Forsikring'!C113+'SHB Liv'!C113+'Sparebank 1 Forsikring'!C113+'Storebrand Livsforsikring'!C113+'Telenor Forsikring'!C113+'Tryg Forsikring'!C113+'WaterCircles F'!C113+'Codan Forsikring'!C113+'Euro Accident'!C113+'Ly Forsikring'!C113+'Youplus Livsforsikring'!C113</f>
        <v>180.96299999999999</v>
      </c>
      <c r="D113" s="23">
        <f t="shared" si="42"/>
        <v>-27.4</v>
      </c>
      <c r="E113" s="44">
        <f>'Fremtind Livsforsikring'!F113+'Storebrand Danica Pensjon'!F113+'DNB Livsforsikring'!F113+'Eika Forsikring AS'!F113+'Frende Livsforsikring'!F113+'Frende Skadeforsikring'!F113+'Gjensidige Forsikring'!F113+'Gjensidige Pensjon'!F113+'Handelsbanken Liv'!F113+'If Skadeforsikring NUF'!F113+KLP!F113+'KLP Skadeforsikring AS'!F113+'Landkreditt Forsikring'!F113+'Nordea Liv '!F113+'Oslo Pensjonsforsikring'!F113+'Protector Forsikring'!F113+'SHB Liv'!F113+'Sparebank 1 Forsikring'!F113+'Storebrand Livsforsikring'!F113+'Telenor Forsikring'!F113+'Tryg Forsikring'!F113+'WaterCircles F'!F113+'Codan Forsikring'!F113+'Euro Accident'!F113+'Ly Forsikring'!F113+'Youplus Livsforsikring'!F113</f>
        <v>84193271.474150002</v>
      </c>
      <c r="F113" s="44">
        <f>'Fremtind Livsforsikring'!G113+'Storebrand Danica Pensjon'!G113+'DNB Livsforsikring'!G113+'Eika Forsikring AS'!G113+'Frende Livsforsikring'!G113+'Frende Skadeforsikring'!G113+'Gjensidige Forsikring'!G113+'Gjensidige Pensjon'!G113+'Handelsbanken Liv'!G113+'If Skadeforsikring NUF'!G113+KLP!G113+'KLP Skadeforsikring AS'!G113+'Landkreditt Forsikring'!G113+'Nordea Liv '!G113+'Oslo Pensjonsforsikring'!G113+'Protector Forsikring'!G113+'SHB Liv'!G113+'Sparebank 1 Forsikring'!G113+'Storebrand Livsforsikring'!G113+'Telenor Forsikring'!G113+'Tryg Forsikring'!G113+'WaterCircles F'!G113+'Codan Forsikring'!G113+'Euro Accident'!G113+'Ly Forsikring'!G113+'Youplus Livsforsikring'!G113</f>
        <v>40601399.78768</v>
      </c>
      <c r="G113" s="170">
        <f t="shared" si="25"/>
        <v>-51.8</v>
      </c>
      <c r="H113" s="236">
        <f t="shared" si="43"/>
        <v>84193520.84262</v>
      </c>
      <c r="I113" s="236">
        <f t="shared" si="44"/>
        <v>40601580.75068</v>
      </c>
      <c r="J113" s="24">
        <f t="shared" si="45"/>
        <v>-51.8</v>
      </c>
    </row>
    <row r="114" spans="1:10" ht="15.75" customHeight="1" x14ac:dyDescent="0.2">
      <c r="A114" s="21" t="s">
        <v>26</v>
      </c>
      <c r="B114" s="233">
        <f>'Fremtind Livsforsikring'!B114+'Storebrand Danica Pensjon'!B114+'DNB Livsforsikring'!B114+'Eika Forsikring AS'!B114+'Frende Livsforsikring'!B114+'Frende Skadeforsikring'!B114+'Gjensidige Forsikring'!B114+'Gjensidige Pensjon'!B114+'Handelsbanken Liv'!B114+'If Skadeforsikring NUF'!B114+KLP!B114+'KLP Skadeforsikring AS'!B114+'Landkreditt Forsikring'!B114+'Nordea Liv '!B114+'Oslo Pensjonsforsikring'!B114+'Protector Forsikring'!B114+'SHB Liv'!B114+'Sparebank 1 Forsikring'!B114+'Storebrand Livsforsikring'!B114+'Telenor Forsikring'!B114+'Tryg Forsikring'!B114+'WaterCircles F'!B114+'Codan Forsikring'!B114+'Euro Accident'!B114+'Ly Forsikring'!B114+'Youplus Livsforsikring'!B114</f>
        <v>125690.0759</v>
      </c>
      <c r="C114" s="233">
        <f>'Fremtind Livsforsikring'!C114+'Storebrand Danica Pensjon'!C114+'DNB Livsforsikring'!C114+'Eika Forsikring AS'!C114+'Frende Livsforsikring'!C114+'Frende Skadeforsikring'!C114+'Gjensidige Forsikring'!C114+'Gjensidige Pensjon'!C114+'Handelsbanken Liv'!C114+'If Skadeforsikring NUF'!C114+KLP!C114+'KLP Skadeforsikring AS'!C114+'Landkreditt Forsikring'!C114+'Nordea Liv '!C114+'Oslo Pensjonsforsikring'!C114+'Protector Forsikring'!C114+'SHB Liv'!C114+'Sparebank 1 Forsikring'!C114+'Storebrand Livsforsikring'!C114+'Telenor Forsikring'!C114+'Tryg Forsikring'!C114+'WaterCircles F'!C114+'Codan Forsikring'!C114+'Euro Accident'!C114+'Ly Forsikring'!C114+'Youplus Livsforsikring'!C114</f>
        <v>295201.90500000003</v>
      </c>
      <c r="D114" s="23">
        <f t="shared" si="42"/>
        <v>134.9</v>
      </c>
      <c r="E114" s="44">
        <f>'Fremtind Livsforsikring'!F114+'Storebrand Danica Pensjon'!F114+'DNB Livsforsikring'!F114+'Eika Forsikring AS'!F114+'Frende Livsforsikring'!F114+'Frende Skadeforsikring'!F114+'Gjensidige Forsikring'!F114+'Gjensidige Pensjon'!F114+'Handelsbanken Liv'!F114+'If Skadeforsikring NUF'!F114+KLP!F114+'KLP Skadeforsikring AS'!F114+'Landkreditt Forsikring'!F114+'Nordea Liv '!F114+'Oslo Pensjonsforsikring'!F114+'Protector Forsikring'!F114+'SHB Liv'!F114+'Sparebank 1 Forsikring'!F114+'Storebrand Livsforsikring'!F114+'Telenor Forsikring'!F114+'Tryg Forsikring'!F114+'WaterCircles F'!F114+'Codan Forsikring'!F114+'Euro Accident'!F114+'Ly Forsikring'!F114+'Youplus Livsforsikring'!F114</f>
        <v>0</v>
      </c>
      <c r="F114" s="44">
        <f>'Fremtind Livsforsikring'!G114+'Storebrand Danica Pensjon'!G114+'DNB Livsforsikring'!G114+'Eika Forsikring AS'!G114+'Frende Livsforsikring'!G114+'Frende Skadeforsikring'!G114+'Gjensidige Forsikring'!G114+'Gjensidige Pensjon'!G114+'Handelsbanken Liv'!G114+'If Skadeforsikring NUF'!G114+KLP!G114+'KLP Skadeforsikring AS'!G114+'Landkreditt Forsikring'!G114+'Nordea Liv '!G114+'Oslo Pensjonsforsikring'!G114+'Protector Forsikring'!G114+'SHB Liv'!G114+'Sparebank 1 Forsikring'!G114+'Storebrand Livsforsikring'!G114+'Telenor Forsikring'!G114+'Tryg Forsikring'!G114+'WaterCircles F'!G114+'Codan Forsikring'!G114+'Euro Accident'!G114+'Ly Forsikring'!G114+'Youplus Livsforsikring'!G114</f>
        <v>1060.461</v>
      </c>
      <c r="G114" s="170" t="str">
        <f t="shared" si="25"/>
        <v xml:space="preserve">    ---- </v>
      </c>
      <c r="H114" s="236">
        <f t="shared" si="43"/>
        <v>125690.0759</v>
      </c>
      <c r="I114" s="236">
        <f t="shared" si="44"/>
        <v>296262.36600000004</v>
      </c>
      <c r="J114" s="24">
        <f t="shared" si="45"/>
        <v>135.69999999999999</v>
      </c>
    </row>
    <row r="115" spans="1:10" ht="15.75" customHeight="1" x14ac:dyDescent="0.2">
      <c r="A115" s="299" t="s">
        <v>15</v>
      </c>
      <c r="B115" s="44"/>
      <c r="C115" s="44"/>
      <c r="D115" s="27"/>
      <c r="E115" s="44"/>
      <c r="F115" s="44"/>
      <c r="G115" s="165"/>
      <c r="H115" s="236"/>
      <c r="I115" s="236"/>
      <c r="J115" s="23"/>
    </row>
    <row r="116" spans="1:10" ht="15.75" customHeight="1" x14ac:dyDescent="0.2">
      <c r="A116" s="21" t="s">
        <v>447</v>
      </c>
      <c r="B116" s="233">
        <f>'Fremtind Livsforsikring'!B116+'Storebrand Danica Pensjon'!B116+'DNB Livsforsikring'!B116+'Eika Forsikring AS'!B116+'Frende Livsforsikring'!B116+'Frende Skadeforsikring'!B116+'Gjensidige Forsikring'!B116+'Gjensidige Pensjon'!B116+'Handelsbanken Liv'!B116+'If Skadeforsikring NUF'!B116+KLP!B116+'KLP Skadeforsikring AS'!B116+'Landkreditt Forsikring'!B116+'Nordea Liv '!B116+'Oslo Pensjonsforsikring'!B116+'Protector Forsikring'!B116+'SHB Liv'!B116+'Sparebank 1 Forsikring'!B116+'Storebrand Livsforsikring'!B116+'Telenor Forsikring'!B116+'Tryg Forsikring'!B116+'WaterCircles F'!B116+'Codan Forsikring'!B116+'Euro Accident'!B116+'Ly Forsikring'!B116+'Youplus Livsforsikring'!B116</f>
        <v>116823.23986</v>
      </c>
      <c r="C116" s="233">
        <f>'Fremtind Livsforsikring'!C116+'Storebrand Danica Pensjon'!C116+'DNB Livsforsikring'!C116+'Eika Forsikring AS'!C116+'Frende Livsforsikring'!C116+'Frende Skadeforsikring'!C116+'Gjensidige Forsikring'!C116+'Gjensidige Pensjon'!C116+'Handelsbanken Liv'!C116+'If Skadeforsikring NUF'!C116+KLP!C116+'KLP Skadeforsikring AS'!C116+'Landkreditt Forsikring'!C116+'Nordea Liv '!C116+'Oslo Pensjonsforsikring'!C116+'Protector Forsikring'!C116+'SHB Liv'!C116+'Sparebank 1 Forsikring'!C116+'Storebrand Livsforsikring'!C116+'Telenor Forsikring'!C116+'Tryg Forsikring'!C116+'WaterCircles F'!C116+'Codan Forsikring'!C116+'Euro Accident'!C116+'Ly Forsikring'!C116+'Youplus Livsforsikring'!C116</f>
        <v>115077.452</v>
      </c>
      <c r="D116" s="23">
        <f t="shared" si="42"/>
        <v>-1.5</v>
      </c>
      <c r="E116" s="44">
        <f>'Fremtind Livsforsikring'!F116+'Storebrand Danica Pensjon'!F116+'DNB Livsforsikring'!F116+'Eika Forsikring AS'!F116+'Frende Livsforsikring'!F116+'Frende Skadeforsikring'!F116+'Gjensidige Forsikring'!F116+'Gjensidige Pensjon'!F116+'Handelsbanken Liv'!F116+'If Skadeforsikring NUF'!F116+KLP!F116+'KLP Skadeforsikring AS'!F116+'Landkreditt Forsikring'!F116+'Nordea Liv '!F116+'Oslo Pensjonsforsikring'!F116+'Protector Forsikring'!F116+'SHB Liv'!F116+'Sparebank 1 Forsikring'!F116+'Storebrand Livsforsikring'!F116+'Telenor Forsikring'!F116+'Tryg Forsikring'!F116+'WaterCircles F'!F116+'Codan Forsikring'!F116+'Euro Accident'!F116+'Ly Forsikring'!F116+'Youplus Livsforsikring'!F116</f>
        <v>11434.885</v>
      </c>
      <c r="F116" s="44">
        <f>'Fremtind Livsforsikring'!G116+'Storebrand Danica Pensjon'!G116+'DNB Livsforsikring'!G116+'Eika Forsikring AS'!G116+'Frende Livsforsikring'!G116+'Frende Skadeforsikring'!G116+'Gjensidige Forsikring'!G116+'Gjensidige Pensjon'!G116+'Handelsbanken Liv'!G116+'If Skadeforsikring NUF'!G116+KLP!G116+'KLP Skadeforsikring AS'!G116+'Landkreditt Forsikring'!G116+'Nordea Liv '!G116+'Oslo Pensjonsforsikring'!G116+'Protector Forsikring'!G116+'SHB Liv'!G116+'Sparebank 1 Forsikring'!G116+'Storebrand Livsforsikring'!G116+'Telenor Forsikring'!G116+'Tryg Forsikring'!G116+'WaterCircles F'!G116+'Codan Forsikring'!G116+'Euro Accident'!G116+'Ly Forsikring'!G116+'Youplus Livsforsikring'!G116</f>
        <v>4486.2449999999999</v>
      </c>
      <c r="G116" s="165">
        <f t="shared" si="25"/>
        <v>-60.8</v>
      </c>
      <c r="H116" s="236">
        <f t="shared" si="43"/>
        <v>128258.12486</v>
      </c>
      <c r="I116" s="236">
        <f t="shared" si="44"/>
        <v>119563.697</v>
      </c>
      <c r="J116" s="23">
        <f t="shared" si="45"/>
        <v>-6.8</v>
      </c>
    </row>
    <row r="117" spans="1:10" ht="15.75" customHeight="1" x14ac:dyDescent="0.2">
      <c r="A117" s="38" t="s">
        <v>481</v>
      </c>
      <c r="B117" s="233">
        <f>'Fremtind Livsforsikring'!B117+'Storebrand Danica Pensjon'!B117+'DNB Livsforsikring'!B117+'Eika Forsikring AS'!B117+'Frende Livsforsikring'!B117+'Frende Skadeforsikring'!B117+'Gjensidige Forsikring'!B117+'Gjensidige Pensjon'!B117+'Handelsbanken Liv'!B117+'If Skadeforsikring NUF'!B117+KLP!B117+'KLP Skadeforsikring AS'!B117+'Landkreditt Forsikring'!B117+'Nordea Liv '!B117+'Oslo Pensjonsforsikring'!B117+'Protector Forsikring'!B117+'SHB Liv'!B117+'Sparebank 1 Forsikring'!B117+'Storebrand Livsforsikring'!B117+'Telenor Forsikring'!B117+'Tryg Forsikring'!B117+'WaterCircles F'!B117+'Codan Forsikring'!B117+'Euro Accident'!B117+'Ly Forsikring'!B117+'Youplus Livsforsikring'!B117</f>
        <v>0</v>
      </c>
      <c r="C117" s="233">
        <f>'Fremtind Livsforsikring'!C117+'Storebrand Danica Pensjon'!C117+'DNB Livsforsikring'!C117+'Eika Forsikring AS'!C117+'Frende Livsforsikring'!C117+'Frende Skadeforsikring'!C117+'Gjensidige Forsikring'!C117+'Gjensidige Pensjon'!C117+'Handelsbanken Liv'!C117+'If Skadeforsikring NUF'!C117+KLP!C117+'KLP Skadeforsikring AS'!C117+'Landkreditt Forsikring'!C117+'Nordea Liv '!C117+'Oslo Pensjonsforsikring'!C117+'Protector Forsikring'!C117+'SHB Liv'!C117+'Sparebank 1 Forsikring'!C117+'Storebrand Livsforsikring'!C117+'Telenor Forsikring'!C117+'Tryg Forsikring'!C117+'WaterCircles F'!C117+'Codan Forsikring'!C117+'Euro Accident'!C117+'Ly Forsikring'!C117+'Youplus Livsforsikring'!C117</f>
        <v>180.96299999999999</v>
      </c>
      <c r="D117" s="23" t="str">
        <f t="shared" si="42"/>
        <v xml:space="preserve">    ---- </v>
      </c>
      <c r="E117" s="44">
        <f>'Fremtind Livsforsikring'!F117+'Storebrand Danica Pensjon'!F117+'DNB Livsforsikring'!F117+'Eika Forsikring AS'!F117+'Frende Livsforsikring'!F117+'Frende Skadeforsikring'!F117+'Gjensidige Forsikring'!F117+'Gjensidige Pensjon'!F117+'Handelsbanken Liv'!F117+'If Skadeforsikring NUF'!F117+KLP!F117+'KLP Skadeforsikring AS'!F117+'Landkreditt Forsikring'!F117+'Nordea Liv '!F117+'Oslo Pensjonsforsikring'!F117+'Protector Forsikring'!F117+'SHB Liv'!F117+'Sparebank 1 Forsikring'!F117+'Storebrand Livsforsikring'!F117+'Telenor Forsikring'!F117+'Tryg Forsikring'!F117+'WaterCircles F'!F117+'Codan Forsikring'!F117+'Euro Accident'!F117+'Ly Forsikring'!F117+'Youplus Livsforsikring'!F117</f>
        <v>69234490.974199995</v>
      </c>
      <c r="F117" s="44">
        <f>'Fremtind Livsforsikring'!G117+'Storebrand Danica Pensjon'!G117+'DNB Livsforsikring'!G117+'Eika Forsikring AS'!G117+'Frende Livsforsikring'!G117+'Frende Skadeforsikring'!G117+'Gjensidige Forsikring'!G117+'Gjensidige Pensjon'!G117+'Handelsbanken Liv'!G117+'If Skadeforsikring NUF'!G117+KLP!G117+'KLP Skadeforsikring AS'!G117+'Landkreditt Forsikring'!G117+'Nordea Liv '!G117+'Oslo Pensjonsforsikring'!G117+'Protector Forsikring'!G117+'SHB Liv'!G117+'Sparebank 1 Forsikring'!G117+'Storebrand Livsforsikring'!G117+'Telenor Forsikring'!G117+'Tryg Forsikring'!G117+'WaterCircles F'!G117+'Codan Forsikring'!G117+'Euro Accident'!G117+'Ly Forsikring'!G117+'Youplus Livsforsikring'!G117</f>
        <v>22942134.026310001</v>
      </c>
      <c r="G117" s="165">
        <f t="shared" si="25"/>
        <v>-66.900000000000006</v>
      </c>
      <c r="H117" s="236">
        <f t="shared" si="43"/>
        <v>69234490.974199995</v>
      </c>
      <c r="I117" s="236">
        <f t="shared" si="44"/>
        <v>22942314.98931</v>
      </c>
      <c r="J117" s="23">
        <f t="shared" si="45"/>
        <v>-66.900000000000006</v>
      </c>
    </row>
    <row r="118" spans="1:10" ht="15.75" customHeight="1" x14ac:dyDescent="0.2">
      <c r="A118" s="21" t="s">
        <v>446</v>
      </c>
      <c r="B118" s="233"/>
      <c r="C118" s="233"/>
      <c r="D118" s="23"/>
      <c r="E118" s="44"/>
      <c r="F118" s="44"/>
      <c r="G118" s="165"/>
      <c r="H118" s="236"/>
      <c r="I118" s="236"/>
      <c r="J118" s="23"/>
    </row>
    <row r="119" spans="1:10" s="43" customFormat="1" ht="15.75" customHeight="1" x14ac:dyDescent="0.2">
      <c r="A119" s="13" t="s">
        <v>428</v>
      </c>
      <c r="B119" s="331">
        <f>'Fremtind Livsforsikring'!B119+'Storebrand Danica Pensjon'!B119+'DNB Livsforsikring'!B119+'Eika Forsikring AS'!B119+'Frende Livsforsikring'!B119+'Frende Skadeforsikring'!B119+'Gjensidige Forsikring'!B119+'Gjensidige Pensjon'!B119+'Handelsbanken Liv'!B119+'If Skadeforsikring NUF'!B119+KLP!B119+'KLP Skadeforsikring AS'!B119+'Landkreditt Forsikring'!B119+'Nordea Liv '!B119+'Oslo Pensjonsforsikring'!B119+'Protector Forsikring'!B119+'SHB Liv'!B119+'Sparebank 1 Forsikring'!B119+'Storebrand Livsforsikring'!B119+'Telenor Forsikring'!B119+'Tryg Forsikring'!B119+'WaterCircles F'!B119+'Codan Forsikring'!B119+'Euro Accident'!B119+'Ly Forsikring'!B119+'Youplus Livsforsikring'!B119</f>
        <v>523329.71695000003</v>
      </c>
      <c r="C119" s="331">
        <f>'Fremtind Livsforsikring'!C119+'Storebrand Danica Pensjon'!C119+'DNB Livsforsikring'!C119+'Eika Forsikring AS'!C119+'Frende Livsforsikring'!C119+'Frende Skadeforsikring'!C119+'Gjensidige Forsikring'!C119+'Gjensidige Pensjon'!C119+'Handelsbanken Liv'!C119+'If Skadeforsikring NUF'!C119+KLP!C119+'KLP Skadeforsikring AS'!C119+'Landkreditt Forsikring'!C119+'Nordea Liv '!C119+'Oslo Pensjonsforsikring'!C119+'Protector Forsikring'!C119+'SHB Liv'!C119+'Sparebank 1 Forsikring'!C119+'Storebrand Livsforsikring'!C119+'Telenor Forsikring'!C119+'Tryg Forsikring'!C119+'WaterCircles F'!C119+'Codan Forsikring'!C119+'Euro Accident'!C119+'Ly Forsikring'!C119+'Youplus Livsforsikring'!C119</f>
        <v>621516.98798999994</v>
      </c>
      <c r="D119" s="24">
        <f t="shared" si="42"/>
        <v>18.8</v>
      </c>
      <c r="E119" s="235">
        <f>'Fremtind Livsforsikring'!F119+'Storebrand Danica Pensjon'!F119+'DNB Livsforsikring'!F119+'Eika Forsikring AS'!F119+'Frende Livsforsikring'!F119+'Frende Skadeforsikring'!F119+'Gjensidige Forsikring'!F119+'Gjensidige Pensjon'!F119+'Handelsbanken Liv'!F119+'If Skadeforsikring NUF'!F119+KLP!F119+'KLP Skadeforsikring AS'!F119+'Landkreditt Forsikring'!F119+'Nordea Liv '!F119+'Oslo Pensjonsforsikring'!F119+'Protector Forsikring'!F119+'SHB Liv'!F119+'Sparebank 1 Forsikring'!F119+'Storebrand Livsforsikring'!F119+'Telenor Forsikring'!F119+'Tryg Forsikring'!F119+'WaterCircles F'!F119+'Codan Forsikring'!F119+'Euro Accident'!F119+'Ly Forsikring'!F119+'Youplus Livsforsikring'!F119</f>
        <v>91246912.412879989</v>
      </c>
      <c r="F119" s="235">
        <f>'Fremtind Livsforsikring'!G119+'Storebrand Danica Pensjon'!G119+'DNB Livsforsikring'!G119+'Eika Forsikring AS'!G119+'Frende Livsforsikring'!G119+'Frende Skadeforsikring'!G119+'Gjensidige Forsikring'!G119+'Gjensidige Pensjon'!G119+'Handelsbanken Liv'!G119+'If Skadeforsikring NUF'!G119+KLP!G119+'KLP Skadeforsikring AS'!G119+'Landkreditt Forsikring'!G119+'Nordea Liv '!G119+'Oslo Pensjonsforsikring'!G119+'Protector Forsikring'!G119+'SHB Liv'!G119+'Sparebank 1 Forsikring'!G119+'Storebrand Livsforsikring'!G119+'Telenor Forsikring'!G119+'Tryg Forsikring'!G119+'WaterCircles F'!G119+'Codan Forsikring'!G119+'Euro Accident'!G119+'Ly Forsikring'!G119+'Youplus Livsforsikring'!G119</f>
        <v>43057254.21841</v>
      </c>
      <c r="G119" s="170">
        <f t="shared" si="25"/>
        <v>-52.8</v>
      </c>
      <c r="H119" s="331">
        <f t="shared" si="43"/>
        <v>91770242.129829988</v>
      </c>
      <c r="I119" s="331">
        <f t="shared" si="44"/>
        <v>43678771.2064</v>
      </c>
      <c r="J119" s="24">
        <f t="shared" si="45"/>
        <v>-52.4</v>
      </c>
    </row>
    <row r="120" spans="1:10" ht="15.75" customHeight="1" x14ac:dyDescent="0.2">
      <c r="A120" s="21" t="s">
        <v>9</v>
      </c>
      <c r="B120" s="236">
        <f>'Fremtind Livsforsikring'!B120+'Storebrand Danica Pensjon'!B120+'DNB Livsforsikring'!B120+'Eika Forsikring AS'!B120+'Frende Livsforsikring'!B120+'Frende Skadeforsikring'!B120+'Gjensidige Forsikring'!B120+'Gjensidige Pensjon'!B120+'Handelsbanken Liv'!B120+'If Skadeforsikring NUF'!B120+KLP!B120+'KLP Skadeforsikring AS'!B120+'Landkreditt Forsikring'!B120+'Nordea Liv '!B120+'Oslo Pensjonsforsikring'!B120+'Protector Forsikring'!B120+'SHB Liv'!B120+'Sparebank 1 Forsikring'!B120+'Storebrand Livsforsikring'!B120+'Telenor Forsikring'!B120+'Tryg Forsikring'!B120+'WaterCircles F'!B120+'Codan Forsikring'!B120+'Euro Accident'!B120+'Ly Forsikring'!B120+'Youplus Livsforsikring'!B120</f>
        <v>354833.07449000003</v>
      </c>
      <c r="C120" s="236">
        <f>'Fremtind Livsforsikring'!C120+'Storebrand Danica Pensjon'!C120+'DNB Livsforsikring'!C120+'Eika Forsikring AS'!C120+'Frende Livsforsikring'!C120+'Frende Skadeforsikring'!C120+'Gjensidige Forsikring'!C120+'Gjensidige Pensjon'!C120+'Handelsbanken Liv'!C120+'If Skadeforsikring NUF'!C120+KLP!C120+'KLP Skadeforsikring AS'!C120+'Landkreditt Forsikring'!C120+'Nordea Liv '!C120+'Oslo Pensjonsforsikring'!C120+'Protector Forsikring'!C120+'SHB Liv'!C120+'Sparebank 1 Forsikring'!C120+'Storebrand Livsforsikring'!C120+'Telenor Forsikring'!C120+'Tryg Forsikring'!C120+'WaterCircles F'!C120+'Codan Forsikring'!C120+'Euro Accident'!C120+'Ly Forsikring'!C120+'Youplus Livsforsikring'!C120</f>
        <v>218106.07498999994</v>
      </c>
      <c r="D120" s="23">
        <f t="shared" si="42"/>
        <v>-38.5</v>
      </c>
      <c r="E120" s="44"/>
      <c r="F120" s="44"/>
      <c r="G120" s="165"/>
      <c r="H120" s="236">
        <f t="shared" si="43"/>
        <v>354833.07449000003</v>
      </c>
      <c r="I120" s="236">
        <f t="shared" si="44"/>
        <v>218106.07498999994</v>
      </c>
      <c r="J120" s="23">
        <f t="shared" si="45"/>
        <v>-38.5</v>
      </c>
    </row>
    <row r="121" spans="1:10" ht="15.75" customHeight="1" x14ac:dyDescent="0.2">
      <c r="A121" s="21" t="s">
        <v>10</v>
      </c>
      <c r="B121" s="236">
        <f>'Fremtind Livsforsikring'!B121+'Storebrand Danica Pensjon'!B121+'DNB Livsforsikring'!B121+'Eika Forsikring AS'!B121+'Frende Livsforsikring'!B121+'Frende Skadeforsikring'!B121+'Gjensidige Forsikring'!B121+'Gjensidige Pensjon'!B121+'Handelsbanken Liv'!B121+'If Skadeforsikring NUF'!B121+KLP!B121+'KLP Skadeforsikring AS'!B121+'Landkreditt Forsikring'!B121+'Nordea Liv '!B121+'Oslo Pensjonsforsikring'!B121+'Protector Forsikring'!B121+'SHB Liv'!B121+'Sparebank 1 Forsikring'!B121+'Storebrand Livsforsikring'!B121+'Telenor Forsikring'!B121+'Tryg Forsikring'!B121+'WaterCircles F'!B121+'Codan Forsikring'!B121+'Euro Accident'!B121+'Ly Forsikring'!B121+'Youplus Livsforsikring'!B121</f>
        <v>13189.386109999999</v>
      </c>
      <c r="C121" s="236">
        <f>'Fremtind Livsforsikring'!C121+'Storebrand Danica Pensjon'!C121+'DNB Livsforsikring'!C121+'Eika Forsikring AS'!C121+'Frende Livsforsikring'!C121+'Frende Skadeforsikring'!C121+'Gjensidige Forsikring'!C121+'Gjensidige Pensjon'!C121+'Handelsbanken Liv'!C121+'If Skadeforsikring NUF'!C121+KLP!C121+'KLP Skadeforsikring AS'!C121+'Landkreditt Forsikring'!C121+'Nordea Liv '!C121+'Oslo Pensjonsforsikring'!C121+'Protector Forsikring'!C121+'SHB Liv'!C121+'Sparebank 1 Forsikring'!C121+'Storebrand Livsforsikring'!C121+'Telenor Forsikring'!C121+'Tryg Forsikring'!C121+'WaterCircles F'!C121+'Codan Forsikring'!C121+'Euro Accident'!C121+'Ly Forsikring'!C121+'Youplus Livsforsikring'!C121</f>
        <v>8168</v>
      </c>
      <c r="D121" s="23">
        <f t="shared" si="42"/>
        <v>-38.1</v>
      </c>
      <c r="E121" s="44">
        <f>'Fremtind Livsforsikring'!F121+'Storebrand Danica Pensjon'!F121+'DNB Livsforsikring'!F121+'Eika Forsikring AS'!F121+'Frende Livsforsikring'!F121+'Frende Skadeforsikring'!F121+'Gjensidige Forsikring'!F121+'Gjensidige Pensjon'!F121+'Handelsbanken Liv'!F121+'If Skadeforsikring NUF'!F121+KLP!F121+'KLP Skadeforsikring AS'!F121+'Landkreditt Forsikring'!F121+'Nordea Liv '!F121+'Oslo Pensjonsforsikring'!F121+'Protector Forsikring'!F121+'SHB Liv'!F121+'Sparebank 1 Forsikring'!F121+'Storebrand Livsforsikring'!F121+'Telenor Forsikring'!F121+'Tryg Forsikring'!F121+'WaterCircles F'!F121+'Codan Forsikring'!F121+'Euro Accident'!F121+'Ly Forsikring'!F121+'Youplus Livsforsikring'!F121</f>
        <v>91246912.412879989</v>
      </c>
      <c r="F121" s="44">
        <f>'Fremtind Livsforsikring'!G121+'Storebrand Danica Pensjon'!G121+'DNB Livsforsikring'!G121+'Eika Forsikring AS'!G121+'Frende Livsforsikring'!G121+'Frende Skadeforsikring'!G121+'Gjensidige Forsikring'!G121+'Gjensidige Pensjon'!G121+'Handelsbanken Liv'!G121+'If Skadeforsikring NUF'!G121+KLP!G121+'KLP Skadeforsikring AS'!G121+'Landkreditt Forsikring'!G121+'Nordea Liv '!G121+'Oslo Pensjonsforsikring'!G121+'Protector Forsikring'!G121+'SHB Liv'!G121+'Sparebank 1 Forsikring'!G121+'Storebrand Livsforsikring'!G121+'Telenor Forsikring'!G121+'Tryg Forsikring'!G121+'WaterCircles F'!G121+'Codan Forsikring'!G121+'Euro Accident'!G121+'Ly Forsikring'!G121+'Youplus Livsforsikring'!G121</f>
        <v>43057254.21841</v>
      </c>
      <c r="G121" s="165">
        <f t="shared" si="25"/>
        <v>-52.8</v>
      </c>
      <c r="H121" s="236">
        <f t="shared" si="43"/>
        <v>91260101.798989981</v>
      </c>
      <c r="I121" s="236">
        <f t="shared" si="44"/>
        <v>43065422.21841</v>
      </c>
      <c r="J121" s="23">
        <f t="shared" si="45"/>
        <v>-52.8</v>
      </c>
    </row>
    <row r="122" spans="1:10" ht="15.75" customHeight="1" x14ac:dyDescent="0.2">
      <c r="A122" s="21" t="s">
        <v>26</v>
      </c>
      <c r="B122" s="236">
        <f>'Fremtind Livsforsikring'!B122+'Storebrand Danica Pensjon'!B122+'DNB Livsforsikring'!B122+'Eika Forsikring AS'!B122+'Frende Livsforsikring'!B122+'Frende Skadeforsikring'!B122+'Gjensidige Forsikring'!B122+'Gjensidige Pensjon'!B122+'Handelsbanken Liv'!B122+'If Skadeforsikring NUF'!B122+KLP!B122+'KLP Skadeforsikring AS'!B122+'Landkreditt Forsikring'!B122+'Nordea Liv '!B122+'Oslo Pensjonsforsikring'!B122+'Protector Forsikring'!B122+'SHB Liv'!B122+'Sparebank 1 Forsikring'!B122+'Storebrand Livsforsikring'!B122+'Telenor Forsikring'!B122+'Tryg Forsikring'!B122+'WaterCircles F'!B122+'Codan Forsikring'!B122+'Euro Accident'!B122+'Ly Forsikring'!B122+'Youplus Livsforsikring'!B122</f>
        <v>155307.25635000001</v>
      </c>
      <c r="C122" s="236">
        <f>'Fremtind Livsforsikring'!C122+'Storebrand Danica Pensjon'!C122+'DNB Livsforsikring'!C122+'Eika Forsikring AS'!C122+'Frende Livsforsikring'!C122+'Frende Skadeforsikring'!C122+'Gjensidige Forsikring'!C122+'Gjensidige Pensjon'!C122+'Handelsbanken Liv'!C122+'If Skadeforsikring NUF'!C122+KLP!C122+'KLP Skadeforsikring AS'!C122+'Landkreditt Forsikring'!C122+'Nordea Liv '!C122+'Oslo Pensjonsforsikring'!C122+'Protector Forsikring'!C122+'SHB Liv'!C122+'Sparebank 1 Forsikring'!C122+'Storebrand Livsforsikring'!C122+'Telenor Forsikring'!C122+'Tryg Forsikring'!C122+'WaterCircles F'!C122+'Codan Forsikring'!C122+'Euro Accident'!C122+'Ly Forsikring'!C122+'Youplus Livsforsikring'!C122</f>
        <v>395242.913</v>
      </c>
      <c r="D122" s="23">
        <f t="shared" si="42"/>
        <v>154.5</v>
      </c>
      <c r="E122" s="44"/>
      <c r="F122" s="44"/>
      <c r="G122" s="165"/>
      <c r="H122" s="236">
        <f t="shared" si="43"/>
        <v>155307.25635000001</v>
      </c>
      <c r="I122" s="236">
        <f t="shared" si="44"/>
        <v>395242.913</v>
      </c>
      <c r="J122" s="23">
        <f t="shared" si="45"/>
        <v>154.5</v>
      </c>
    </row>
    <row r="123" spans="1:10" ht="15.75" customHeight="1" x14ac:dyDescent="0.2">
      <c r="A123" s="299" t="s">
        <v>14</v>
      </c>
      <c r="B123" s="44"/>
      <c r="C123" s="44"/>
      <c r="D123" s="27"/>
      <c r="E123" s="44"/>
      <c r="F123" s="44"/>
      <c r="G123" s="165"/>
      <c r="H123" s="236"/>
      <c r="I123" s="236"/>
      <c r="J123" s="23"/>
    </row>
    <row r="124" spans="1:10" ht="15.75" customHeight="1" x14ac:dyDescent="0.2">
      <c r="A124" s="21" t="s">
        <v>445</v>
      </c>
      <c r="B124" s="236">
        <f>'Fremtind Livsforsikring'!B124+'Storebrand Danica Pensjon'!B124+'DNB Livsforsikring'!B124+'Eika Forsikring AS'!B124+'Frende Livsforsikring'!B124+'Frende Skadeforsikring'!B124+'Gjensidige Forsikring'!B124+'Gjensidige Pensjon'!B124+'Handelsbanken Liv'!B124+'If Skadeforsikring NUF'!B124+KLP!B124+'KLP Skadeforsikring AS'!B124+'Landkreditt Forsikring'!B124+'Nordea Liv '!B124+'Oslo Pensjonsforsikring'!B124+'Protector Forsikring'!B124+'SHB Liv'!B124+'Sparebank 1 Forsikring'!B124+'Storebrand Livsforsikring'!B124+'Telenor Forsikring'!B124+'Tryg Forsikring'!B124+'WaterCircles F'!B124+'Codan Forsikring'!B124+'Euro Accident'!B124+'Ly Forsikring'!B124+'Youplus Livsforsikring'!B124</f>
        <v>38295.925999999999</v>
      </c>
      <c r="C124" s="236">
        <f>'Fremtind Livsforsikring'!C124+'Storebrand Danica Pensjon'!C124+'DNB Livsforsikring'!C124+'Eika Forsikring AS'!C124+'Frende Livsforsikring'!C124+'Frende Skadeforsikring'!C124+'Gjensidige Forsikring'!C124+'Gjensidige Pensjon'!C124+'Handelsbanken Liv'!C124+'If Skadeforsikring NUF'!C124+KLP!C124+'KLP Skadeforsikring AS'!C124+'Landkreditt Forsikring'!C124+'Nordea Liv '!C124+'Oslo Pensjonsforsikring'!C124+'Protector Forsikring'!C124+'SHB Liv'!C124+'Sparebank 1 Forsikring'!C124+'Storebrand Livsforsikring'!C124+'Telenor Forsikring'!C124+'Tryg Forsikring'!C124+'WaterCircles F'!C124+'Codan Forsikring'!C124+'Euro Accident'!C124+'Ly Forsikring'!C124+'Youplus Livsforsikring'!C124</f>
        <v>65399.1</v>
      </c>
      <c r="D124" s="23">
        <f t="shared" si="42"/>
        <v>70.8</v>
      </c>
      <c r="E124" s="44">
        <f>'Fremtind Livsforsikring'!F124+'Storebrand Danica Pensjon'!F124+'DNB Livsforsikring'!F124+'Eika Forsikring AS'!F124+'Frende Livsforsikring'!F124+'Frende Skadeforsikring'!F124+'Gjensidige Forsikring'!F124+'Gjensidige Pensjon'!F124+'Handelsbanken Liv'!F124+'If Skadeforsikring NUF'!F124+KLP!F124+'KLP Skadeforsikring AS'!F124+'Landkreditt Forsikring'!F124+'Nordea Liv '!F124+'Oslo Pensjonsforsikring'!F124+'Protector Forsikring'!F124+'SHB Liv'!F124+'Sparebank 1 Forsikring'!F124+'Storebrand Livsforsikring'!F124+'Telenor Forsikring'!F124+'Tryg Forsikring'!F124+'WaterCircles F'!F124+'Codan Forsikring'!F124+'Euro Accident'!F124+'Ly Forsikring'!F124+'Youplus Livsforsikring'!F124</f>
        <v>45713.642</v>
      </c>
      <c r="F124" s="44">
        <f>'Fremtind Livsforsikring'!G124+'Storebrand Danica Pensjon'!G124+'DNB Livsforsikring'!G124+'Eika Forsikring AS'!G124+'Frende Livsforsikring'!G124+'Frende Skadeforsikring'!G124+'Gjensidige Forsikring'!G124+'Gjensidige Pensjon'!G124+'Handelsbanken Liv'!G124+'If Skadeforsikring NUF'!G124+KLP!G124+'KLP Skadeforsikring AS'!G124+'Landkreditt Forsikring'!G124+'Nordea Liv '!G124+'Oslo Pensjonsforsikring'!G124+'Protector Forsikring'!G124+'SHB Liv'!G124+'Sparebank 1 Forsikring'!G124+'Storebrand Livsforsikring'!G124+'Telenor Forsikring'!G124+'Tryg Forsikring'!G124+'WaterCircles F'!G124+'Codan Forsikring'!G124+'Euro Accident'!G124+'Ly Forsikring'!G124+'Youplus Livsforsikring'!G124</f>
        <v>13877.877</v>
      </c>
      <c r="G124" s="165">
        <f t="shared" si="25"/>
        <v>-69.599999999999994</v>
      </c>
      <c r="H124" s="236">
        <f t="shared" si="43"/>
        <v>84009.567999999999</v>
      </c>
      <c r="I124" s="236">
        <f t="shared" si="44"/>
        <v>79276.976999999999</v>
      </c>
      <c r="J124" s="23">
        <f t="shared" si="45"/>
        <v>-5.6</v>
      </c>
    </row>
    <row r="125" spans="1:10" ht="15.75" customHeight="1" x14ac:dyDescent="0.2">
      <c r="A125" s="38" t="s">
        <v>481</v>
      </c>
      <c r="B125" s="236">
        <f>'Fremtind Livsforsikring'!B125+'Storebrand Danica Pensjon'!B125+'DNB Livsforsikring'!B125+'Eika Forsikring AS'!B125+'Frende Livsforsikring'!B125+'Frende Skadeforsikring'!B125+'Gjensidige Forsikring'!B125+'Gjensidige Pensjon'!B125+'Handelsbanken Liv'!B125+'If Skadeforsikring NUF'!B125+KLP!B125+'KLP Skadeforsikring AS'!B125+'Landkreditt Forsikring'!B125+'Nordea Liv '!B125+'Oslo Pensjonsforsikring'!B125+'Protector Forsikring'!B125+'SHB Liv'!B125+'Sparebank 1 Forsikring'!B125+'Storebrand Livsforsikring'!B125+'Telenor Forsikring'!B125+'Tryg Forsikring'!B125+'WaterCircles F'!B125+'Codan Forsikring'!B125+'Euro Accident'!B125+'Ly Forsikring'!B125+'Youplus Livsforsikring'!B125</f>
        <v>2429.0920900000001</v>
      </c>
      <c r="C125" s="236">
        <f>'Fremtind Livsforsikring'!C125+'Storebrand Danica Pensjon'!C125+'DNB Livsforsikring'!C125+'Eika Forsikring AS'!C125+'Frende Livsforsikring'!C125+'Frende Skadeforsikring'!C125+'Gjensidige Forsikring'!C125+'Gjensidige Pensjon'!C125+'Handelsbanken Liv'!C125+'If Skadeforsikring NUF'!C125+KLP!C125+'KLP Skadeforsikring AS'!C125+'Landkreditt Forsikring'!C125+'Nordea Liv '!C125+'Oslo Pensjonsforsikring'!C125+'Protector Forsikring'!C125+'SHB Liv'!C125+'Sparebank 1 Forsikring'!C125+'Storebrand Livsforsikring'!C125+'Telenor Forsikring'!C125+'Tryg Forsikring'!C125+'WaterCircles F'!C125+'Codan Forsikring'!C125+'Euro Accident'!C125+'Ly Forsikring'!C125+'Youplus Livsforsikring'!C125</f>
        <v>862</v>
      </c>
      <c r="D125" s="23">
        <f t="shared" si="42"/>
        <v>-64.5</v>
      </c>
      <c r="E125" s="44">
        <f>'Fremtind Livsforsikring'!F125+'Storebrand Danica Pensjon'!F125+'DNB Livsforsikring'!F125+'Eika Forsikring AS'!F125+'Frende Livsforsikring'!F125+'Frende Skadeforsikring'!F125+'Gjensidige Forsikring'!F125+'Gjensidige Pensjon'!F125+'Handelsbanken Liv'!F125+'If Skadeforsikring NUF'!F125+KLP!F125+'KLP Skadeforsikring AS'!F125+'Landkreditt Forsikring'!F125+'Nordea Liv '!F125+'Oslo Pensjonsforsikring'!F125+'Protector Forsikring'!F125+'SHB Liv'!F125+'Sparebank 1 Forsikring'!F125+'Storebrand Livsforsikring'!F125+'Telenor Forsikring'!F125+'Tryg Forsikring'!F125+'WaterCircles F'!F125+'Codan Forsikring'!F125+'Euro Accident'!F125+'Ly Forsikring'!F125+'Youplus Livsforsikring'!F125</f>
        <v>72147250.981469989</v>
      </c>
      <c r="F125" s="44">
        <f>'Fremtind Livsforsikring'!G125+'Storebrand Danica Pensjon'!G125+'DNB Livsforsikring'!G125+'Eika Forsikring AS'!G125+'Frende Livsforsikring'!G125+'Frende Skadeforsikring'!G125+'Gjensidige Forsikring'!G125+'Gjensidige Pensjon'!G125+'Handelsbanken Liv'!G125+'If Skadeforsikring NUF'!G125+KLP!G125+'KLP Skadeforsikring AS'!G125+'Landkreditt Forsikring'!G125+'Nordea Liv '!G125+'Oslo Pensjonsforsikring'!G125+'Protector Forsikring'!G125+'SHB Liv'!G125+'Sparebank 1 Forsikring'!G125+'Storebrand Livsforsikring'!G125+'Telenor Forsikring'!G125+'Tryg Forsikring'!G125+'WaterCircles F'!G125+'Codan Forsikring'!G125+'Euro Accident'!G125+'Ly Forsikring'!G125+'Youplus Livsforsikring'!G125</f>
        <v>22448838.926216774</v>
      </c>
      <c r="G125" s="165">
        <f t="shared" si="25"/>
        <v>-68.900000000000006</v>
      </c>
      <c r="H125" s="236">
        <f t="shared" si="43"/>
        <v>72149680.073559985</v>
      </c>
      <c r="I125" s="236">
        <f t="shared" si="44"/>
        <v>22449700.926216774</v>
      </c>
      <c r="J125" s="23">
        <f t="shared" si="45"/>
        <v>-68.900000000000006</v>
      </c>
    </row>
    <row r="126" spans="1:10" ht="15.75" customHeight="1" x14ac:dyDescent="0.2">
      <c r="A126" s="10" t="s">
        <v>446</v>
      </c>
      <c r="B126" s="237">
        <f>'Fremtind Livsforsikring'!B126+'Storebrand Danica Pensjon'!B126+'DNB Livsforsikring'!B126+'Eika Forsikring AS'!B126+'Frende Livsforsikring'!B126+'Frende Skadeforsikring'!B126+'Gjensidige Forsikring'!B126+'Gjensidige Pensjon'!B126+'Handelsbanken Liv'!B126+'If Skadeforsikring NUF'!B126+KLP!B126+'KLP Skadeforsikring AS'!B126+'Landkreditt Forsikring'!B126+'Nordea Liv '!B126+'Oslo Pensjonsforsikring'!B126+'Protector Forsikring'!B126+'SHB Liv'!B126+'Sparebank 1 Forsikring'!B126+'Storebrand Livsforsikring'!B126+'Telenor Forsikring'!B126+'Tryg Forsikring'!B126+'WaterCircles F'!B126+'Codan Forsikring'!B126+'Euro Accident'!B126+'Ly Forsikring'!B126+'Youplus Livsforsikring'!B126</f>
        <v>0</v>
      </c>
      <c r="C126" s="237">
        <f>'Fremtind Livsforsikring'!C126+'Storebrand Danica Pensjon'!C126+'DNB Livsforsikring'!C126+'Eika Forsikring AS'!C126+'Frende Livsforsikring'!C126+'Frende Skadeforsikring'!C126+'Gjensidige Forsikring'!C126+'Gjensidige Pensjon'!C126+'Handelsbanken Liv'!C126+'If Skadeforsikring NUF'!C126+KLP!C126+'KLP Skadeforsikring AS'!C126+'Landkreditt Forsikring'!C126+'Nordea Liv '!C126+'Oslo Pensjonsforsikring'!C126+'Protector Forsikring'!C126+'SHB Liv'!C126+'Sparebank 1 Forsikring'!C126+'Storebrand Livsforsikring'!C126+'Telenor Forsikring'!C126+'Tryg Forsikring'!C126+'WaterCircles F'!C126+'Codan Forsikring'!C126+'Euro Accident'!C126+'Ly Forsikring'!C126+'Youplus Livsforsikring'!C126</f>
        <v>121</v>
      </c>
      <c r="D126" s="22" t="str">
        <f t="shared" si="42"/>
        <v xml:space="preserve">    ---- </v>
      </c>
      <c r="E126" s="45"/>
      <c r="F126" s="45"/>
      <c r="G126" s="166"/>
      <c r="H126" s="237">
        <f t="shared" si="43"/>
        <v>0</v>
      </c>
      <c r="I126" s="238">
        <f t="shared" si="44"/>
        <v>121</v>
      </c>
      <c r="J126" s="22" t="str">
        <f t="shared" si="45"/>
        <v xml:space="preserve">    ---- </v>
      </c>
    </row>
    <row r="127" spans="1:10" ht="15.75" customHeight="1" x14ac:dyDescent="0.2">
      <c r="A127" s="154"/>
    </row>
    <row r="128" spans="1:10" ht="15.75" customHeight="1" x14ac:dyDescent="0.2">
      <c r="A128" s="148"/>
    </row>
    <row r="129" spans="1:10" ht="15.75" customHeight="1" x14ac:dyDescent="0.25">
      <c r="A129" s="164" t="s">
        <v>27</v>
      </c>
    </row>
    <row r="130" spans="1:10" ht="15.75" customHeight="1" x14ac:dyDescent="0.25">
      <c r="A130" s="148"/>
      <c r="B130" s="1006"/>
      <c r="C130" s="1006"/>
      <c r="D130" s="1006"/>
      <c r="E130" s="1006"/>
      <c r="F130" s="1006"/>
      <c r="G130" s="1006"/>
      <c r="H130" s="1006"/>
      <c r="I130" s="1006"/>
      <c r="J130" s="1006"/>
    </row>
    <row r="131" spans="1:10" s="3" customFormat="1" ht="20.100000000000001" customHeight="1" x14ac:dyDescent="0.2">
      <c r="A131" s="143"/>
      <c r="B131" s="1003" t="s">
        <v>0</v>
      </c>
      <c r="C131" s="1004"/>
      <c r="D131" s="1005"/>
      <c r="E131" s="1004" t="s">
        <v>1</v>
      </c>
      <c r="F131" s="1004"/>
      <c r="G131" s="1004"/>
      <c r="H131" s="1003" t="s">
        <v>2</v>
      </c>
      <c r="I131" s="1004"/>
      <c r="J131" s="1005"/>
    </row>
    <row r="132" spans="1:10" s="3" customFormat="1" ht="15.75" customHeight="1" x14ac:dyDescent="0.2">
      <c r="A132" s="139"/>
      <c r="B132" s="252" t="s">
        <v>507</v>
      </c>
      <c r="C132" s="252" t="s">
        <v>508</v>
      </c>
      <c r="D132" s="19" t="s">
        <v>3</v>
      </c>
      <c r="E132" s="252" t="s">
        <v>507</v>
      </c>
      <c r="F132" s="252" t="s">
        <v>508</v>
      </c>
      <c r="G132" s="19" t="s">
        <v>3</v>
      </c>
      <c r="H132" s="252" t="s">
        <v>507</v>
      </c>
      <c r="I132" s="252" t="s">
        <v>508</v>
      </c>
      <c r="J132" s="19" t="s">
        <v>3</v>
      </c>
    </row>
    <row r="133" spans="1:10" s="3" customFormat="1" ht="15.75" customHeight="1" x14ac:dyDescent="0.2">
      <c r="A133" s="979"/>
      <c r="B133" s="15"/>
      <c r="C133" s="15"/>
      <c r="D133" s="17" t="s">
        <v>4</v>
      </c>
      <c r="E133" s="16"/>
      <c r="F133" s="16"/>
      <c r="G133" s="15" t="s">
        <v>4</v>
      </c>
      <c r="H133" s="16"/>
      <c r="I133" s="16"/>
      <c r="J133" s="15" t="s">
        <v>4</v>
      </c>
    </row>
    <row r="134" spans="1:10" s="419" customFormat="1" ht="15.75" customHeight="1" x14ac:dyDescent="0.2">
      <c r="A134" s="14" t="s">
        <v>448</v>
      </c>
      <c r="B134" s="235">
        <f>'Fremtind Livsforsikring'!B134+'Storebrand Danica Pensjon'!B134+'DNB Livsforsikring'!B134+'Eika Forsikring AS'!B134+'Frende Livsforsikring'!B134+'Frende Skadeforsikring'!B134+'Gjensidige Forsikring'!B134+'Gjensidige Pensjon'!B134+'Handelsbanken Liv'!B134+'If Skadeforsikring NUF'!B134+KLP!B134+'KLP Skadeforsikring AS'!B134+'Landkreditt Forsikring'!B134+'Nordea Liv '!B134+'Oslo Pensjonsforsikring'!B134+'Protector Forsikring'!B134+'SHB Liv'!B134+'Sparebank 1 Forsikring'!B134+'Storebrand Livsforsikring'!B134+'Telenor Forsikring'!B134+'Tryg Forsikring'!B134+'WaterCircles F'!B134+'Codan Forsikring'!B134+'Euro Accident'!B134+'Ly Forsikring'!B134+'Youplus Livsforsikring'!B134</f>
        <v>58360698.621179998</v>
      </c>
      <c r="C134" s="235">
        <f>'Fremtind Livsforsikring'!C134+'Storebrand Danica Pensjon'!C134+'DNB Livsforsikring'!C134+'Eika Forsikring AS'!C134+'Frende Livsforsikring'!C134+'Frende Skadeforsikring'!C134+'Gjensidige Forsikring'!C134+'Gjensidige Pensjon'!C134+'Handelsbanken Liv'!C134+'If Skadeforsikring NUF'!C134+KLP!C134+'KLP Skadeforsikring AS'!C134+'Landkreditt Forsikring'!C134+'Nordea Liv '!C134+'Oslo Pensjonsforsikring'!C134+'Protector Forsikring'!C134+'SHB Liv'!C134+'Sparebank 1 Forsikring'!C134+'Storebrand Livsforsikring'!C134+'Telenor Forsikring'!C134+'Tryg Forsikring'!C134+'WaterCircles F'!C134+'Codan Forsikring'!C134+'Euro Accident'!C134+'Ly Forsikring'!C134+'Youplus Livsforsikring'!C134</f>
        <v>59584973.858070001</v>
      </c>
      <c r="D134" s="11">
        <f t="shared" ref="D134:D137" si="46">IF(B134=0, "    ---- ", IF(ABS(ROUND(100/B134*C134-100,1))&lt;999,ROUND(100/B134*C134-100,1),IF(ROUND(100/B134*C134-100,1)&gt;999,999,-999)))</f>
        <v>2.1</v>
      </c>
      <c r="E134" s="235">
        <f>'Fremtind Livsforsikring'!F134+'Storebrand Danica Pensjon'!F134+'DNB Livsforsikring'!F134+'Eika Forsikring AS'!F134+'Frende Livsforsikring'!F134+'Frende Skadeforsikring'!F134+'Gjensidige Forsikring'!F134+'Gjensidige Pensjon'!F134+'Handelsbanken Liv'!F134+'If Skadeforsikring NUF'!F134+KLP!F134+'KLP Skadeforsikring AS'!F134+'Landkreditt Forsikring'!F134+'Nordea Liv '!F134+'Oslo Pensjonsforsikring'!F134+'Protector Forsikring'!F134+'SHB Liv'!F134+'Sparebank 1 Forsikring'!F134+'Storebrand Livsforsikring'!F134+'Telenor Forsikring'!F134+'Tryg Forsikring'!F134+'WaterCircles F'!F134+'Codan Forsikring'!F134+'Euro Accident'!F134+'Ly Forsikring'!F134+'Youplus Livsforsikring'!F134</f>
        <v>135009.071</v>
      </c>
      <c r="F134" s="235">
        <f>'Fremtind Livsforsikring'!G134+'Storebrand Danica Pensjon'!G134+'DNB Livsforsikring'!G134+'Eika Forsikring AS'!G134+'Frende Livsforsikring'!G134+'Frende Skadeforsikring'!G134+'Gjensidige Forsikring'!G134+'Gjensidige Pensjon'!G134+'Handelsbanken Liv'!G134+'If Skadeforsikring NUF'!G134+KLP!G134+'KLP Skadeforsikring AS'!G134+'Landkreditt Forsikring'!G134+'Nordea Liv '!G134+'Oslo Pensjonsforsikring'!G134+'Protector Forsikring'!G134+'SHB Liv'!G134+'Sparebank 1 Forsikring'!G134+'Storebrand Livsforsikring'!G134+'Telenor Forsikring'!G134+'Tryg Forsikring'!G134+'WaterCircles F'!G134+'Codan Forsikring'!G134+'Euro Accident'!G134+'Ly Forsikring'!G134+'Youplus Livsforsikring'!G134</f>
        <v>163946.05499999999</v>
      </c>
      <c r="G134" s="11">
        <f t="shared" ref="G134:G136" si="47">IF(E134=0, "    ---- ", IF(ABS(ROUND(100/E134*F134-100,1))&lt;999,ROUND(100/E134*F134-100,1),IF(ROUND(100/E134*F134-100,1)&gt;999,999,-999)))</f>
        <v>21.4</v>
      </c>
      <c r="H134" s="235">
        <f t="shared" ref="H134:I137" si="48">SUM(B134,E134)</f>
        <v>58495707.69218</v>
      </c>
      <c r="I134" s="235">
        <f t="shared" si="48"/>
        <v>59748919.913070001</v>
      </c>
      <c r="J134" s="11">
        <f t="shared" ref="J134:J137" si="49">IF(H134=0, "    ---- ", IF(ABS(ROUND(100/H134*I134-100,1))&lt;999,ROUND(100/H134*I134-100,1),IF(ROUND(100/H134*I134-100,1)&gt;999,999,-999)))</f>
        <v>2.1</v>
      </c>
    </row>
    <row r="135" spans="1:10" s="419" customFormat="1" ht="15.75" customHeight="1" x14ac:dyDescent="0.2">
      <c r="A135" s="13" t="s">
        <v>449</v>
      </c>
      <c r="B135" s="235">
        <f>'Fremtind Livsforsikring'!B135+'Storebrand Danica Pensjon'!B135+'DNB Livsforsikring'!B135+'Eika Forsikring AS'!B135+'Frende Livsforsikring'!B135+'Frende Skadeforsikring'!B135+'Gjensidige Forsikring'!B135+'Gjensidige Pensjon'!B135+'Handelsbanken Liv'!B135+'If Skadeforsikring NUF'!B135+KLP!B135+'KLP Skadeforsikring AS'!B135+'Landkreditt Forsikring'!B135+'Nordea Liv '!B135+'Oslo Pensjonsforsikring'!B135+'Protector Forsikring'!B135+'SHB Liv'!B135+'Sparebank 1 Forsikring'!B135+'Storebrand Livsforsikring'!B135+'Telenor Forsikring'!B135+'Tryg Forsikring'!B135+'WaterCircles F'!B135+'Codan Forsikring'!B135+'Euro Accident'!B135+'Ly Forsikring'!B135+'Youplus Livsforsikring'!B135</f>
        <v>688221513.67905998</v>
      </c>
      <c r="C135" s="235">
        <f>'Fremtind Livsforsikring'!C135+'Storebrand Danica Pensjon'!C135+'DNB Livsforsikring'!C135+'Eika Forsikring AS'!C135+'Frende Livsforsikring'!C135+'Frende Skadeforsikring'!C135+'Gjensidige Forsikring'!C135+'Gjensidige Pensjon'!C135+'Handelsbanken Liv'!C135+'If Skadeforsikring NUF'!C135+KLP!C135+'KLP Skadeforsikring AS'!C135+'Landkreditt Forsikring'!C135+'Nordea Liv '!C135+'Oslo Pensjonsforsikring'!C135+'Protector Forsikring'!C135+'SHB Liv'!C135+'Sparebank 1 Forsikring'!C135+'Storebrand Livsforsikring'!C135+'Telenor Forsikring'!C135+'Tryg Forsikring'!C135+'WaterCircles F'!C135+'Codan Forsikring'!C135+'Euro Accident'!C135+'Ly Forsikring'!C135+'Youplus Livsforsikring'!C135</f>
        <v>774163481.39103997</v>
      </c>
      <c r="D135" s="11">
        <f t="shared" si="46"/>
        <v>12.5</v>
      </c>
      <c r="E135" s="235">
        <f>'Fremtind Livsforsikring'!F135+'Storebrand Danica Pensjon'!F135+'DNB Livsforsikring'!F135+'Eika Forsikring AS'!F135+'Frende Livsforsikring'!F135+'Frende Skadeforsikring'!F135+'Gjensidige Forsikring'!F135+'Gjensidige Pensjon'!F135+'Handelsbanken Liv'!F135+'If Skadeforsikring NUF'!F135+KLP!F135+'KLP Skadeforsikring AS'!F135+'Landkreditt Forsikring'!F135+'Nordea Liv '!F135+'Oslo Pensjonsforsikring'!F135+'Protector Forsikring'!F135+'SHB Liv'!F135+'Sparebank 1 Forsikring'!F135+'Storebrand Livsforsikring'!F135+'Telenor Forsikring'!F135+'Tryg Forsikring'!F135+'WaterCircles F'!F135+'Codan Forsikring'!F135+'Euro Accident'!F135+'Ly Forsikring'!F135+'Youplus Livsforsikring'!F135</f>
        <v>2234333.4679299998</v>
      </c>
      <c r="F135" s="235">
        <f>'Fremtind Livsforsikring'!G135+'Storebrand Danica Pensjon'!G135+'DNB Livsforsikring'!G135+'Eika Forsikring AS'!G135+'Frende Livsforsikring'!G135+'Frende Skadeforsikring'!G135+'Gjensidige Forsikring'!G135+'Gjensidige Pensjon'!G135+'Handelsbanken Liv'!G135+'If Skadeforsikring NUF'!G135+KLP!G135+'KLP Skadeforsikring AS'!G135+'Landkreditt Forsikring'!G135+'Nordea Liv '!G135+'Oslo Pensjonsforsikring'!G135+'Protector Forsikring'!G135+'SHB Liv'!G135+'Sparebank 1 Forsikring'!G135+'Storebrand Livsforsikring'!G135+'Telenor Forsikring'!G135+'Tryg Forsikring'!G135+'WaterCircles F'!G135+'Codan Forsikring'!G135+'Euro Accident'!G135+'Ly Forsikring'!G135+'Youplus Livsforsikring'!G135</f>
        <v>2551713.4049300002</v>
      </c>
      <c r="G135" s="11">
        <f t="shared" si="47"/>
        <v>14.2</v>
      </c>
      <c r="H135" s="235">
        <f t="shared" si="48"/>
        <v>690455847.14698994</v>
      </c>
      <c r="I135" s="235">
        <f t="shared" si="48"/>
        <v>776715194.79596996</v>
      </c>
      <c r="J135" s="11">
        <f t="shared" si="49"/>
        <v>12.5</v>
      </c>
    </row>
    <row r="136" spans="1:10" s="419" customFormat="1" ht="15.75" customHeight="1" x14ac:dyDescent="0.2">
      <c r="A136" s="13" t="s">
        <v>450</v>
      </c>
      <c r="B136" s="235">
        <f>'Fremtind Livsforsikring'!B136+'Storebrand Danica Pensjon'!B136+'DNB Livsforsikring'!B136+'Eika Forsikring AS'!B136+'Frende Livsforsikring'!B136+'Frende Skadeforsikring'!B136+'Gjensidige Forsikring'!B136+'Gjensidige Pensjon'!B136+'Handelsbanken Liv'!B136+'If Skadeforsikring NUF'!B136+KLP!B136+'KLP Skadeforsikring AS'!B136+'Landkreditt Forsikring'!B136+'Nordea Liv '!B136+'Oslo Pensjonsforsikring'!B136+'Protector Forsikring'!B136+'SHB Liv'!B136+'Sparebank 1 Forsikring'!B136+'Storebrand Livsforsikring'!B136+'Telenor Forsikring'!B136+'Tryg Forsikring'!B136+'WaterCircles F'!B136+'Codan Forsikring'!B136+'Euro Accident'!B136+'Ly Forsikring'!B136+'Youplus Livsforsikring'!B136</f>
        <v>6847377.0180000002</v>
      </c>
      <c r="C136" s="235">
        <f>'Fremtind Livsforsikring'!C136+'Storebrand Danica Pensjon'!C136+'DNB Livsforsikring'!C136+'Eika Forsikring AS'!C136+'Frende Livsforsikring'!C136+'Frende Skadeforsikring'!C136+'Gjensidige Forsikring'!C136+'Gjensidige Pensjon'!C136+'Handelsbanken Liv'!C136+'If Skadeforsikring NUF'!C136+KLP!C136+'KLP Skadeforsikring AS'!C136+'Landkreditt Forsikring'!C136+'Nordea Liv '!C136+'Oslo Pensjonsforsikring'!C136+'Protector Forsikring'!C136+'SHB Liv'!C136+'Sparebank 1 Forsikring'!C136+'Storebrand Livsforsikring'!C136+'Telenor Forsikring'!C136+'Tryg Forsikring'!C136+'WaterCircles F'!C136+'Codan Forsikring'!C136+'Euro Accident'!C136+'Ly Forsikring'!C136+'Youplus Livsforsikring'!C136</f>
        <v>3476569.7</v>
      </c>
      <c r="D136" s="11">
        <f t="shared" si="46"/>
        <v>-49.2</v>
      </c>
      <c r="E136" s="235">
        <f>'Fremtind Livsforsikring'!F136+'Storebrand Danica Pensjon'!F136+'DNB Livsforsikring'!F136+'Eika Forsikring AS'!F136+'Frende Livsforsikring'!F136+'Frende Skadeforsikring'!F136+'Gjensidige Forsikring'!F136+'Gjensidige Pensjon'!F136+'Handelsbanken Liv'!F136+'If Skadeforsikring NUF'!F136+KLP!F136+'KLP Skadeforsikring AS'!F136+'Landkreditt Forsikring'!F136+'Nordea Liv '!F136+'Oslo Pensjonsforsikring'!F136+'Protector Forsikring'!F136+'SHB Liv'!F136+'Sparebank 1 Forsikring'!F136+'Storebrand Livsforsikring'!F136+'Telenor Forsikring'!F136+'Tryg Forsikring'!F136+'WaterCircles F'!F136+'Codan Forsikring'!F136+'Euro Accident'!F136+'Ly Forsikring'!F136+'Youplus Livsforsikring'!F136</f>
        <v>0</v>
      </c>
      <c r="F136" s="235">
        <f>'Fremtind Livsforsikring'!G136+'Storebrand Danica Pensjon'!G136+'DNB Livsforsikring'!G136+'Eika Forsikring AS'!G136+'Frende Livsforsikring'!G136+'Frende Skadeforsikring'!G136+'Gjensidige Forsikring'!G136+'Gjensidige Pensjon'!G136+'Handelsbanken Liv'!G136+'If Skadeforsikring NUF'!G136+KLP!G136+'KLP Skadeforsikring AS'!G136+'Landkreditt Forsikring'!G136+'Nordea Liv '!G136+'Oslo Pensjonsforsikring'!G136+'Protector Forsikring'!G136+'SHB Liv'!G136+'Sparebank 1 Forsikring'!G136+'Storebrand Livsforsikring'!G136+'Telenor Forsikring'!G136+'Tryg Forsikring'!G136+'WaterCircles F'!G136+'Codan Forsikring'!G136+'Euro Accident'!G136+'Ly Forsikring'!G136+'Youplus Livsforsikring'!G136</f>
        <v>376337.44099999999</v>
      </c>
      <c r="G136" s="11" t="str">
        <f t="shared" si="47"/>
        <v xml:space="preserve">    ---- </v>
      </c>
      <c r="H136" s="235">
        <f t="shared" si="48"/>
        <v>6847377.0180000002</v>
      </c>
      <c r="I136" s="235">
        <f t="shared" si="48"/>
        <v>3852907.1410000003</v>
      </c>
      <c r="J136" s="11">
        <f t="shared" si="49"/>
        <v>-43.7</v>
      </c>
    </row>
    <row r="137" spans="1:10" s="419" customFormat="1" ht="15.75" customHeight="1" x14ac:dyDescent="0.2">
      <c r="A137" s="41" t="s">
        <v>451</v>
      </c>
      <c r="B137" s="279">
        <f>'Fremtind Livsforsikring'!B137+'Storebrand Danica Pensjon'!B137+'DNB Livsforsikring'!B137+'Eika Forsikring AS'!B137+'Frende Livsforsikring'!B137+'Frende Skadeforsikring'!B137+'Gjensidige Forsikring'!B137+'Gjensidige Pensjon'!B137+'Handelsbanken Liv'!B137+'If Skadeforsikring NUF'!B137+KLP!B137+'KLP Skadeforsikring AS'!B137+'Landkreditt Forsikring'!B137+'Nordea Liv '!B137+'Oslo Pensjonsforsikring'!B137+'Protector Forsikring'!B137+'SHB Liv'!B137+'Sparebank 1 Forsikring'!B137+'Storebrand Livsforsikring'!B137+'Telenor Forsikring'!B137+'Tryg Forsikring'!B137+'WaterCircles F'!B137+'Codan Forsikring'!B137+'Euro Accident'!B137+'Ly Forsikring'!B137+'Youplus Livsforsikring'!B137</f>
        <v>8346122.3590000002</v>
      </c>
      <c r="C137" s="279">
        <f>'Fremtind Livsforsikring'!C137+'Storebrand Danica Pensjon'!C137+'DNB Livsforsikring'!C137+'Eika Forsikring AS'!C137+'Frende Livsforsikring'!C137+'Frende Skadeforsikring'!C137+'Gjensidige Forsikring'!C137+'Gjensidige Pensjon'!C137+'Handelsbanken Liv'!C137+'If Skadeforsikring NUF'!C137+KLP!C137+'KLP Skadeforsikring AS'!C137+'Landkreditt Forsikring'!C137+'Nordea Liv '!C137+'Oslo Pensjonsforsikring'!C137+'Protector Forsikring'!C137+'SHB Liv'!C137+'Sparebank 1 Forsikring'!C137+'Storebrand Livsforsikring'!C137+'Telenor Forsikring'!C137+'Tryg Forsikring'!C137+'WaterCircles F'!C137+'Codan Forsikring'!C137+'Euro Accident'!C137+'Ly Forsikring'!C137+'Youplus Livsforsikring'!C137</f>
        <v>4669160.3899999997</v>
      </c>
      <c r="D137" s="9">
        <f t="shared" si="46"/>
        <v>-44.1</v>
      </c>
      <c r="E137" s="279"/>
      <c r="F137" s="279"/>
      <c r="G137" s="9"/>
      <c r="H137" s="279">
        <f t="shared" si="48"/>
        <v>8346122.3590000002</v>
      </c>
      <c r="I137" s="279">
        <f t="shared" si="48"/>
        <v>4669160.3899999997</v>
      </c>
      <c r="J137" s="9">
        <f t="shared" si="49"/>
        <v>-44.1</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01:I106">
    <cfRule type="expression" dxfId="2520" priority="64">
      <formula>kvartal&lt;4</formula>
    </cfRule>
  </conditionalFormatting>
  <conditionalFormatting sqref="H69:I74">
    <cfRule type="expression" dxfId="2519" priority="72">
      <formula>kvartal&lt;4</formula>
    </cfRule>
  </conditionalFormatting>
  <conditionalFormatting sqref="H80:I85">
    <cfRule type="expression" dxfId="2518" priority="69">
      <formula>kvartal&lt;4</formula>
    </cfRule>
  </conditionalFormatting>
  <conditionalFormatting sqref="H90:I95">
    <cfRule type="expression" dxfId="2517" priority="65">
      <formula>kvartal&lt;4</formula>
    </cfRule>
  </conditionalFormatting>
  <conditionalFormatting sqref="H115:I115">
    <cfRule type="expression" dxfId="2516" priority="63">
      <formula>kvartal&lt;4</formula>
    </cfRule>
  </conditionalFormatting>
  <conditionalFormatting sqref="H123:I123">
    <cfRule type="expression" dxfId="2515" priority="62">
      <formula>kvartal&lt;4</formula>
    </cfRule>
  </conditionalFormatting>
  <conditionalFormatting sqref="A50:A52">
    <cfRule type="expression" dxfId="2514" priority="58">
      <formula>kvartal &lt; 4</formula>
    </cfRule>
  </conditionalFormatting>
  <conditionalFormatting sqref="A69:A74">
    <cfRule type="expression" dxfId="2513" priority="56">
      <formula>kvartal &lt; 4</formula>
    </cfRule>
  </conditionalFormatting>
  <conditionalFormatting sqref="A80:A85">
    <cfRule type="expression" dxfId="2512" priority="55">
      <formula>kvartal &lt; 4</formula>
    </cfRule>
  </conditionalFormatting>
  <conditionalFormatting sqref="A90:A95">
    <cfRule type="expression" dxfId="2511" priority="52">
      <formula>kvartal &lt; 4</formula>
    </cfRule>
  </conditionalFormatting>
  <conditionalFormatting sqref="A101:A106">
    <cfRule type="expression" dxfId="2510" priority="51">
      <formula>kvartal &lt; 4</formula>
    </cfRule>
  </conditionalFormatting>
  <conditionalFormatting sqref="A115">
    <cfRule type="expression" dxfId="2509" priority="50">
      <formula>kvartal &lt; 4</formula>
    </cfRule>
  </conditionalFormatting>
  <conditionalFormatting sqref="A123">
    <cfRule type="expression" dxfId="2508" priority="49">
      <formula>kvartal &lt; 4</formula>
    </cfRule>
  </conditionalFormatting>
  <conditionalFormatting sqref="B50:B52">
    <cfRule type="expression" dxfId="2507" priority="42">
      <formula>kvartal&lt;4</formula>
    </cfRule>
  </conditionalFormatting>
  <conditionalFormatting sqref="B69">
    <cfRule type="expression" dxfId="2506" priority="40">
      <formula>kvartal&lt;4</formula>
    </cfRule>
  </conditionalFormatting>
  <conditionalFormatting sqref="B72">
    <cfRule type="expression" dxfId="2505" priority="39">
      <formula>kvartal&lt;4</formula>
    </cfRule>
  </conditionalFormatting>
  <conditionalFormatting sqref="B80">
    <cfRule type="expression" dxfId="2504" priority="38">
      <formula>kvartal&lt;4</formula>
    </cfRule>
  </conditionalFormatting>
  <conditionalFormatting sqref="B83">
    <cfRule type="expression" dxfId="2503" priority="37">
      <formula>kvartal&lt;4</formula>
    </cfRule>
  </conditionalFormatting>
  <conditionalFormatting sqref="B90">
    <cfRule type="expression" dxfId="2502" priority="32">
      <formula>kvartal&lt;4</formula>
    </cfRule>
  </conditionalFormatting>
  <conditionalFormatting sqref="B93">
    <cfRule type="expression" dxfId="2501" priority="31">
      <formula>kvartal&lt;4</formula>
    </cfRule>
  </conditionalFormatting>
  <conditionalFormatting sqref="B101">
    <cfRule type="expression" dxfId="2500" priority="30">
      <formula>kvartal&lt;4</formula>
    </cfRule>
  </conditionalFormatting>
  <conditionalFormatting sqref="B104">
    <cfRule type="expression" dxfId="2499" priority="29">
      <formula>kvartal&lt;4</formula>
    </cfRule>
  </conditionalFormatting>
  <conditionalFormatting sqref="B115">
    <cfRule type="expression" dxfId="2498" priority="28">
      <formula>kvartal&lt;4</formula>
    </cfRule>
  </conditionalFormatting>
  <conditionalFormatting sqref="B123">
    <cfRule type="expression" dxfId="2497" priority="27">
      <formula>kvartal&lt;4</formula>
    </cfRule>
  </conditionalFormatting>
  <conditionalFormatting sqref="E69:E74">
    <cfRule type="expression" dxfId="2496" priority="26">
      <formula>kvartal&lt;4</formula>
    </cfRule>
  </conditionalFormatting>
  <conditionalFormatting sqref="E80:E85">
    <cfRule type="expression" dxfId="2495" priority="25">
      <formula>kvartal&lt;4</formula>
    </cfRule>
  </conditionalFormatting>
  <conditionalFormatting sqref="E90:E95">
    <cfRule type="expression" dxfId="2494" priority="22">
      <formula>kvartal&lt;4</formula>
    </cfRule>
  </conditionalFormatting>
  <conditionalFormatting sqref="E104:E106">
    <cfRule type="expression" dxfId="2493" priority="21">
      <formula>kvartal&lt;4</formula>
    </cfRule>
  </conditionalFormatting>
  <conditionalFormatting sqref="E115">
    <cfRule type="expression" dxfId="2492" priority="20">
      <formula>kvartal&lt;4</formula>
    </cfRule>
  </conditionalFormatting>
  <conditionalFormatting sqref="E123">
    <cfRule type="expression" dxfId="2491" priority="19">
      <formula>kvartal&lt;4</formula>
    </cfRule>
  </conditionalFormatting>
  <conditionalFormatting sqref="F123">
    <cfRule type="expression" dxfId="2490" priority="1">
      <formula>kvartal&lt;4</formula>
    </cfRule>
  </conditionalFormatting>
  <conditionalFormatting sqref="C50:C52">
    <cfRule type="expression" dxfId="2489" priority="17">
      <formula>kvartal&lt;4</formula>
    </cfRule>
  </conditionalFormatting>
  <conditionalFormatting sqref="C69">
    <cfRule type="expression" dxfId="2488" priority="16">
      <formula>kvartal&lt;4</formula>
    </cfRule>
  </conditionalFormatting>
  <conditionalFormatting sqref="C72">
    <cfRule type="expression" dxfId="2487" priority="15">
      <formula>kvartal&lt;4</formula>
    </cfRule>
  </conditionalFormatting>
  <conditionalFormatting sqref="C80">
    <cfRule type="expression" dxfId="2486" priority="14">
      <formula>kvartal&lt;4</formula>
    </cfRule>
  </conditionalFormatting>
  <conditionalFormatting sqref="C83">
    <cfRule type="expression" dxfId="2485" priority="13">
      <formula>kvartal&lt;4</formula>
    </cfRule>
  </conditionalFormatting>
  <conditionalFormatting sqref="C90">
    <cfRule type="expression" dxfId="2484" priority="12">
      <formula>kvartal&lt;4</formula>
    </cfRule>
  </conditionalFormatting>
  <conditionalFormatting sqref="C93">
    <cfRule type="expression" dxfId="2483" priority="11">
      <formula>kvartal&lt;4</formula>
    </cfRule>
  </conditionalFormatting>
  <conditionalFormatting sqref="C101">
    <cfRule type="expression" dxfId="2482" priority="10">
      <formula>kvartal&lt;4</formula>
    </cfRule>
  </conditionalFormatting>
  <conditionalFormatting sqref="C104">
    <cfRule type="expression" dxfId="2481" priority="9">
      <formula>kvartal&lt;4</formula>
    </cfRule>
  </conditionalFormatting>
  <conditionalFormatting sqref="C115">
    <cfRule type="expression" dxfId="2480" priority="8">
      <formula>kvartal&lt;4</formula>
    </cfRule>
  </conditionalFormatting>
  <conditionalFormatting sqref="C123">
    <cfRule type="expression" dxfId="2479" priority="7">
      <formula>kvartal&lt;4</formula>
    </cfRule>
  </conditionalFormatting>
  <conditionalFormatting sqref="F69:F74">
    <cfRule type="expression" dxfId="2478" priority="6">
      <formula>kvartal&lt;4</formula>
    </cfRule>
  </conditionalFormatting>
  <conditionalFormatting sqref="F80:F85">
    <cfRule type="expression" dxfId="2477" priority="5">
      <formula>kvartal&lt;4</formula>
    </cfRule>
  </conditionalFormatting>
  <conditionalFormatting sqref="F90:F95">
    <cfRule type="expression" dxfId="2476" priority="4">
      <formula>kvartal&lt;4</formula>
    </cfRule>
  </conditionalFormatting>
  <conditionalFormatting sqref="F104:F106">
    <cfRule type="expression" dxfId="2475" priority="3">
      <formula>kvartal&lt;4</formula>
    </cfRule>
  </conditionalFormatting>
  <conditionalFormatting sqref="F115">
    <cfRule type="expression" dxfId="2474" priority="2">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B19-5AA5-4C19-88FF-6DC20058C969}">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471</v>
      </c>
      <c r="D1" s="26"/>
      <c r="E1" s="26"/>
      <c r="F1" s="26"/>
      <c r="G1" s="26"/>
      <c r="H1" s="26"/>
      <c r="I1" s="26"/>
      <c r="J1" s="26"/>
      <c r="K1" s="26"/>
      <c r="L1" s="26"/>
      <c r="M1" s="26"/>
    </row>
    <row r="2" spans="1:14" ht="15.75" x14ac:dyDescent="0.25">
      <c r="A2" s="164" t="s">
        <v>28</v>
      </c>
      <c r="B2" s="1008"/>
      <c r="C2" s="1008"/>
      <c r="D2" s="1008"/>
      <c r="E2" s="789"/>
      <c r="F2" s="1009"/>
      <c r="G2" s="1009"/>
      <c r="H2" s="1009"/>
      <c r="I2" s="789"/>
      <c r="J2" s="1008"/>
      <c r="K2" s="1008"/>
      <c r="L2" s="1008"/>
      <c r="M2" s="789"/>
    </row>
    <row r="3" spans="1:14" ht="15.75" x14ac:dyDescent="0.25">
      <c r="A3" s="162"/>
      <c r="B3" s="789"/>
      <c r="C3" s="789"/>
      <c r="D3" s="789"/>
      <c r="E3" s="789"/>
      <c r="F3" s="789"/>
      <c r="G3" s="789"/>
      <c r="H3" s="789"/>
      <c r="I3" s="789"/>
      <c r="J3" s="789"/>
      <c r="K3" s="789"/>
      <c r="L3" s="789"/>
      <c r="M3" s="789"/>
    </row>
    <row r="4" spans="1:14" x14ac:dyDescent="0.2">
      <c r="A4" s="143"/>
      <c r="B4" s="1010" t="s">
        <v>0</v>
      </c>
      <c r="C4" s="1011"/>
      <c r="D4" s="1011"/>
      <c r="E4" s="787"/>
      <c r="F4" s="1010" t="s">
        <v>1</v>
      </c>
      <c r="G4" s="1011"/>
      <c r="H4" s="1011"/>
      <c r="I4" s="788"/>
      <c r="J4" s="1010" t="s">
        <v>2</v>
      </c>
      <c r="K4" s="1011"/>
      <c r="L4" s="1011"/>
      <c r="M4" s="788"/>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c r="C7" s="310"/>
      <c r="D7" s="351"/>
      <c r="E7" s="11"/>
      <c r="F7" s="309"/>
      <c r="G7" s="310"/>
      <c r="H7" s="351"/>
      <c r="I7" s="159"/>
      <c r="J7" s="311"/>
      <c r="K7" s="312"/>
      <c r="L7" s="425"/>
      <c r="M7" s="11"/>
    </row>
    <row r="8" spans="1:14" ht="15.75" x14ac:dyDescent="0.2">
      <c r="A8" s="21" t="s">
        <v>25</v>
      </c>
      <c r="B8" s="284"/>
      <c r="C8" s="285"/>
      <c r="D8" s="165"/>
      <c r="E8" s="27"/>
      <c r="F8" s="288"/>
      <c r="G8" s="289"/>
      <c r="H8" s="165"/>
      <c r="I8" s="175"/>
      <c r="J8" s="233"/>
      <c r="K8" s="290"/>
      <c r="L8" s="165"/>
      <c r="M8" s="27"/>
    </row>
    <row r="9" spans="1:14" ht="15.75" x14ac:dyDescent="0.2">
      <c r="A9" s="21" t="s">
        <v>24</v>
      </c>
      <c r="B9" s="284"/>
      <c r="C9" s="285"/>
      <c r="D9" s="165"/>
      <c r="E9" s="27"/>
      <c r="F9" s="288"/>
      <c r="G9" s="289"/>
      <c r="H9" s="165"/>
      <c r="I9" s="175"/>
      <c r="J9" s="233"/>
      <c r="K9" s="290"/>
      <c r="L9" s="165"/>
      <c r="M9" s="27"/>
    </row>
    <row r="10" spans="1:14" ht="15.75" x14ac:dyDescent="0.2">
      <c r="A10" s="13" t="s">
        <v>426</v>
      </c>
      <c r="B10" s="313"/>
      <c r="C10" s="314"/>
      <c r="D10" s="170"/>
      <c r="E10" s="11"/>
      <c r="F10" s="313"/>
      <c r="G10" s="314"/>
      <c r="H10" s="170"/>
      <c r="I10" s="159"/>
      <c r="J10" s="311"/>
      <c r="K10" s="312"/>
      <c r="L10" s="426"/>
      <c r="M10" s="11"/>
    </row>
    <row r="11" spans="1:14" s="43" customFormat="1" ht="15.75" x14ac:dyDescent="0.2">
      <c r="A11" s="13" t="s">
        <v>427</v>
      </c>
      <c r="B11" s="313"/>
      <c r="C11" s="314"/>
      <c r="D11" s="170"/>
      <c r="E11" s="11"/>
      <c r="F11" s="313"/>
      <c r="G11" s="314"/>
      <c r="H11" s="170"/>
      <c r="I11" s="159"/>
      <c r="J11" s="311"/>
      <c r="K11" s="312"/>
      <c r="L11" s="426"/>
      <c r="M11" s="11"/>
      <c r="N11" s="142"/>
    </row>
    <row r="12" spans="1:14" s="43" customFormat="1" ht="15.75" x14ac:dyDescent="0.2">
      <c r="A12" s="41" t="s">
        <v>428</v>
      </c>
      <c r="B12" s="315"/>
      <c r="C12" s="316"/>
      <c r="D12" s="168"/>
      <c r="E12" s="36"/>
      <c r="F12" s="315"/>
      <c r="G12" s="316"/>
      <c r="H12" s="168"/>
      <c r="I12" s="168"/>
      <c r="J12" s="317"/>
      <c r="K12" s="318"/>
      <c r="L12" s="427"/>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789"/>
      <c r="F18" s="1012"/>
      <c r="G18" s="1012"/>
      <c r="H18" s="1012"/>
      <c r="I18" s="789"/>
      <c r="J18" s="1012"/>
      <c r="K18" s="1012"/>
      <c r="L18" s="1012"/>
      <c r="M18" s="789"/>
    </row>
    <row r="19" spans="1:14" x14ac:dyDescent="0.2">
      <c r="A19" s="143"/>
      <c r="B19" s="1010" t="s">
        <v>0</v>
      </c>
      <c r="C19" s="1011"/>
      <c r="D19" s="1011"/>
      <c r="E19" s="787"/>
      <c r="F19" s="1010" t="s">
        <v>1</v>
      </c>
      <c r="G19" s="1011"/>
      <c r="H19" s="1011"/>
      <c r="I19" s="788"/>
      <c r="J19" s="1010" t="s">
        <v>2</v>
      </c>
      <c r="K19" s="1011"/>
      <c r="L19" s="1011"/>
      <c r="M19" s="788"/>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415" t="s">
        <v>30</v>
      </c>
      <c r="F21" s="160"/>
      <c r="G21" s="160"/>
      <c r="H21" s="245" t="s">
        <v>4</v>
      </c>
      <c r="I21" s="155" t="s">
        <v>30</v>
      </c>
      <c r="J21" s="160"/>
      <c r="K21" s="160"/>
      <c r="L21" s="155" t="s">
        <v>4</v>
      </c>
      <c r="M21" s="155" t="s">
        <v>30</v>
      </c>
    </row>
    <row r="22" spans="1:14" ht="15.75" x14ac:dyDescent="0.2">
      <c r="A22" s="14" t="s">
        <v>23</v>
      </c>
      <c r="B22" s="313"/>
      <c r="C22" s="313"/>
      <c r="D22" s="351"/>
      <c r="E22" s="11"/>
      <c r="F22" s="321"/>
      <c r="G22" s="321"/>
      <c r="H22" s="351"/>
      <c r="I22" s="159"/>
      <c r="J22" s="319"/>
      <c r="K22" s="319"/>
      <c r="L22" s="425"/>
      <c r="M22" s="24"/>
    </row>
    <row r="23" spans="1:14" ht="15.75" x14ac:dyDescent="0.2">
      <c r="A23" s="723" t="s">
        <v>429</v>
      </c>
      <c r="B23" s="284"/>
      <c r="C23" s="284"/>
      <c r="D23" s="165"/>
      <c r="E23" s="11"/>
      <c r="F23" s="293"/>
      <c r="G23" s="293"/>
      <c r="H23" s="165"/>
      <c r="I23" s="239"/>
      <c r="J23" s="293"/>
      <c r="K23" s="293"/>
      <c r="L23" s="165"/>
      <c r="M23" s="23"/>
    </row>
    <row r="24" spans="1:14" ht="15.75" x14ac:dyDescent="0.2">
      <c r="A24" s="723" t="s">
        <v>430</v>
      </c>
      <c r="B24" s="284"/>
      <c r="C24" s="284"/>
      <c r="D24" s="165"/>
      <c r="E24" s="11"/>
      <c r="F24" s="293"/>
      <c r="G24" s="293"/>
      <c r="H24" s="165"/>
      <c r="I24" s="239"/>
      <c r="J24" s="293"/>
      <c r="K24" s="293"/>
      <c r="L24" s="165"/>
      <c r="M24" s="23"/>
    </row>
    <row r="25" spans="1:14" ht="15.75" x14ac:dyDescent="0.2">
      <c r="A25" s="723" t="s">
        <v>431</v>
      </c>
      <c r="B25" s="284"/>
      <c r="C25" s="284"/>
      <c r="D25" s="165"/>
      <c r="E25" s="11"/>
      <c r="F25" s="293"/>
      <c r="G25" s="293"/>
      <c r="H25" s="165"/>
      <c r="I25" s="239"/>
      <c r="J25" s="293"/>
      <c r="K25" s="293"/>
      <c r="L25" s="165"/>
      <c r="M25" s="23"/>
    </row>
    <row r="26" spans="1:14" ht="15.75" x14ac:dyDescent="0.2">
      <c r="A26" s="723" t="s">
        <v>432</v>
      </c>
      <c r="B26" s="284"/>
      <c r="C26" s="284"/>
      <c r="D26" s="165"/>
      <c r="E26" s="11"/>
      <c r="F26" s="293"/>
      <c r="G26" s="293"/>
      <c r="H26" s="165"/>
      <c r="I26" s="239"/>
      <c r="J26" s="293"/>
      <c r="K26" s="293"/>
      <c r="L26" s="165"/>
      <c r="M26" s="23"/>
    </row>
    <row r="27" spans="1:14" x14ac:dyDescent="0.2">
      <c r="A27" s="723" t="s">
        <v>11</v>
      </c>
      <c r="B27" s="284"/>
      <c r="C27" s="284"/>
      <c r="D27" s="165"/>
      <c r="E27" s="11"/>
      <c r="F27" s="293"/>
      <c r="G27" s="293"/>
      <c r="H27" s="165"/>
      <c r="I27" s="239"/>
      <c r="J27" s="293"/>
      <c r="K27" s="293"/>
      <c r="L27" s="165"/>
      <c r="M27" s="23"/>
    </row>
    <row r="28" spans="1:14" ht="15.75" x14ac:dyDescent="0.2">
      <c r="A28" s="49" t="s">
        <v>269</v>
      </c>
      <c r="B28" s="44"/>
      <c r="C28" s="290"/>
      <c r="D28" s="165"/>
      <c r="E28" s="11"/>
      <c r="F28" s="233"/>
      <c r="G28" s="290"/>
      <c r="H28" s="165"/>
      <c r="I28" s="175"/>
      <c r="J28" s="44"/>
      <c r="K28" s="44"/>
      <c r="L28" s="258"/>
      <c r="M28" s="23"/>
    </row>
    <row r="29" spans="1:14" s="3" customFormat="1" ht="15.75" x14ac:dyDescent="0.2">
      <c r="A29" s="13" t="s">
        <v>426</v>
      </c>
      <c r="B29" s="235"/>
      <c r="C29" s="235"/>
      <c r="D29" s="170"/>
      <c r="E29" s="11"/>
      <c r="F29" s="311"/>
      <c r="G29" s="311"/>
      <c r="H29" s="170"/>
      <c r="I29" s="159"/>
      <c r="J29" s="235"/>
      <c r="K29" s="235"/>
      <c r="L29" s="426"/>
      <c r="M29" s="24"/>
      <c r="N29" s="147"/>
    </row>
    <row r="30" spans="1:14" s="3" customFormat="1" ht="15.75" x14ac:dyDescent="0.2">
      <c r="A30" s="723" t="s">
        <v>429</v>
      </c>
      <c r="B30" s="284"/>
      <c r="C30" s="284"/>
      <c r="D30" s="165"/>
      <c r="E30" s="11"/>
      <c r="F30" s="293"/>
      <c r="G30" s="293"/>
      <c r="H30" s="165"/>
      <c r="I30" s="239"/>
      <c r="J30" s="293"/>
      <c r="K30" s="293"/>
      <c r="L30" s="165"/>
      <c r="M30" s="23"/>
      <c r="N30" s="147"/>
    </row>
    <row r="31" spans="1:14" s="3" customFormat="1" ht="15.75" x14ac:dyDescent="0.2">
      <c r="A31" s="723" t="s">
        <v>430</v>
      </c>
      <c r="B31" s="284"/>
      <c r="C31" s="284"/>
      <c r="D31" s="165"/>
      <c r="E31" s="11"/>
      <c r="F31" s="293"/>
      <c r="G31" s="293"/>
      <c r="H31" s="165"/>
      <c r="I31" s="239"/>
      <c r="J31" s="293"/>
      <c r="K31" s="293"/>
      <c r="L31" s="165"/>
      <c r="M31" s="23"/>
      <c r="N31" s="147"/>
    </row>
    <row r="32" spans="1:14" ht="15.75" x14ac:dyDescent="0.2">
      <c r="A32" s="723" t="s">
        <v>431</v>
      </c>
      <c r="B32" s="284"/>
      <c r="C32" s="284"/>
      <c r="D32" s="165"/>
      <c r="E32" s="11"/>
      <c r="F32" s="293"/>
      <c r="G32" s="293"/>
      <c r="H32" s="165"/>
      <c r="I32" s="239"/>
      <c r="J32" s="293"/>
      <c r="K32" s="293"/>
      <c r="L32" s="165"/>
      <c r="M32" s="23"/>
    </row>
    <row r="33" spans="1:14" ht="15.75" x14ac:dyDescent="0.2">
      <c r="A33" s="723" t="s">
        <v>432</v>
      </c>
      <c r="B33" s="284"/>
      <c r="C33" s="284"/>
      <c r="D33" s="165"/>
      <c r="E33" s="11"/>
      <c r="F33" s="293"/>
      <c r="G33" s="293"/>
      <c r="H33" s="165"/>
      <c r="I33" s="239"/>
      <c r="J33" s="293"/>
      <c r="K33" s="293"/>
      <c r="L33" s="165"/>
      <c r="M33" s="23"/>
    </row>
    <row r="34" spans="1:14" ht="15.75" x14ac:dyDescent="0.2">
      <c r="A34" s="13" t="s">
        <v>427</v>
      </c>
      <c r="B34" s="235"/>
      <c r="C34" s="312"/>
      <c r="D34" s="170"/>
      <c r="E34" s="11"/>
      <c r="F34" s="311"/>
      <c r="G34" s="312"/>
      <c r="H34" s="170"/>
      <c r="I34" s="159"/>
      <c r="J34" s="235"/>
      <c r="K34" s="235"/>
      <c r="L34" s="426"/>
      <c r="M34" s="24"/>
    </row>
    <row r="35" spans="1:14" ht="15.75" x14ac:dyDescent="0.2">
      <c r="A35" s="13" t="s">
        <v>428</v>
      </c>
      <c r="B35" s="235"/>
      <c r="C35" s="312"/>
      <c r="D35" s="170"/>
      <c r="E35" s="11"/>
      <c r="F35" s="311"/>
      <c r="G35" s="312"/>
      <c r="H35" s="170"/>
      <c r="I35" s="159"/>
      <c r="J35" s="235"/>
      <c r="K35" s="235"/>
      <c r="L35" s="426"/>
      <c r="M35" s="24"/>
    </row>
    <row r="36" spans="1:14" ht="15.75" x14ac:dyDescent="0.2">
      <c r="A36" s="12" t="s">
        <v>277</v>
      </c>
      <c r="B36" s="235"/>
      <c r="C36" s="312"/>
      <c r="D36" s="170"/>
      <c r="E36" s="11"/>
      <c r="F36" s="322"/>
      <c r="G36" s="323"/>
      <c r="H36" s="170"/>
      <c r="I36" s="428"/>
      <c r="J36" s="235"/>
      <c r="K36" s="235"/>
      <c r="L36" s="426"/>
      <c r="M36" s="24"/>
    </row>
    <row r="37" spans="1:14" ht="15.75" x14ac:dyDescent="0.2">
      <c r="A37" s="12" t="s">
        <v>434</v>
      </c>
      <c r="B37" s="235"/>
      <c r="C37" s="312"/>
      <c r="D37" s="170"/>
      <c r="E37" s="11"/>
      <c r="F37" s="322"/>
      <c r="G37" s="324"/>
      <c r="H37" s="170"/>
      <c r="I37" s="428"/>
      <c r="J37" s="235"/>
      <c r="K37" s="235"/>
      <c r="L37" s="426"/>
      <c r="M37" s="24"/>
    </row>
    <row r="38" spans="1:14" ht="15.75" x14ac:dyDescent="0.2">
      <c r="A38" s="12" t="s">
        <v>435</v>
      </c>
      <c r="B38" s="235"/>
      <c r="C38" s="312"/>
      <c r="D38" s="170"/>
      <c r="E38" s="24"/>
      <c r="F38" s="322"/>
      <c r="G38" s="323"/>
      <c r="H38" s="170"/>
      <c r="I38" s="428"/>
      <c r="J38" s="235"/>
      <c r="K38" s="235"/>
      <c r="L38" s="426"/>
      <c r="M38" s="24"/>
    </row>
    <row r="39" spans="1:14" ht="15.75" x14ac:dyDescent="0.2">
      <c r="A39" s="18" t="s">
        <v>436</v>
      </c>
      <c r="B39" s="279"/>
      <c r="C39" s="318"/>
      <c r="D39" s="168"/>
      <c r="E39" s="36"/>
      <c r="F39" s="325"/>
      <c r="G39" s="326"/>
      <c r="H39" s="168"/>
      <c r="I39" s="168"/>
      <c r="J39" s="235"/>
      <c r="K39" s="235"/>
      <c r="L39" s="427"/>
      <c r="M39" s="36"/>
    </row>
    <row r="40" spans="1:14" ht="15.75" x14ac:dyDescent="0.25">
      <c r="A40" s="47"/>
      <c r="B40" s="257"/>
      <c r="C40" s="257"/>
      <c r="D40" s="1013"/>
      <c r="E40" s="1013"/>
      <c r="F40" s="1013"/>
      <c r="G40" s="1013"/>
      <c r="H40" s="1013"/>
      <c r="I40" s="1013"/>
      <c r="J40" s="1013"/>
      <c r="K40" s="1013"/>
      <c r="L40" s="1013"/>
      <c r="M40" s="790"/>
    </row>
    <row r="41" spans="1:14" x14ac:dyDescent="0.2">
      <c r="A41" s="154"/>
    </row>
    <row r="42" spans="1:14" ht="15.75" x14ac:dyDescent="0.25">
      <c r="A42" s="146" t="s">
        <v>266</v>
      </c>
      <c r="B42" s="1008"/>
      <c r="C42" s="1008"/>
      <c r="D42" s="1008"/>
      <c r="E42" s="789"/>
      <c r="F42" s="1014"/>
      <c r="G42" s="1014"/>
      <c r="H42" s="1014"/>
      <c r="I42" s="790"/>
      <c r="J42" s="1014"/>
      <c r="K42" s="1014"/>
      <c r="L42" s="1014"/>
      <c r="M42" s="790"/>
    </row>
    <row r="43" spans="1:14" ht="15.75" x14ac:dyDescent="0.25">
      <c r="A43" s="162"/>
      <c r="B43" s="785"/>
      <c r="C43" s="785"/>
      <c r="D43" s="785"/>
      <c r="E43" s="785"/>
      <c r="F43" s="790"/>
      <c r="G43" s="790"/>
      <c r="H43" s="790"/>
      <c r="I43" s="790"/>
      <c r="J43" s="790"/>
      <c r="K43" s="790"/>
      <c r="L43" s="790"/>
      <c r="M43" s="790"/>
    </row>
    <row r="44" spans="1:14" ht="15.75" x14ac:dyDescent="0.25">
      <c r="A44" s="248"/>
      <c r="B44" s="1010" t="s">
        <v>0</v>
      </c>
      <c r="C44" s="1011"/>
      <c r="D44" s="1011"/>
      <c r="E44" s="243"/>
      <c r="F44" s="790"/>
      <c r="G44" s="790"/>
      <c r="H44" s="790"/>
      <c r="I44" s="790"/>
      <c r="J44" s="790"/>
      <c r="K44" s="790"/>
      <c r="L44" s="790"/>
      <c r="M44" s="790"/>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82704</v>
      </c>
      <c r="C47" s="314"/>
      <c r="D47" s="425">
        <f t="shared" ref="D47:D57" si="0">IF(B47=0, "    ---- ", IF(ABS(ROUND(100/B47*C47-100,1))&lt;999,ROUND(100/B47*C47-100,1),IF(ROUND(100/B47*C47-100,1)&gt;999,999,-999)))</f>
        <v>-100</v>
      </c>
      <c r="E47" s="11">
        <f>IFERROR(100/'Skjema total MA'!C47*C47,0)</f>
        <v>0</v>
      </c>
      <c r="F47" s="144"/>
      <c r="G47" s="33"/>
      <c r="H47" s="158"/>
      <c r="I47" s="158"/>
      <c r="J47" s="37"/>
      <c r="K47" s="37"/>
      <c r="L47" s="158"/>
      <c r="M47" s="158"/>
      <c r="N47" s="147"/>
    </row>
    <row r="48" spans="1:14" s="3" customFormat="1" ht="15.75" x14ac:dyDescent="0.2">
      <c r="A48" s="38" t="s">
        <v>437</v>
      </c>
      <c r="B48" s="284">
        <v>82704</v>
      </c>
      <c r="C48" s="285"/>
      <c r="D48" s="258">
        <f t="shared" si="0"/>
        <v>-100</v>
      </c>
      <c r="E48" s="27">
        <f>IFERROR(100/'Skjema total MA'!C48*C48,0)</f>
        <v>0</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v>5147</v>
      </c>
      <c r="C53" s="314"/>
      <c r="D53" s="426">
        <f t="shared" si="0"/>
        <v>-100</v>
      </c>
      <c r="E53" s="11">
        <f>IFERROR(100/'Skjema total MA'!C53*C53,0)</f>
        <v>0</v>
      </c>
      <c r="F53" s="144"/>
      <c r="G53" s="33"/>
      <c r="H53" s="144"/>
      <c r="I53" s="144"/>
      <c r="J53" s="33"/>
      <c r="K53" s="33"/>
      <c r="L53" s="158"/>
      <c r="M53" s="158"/>
      <c r="N53" s="147"/>
    </row>
    <row r="54" spans="1:14" s="3" customFormat="1" ht="15.75" x14ac:dyDescent="0.2">
      <c r="A54" s="38" t="s">
        <v>437</v>
      </c>
      <c r="B54" s="284">
        <v>5147</v>
      </c>
      <c r="C54" s="285"/>
      <c r="D54" s="258">
        <f t="shared" si="0"/>
        <v>-100</v>
      </c>
      <c r="E54" s="27">
        <f>IFERROR(100/'Skjema total MA'!C54*C54,0)</f>
        <v>0</v>
      </c>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v>13303</v>
      </c>
      <c r="C56" s="314"/>
      <c r="D56" s="426">
        <f t="shared" si="0"/>
        <v>-100</v>
      </c>
      <c r="E56" s="11">
        <f>IFERROR(100/'Skjema total MA'!C56*C56,0)</f>
        <v>0</v>
      </c>
      <c r="F56" s="144"/>
      <c r="G56" s="33"/>
      <c r="H56" s="144"/>
      <c r="I56" s="144"/>
      <c r="J56" s="33"/>
      <c r="K56" s="33"/>
      <c r="L56" s="158"/>
      <c r="M56" s="158"/>
      <c r="N56" s="147"/>
    </row>
    <row r="57" spans="1:14" s="3" customFormat="1" ht="15.75" x14ac:dyDescent="0.2">
      <c r="A57" s="38" t="s">
        <v>437</v>
      </c>
      <c r="B57" s="284">
        <v>13303</v>
      </c>
      <c r="C57" s="285"/>
      <c r="D57" s="258">
        <f t="shared" si="0"/>
        <v>-100</v>
      </c>
      <c r="E57" s="27">
        <f>IFERROR(100/'Skjema total MA'!C57*C57,0)</f>
        <v>0</v>
      </c>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789"/>
      <c r="F62" s="1012"/>
      <c r="G62" s="1012"/>
      <c r="H62" s="1012"/>
      <c r="I62" s="789"/>
      <c r="J62" s="1012"/>
      <c r="K62" s="1012"/>
      <c r="L62" s="1012"/>
      <c r="M62" s="789"/>
    </row>
    <row r="63" spans="1:14" x14ac:dyDescent="0.2">
      <c r="A63" s="143"/>
      <c r="B63" s="1010" t="s">
        <v>0</v>
      </c>
      <c r="C63" s="1011"/>
      <c r="D63" s="1015"/>
      <c r="E63" s="786"/>
      <c r="F63" s="1011" t="s">
        <v>1</v>
      </c>
      <c r="G63" s="1011"/>
      <c r="H63" s="1011"/>
      <c r="I63" s="788"/>
      <c r="J63" s="1010" t="s">
        <v>2</v>
      </c>
      <c r="K63" s="1011"/>
      <c r="L63" s="1011"/>
      <c r="M63" s="788"/>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c r="C66" s="354"/>
      <c r="D66" s="351"/>
      <c r="E66" s="11"/>
      <c r="F66" s="353"/>
      <c r="G66" s="353"/>
      <c r="H66" s="351"/>
      <c r="I66" s="11"/>
      <c r="J66" s="312"/>
      <c r="K66" s="319"/>
      <c r="L66" s="426"/>
      <c r="M66" s="11"/>
    </row>
    <row r="67" spans="1:14" x14ac:dyDescent="0.2">
      <c r="A67" s="21" t="s">
        <v>9</v>
      </c>
      <c r="B67" s="44"/>
      <c r="C67" s="144"/>
      <c r="D67" s="165"/>
      <c r="E67" s="27"/>
      <c r="F67" s="233"/>
      <c r="G67" s="144"/>
      <c r="H67" s="165"/>
      <c r="I67" s="27"/>
      <c r="J67" s="290"/>
      <c r="K67" s="44"/>
      <c r="L67" s="258"/>
      <c r="M67" s="27"/>
    </row>
    <row r="68" spans="1:14" x14ac:dyDescent="0.2">
      <c r="A68" s="21" t="s">
        <v>10</v>
      </c>
      <c r="B68" s="295"/>
      <c r="C68" s="296"/>
      <c r="D68" s="165"/>
      <c r="E68" s="27"/>
      <c r="F68" s="295"/>
      <c r="G68" s="296"/>
      <c r="H68" s="165"/>
      <c r="I68" s="27"/>
      <c r="J68" s="290"/>
      <c r="K68" s="44"/>
      <c r="L68" s="258"/>
      <c r="M68" s="27"/>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c r="G72" s="284"/>
      <c r="H72" s="165"/>
      <c r="I72" s="416"/>
      <c r="J72" s="293"/>
      <c r="K72" s="293"/>
      <c r="L72" s="165"/>
      <c r="M72" s="23"/>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c r="G74" s="284"/>
      <c r="H74" s="165"/>
      <c r="I74" s="416"/>
      <c r="J74" s="293"/>
      <c r="K74" s="293"/>
      <c r="L74" s="165"/>
      <c r="M74" s="23"/>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c r="C77" s="233"/>
      <c r="D77" s="165"/>
      <c r="E77" s="27"/>
      <c r="F77" s="233"/>
      <c r="G77" s="144"/>
      <c r="H77" s="165"/>
      <c r="I77" s="27"/>
      <c r="J77" s="290"/>
      <c r="K77" s="44"/>
      <c r="L77" s="258"/>
      <c r="M77" s="27"/>
    </row>
    <row r="78" spans="1:14" x14ac:dyDescent="0.2">
      <c r="A78" s="21" t="s">
        <v>9</v>
      </c>
      <c r="B78" s="233"/>
      <c r="C78" s="144"/>
      <c r="D78" s="165"/>
      <c r="E78" s="27"/>
      <c r="F78" s="233"/>
      <c r="G78" s="144"/>
      <c r="H78" s="165"/>
      <c r="I78" s="27"/>
      <c r="J78" s="290"/>
      <c r="K78" s="44"/>
      <c r="L78" s="258"/>
      <c r="M78" s="27"/>
    </row>
    <row r="79" spans="1:14" x14ac:dyDescent="0.2">
      <c r="A79" s="38" t="s">
        <v>473</v>
      </c>
      <c r="B79" s="295"/>
      <c r="C79" s="296"/>
      <c r="D79" s="165"/>
      <c r="E79" s="27"/>
      <c r="F79" s="295"/>
      <c r="G79" s="296"/>
      <c r="H79" s="165"/>
      <c r="I79" s="27"/>
      <c r="J79" s="290"/>
      <c r="K79" s="44"/>
      <c r="L79" s="258"/>
      <c r="M79" s="27"/>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c r="G83" s="284"/>
      <c r="H83" s="165"/>
      <c r="I83" s="416"/>
      <c r="J83" s="293"/>
      <c r="K83" s="293"/>
      <c r="L83" s="165"/>
      <c r="M83" s="23"/>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c r="G85" s="284"/>
      <c r="H85" s="165"/>
      <c r="I85" s="416"/>
      <c r="J85" s="293"/>
      <c r="K85" s="293"/>
      <c r="L85" s="165"/>
      <c r="M85" s="23"/>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c r="C87" s="354"/>
      <c r="D87" s="170"/>
      <c r="E87" s="11"/>
      <c r="F87" s="353"/>
      <c r="G87" s="353"/>
      <c r="H87" s="170"/>
      <c r="I87" s="11"/>
      <c r="J87" s="312"/>
      <c r="K87" s="235"/>
      <c r="L87" s="426"/>
      <c r="M87" s="11"/>
    </row>
    <row r="88" spans="1:13" x14ac:dyDescent="0.2">
      <c r="A88" s="21" t="s">
        <v>9</v>
      </c>
      <c r="B88" s="233"/>
      <c r="C88" s="144"/>
      <c r="D88" s="165"/>
      <c r="E88" s="27"/>
      <c r="F88" s="233"/>
      <c r="G88" s="144"/>
      <c r="H88" s="165"/>
      <c r="I88" s="27"/>
      <c r="J88" s="290"/>
      <c r="K88" s="44"/>
      <c r="L88" s="258"/>
      <c r="M88" s="27"/>
    </row>
    <row r="89" spans="1:13" x14ac:dyDescent="0.2">
      <c r="A89" s="21" t="s">
        <v>10</v>
      </c>
      <c r="B89" s="233"/>
      <c r="C89" s="144"/>
      <c r="D89" s="165"/>
      <c r="E89" s="27"/>
      <c r="F89" s="233"/>
      <c r="G89" s="144"/>
      <c r="H89" s="165"/>
      <c r="I89" s="27"/>
      <c r="J89" s="290"/>
      <c r="K89" s="44"/>
      <c r="L89" s="258"/>
      <c r="M89" s="27"/>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c r="G93" s="284"/>
      <c r="H93" s="165"/>
      <c r="I93" s="416"/>
      <c r="J93" s="293"/>
      <c r="K93" s="293"/>
      <c r="L93" s="165"/>
      <c r="M93" s="23"/>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c r="G95" s="284"/>
      <c r="H95" s="165"/>
      <c r="I95" s="416"/>
      <c r="J95" s="293"/>
      <c r="K95" s="293"/>
      <c r="L95" s="165"/>
      <c r="M95" s="23"/>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c r="C98" s="233"/>
      <c r="D98" s="165"/>
      <c r="E98" s="27"/>
      <c r="F98" s="295"/>
      <c r="G98" s="295"/>
      <c r="H98" s="165"/>
      <c r="I98" s="27"/>
      <c r="J98" s="290"/>
      <c r="K98" s="44"/>
      <c r="L98" s="258"/>
      <c r="M98" s="27"/>
    </row>
    <row r="99" spans="1:15" x14ac:dyDescent="0.2">
      <c r="A99" s="21" t="s">
        <v>9</v>
      </c>
      <c r="B99" s="295"/>
      <c r="C99" s="296"/>
      <c r="D99" s="165"/>
      <c r="E99" s="27"/>
      <c r="F99" s="233"/>
      <c r="G99" s="144"/>
      <c r="H99" s="165"/>
      <c r="I99" s="27"/>
      <c r="J99" s="290"/>
      <c r="K99" s="44"/>
      <c r="L99" s="258"/>
      <c r="M99" s="27"/>
    </row>
    <row r="100" spans="1:15" x14ac:dyDescent="0.2">
      <c r="A100" s="38" t="s">
        <v>473</v>
      </c>
      <c r="B100" s="295"/>
      <c r="C100" s="296"/>
      <c r="D100" s="165"/>
      <c r="E100" s="27"/>
      <c r="F100" s="233"/>
      <c r="G100" s="233"/>
      <c r="H100" s="165"/>
      <c r="I100" s="27"/>
      <c r="J100" s="290"/>
      <c r="K100" s="44"/>
      <c r="L100" s="258"/>
      <c r="M100" s="27"/>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c r="G104" s="284"/>
      <c r="H104" s="165"/>
      <c r="I104" s="416"/>
      <c r="J104" s="293"/>
      <c r="K104" s="293"/>
      <c r="L104" s="165"/>
      <c r="M104" s="23"/>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c r="G106" s="284"/>
      <c r="H106" s="165"/>
      <c r="I106" s="416"/>
      <c r="J106" s="293"/>
      <c r="K106" s="293"/>
      <c r="L106" s="165"/>
      <c r="M106" s="23"/>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c r="C108" s="233"/>
      <c r="D108" s="165"/>
      <c r="E108" s="27"/>
      <c r="F108" s="233"/>
      <c r="G108" s="233"/>
      <c r="H108" s="165"/>
      <c r="I108" s="27"/>
      <c r="J108" s="290"/>
      <c r="K108" s="44"/>
      <c r="L108" s="258"/>
      <c r="M108" s="27"/>
    </row>
    <row r="109" spans="1:15" ht="15.75" x14ac:dyDescent="0.2">
      <c r="A109" s="38" t="s">
        <v>481</v>
      </c>
      <c r="B109" s="233"/>
      <c r="C109" s="233"/>
      <c r="D109" s="165"/>
      <c r="E109" s="27"/>
      <c r="F109" s="233"/>
      <c r="G109" s="233"/>
      <c r="H109" s="165"/>
      <c r="I109" s="27"/>
      <c r="J109" s="290"/>
      <c r="K109" s="44"/>
      <c r="L109" s="258"/>
      <c r="M109" s="27"/>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c r="C111" s="158"/>
      <c r="D111" s="170"/>
      <c r="E111" s="11"/>
      <c r="F111" s="311"/>
      <c r="G111" s="158"/>
      <c r="H111" s="170"/>
      <c r="I111" s="11"/>
      <c r="J111" s="312"/>
      <c r="K111" s="235"/>
      <c r="L111" s="426"/>
      <c r="M111" s="11"/>
    </row>
    <row r="112" spans="1:15" x14ac:dyDescent="0.2">
      <c r="A112" s="21" t="s">
        <v>9</v>
      </c>
      <c r="B112" s="233"/>
      <c r="C112" s="144"/>
      <c r="D112" s="165"/>
      <c r="E112" s="27"/>
      <c r="F112" s="233"/>
      <c r="G112" s="144"/>
      <c r="H112" s="165"/>
      <c r="I112" s="27"/>
      <c r="J112" s="290"/>
      <c r="K112" s="44"/>
      <c r="L112" s="258"/>
      <c r="M112" s="27"/>
    </row>
    <row r="113" spans="1:14" x14ac:dyDescent="0.2">
      <c r="A113" s="21" t="s">
        <v>10</v>
      </c>
      <c r="B113" s="233"/>
      <c r="C113" s="144"/>
      <c r="D113" s="165"/>
      <c r="E113" s="27"/>
      <c r="F113" s="233"/>
      <c r="G113" s="144"/>
      <c r="H113" s="165"/>
      <c r="I113" s="27"/>
      <c r="J113" s="290"/>
      <c r="K113" s="44"/>
      <c r="L113" s="258"/>
      <c r="M113" s="27"/>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c r="G117" s="233"/>
      <c r="H117" s="165"/>
      <c r="I117" s="27"/>
      <c r="J117" s="290"/>
      <c r="K117" s="44"/>
      <c r="L117" s="258"/>
      <c r="M117" s="27"/>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c r="C119" s="158"/>
      <c r="D119" s="170"/>
      <c r="E119" s="11"/>
      <c r="F119" s="311"/>
      <c r="G119" s="158"/>
      <c r="H119" s="170"/>
      <c r="I119" s="11"/>
      <c r="J119" s="312"/>
      <c r="K119" s="235"/>
      <c r="L119" s="426"/>
      <c r="M119" s="11"/>
    </row>
    <row r="120" spans="1:14" x14ac:dyDescent="0.2">
      <c r="A120" s="21" t="s">
        <v>9</v>
      </c>
      <c r="B120" s="233"/>
      <c r="C120" s="144"/>
      <c r="D120" s="165"/>
      <c r="E120" s="27"/>
      <c r="F120" s="233"/>
      <c r="G120" s="144"/>
      <c r="H120" s="165"/>
      <c r="I120" s="27"/>
      <c r="J120" s="290"/>
      <c r="K120" s="44"/>
      <c r="L120" s="258"/>
      <c r="M120" s="27"/>
    </row>
    <row r="121" spans="1:14" x14ac:dyDescent="0.2">
      <c r="A121" s="21" t="s">
        <v>10</v>
      </c>
      <c r="B121" s="233"/>
      <c r="C121" s="144"/>
      <c r="D121" s="165"/>
      <c r="E121" s="27"/>
      <c r="F121" s="233"/>
      <c r="G121" s="144"/>
      <c r="H121" s="165"/>
      <c r="I121" s="27"/>
      <c r="J121" s="290"/>
      <c r="K121" s="44"/>
      <c r="L121" s="258"/>
      <c r="M121" s="27"/>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c r="G124" s="233"/>
      <c r="H124" s="165"/>
      <c r="I124" s="27"/>
      <c r="J124" s="290"/>
      <c r="K124" s="44"/>
      <c r="L124" s="258"/>
      <c r="M124" s="27"/>
    </row>
    <row r="125" spans="1:14" ht="15.75" x14ac:dyDescent="0.2">
      <c r="A125" s="38" t="s">
        <v>481</v>
      </c>
      <c r="B125" s="233"/>
      <c r="C125" s="233"/>
      <c r="D125" s="165"/>
      <c r="E125" s="27"/>
      <c r="F125" s="233"/>
      <c r="G125" s="233"/>
      <c r="H125" s="165"/>
      <c r="I125" s="27"/>
      <c r="J125" s="290"/>
      <c r="K125" s="44"/>
      <c r="L125" s="258"/>
      <c r="M125" s="27"/>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789"/>
      <c r="F130" s="1012"/>
      <c r="G130" s="1012"/>
      <c r="H130" s="1012"/>
      <c r="I130" s="789"/>
      <c r="J130" s="1012"/>
      <c r="K130" s="1012"/>
      <c r="L130" s="1012"/>
      <c r="M130" s="789"/>
    </row>
    <row r="131" spans="1:14" s="3" customFormat="1" x14ac:dyDescent="0.2">
      <c r="A131" s="143"/>
      <c r="B131" s="1010" t="s">
        <v>0</v>
      </c>
      <c r="C131" s="1011"/>
      <c r="D131" s="1011"/>
      <c r="E131" s="787"/>
      <c r="F131" s="1010" t="s">
        <v>1</v>
      </c>
      <c r="G131" s="1011"/>
      <c r="H131" s="1011"/>
      <c r="I131" s="788"/>
      <c r="J131" s="1010" t="s">
        <v>2</v>
      </c>
      <c r="K131" s="1011"/>
      <c r="L131" s="1011"/>
      <c r="M131" s="788"/>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2473" priority="59">
      <formula>kvartal &lt; 4</formula>
    </cfRule>
  </conditionalFormatting>
  <conditionalFormatting sqref="B69">
    <cfRule type="expression" dxfId="2472" priority="58">
      <formula>kvartal &lt; 4</formula>
    </cfRule>
  </conditionalFormatting>
  <conditionalFormatting sqref="C69">
    <cfRule type="expression" dxfId="2471" priority="57">
      <formula>kvartal &lt; 4</formula>
    </cfRule>
  </conditionalFormatting>
  <conditionalFormatting sqref="B72">
    <cfRule type="expression" dxfId="2470" priority="56">
      <formula>kvartal &lt; 4</formula>
    </cfRule>
  </conditionalFormatting>
  <conditionalFormatting sqref="C72">
    <cfRule type="expression" dxfId="2469" priority="55">
      <formula>kvartal &lt; 4</formula>
    </cfRule>
  </conditionalFormatting>
  <conditionalFormatting sqref="B80">
    <cfRule type="expression" dxfId="2468" priority="54">
      <formula>kvartal &lt; 4</formula>
    </cfRule>
  </conditionalFormatting>
  <conditionalFormatting sqref="C80">
    <cfRule type="expression" dxfId="2467" priority="53">
      <formula>kvartal &lt; 4</formula>
    </cfRule>
  </conditionalFormatting>
  <conditionalFormatting sqref="B83">
    <cfRule type="expression" dxfId="2466" priority="52">
      <formula>kvartal &lt; 4</formula>
    </cfRule>
  </conditionalFormatting>
  <conditionalFormatting sqref="C83">
    <cfRule type="expression" dxfId="2465" priority="51">
      <formula>kvartal &lt; 4</formula>
    </cfRule>
  </conditionalFormatting>
  <conditionalFormatting sqref="B90">
    <cfRule type="expression" dxfId="2464" priority="50">
      <formula>kvartal &lt; 4</formula>
    </cfRule>
  </conditionalFormatting>
  <conditionalFormatting sqref="C90">
    <cfRule type="expression" dxfId="2463" priority="49">
      <formula>kvartal &lt; 4</formula>
    </cfRule>
  </conditionalFormatting>
  <conditionalFormatting sqref="B93">
    <cfRule type="expression" dxfId="2462" priority="48">
      <formula>kvartal &lt; 4</formula>
    </cfRule>
  </conditionalFormatting>
  <conditionalFormatting sqref="C93">
    <cfRule type="expression" dxfId="2461" priority="47">
      <formula>kvartal &lt; 4</formula>
    </cfRule>
  </conditionalFormatting>
  <conditionalFormatting sqref="B101">
    <cfRule type="expression" dxfId="2460" priority="46">
      <formula>kvartal &lt; 4</formula>
    </cfRule>
  </conditionalFormatting>
  <conditionalFormatting sqref="C101">
    <cfRule type="expression" dxfId="2459" priority="45">
      <formula>kvartal &lt; 4</formula>
    </cfRule>
  </conditionalFormatting>
  <conditionalFormatting sqref="B104">
    <cfRule type="expression" dxfId="2458" priority="44">
      <formula>kvartal &lt; 4</formula>
    </cfRule>
  </conditionalFormatting>
  <conditionalFormatting sqref="C104">
    <cfRule type="expression" dxfId="2457" priority="43">
      <formula>kvartal &lt; 4</formula>
    </cfRule>
  </conditionalFormatting>
  <conditionalFormatting sqref="B115">
    <cfRule type="expression" dxfId="2456" priority="42">
      <formula>kvartal &lt; 4</formula>
    </cfRule>
  </conditionalFormatting>
  <conditionalFormatting sqref="C115">
    <cfRule type="expression" dxfId="2455" priority="41">
      <formula>kvartal &lt; 4</formula>
    </cfRule>
  </conditionalFormatting>
  <conditionalFormatting sqref="B123">
    <cfRule type="expression" dxfId="2454" priority="40">
      <formula>kvartal &lt; 4</formula>
    </cfRule>
  </conditionalFormatting>
  <conditionalFormatting sqref="C123">
    <cfRule type="expression" dxfId="2453" priority="39">
      <formula>kvartal &lt; 4</formula>
    </cfRule>
  </conditionalFormatting>
  <conditionalFormatting sqref="F70">
    <cfRule type="expression" dxfId="2452" priority="38">
      <formula>kvartal &lt; 4</formula>
    </cfRule>
  </conditionalFormatting>
  <conditionalFormatting sqref="G70">
    <cfRule type="expression" dxfId="2451" priority="37">
      <formula>kvartal &lt; 4</formula>
    </cfRule>
  </conditionalFormatting>
  <conditionalFormatting sqref="F71:G71">
    <cfRule type="expression" dxfId="2450" priority="36">
      <formula>kvartal &lt; 4</formula>
    </cfRule>
  </conditionalFormatting>
  <conditionalFormatting sqref="F73:G74">
    <cfRule type="expression" dxfId="2449" priority="35">
      <formula>kvartal &lt; 4</formula>
    </cfRule>
  </conditionalFormatting>
  <conditionalFormatting sqref="F81:G82">
    <cfRule type="expression" dxfId="2448" priority="34">
      <formula>kvartal &lt; 4</formula>
    </cfRule>
  </conditionalFormatting>
  <conditionalFormatting sqref="F84:G85">
    <cfRule type="expression" dxfId="2447" priority="33">
      <formula>kvartal &lt; 4</formula>
    </cfRule>
  </conditionalFormatting>
  <conditionalFormatting sqref="F91:G92">
    <cfRule type="expression" dxfId="2446" priority="32">
      <formula>kvartal &lt; 4</formula>
    </cfRule>
  </conditionalFormatting>
  <conditionalFormatting sqref="F94:G95">
    <cfRule type="expression" dxfId="2445" priority="31">
      <formula>kvartal &lt; 4</formula>
    </cfRule>
  </conditionalFormatting>
  <conditionalFormatting sqref="F102:G103">
    <cfRule type="expression" dxfId="2444" priority="30">
      <formula>kvartal &lt; 4</formula>
    </cfRule>
  </conditionalFormatting>
  <conditionalFormatting sqref="F105:G106">
    <cfRule type="expression" dxfId="2443" priority="29">
      <formula>kvartal &lt; 4</formula>
    </cfRule>
  </conditionalFormatting>
  <conditionalFormatting sqref="F115">
    <cfRule type="expression" dxfId="2442" priority="28">
      <formula>kvartal &lt; 4</formula>
    </cfRule>
  </conditionalFormatting>
  <conditionalFormatting sqref="G115">
    <cfRule type="expression" dxfId="2441" priority="27">
      <formula>kvartal &lt; 4</formula>
    </cfRule>
  </conditionalFormatting>
  <conditionalFormatting sqref="F123:G123">
    <cfRule type="expression" dxfId="2440" priority="26">
      <formula>kvartal &lt; 4</formula>
    </cfRule>
  </conditionalFormatting>
  <conditionalFormatting sqref="F69:G69">
    <cfRule type="expression" dxfId="2439" priority="25">
      <formula>kvartal &lt; 4</formula>
    </cfRule>
  </conditionalFormatting>
  <conditionalFormatting sqref="F72:G72">
    <cfRule type="expression" dxfId="2438" priority="24">
      <formula>kvartal &lt; 4</formula>
    </cfRule>
  </conditionalFormatting>
  <conditionalFormatting sqref="F80:G80">
    <cfRule type="expression" dxfId="2437" priority="23">
      <formula>kvartal &lt; 4</formula>
    </cfRule>
  </conditionalFormatting>
  <conditionalFormatting sqref="F83:G83">
    <cfRule type="expression" dxfId="2436" priority="22">
      <formula>kvartal &lt; 4</formula>
    </cfRule>
  </conditionalFormatting>
  <conditionalFormatting sqref="F90:G90">
    <cfRule type="expression" dxfId="2435" priority="21">
      <formula>kvartal &lt; 4</formula>
    </cfRule>
  </conditionalFormatting>
  <conditionalFormatting sqref="F93">
    <cfRule type="expression" dxfId="2434" priority="20">
      <formula>kvartal &lt; 4</formula>
    </cfRule>
  </conditionalFormatting>
  <conditionalFormatting sqref="G93">
    <cfRule type="expression" dxfId="2433" priority="19">
      <formula>kvartal &lt; 4</formula>
    </cfRule>
  </conditionalFormatting>
  <conditionalFormatting sqref="F101">
    <cfRule type="expression" dxfId="2432" priority="18">
      <formula>kvartal &lt; 4</formula>
    </cfRule>
  </conditionalFormatting>
  <conditionalFormatting sqref="G101">
    <cfRule type="expression" dxfId="2431" priority="17">
      <formula>kvartal &lt; 4</formula>
    </cfRule>
  </conditionalFormatting>
  <conditionalFormatting sqref="G104">
    <cfRule type="expression" dxfId="2430" priority="16">
      <formula>kvartal &lt; 4</formula>
    </cfRule>
  </conditionalFormatting>
  <conditionalFormatting sqref="F104">
    <cfRule type="expression" dxfId="2429" priority="15">
      <formula>kvartal &lt; 4</formula>
    </cfRule>
  </conditionalFormatting>
  <conditionalFormatting sqref="J69:K73">
    <cfRule type="expression" dxfId="2428" priority="14">
      <formula>kvartal &lt; 4</formula>
    </cfRule>
  </conditionalFormatting>
  <conditionalFormatting sqref="J74:K74">
    <cfRule type="expression" dxfId="2427" priority="13">
      <formula>kvartal &lt; 4</formula>
    </cfRule>
  </conditionalFormatting>
  <conditionalFormatting sqref="J80:K85">
    <cfRule type="expression" dxfId="2426" priority="12">
      <formula>kvartal &lt; 4</formula>
    </cfRule>
  </conditionalFormatting>
  <conditionalFormatting sqref="J90:K95">
    <cfRule type="expression" dxfId="2425" priority="11">
      <formula>kvartal &lt; 4</formula>
    </cfRule>
  </conditionalFormatting>
  <conditionalFormatting sqref="J101:K106">
    <cfRule type="expression" dxfId="2424" priority="10">
      <formula>kvartal &lt; 4</formula>
    </cfRule>
  </conditionalFormatting>
  <conditionalFormatting sqref="J115:K115">
    <cfRule type="expression" dxfId="2423" priority="9">
      <formula>kvartal &lt; 4</formula>
    </cfRule>
  </conditionalFormatting>
  <conditionalFormatting sqref="J123:K123">
    <cfRule type="expression" dxfId="2422" priority="8">
      <formula>kvartal &lt; 4</formula>
    </cfRule>
  </conditionalFormatting>
  <conditionalFormatting sqref="A50:A52">
    <cfRule type="expression" dxfId="2421" priority="7">
      <formula>kvartal &lt; 4</formula>
    </cfRule>
  </conditionalFormatting>
  <conditionalFormatting sqref="A69:A74">
    <cfRule type="expression" dxfId="2420" priority="6">
      <formula>kvartal &lt; 4</formula>
    </cfRule>
  </conditionalFormatting>
  <conditionalFormatting sqref="A80:A85">
    <cfRule type="expression" dxfId="2419" priority="5">
      <formula>kvartal &lt; 4</formula>
    </cfRule>
  </conditionalFormatting>
  <conditionalFormatting sqref="A90:A95">
    <cfRule type="expression" dxfId="2418" priority="4">
      <formula>kvartal &lt; 4</formula>
    </cfRule>
  </conditionalFormatting>
  <conditionalFormatting sqref="A101:A106">
    <cfRule type="expression" dxfId="2417" priority="3">
      <formula>kvartal &lt; 4</formula>
    </cfRule>
  </conditionalFormatting>
  <conditionalFormatting sqref="A115">
    <cfRule type="expression" dxfId="2416" priority="2">
      <formula>kvartal &lt; 4</formula>
    </cfRule>
  </conditionalFormatting>
  <conditionalFormatting sqref="A123">
    <cfRule type="expression" dxfId="2415" priority="1">
      <formula>kvartal &lt; 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O144"/>
  <sheetViews>
    <sheetView showGridLines="0" zoomScale="90" zoomScaleNormal="90" workbookViewId="0"/>
  </sheetViews>
  <sheetFormatPr baseColWidth="10" defaultColWidth="11.42578125" defaultRowHeight="12.75" x14ac:dyDescent="0.2"/>
  <cols>
    <col min="1" max="1" width="46.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131</v>
      </c>
      <c r="B1" s="981"/>
      <c r="C1" s="249" t="s">
        <v>515</v>
      </c>
      <c r="D1" s="26"/>
      <c r="E1" s="26"/>
      <c r="F1" s="26"/>
      <c r="G1" s="26"/>
      <c r="H1" s="26"/>
      <c r="I1" s="26"/>
      <c r="J1" s="26"/>
      <c r="K1" s="26"/>
      <c r="L1" s="26"/>
      <c r="M1" s="26"/>
    </row>
    <row r="2" spans="1:14" ht="15.75" x14ac:dyDescent="0.25">
      <c r="A2" s="164" t="s">
        <v>28</v>
      </c>
      <c r="B2" s="1008"/>
      <c r="C2" s="1008"/>
      <c r="D2" s="1008"/>
      <c r="E2" s="406"/>
      <c r="F2" s="1008"/>
      <c r="G2" s="1008"/>
      <c r="H2" s="1008"/>
      <c r="I2" s="406"/>
      <c r="J2" s="1008"/>
      <c r="K2" s="1008"/>
      <c r="L2" s="1008"/>
      <c r="M2" s="406"/>
    </row>
    <row r="3" spans="1:14" ht="15.75" x14ac:dyDescent="0.25">
      <c r="A3" s="162"/>
      <c r="B3" s="406"/>
      <c r="C3" s="406"/>
      <c r="D3" s="406"/>
      <c r="E3" s="406"/>
      <c r="F3" s="406"/>
      <c r="G3" s="406"/>
      <c r="H3" s="406"/>
      <c r="I3" s="406"/>
      <c r="J3" s="406"/>
      <c r="K3" s="406"/>
      <c r="L3" s="406"/>
      <c r="M3" s="406"/>
    </row>
    <row r="4" spans="1:14" x14ac:dyDescent="0.2">
      <c r="A4" s="143"/>
      <c r="B4" s="1010" t="s">
        <v>0</v>
      </c>
      <c r="C4" s="1011"/>
      <c r="D4" s="1011"/>
      <c r="E4" s="405"/>
      <c r="F4" s="1010" t="s">
        <v>1</v>
      </c>
      <c r="G4" s="1011"/>
      <c r="H4" s="1011"/>
      <c r="I4" s="408"/>
      <c r="J4" s="1010" t="s">
        <v>2</v>
      </c>
      <c r="K4" s="1011"/>
      <c r="L4" s="1011"/>
      <c r="M4" s="408"/>
    </row>
    <row r="5" spans="1:14" x14ac:dyDescent="0.2">
      <c r="A5" s="157"/>
      <c r="B5" s="151" t="s">
        <v>507</v>
      </c>
      <c r="C5" s="151" t="s">
        <v>508</v>
      </c>
      <c r="D5" s="245" t="s">
        <v>3</v>
      </c>
      <c r="E5" s="308" t="s">
        <v>29</v>
      </c>
      <c r="F5" s="151" t="s">
        <v>507</v>
      </c>
      <c r="G5" s="151" t="s">
        <v>508</v>
      </c>
      <c r="H5" s="245" t="s">
        <v>3</v>
      </c>
      <c r="I5" s="161" t="s">
        <v>29</v>
      </c>
      <c r="J5" s="151" t="s">
        <v>507</v>
      </c>
      <c r="K5" s="151" t="s">
        <v>508</v>
      </c>
      <c r="L5" s="245" t="s">
        <v>3</v>
      </c>
      <c r="M5" s="161" t="s">
        <v>29</v>
      </c>
    </row>
    <row r="6" spans="1:14" x14ac:dyDescent="0.2">
      <c r="A6" s="980"/>
      <c r="B6" s="155"/>
      <c r="C6" s="155"/>
      <c r="D6" s="247" t="s">
        <v>4</v>
      </c>
      <c r="E6" s="155" t="s">
        <v>30</v>
      </c>
      <c r="F6" s="160"/>
      <c r="G6" s="160"/>
      <c r="H6" s="245" t="s">
        <v>4</v>
      </c>
      <c r="I6" s="155" t="s">
        <v>30</v>
      </c>
      <c r="J6" s="160"/>
      <c r="K6" s="160"/>
      <c r="L6" s="245" t="s">
        <v>4</v>
      </c>
      <c r="M6" s="155" t="s">
        <v>30</v>
      </c>
    </row>
    <row r="7" spans="1:14" ht="15.75" x14ac:dyDescent="0.2">
      <c r="A7" s="14" t="s">
        <v>23</v>
      </c>
      <c r="B7" s="309">
        <v>277898.24200000003</v>
      </c>
      <c r="C7" s="310">
        <v>278256.34165999998</v>
      </c>
      <c r="D7" s="351">
        <f>IF(B7=0, "    ---- ", IF(ABS(ROUND(100/B7*C7-100,1))&lt;999,ROUND(100/B7*C7-100,1),IF(ROUND(100/B7*C7-100,1)&gt;999,999,-999)))</f>
        <v>0.1</v>
      </c>
      <c r="E7" s="11">
        <f>IFERROR(100/'Skjema total MA'!C7*C7,0)</f>
        <v>5.4036057581051073</v>
      </c>
      <c r="F7" s="309">
        <v>284500.09000000003</v>
      </c>
      <c r="G7" s="310">
        <v>234053.19179000001</v>
      </c>
      <c r="H7" s="351">
        <f>IF(F7=0, "    ---- ", IF(ABS(ROUND(100/F7*G7-100,1))&lt;999,ROUND(100/F7*G7-100,1),IF(ROUND(100/F7*G7-100,1)&gt;999,999,-999)))</f>
        <v>-17.7</v>
      </c>
      <c r="I7" s="159">
        <f>IFERROR(100/'Skjema total MA'!F7*G7,0)</f>
        <v>2.5372574806107742</v>
      </c>
      <c r="J7" s="311">
        <f t="shared" ref="J7:K12" si="0">SUM(B7,F7)</f>
        <v>562398.33200000005</v>
      </c>
      <c r="K7" s="312">
        <f t="shared" si="0"/>
        <v>512309.53344999999</v>
      </c>
      <c r="L7" s="425">
        <f>IF(J7=0, "    ---- ", IF(ABS(ROUND(100/J7*K7-100,1))&lt;999,ROUND(100/J7*K7-100,1),IF(ROUND(100/J7*K7-100,1)&gt;999,999,-999)))</f>
        <v>-8.9</v>
      </c>
      <c r="M7" s="11">
        <f>IFERROR(100/'Skjema total MA'!I7*K7,0)</f>
        <v>3.5641131963872454</v>
      </c>
    </row>
    <row r="8" spans="1:14" ht="15.75" x14ac:dyDescent="0.2">
      <c r="A8" s="21" t="s">
        <v>25</v>
      </c>
      <c r="B8" s="284">
        <v>138481.15700000001</v>
      </c>
      <c r="C8" s="285">
        <v>138012.61098</v>
      </c>
      <c r="D8" s="165">
        <f t="shared" ref="D8:D10" si="1">IF(B8=0, "    ---- ", IF(ABS(ROUND(100/B8*C8-100,1))&lt;999,ROUND(100/B8*C8-100,1),IF(ROUND(100/B8*C8-100,1)&gt;999,999,-999)))</f>
        <v>-0.3</v>
      </c>
      <c r="E8" s="27">
        <f>IFERROR(100/'Skjema total MA'!C8*C8,0)</f>
        <v>4.1295789691332558</v>
      </c>
      <c r="F8" s="288"/>
      <c r="G8" s="289"/>
      <c r="H8" s="165"/>
      <c r="I8" s="175"/>
      <c r="J8" s="233">
        <f t="shared" si="0"/>
        <v>138481.15700000001</v>
      </c>
      <c r="K8" s="290">
        <f t="shared" si="0"/>
        <v>138012.61098</v>
      </c>
      <c r="L8" s="165">
        <f t="shared" ref="L8:L9" si="2">IF(J8=0, "    ---- ", IF(ABS(ROUND(100/J8*K8-100,1))&lt;999,ROUND(100/J8*K8-100,1),IF(ROUND(100/J8*K8-100,1)&gt;999,999,-999)))</f>
        <v>-0.3</v>
      </c>
      <c r="M8" s="27">
        <f>IFERROR(100/'Skjema total MA'!I8*K8,0)</f>
        <v>4.1295789691332558</v>
      </c>
    </row>
    <row r="9" spans="1:14" ht="15.75" x14ac:dyDescent="0.2">
      <c r="A9" s="21" t="s">
        <v>24</v>
      </c>
      <c r="B9" s="284">
        <v>64573.762999999999</v>
      </c>
      <c r="C9" s="285">
        <v>61315.35802</v>
      </c>
      <c r="D9" s="165">
        <f t="shared" si="1"/>
        <v>-5</v>
      </c>
      <c r="E9" s="27">
        <f>IFERROR(100/'Skjema total MA'!C9*C9,0)</f>
        <v>5.7420620483349669</v>
      </c>
      <c r="F9" s="288"/>
      <c r="G9" s="289"/>
      <c r="H9" s="165"/>
      <c r="I9" s="175"/>
      <c r="J9" s="233">
        <f t="shared" si="0"/>
        <v>64573.762999999999</v>
      </c>
      <c r="K9" s="290">
        <f t="shared" si="0"/>
        <v>61315.35802</v>
      </c>
      <c r="L9" s="165">
        <f t="shared" si="2"/>
        <v>-5</v>
      </c>
      <c r="M9" s="27">
        <f>IFERROR(100/'Skjema total MA'!I9*K9,0)</f>
        <v>5.7420620483349669</v>
      </c>
    </row>
    <row r="10" spans="1:14" ht="15.75" x14ac:dyDescent="0.2">
      <c r="A10" s="13" t="s">
        <v>426</v>
      </c>
      <c r="B10" s="313">
        <v>306543.01500000001</v>
      </c>
      <c r="C10" s="314">
        <v>336849.89922999998</v>
      </c>
      <c r="D10" s="170">
        <f t="shared" si="1"/>
        <v>9.9</v>
      </c>
      <c r="E10" s="11">
        <f>IFERROR(100/'Skjema total MA'!C10*C10,0)</f>
        <v>1.9304552813279341</v>
      </c>
      <c r="F10" s="313">
        <v>3261508.3849999998</v>
      </c>
      <c r="G10" s="314">
        <v>2830367.04416</v>
      </c>
      <c r="H10" s="170">
        <f t="shared" ref="H10:H12" si="3">IF(F10=0, "    ---- ", IF(ABS(ROUND(100/F10*G10-100,1))&lt;999,ROUND(100/F10*G10-100,1),IF(ROUND(100/F10*G10-100,1)&gt;999,999,-999)))</f>
        <v>-13.2</v>
      </c>
      <c r="I10" s="159">
        <f>IFERROR(100/'Skjema total MA'!F10*G10,0)</f>
        <v>3.9985360186186156</v>
      </c>
      <c r="J10" s="311">
        <f t="shared" si="0"/>
        <v>3568051.4</v>
      </c>
      <c r="K10" s="312">
        <f t="shared" si="0"/>
        <v>3167216.9433900001</v>
      </c>
      <c r="L10" s="426">
        <f t="shared" ref="L10:L12" si="4">IF(J10=0, "    ---- ", IF(ABS(ROUND(100/J10*K10-100,1))&lt;999,ROUND(100/J10*K10-100,1),IF(ROUND(100/J10*K10-100,1)&gt;999,999,-999)))</f>
        <v>-11.2</v>
      </c>
      <c r="M10" s="11">
        <f>IFERROR(100/'Skjema total MA'!I10*K10,0)</f>
        <v>3.5895517762532325</v>
      </c>
    </row>
    <row r="11" spans="1:14" s="43" customFormat="1" ht="15.75" x14ac:dyDescent="0.2">
      <c r="A11" s="13" t="s">
        <v>427</v>
      </c>
      <c r="B11" s="313"/>
      <c r="C11" s="314"/>
      <c r="D11" s="170"/>
      <c r="E11" s="11"/>
      <c r="F11" s="313">
        <v>5365.3109999999997</v>
      </c>
      <c r="G11" s="314">
        <v>6607.2</v>
      </c>
      <c r="H11" s="170">
        <f t="shared" si="3"/>
        <v>23.1</v>
      </c>
      <c r="I11" s="159">
        <f>IFERROR(100/'Skjema total MA'!F11*G11,0)</f>
        <v>0.48161816398878804</v>
      </c>
      <c r="J11" s="311">
        <f t="shared" si="0"/>
        <v>5365.3109999999997</v>
      </c>
      <c r="K11" s="312">
        <f t="shared" si="0"/>
        <v>6607.2</v>
      </c>
      <c r="L11" s="426">
        <f t="shared" si="4"/>
        <v>23.1</v>
      </c>
      <c r="M11" s="11">
        <f>IFERROR(100/'Skjema total MA'!I11*K11,0)</f>
        <v>0.46915401508005156</v>
      </c>
      <c r="N11" s="142"/>
    </row>
    <row r="12" spans="1:14" s="43" customFormat="1" ht="15.75" x14ac:dyDescent="0.2">
      <c r="A12" s="41" t="s">
        <v>428</v>
      </c>
      <c r="B12" s="315"/>
      <c r="C12" s="316"/>
      <c r="D12" s="168"/>
      <c r="E12" s="36"/>
      <c r="F12" s="315">
        <v>40416.392</v>
      </c>
      <c r="G12" s="316">
        <v>28396.131000000001</v>
      </c>
      <c r="H12" s="168">
        <f t="shared" si="3"/>
        <v>-29.7</v>
      </c>
      <c r="I12" s="168">
        <f>IFERROR(100/'Skjema total MA'!F12*G12,0)</f>
        <v>2.1122012781497346</v>
      </c>
      <c r="J12" s="317">
        <f t="shared" si="0"/>
        <v>40416.392</v>
      </c>
      <c r="K12" s="318">
        <f t="shared" si="0"/>
        <v>28396.131000000001</v>
      </c>
      <c r="L12" s="427">
        <f t="shared" si="4"/>
        <v>-29.7</v>
      </c>
      <c r="M12" s="36">
        <f>IFERROR(100/'Skjema total MA'!I12*K12,0)</f>
        <v>2.107621964369895</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268</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265</v>
      </c>
      <c r="B17" s="156"/>
      <c r="C17" s="156"/>
      <c r="D17" s="150"/>
      <c r="E17" s="150"/>
      <c r="F17" s="156"/>
      <c r="G17" s="156"/>
      <c r="H17" s="156"/>
      <c r="I17" s="156"/>
      <c r="J17" s="156"/>
      <c r="K17" s="156"/>
      <c r="L17" s="156"/>
      <c r="M17" s="156"/>
    </row>
    <row r="18" spans="1:14" ht="15.75" x14ac:dyDescent="0.25">
      <c r="B18" s="1012"/>
      <c r="C18" s="1012"/>
      <c r="D18" s="1012"/>
      <c r="E18" s="406"/>
      <c r="F18" s="1012"/>
      <c r="G18" s="1012"/>
      <c r="H18" s="1012"/>
      <c r="I18" s="406"/>
      <c r="J18" s="1012"/>
      <c r="K18" s="1012"/>
      <c r="L18" s="1012"/>
      <c r="M18" s="406"/>
    </row>
    <row r="19" spans="1:14" x14ac:dyDescent="0.2">
      <c r="A19" s="143"/>
      <c r="B19" s="1010" t="s">
        <v>0</v>
      </c>
      <c r="C19" s="1011"/>
      <c r="D19" s="1011"/>
      <c r="E19" s="405"/>
      <c r="F19" s="1010" t="s">
        <v>1</v>
      </c>
      <c r="G19" s="1011"/>
      <c r="H19" s="1011"/>
      <c r="I19" s="408"/>
      <c r="J19" s="1010" t="s">
        <v>2</v>
      </c>
      <c r="K19" s="1011"/>
      <c r="L19" s="1011"/>
      <c r="M19" s="408"/>
    </row>
    <row r="20" spans="1:14" x14ac:dyDescent="0.2">
      <c r="A20" s="139" t="s">
        <v>5</v>
      </c>
      <c r="B20" s="242" t="s">
        <v>507</v>
      </c>
      <c r="C20" s="242" t="s">
        <v>508</v>
      </c>
      <c r="D20" s="161" t="s">
        <v>3</v>
      </c>
      <c r="E20" s="308" t="s">
        <v>29</v>
      </c>
      <c r="F20" s="242" t="s">
        <v>507</v>
      </c>
      <c r="G20" s="242" t="s">
        <v>508</v>
      </c>
      <c r="H20" s="161" t="s">
        <v>3</v>
      </c>
      <c r="I20" s="161" t="s">
        <v>29</v>
      </c>
      <c r="J20" s="242" t="s">
        <v>507</v>
      </c>
      <c r="K20" s="242" t="s">
        <v>508</v>
      </c>
      <c r="L20" s="161" t="s">
        <v>3</v>
      </c>
      <c r="M20" s="161" t="s">
        <v>29</v>
      </c>
    </row>
    <row r="21" spans="1:14" x14ac:dyDescent="0.2">
      <c r="A21" s="979"/>
      <c r="B21" s="155"/>
      <c r="C21" s="155"/>
      <c r="D21" s="247" t="s">
        <v>4</v>
      </c>
      <c r="E21" s="415" t="s">
        <v>30</v>
      </c>
      <c r="F21" s="160"/>
      <c r="G21" s="160"/>
      <c r="H21" s="245" t="s">
        <v>4</v>
      </c>
      <c r="I21" s="155" t="s">
        <v>30</v>
      </c>
      <c r="J21" s="160"/>
      <c r="K21" s="160"/>
      <c r="L21" s="155" t="s">
        <v>4</v>
      </c>
      <c r="M21" s="155" t="s">
        <v>30</v>
      </c>
    </row>
    <row r="22" spans="1:14" ht="15.75" x14ac:dyDescent="0.2">
      <c r="A22" s="14" t="s">
        <v>23</v>
      </c>
      <c r="B22" s="313">
        <v>14038.031000000001</v>
      </c>
      <c r="C22" s="313">
        <v>13332.05062</v>
      </c>
      <c r="D22" s="351">
        <f t="shared" ref="D22:D29" si="5">IF(B22=0, "    ---- ", IF(ABS(ROUND(100/B22*C22-100,1))&lt;999,ROUND(100/B22*C22-100,1),IF(ROUND(100/B22*C22-100,1)&gt;999,999,-999)))</f>
        <v>-5</v>
      </c>
      <c r="E22" s="11">
        <f>IFERROR(100/'Skjema total MA'!C22*C22,0)</f>
        <v>0.62112620093536253</v>
      </c>
      <c r="F22" s="321">
        <v>75071.035000000003</v>
      </c>
      <c r="G22" s="321">
        <v>38829.551930000001</v>
      </c>
      <c r="H22" s="351">
        <f t="shared" ref="H22:H35" si="6">IF(F22=0, "    ---- ", IF(ABS(ROUND(100/F22*G22-100,1))&lt;999,ROUND(100/F22*G22-100,1),IF(ROUND(100/F22*G22-100,1)&gt;999,999,-999)))</f>
        <v>-48.3</v>
      </c>
      <c r="I22" s="159">
        <f>IFERROR(100/'Skjema total MA'!F22*G22,0)</f>
        <v>3.7905628254045043</v>
      </c>
      <c r="J22" s="319">
        <f t="shared" ref="J22:K35" si="7">SUM(B22,F22)</f>
        <v>89109.066000000006</v>
      </c>
      <c r="K22" s="319">
        <f t="shared" si="7"/>
        <v>52161.602550000003</v>
      </c>
      <c r="L22" s="425">
        <f t="shared" ref="L22:L35" si="8">IF(J22=0, "    ---- ", IF(ABS(ROUND(100/J22*K22-100,1))&lt;999,ROUND(100/J22*K22-100,1),IF(ROUND(100/J22*K22-100,1)&gt;999,999,-999)))</f>
        <v>-41.5</v>
      </c>
      <c r="M22" s="24">
        <f>IFERROR(100/'Skjema total MA'!I22*K22,0)</f>
        <v>1.6450580646688489</v>
      </c>
    </row>
    <row r="23" spans="1:14" ht="15.75" x14ac:dyDescent="0.2">
      <c r="A23" s="723" t="s">
        <v>429</v>
      </c>
      <c r="B23" s="284"/>
      <c r="C23" s="284"/>
      <c r="D23" s="165"/>
      <c r="E23" s="11"/>
      <c r="F23" s="293">
        <v>4998.5140000000001</v>
      </c>
      <c r="G23" s="293">
        <v>4023.6273099999999</v>
      </c>
      <c r="H23" s="165">
        <f t="shared" si="6"/>
        <v>-19.5</v>
      </c>
      <c r="I23" s="239">
        <f>IFERROR(100/'Skjema total MA'!F23*G23,0)</f>
        <v>2.7074329372945605</v>
      </c>
      <c r="J23" s="293">
        <f t="shared" ref="J23:J26" si="9">SUM(B23,F23)</f>
        <v>4998.5140000000001</v>
      </c>
      <c r="K23" s="293">
        <f t="shared" ref="K23:K26" si="10">SUM(C23,G23)</f>
        <v>4023.6273099999999</v>
      </c>
      <c r="L23" s="165">
        <f t="shared" si="8"/>
        <v>-19.5</v>
      </c>
      <c r="M23" s="23">
        <f>IFERROR(100/'Skjema total MA'!I23*K23,0)</f>
        <v>0.28773540015622939</v>
      </c>
    </row>
    <row r="24" spans="1:14" ht="15.75" x14ac:dyDescent="0.2">
      <c r="A24" s="723" t="s">
        <v>430</v>
      </c>
      <c r="B24" s="284"/>
      <c r="C24" s="284"/>
      <c r="D24" s="165"/>
      <c r="E24" s="11"/>
      <c r="F24" s="293"/>
      <c r="G24" s="293"/>
      <c r="H24" s="165"/>
      <c r="I24" s="239"/>
      <c r="J24" s="293"/>
      <c r="K24" s="293"/>
      <c r="L24" s="165"/>
      <c r="M24" s="23"/>
    </row>
    <row r="25" spans="1:14" ht="15.75" x14ac:dyDescent="0.2">
      <c r="A25" s="723" t="s">
        <v>431</v>
      </c>
      <c r="B25" s="284"/>
      <c r="C25" s="284"/>
      <c r="D25" s="165"/>
      <c r="E25" s="11"/>
      <c r="F25" s="293">
        <v>1247.529</v>
      </c>
      <c r="G25" s="293">
        <v>1047.2290399999999</v>
      </c>
      <c r="H25" s="165">
        <f t="shared" si="6"/>
        <v>-16.100000000000001</v>
      </c>
      <c r="I25" s="239">
        <f>IFERROR(100/'Skjema total MA'!F25*G25,0)</f>
        <v>5.6707459987916691</v>
      </c>
      <c r="J25" s="293">
        <f t="shared" si="9"/>
        <v>1247.529</v>
      </c>
      <c r="K25" s="293">
        <f t="shared" si="10"/>
        <v>1047.2290399999999</v>
      </c>
      <c r="L25" s="165">
        <f t="shared" si="8"/>
        <v>-16.100000000000001</v>
      </c>
      <c r="M25" s="23">
        <f>IFERROR(100/'Skjema total MA'!I25*K25,0)</f>
        <v>2.3069656894025257</v>
      </c>
    </row>
    <row r="26" spans="1:14" ht="15.75" x14ac:dyDescent="0.2">
      <c r="A26" s="723" t="s">
        <v>432</v>
      </c>
      <c r="B26" s="284"/>
      <c r="C26" s="284"/>
      <c r="D26" s="165"/>
      <c r="E26" s="11"/>
      <c r="F26" s="293">
        <v>68824.991999999998</v>
      </c>
      <c r="G26" s="293">
        <v>33758.69558</v>
      </c>
      <c r="H26" s="165">
        <f t="shared" si="6"/>
        <v>-50.9</v>
      </c>
      <c r="I26" s="239">
        <f>IFERROR(100/'Skjema total MA'!F26*G26,0)</f>
        <v>3.9434540250325765</v>
      </c>
      <c r="J26" s="293">
        <f t="shared" si="9"/>
        <v>68824.991999999998</v>
      </c>
      <c r="K26" s="293">
        <f t="shared" si="10"/>
        <v>33758.69558</v>
      </c>
      <c r="L26" s="165">
        <f t="shared" si="8"/>
        <v>-50.9</v>
      </c>
      <c r="M26" s="23">
        <f>IFERROR(100/'Skjema total MA'!I26*K26,0)</f>
        <v>3.9434540250325765</v>
      </c>
    </row>
    <row r="27" spans="1:14" x14ac:dyDescent="0.2">
      <c r="A27" s="723" t="s">
        <v>11</v>
      </c>
      <c r="B27" s="284"/>
      <c r="C27" s="284"/>
      <c r="D27" s="165"/>
      <c r="E27" s="11"/>
      <c r="F27" s="293"/>
      <c r="G27" s="293"/>
      <c r="H27" s="165"/>
      <c r="I27" s="239"/>
      <c r="J27" s="293"/>
      <c r="K27" s="293"/>
      <c r="L27" s="165"/>
      <c r="M27" s="23"/>
    </row>
    <row r="28" spans="1:14" ht="15.75" x14ac:dyDescent="0.2">
      <c r="A28" s="49" t="s">
        <v>269</v>
      </c>
      <c r="B28" s="44">
        <v>14038.031000000001</v>
      </c>
      <c r="C28" s="290">
        <v>13332.05062</v>
      </c>
      <c r="D28" s="165">
        <f t="shared" si="5"/>
        <v>-5</v>
      </c>
      <c r="E28" s="11">
        <f>IFERROR(100/'Skjema total MA'!C28*C28,0)</f>
        <v>0.54877311193207079</v>
      </c>
      <c r="F28" s="233"/>
      <c r="G28" s="290"/>
      <c r="H28" s="165"/>
      <c r="I28" s="175"/>
      <c r="J28" s="44">
        <f t="shared" si="7"/>
        <v>14038.031000000001</v>
      </c>
      <c r="K28" s="44">
        <f t="shared" si="7"/>
        <v>13332.05062</v>
      </c>
      <c r="L28" s="258">
        <f t="shared" si="8"/>
        <v>-5</v>
      </c>
      <c r="M28" s="23">
        <f>IFERROR(100/'Skjema total MA'!I28*K28,0)</f>
        <v>0.54877311193207079</v>
      </c>
    </row>
    <row r="29" spans="1:14" s="3" customFormat="1" ht="15.75" x14ac:dyDescent="0.2">
      <c r="A29" s="13" t="s">
        <v>426</v>
      </c>
      <c r="B29" s="235">
        <v>156218.54399999999</v>
      </c>
      <c r="C29" s="235">
        <v>165335.31700000001</v>
      </c>
      <c r="D29" s="170">
        <f t="shared" si="5"/>
        <v>5.8</v>
      </c>
      <c r="E29" s="11">
        <f>IFERROR(100/'Skjema total MA'!C29*C29,0)</f>
        <v>0.3754710615052379</v>
      </c>
      <c r="F29" s="311">
        <v>2315073.0499999998</v>
      </c>
      <c r="G29" s="311">
        <v>1892052.8737000001</v>
      </c>
      <c r="H29" s="170">
        <f t="shared" si="6"/>
        <v>-18.3</v>
      </c>
      <c r="I29" s="159">
        <f>IFERROR(100/'Skjema total MA'!F29*G29,0)</f>
        <v>8.0568454436183998</v>
      </c>
      <c r="J29" s="235">
        <f t="shared" si="7"/>
        <v>2471291.5939999996</v>
      </c>
      <c r="K29" s="235">
        <f t="shared" si="7"/>
        <v>2057388.1907000002</v>
      </c>
      <c r="L29" s="426">
        <f t="shared" si="8"/>
        <v>-16.7</v>
      </c>
      <c r="M29" s="24">
        <f>IFERROR(100/'Skjema total MA'!I29*K29,0)</f>
        <v>3.0471746014549859</v>
      </c>
      <c r="N29" s="147"/>
    </row>
    <row r="30" spans="1:14" s="3" customFormat="1" ht="15.75" x14ac:dyDescent="0.2">
      <c r="A30" s="723" t="s">
        <v>429</v>
      </c>
      <c r="B30" s="284"/>
      <c r="C30" s="284"/>
      <c r="D30" s="165"/>
      <c r="E30" s="11"/>
      <c r="F30" s="293">
        <v>642465.37600000005</v>
      </c>
      <c r="G30" s="293">
        <v>517282.43151000002</v>
      </c>
      <c r="H30" s="165">
        <f t="shared" si="6"/>
        <v>-19.5</v>
      </c>
      <c r="I30" s="239">
        <f>IFERROR(100/'Skjema total MA'!F30*G30,0)</f>
        <v>15.20254569400098</v>
      </c>
      <c r="J30" s="293">
        <f t="shared" ref="J30:J33" si="11">SUM(B30,F30)</f>
        <v>642465.37600000005</v>
      </c>
      <c r="K30" s="293">
        <f t="shared" ref="K30:K33" si="12">SUM(C30,G30)</f>
        <v>517282.43151000002</v>
      </c>
      <c r="L30" s="165">
        <f t="shared" si="8"/>
        <v>-19.5</v>
      </c>
      <c r="M30" s="23">
        <f>IFERROR(100/'Skjema total MA'!I30*K30,0)</f>
        <v>3.2157047166915809</v>
      </c>
      <c r="N30" s="147"/>
    </row>
    <row r="31" spans="1:14" s="3" customFormat="1" ht="15.75" x14ac:dyDescent="0.2">
      <c r="A31" s="723" t="s">
        <v>430</v>
      </c>
      <c r="B31" s="284"/>
      <c r="C31" s="284"/>
      <c r="D31" s="165"/>
      <c r="E31" s="11"/>
      <c r="F31" s="293">
        <v>1170287.237</v>
      </c>
      <c r="G31" s="293">
        <v>912485.01846000005</v>
      </c>
      <c r="H31" s="165">
        <f t="shared" si="6"/>
        <v>-22</v>
      </c>
      <c r="I31" s="239">
        <f>IFERROR(100/'Skjema total MA'!F31*G31,0)</f>
        <v>12.446025003405305</v>
      </c>
      <c r="J31" s="293">
        <f t="shared" si="11"/>
        <v>1170287.237</v>
      </c>
      <c r="K31" s="293">
        <f t="shared" si="12"/>
        <v>912485.01846000005</v>
      </c>
      <c r="L31" s="165">
        <f t="shared" si="8"/>
        <v>-22</v>
      </c>
      <c r="M31" s="23">
        <f>IFERROR(100/'Skjema total MA'!I31*K31,0)</f>
        <v>2.8668316804808121</v>
      </c>
      <c r="N31" s="147"/>
    </row>
    <row r="32" spans="1:14" ht="15.75" x14ac:dyDescent="0.2">
      <c r="A32" s="723" t="s">
        <v>431</v>
      </c>
      <c r="B32" s="284"/>
      <c r="C32" s="284"/>
      <c r="D32" s="165"/>
      <c r="E32" s="11"/>
      <c r="F32" s="293">
        <v>99727.315000000002</v>
      </c>
      <c r="G32" s="293">
        <v>84690.954749999903</v>
      </c>
      <c r="H32" s="165">
        <f t="shared" si="6"/>
        <v>-15.1</v>
      </c>
      <c r="I32" s="239">
        <f>IFERROR(100/'Skjema total MA'!F32*G32,0)</f>
        <v>1.5853827065364556</v>
      </c>
      <c r="J32" s="293">
        <f t="shared" si="11"/>
        <v>99727.315000000002</v>
      </c>
      <c r="K32" s="293">
        <f t="shared" si="12"/>
        <v>84690.954749999903</v>
      </c>
      <c r="L32" s="165">
        <f t="shared" si="8"/>
        <v>-15.1</v>
      </c>
      <c r="M32" s="23">
        <f>IFERROR(100/'Skjema total MA'!I32*K32,0)</f>
        <v>1.0892053008294691</v>
      </c>
    </row>
    <row r="33" spans="1:14" ht="15.75" x14ac:dyDescent="0.2">
      <c r="A33" s="723" t="s">
        <v>432</v>
      </c>
      <c r="B33" s="284"/>
      <c r="C33" s="284"/>
      <c r="D33" s="165"/>
      <c r="E33" s="11"/>
      <c r="F33" s="293">
        <v>402593.12199999997</v>
      </c>
      <c r="G33" s="293">
        <v>377594.46897999902</v>
      </c>
      <c r="H33" s="165">
        <f t="shared" si="6"/>
        <v>-6.2</v>
      </c>
      <c r="I33" s="239">
        <f>IFERROR(100/'Skjema total MA'!F34*G33,0)</f>
        <v>48.29197875301044</v>
      </c>
      <c r="J33" s="293">
        <f t="shared" si="11"/>
        <v>402593.12199999997</v>
      </c>
      <c r="K33" s="293">
        <f t="shared" si="12"/>
        <v>377594.46897999902</v>
      </c>
      <c r="L33" s="165">
        <f t="shared" si="8"/>
        <v>-6.2</v>
      </c>
      <c r="M33" s="23">
        <f>IFERROR(100/'Skjema total MA'!I34*K33,0)</f>
        <v>46.513722183675327</v>
      </c>
    </row>
    <row r="34" spans="1:14" ht="15.75" x14ac:dyDescent="0.2">
      <c r="A34" s="13" t="s">
        <v>427</v>
      </c>
      <c r="B34" s="235"/>
      <c r="C34" s="312"/>
      <c r="D34" s="170"/>
      <c r="E34" s="11"/>
      <c r="F34" s="311">
        <v>16072.261</v>
      </c>
      <c r="G34" s="312">
        <v>4370.0015899999898</v>
      </c>
      <c r="H34" s="170">
        <f t="shared" si="6"/>
        <v>-72.8</v>
      </c>
      <c r="I34" s="159">
        <f>IFERROR(100/'Skjema total MA'!F34*G34,0)</f>
        <v>0.55889596186346635</v>
      </c>
      <c r="J34" s="235">
        <f t="shared" si="7"/>
        <v>16072.261</v>
      </c>
      <c r="K34" s="235">
        <f t="shared" si="7"/>
        <v>4370.0015899999898</v>
      </c>
      <c r="L34" s="426">
        <f t="shared" si="8"/>
        <v>-72.8</v>
      </c>
      <c r="M34" s="24">
        <f>IFERROR(100/'Skjema total MA'!I34*K34,0)</f>
        <v>0.53831572387318471</v>
      </c>
    </row>
    <row r="35" spans="1:14" ht="15.75" x14ac:dyDescent="0.2">
      <c r="A35" s="13" t="s">
        <v>428</v>
      </c>
      <c r="B35" s="235"/>
      <c r="C35" s="312"/>
      <c r="D35" s="170"/>
      <c r="E35" s="11"/>
      <c r="F35" s="311">
        <v>26067.161</v>
      </c>
      <c r="G35" s="312">
        <v>14744.684999999999</v>
      </c>
      <c r="H35" s="170">
        <f t="shared" si="6"/>
        <v>-43.4</v>
      </c>
      <c r="I35" s="159">
        <f>IFERROR(100/'Skjema total MA'!F35*G35,0)</f>
        <v>3.4324205324685662</v>
      </c>
      <c r="J35" s="235">
        <f t="shared" si="7"/>
        <v>26067.161</v>
      </c>
      <c r="K35" s="235">
        <f t="shared" si="7"/>
        <v>14744.684999999999</v>
      </c>
      <c r="L35" s="426">
        <f t="shared" si="8"/>
        <v>-43.4</v>
      </c>
      <c r="M35" s="24">
        <f>IFERROR(100/'Skjema total MA'!I35*K35,0)</f>
        <v>3.7694244797068448</v>
      </c>
    </row>
    <row r="36" spans="1:14" ht="15.75" x14ac:dyDescent="0.2">
      <c r="A36" s="12" t="s">
        <v>277</v>
      </c>
      <c r="B36" s="235"/>
      <c r="C36" s="312"/>
      <c r="D36" s="170"/>
      <c r="E36" s="11"/>
      <c r="F36" s="322"/>
      <c r="G36" s="323"/>
      <c r="H36" s="170"/>
      <c r="I36" s="428"/>
      <c r="J36" s="235"/>
      <c r="K36" s="235"/>
      <c r="L36" s="426"/>
      <c r="M36" s="24"/>
    </row>
    <row r="37" spans="1:14" ht="15.75" x14ac:dyDescent="0.2">
      <c r="A37" s="12" t="s">
        <v>434</v>
      </c>
      <c r="B37" s="235"/>
      <c r="C37" s="312"/>
      <c r="D37" s="170"/>
      <c r="E37" s="11"/>
      <c r="F37" s="322"/>
      <c r="G37" s="324"/>
      <c r="H37" s="170"/>
      <c r="I37" s="428"/>
      <c r="J37" s="235"/>
      <c r="K37" s="235"/>
      <c r="L37" s="426"/>
      <c r="M37" s="24"/>
    </row>
    <row r="38" spans="1:14" ht="15.75" x14ac:dyDescent="0.2">
      <c r="A38" s="12" t="s">
        <v>435</v>
      </c>
      <c r="B38" s="235"/>
      <c r="C38" s="312"/>
      <c r="D38" s="170"/>
      <c r="E38" s="24"/>
      <c r="F38" s="322"/>
      <c r="G38" s="323"/>
      <c r="H38" s="170"/>
      <c r="I38" s="428"/>
      <c r="J38" s="235"/>
      <c r="K38" s="235"/>
      <c r="L38" s="426"/>
      <c r="M38" s="24"/>
    </row>
    <row r="39" spans="1:14" ht="15.75" x14ac:dyDescent="0.2">
      <c r="A39" s="18" t="s">
        <v>436</v>
      </c>
      <c r="B39" s="279"/>
      <c r="C39" s="318"/>
      <c r="D39" s="168"/>
      <c r="E39" s="36"/>
      <c r="F39" s="325"/>
      <c r="G39" s="326"/>
      <c r="H39" s="168"/>
      <c r="I39" s="168"/>
      <c r="J39" s="235"/>
      <c r="K39" s="235"/>
      <c r="L39" s="427"/>
      <c r="M39" s="36"/>
    </row>
    <row r="40" spans="1:14" ht="15.75" x14ac:dyDescent="0.25">
      <c r="A40" s="47"/>
      <c r="B40" s="257"/>
      <c r="C40" s="257"/>
      <c r="D40" s="1013"/>
      <c r="E40" s="1013"/>
      <c r="F40" s="1013"/>
      <c r="G40" s="1013"/>
      <c r="H40" s="1013"/>
      <c r="I40" s="1013"/>
      <c r="J40" s="1013"/>
      <c r="K40" s="1013"/>
      <c r="L40" s="1013"/>
      <c r="M40" s="407"/>
    </row>
    <row r="41" spans="1:14" x14ac:dyDescent="0.2">
      <c r="A41" s="154"/>
    </row>
    <row r="42" spans="1:14" ht="15.75" x14ac:dyDescent="0.25">
      <c r="A42" s="146" t="s">
        <v>266</v>
      </c>
      <c r="B42" s="1008"/>
      <c r="C42" s="1008"/>
      <c r="D42" s="1008"/>
      <c r="E42" s="406"/>
      <c r="F42" s="1014"/>
      <c r="G42" s="1014"/>
      <c r="H42" s="1014"/>
      <c r="I42" s="407"/>
      <c r="J42" s="1014"/>
      <c r="K42" s="1014"/>
      <c r="L42" s="1014"/>
      <c r="M42" s="407"/>
    </row>
    <row r="43" spans="1:14" ht="15.75" x14ac:dyDescent="0.25">
      <c r="A43" s="162"/>
      <c r="B43" s="403"/>
      <c r="C43" s="403"/>
      <c r="D43" s="403"/>
      <c r="E43" s="403"/>
      <c r="F43" s="407"/>
      <c r="G43" s="407"/>
      <c r="H43" s="407"/>
      <c r="I43" s="407"/>
      <c r="J43" s="407"/>
      <c r="K43" s="407"/>
      <c r="L43" s="407"/>
      <c r="M43" s="407"/>
    </row>
    <row r="44" spans="1:14" ht="15.75" x14ac:dyDescent="0.25">
      <c r="A44" s="248"/>
      <c r="B44" s="1010" t="s">
        <v>0</v>
      </c>
      <c r="C44" s="1011"/>
      <c r="D44" s="1011"/>
      <c r="E44" s="243"/>
      <c r="F44" s="407"/>
      <c r="G44" s="407"/>
      <c r="H44" s="407"/>
      <c r="I44" s="407"/>
      <c r="J44" s="407"/>
      <c r="K44" s="407"/>
      <c r="L44" s="407"/>
      <c r="M44" s="407"/>
    </row>
    <row r="45" spans="1:14" s="3" customFormat="1" x14ac:dyDescent="0.2">
      <c r="A45" s="139"/>
      <c r="B45" s="172" t="s">
        <v>507</v>
      </c>
      <c r="C45" s="172" t="s">
        <v>508</v>
      </c>
      <c r="D45" s="161" t="s">
        <v>3</v>
      </c>
      <c r="E45" s="161" t="s">
        <v>29</v>
      </c>
      <c r="F45" s="174"/>
      <c r="G45" s="174"/>
      <c r="H45" s="173"/>
      <c r="I45" s="173"/>
      <c r="J45" s="174"/>
      <c r="K45" s="174"/>
      <c r="L45" s="173"/>
      <c r="M45" s="173"/>
      <c r="N45" s="147"/>
    </row>
    <row r="46" spans="1:14" s="3" customFormat="1" x14ac:dyDescent="0.2">
      <c r="A46" s="979"/>
      <c r="B46" s="244"/>
      <c r="C46" s="244"/>
      <c r="D46" s="245" t="s">
        <v>4</v>
      </c>
      <c r="E46" s="155" t="s">
        <v>30</v>
      </c>
      <c r="F46" s="173"/>
      <c r="G46" s="173"/>
      <c r="H46" s="173"/>
      <c r="I46" s="173"/>
      <c r="J46" s="173"/>
      <c r="K46" s="173"/>
      <c r="L46" s="173"/>
      <c r="M46" s="173"/>
      <c r="N46" s="147"/>
    </row>
    <row r="47" spans="1:14" s="3" customFormat="1" ht="15.75" x14ac:dyDescent="0.2">
      <c r="A47" s="14" t="s">
        <v>23</v>
      </c>
      <c r="B47" s="313">
        <v>7911.1319999999996</v>
      </c>
      <c r="C47" s="314">
        <v>8156.8746700000002</v>
      </c>
      <c r="D47" s="425">
        <f t="shared" ref="D47:D48" si="13">IF(B47=0, "    ---- ", IF(ABS(ROUND(100/B47*C47-100,1))&lt;999,ROUND(100/B47*C47-100,1),IF(ROUND(100/B47*C47-100,1)&gt;999,999,-999)))</f>
        <v>3.1</v>
      </c>
      <c r="E47" s="11">
        <f>IFERROR(100/'Skjema total MA'!C47*C47,0)</f>
        <v>0.14719121634943294</v>
      </c>
      <c r="F47" s="144"/>
      <c r="G47" s="33"/>
      <c r="H47" s="158"/>
      <c r="I47" s="158"/>
      <c r="J47" s="37"/>
      <c r="K47" s="37"/>
      <c r="L47" s="158"/>
      <c r="M47" s="158"/>
      <c r="N47" s="147"/>
    </row>
    <row r="48" spans="1:14" s="3" customFormat="1" ht="15.75" x14ac:dyDescent="0.2">
      <c r="A48" s="38" t="s">
        <v>437</v>
      </c>
      <c r="B48" s="284">
        <v>7911.1319999999996</v>
      </c>
      <c r="C48" s="285">
        <v>8156.8746700000002</v>
      </c>
      <c r="D48" s="258">
        <f t="shared" si="13"/>
        <v>3.1</v>
      </c>
      <c r="E48" s="27">
        <f>IFERROR(100/'Skjema total MA'!C48*C48,0)</f>
        <v>0.26481941054210345</v>
      </c>
      <c r="F48" s="144"/>
      <c r="G48" s="33"/>
      <c r="H48" s="144"/>
      <c r="I48" s="144"/>
      <c r="J48" s="33"/>
      <c r="K48" s="33"/>
      <c r="L48" s="158"/>
      <c r="M48" s="158"/>
      <c r="N48" s="147"/>
    </row>
    <row r="49" spans="1:14" s="3" customFormat="1" ht="15.75" x14ac:dyDescent="0.2">
      <c r="A49" s="38" t="s">
        <v>438</v>
      </c>
      <c r="B49" s="44"/>
      <c r="C49" s="290"/>
      <c r="D49" s="258"/>
      <c r="E49" s="27"/>
      <c r="F49" s="144"/>
      <c r="G49" s="33"/>
      <c r="H49" s="144"/>
      <c r="I49" s="144"/>
      <c r="J49" s="37"/>
      <c r="K49" s="37"/>
      <c r="L49" s="158"/>
      <c r="M49" s="158"/>
      <c r="N49" s="147"/>
    </row>
    <row r="50" spans="1:14" s="3" customFormat="1" x14ac:dyDescent="0.2">
      <c r="A50" s="299" t="s">
        <v>6</v>
      </c>
      <c r="B50" s="293"/>
      <c r="C50" s="294"/>
      <c r="D50" s="258"/>
      <c r="E50" s="23"/>
      <c r="F50" s="144"/>
      <c r="G50" s="33"/>
      <c r="H50" s="144"/>
      <c r="I50" s="144"/>
      <c r="J50" s="33"/>
      <c r="K50" s="33"/>
      <c r="L50" s="158"/>
      <c r="M50" s="158"/>
      <c r="N50" s="147"/>
    </row>
    <row r="51" spans="1:14" s="3" customFormat="1" x14ac:dyDescent="0.2">
      <c r="A51" s="299" t="s">
        <v>7</v>
      </c>
      <c r="B51" s="293"/>
      <c r="C51" s="294"/>
      <c r="D51" s="258"/>
      <c r="E51" s="23"/>
      <c r="F51" s="144"/>
      <c r="G51" s="33"/>
      <c r="H51" s="144"/>
      <c r="I51" s="144"/>
      <c r="J51" s="33"/>
      <c r="K51" s="33"/>
      <c r="L51" s="158"/>
      <c r="M51" s="158"/>
      <c r="N51" s="147"/>
    </row>
    <row r="52" spans="1:14" s="3" customFormat="1" x14ac:dyDescent="0.2">
      <c r="A52" s="299" t="s">
        <v>8</v>
      </c>
      <c r="B52" s="293"/>
      <c r="C52" s="294"/>
      <c r="D52" s="258"/>
      <c r="E52" s="23"/>
      <c r="F52" s="144"/>
      <c r="G52" s="33"/>
      <c r="H52" s="144"/>
      <c r="I52" s="144"/>
      <c r="J52" s="33"/>
      <c r="K52" s="33"/>
      <c r="L52" s="158"/>
      <c r="M52" s="158"/>
      <c r="N52" s="147"/>
    </row>
    <row r="53" spans="1:14" s="3" customFormat="1" ht="15.75" x14ac:dyDescent="0.2">
      <c r="A53" s="39" t="s">
        <v>439</v>
      </c>
      <c r="B53" s="313"/>
      <c r="C53" s="314"/>
      <c r="D53" s="426"/>
      <c r="E53" s="11"/>
      <c r="F53" s="144"/>
      <c r="G53" s="33"/>
      <c r="H53" s="144"/>
      <c r="I53" s="144"/>
      <c r="J53" s="33"/>
      <c r="K53" s="33"/>
      <c r="L53" s="158"/>
      <c r="M53" s="158"/>
      <c r="N53" s="147"/>
    </row>
    <row r="54" spans="1:14" s="3" customFormat="1" ht="15.75" x14ac:dyDescent="0.2">
      <c r="A54" s="38" t="s">
        <v>437</v>
      </c>
      <c r="B54" s="284"/>
      <c r="C54" s="285"/>
      <c r="D54" s="258"/>
      <c r="E54" s="27"/>
      <c r="F54" s="144"/>
      <c r="G54" s="33"/>
      <c r="H54" s="144"/>
      <c r="I54" s="144"/>
      <c r="J54" s="33"/>
      <c r="K54" s="33"/>
      <c r="L54" s="158"/>
      <c r="M54" s="158"/>
      <c r="N54" s="147"/>
    </row>
    <row r="55" spans="1:14" s="3" customFormat="1" ht="15.75" x14ac:dyDescent="0.2">
      <c r="A55" s="38" t="s">
        <v>438</v>
      </c>
      <c r="B55" s="284"/>
      <c r="C55" s="285"/>
      <c r="D55" s="258"/>
      <c r="E55" s="27"/>
      <c r="F55" s="144"/>
      <c r="G55" s="33"/>
      <c r="H55" s="144"/>
      <c r="I55" s="144"/>
      <c r="J55" s="33"/>
      <c r="K55" s="33"/>
      <c r="L55" s="158"/>
      <c r="M55" s="158"/>
      <c r="N55" s="147"/>
    </row>
    <row r="56" spans="1:14" s="3" customFormat="1" ht="15.75" x14ac:dyDescent="0.2">
      <c r="A56" s="39" t="s">
        <v>440</v>
      </c>
      <c r="B56" s="313"/>
      <c r="C56" s="314"/>
      <c r="D56" s="426"/>
      <c r="E56" s="11"/>
      <c r="F56" s="144"/>
      <c r="G56" s="33"/>
      <c r="H56" s="144"/>
      <c r="I56" s="144"/>
      <c r="J56" s="33"/>
      <c r="K56" s="33"/>
      <c r="L56" s="158"/>
      <c r="M56" s="158"/>
      <c r="N56" s="147"/>
    </row>
    <row r="57" spans="1:14" s="3" customFormat="1" ht="15.75" x14ac:dyDescent="0.2">
      <c r="A57" s="38" t="s">
        <v>437</v>
      </c>
      <c r="B57" s="284"/>
      <c r="C57" s="285"/>
      <c r="D57" s="258"/>
      <c r="E57" s="27"/>
      <c r="F57" s="144"/>
      <c r="G57" s="33"/>
      <c r="H57" s="144"/>
      <c r="I57" s="144"/>
      <c r="J57" s="33"/>
      <c r="K57" s="33"/>
      <c r="L57" s="158"/>
      <c r="M57" s="158"/>
      <c r="N57" s="147"/>
    </row>
    <row r="58" spans="1:14" s="3" customFormat="1" ht="15.75" x14ac:dyDescent="0.2">
      <c r="A58" s="46" t="s">
        <v>438</v>
      </c>
      <c r="B58" s="286"/>
      <c r="C58" s="287"/>
      <c r="D58" s="259"/>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267</v>
      </c>
      <c r="C61" s="26"/>
      <c r="D61" s="26"/>
      <c r="E61" s="26"/>
      <c r="F61" s="26"/>
      <c r="G61" s="26"/>
      <c r="H61" s="26"/>
      <c r="I61" s="26"/>
      <c r="J61" s="26"/>
      <c r="K61" s="26"/>
      <c r="L61" s="26"/>
      <c r="M61" s="26"/>
    </row>
    <row r="62" spans="1:14" ht="15.75" x14ac:dyDescent="0.25">
      <c r="B62" s="1012"/>
      <c r="C62" s="1012"/>
      <c r="D62" s="1012"/>
      <c r="E62" s="406"/>
      <c r="F62" s="1012"/>
      <c r="G62" s="1012"/>
      <c r="H62" s="1012"/>
      <c r="I62" s="406"/>
      <c r="J62" s="1012"/>
      <c r="K62" s="1012"/>
      <c r="L62" s="1012"/>
      <c r="M62" s="406"/>
    </row>
    <row r="63" spans="1:14" x14ac:dyDescent="0.2">
      <c r="A63" s="143"/>
      <c r="B63" s="1010" t="s">
        <v>0</v>
      </c>
      <c r="C63" s="1011"/>
      <c r="D63" s="1015"/>
      <c r="E63" s="404"/>
      <c r="F63" s="1011" t="s">
        <v>1</v>
      </c>
      <c r="G63" s="1011"/>
      <c r="H63" s="1011"/>
      <c r="I63" s="408"/>
      <c r="J63" s="1010" t="s">
        <v>2</v>
      </c>
      <c r="K63" s="1011"/>
      <c r="L63" s="1011"/>
      <c r="M63" s="408"/>
    </row>
    <row r="64" spans="1:14" x14ac:dyDescent="0.2">
      <c r="A64" s="139"/>
      <c r="B64" s="151" t="s">
        <v>507</v>
      </c>
      <c r="C64" s="151" t="s">
        <v>508</v>
      </c>
      <c r="D64" s="245" t="s">
        <v>3</v>
      </c>
      <c r="E64" s="308" t="s">
        <v>29</v>
      </c>
      <c r="F64" s="151" t="s">
        <v>507</v>
      </c>
      <c r="G64" s="151" t="s">
        <v>508</v>
      </c>
      <c r="H64" s="245" t="s">
        <v>3</v>
      </c>
      <c r="I64" s="308" t="s">
        <v>29</v>
      </c>
      <c r="J64" s="151" t="s">
        <v>507</v>
      </c>
      <c r="K64" s="151" t="s">
        <v>508</v>
      </c>
      <c r="L64" s="245" t="s">
        <v>3</v>
      </c>
      <c r="M64" s="161" t="s">
        <v>29</v>
      </c>
    </row>
    <row r="65" spans="1:14" x14ac:dyDescent="0.2">
      <c r="A65" s="979"/>
      <c r="B65" s="155"/>
      <c r="C65" s="155"/>
      <c r="D65" s="247" t="s">
        <v>4</v>
      </c>
      <c r="E65" s="155" t="s">
        <v>30</v>
      </c>
      <c r="F65" s="160"/>
      <c r="G65" s="160"/>
      <c r="H65" s="245" t="s">
        <v>4</v>
      </c>
      <c r="I65" s="155" t="s">
        <v>30</v>
      </c>
      <c r="J65" s="160"/>
      <c r="K65" s="205"/>
      <c r="L65" s="155" t="s">
        <v>4</v>
      </c>
      <c r="M65" s="155" t="s">
        <v>30</v>
      </c>
    </row>
    <row r="66" spans="1:14" ht="15.75" x14ac:dyDescent="0.2">
      <c r="A66" s="14" t="s">
        <v>23</v>
      </c>
      <c r="B66" s="354">
        <v>134166.54500000001</v>
      </c>
      <c r="C66" s="354">
        <v>146779.00023999999</v>
      </c>
      <c r="D66" s="351">
        <f t="shared" ref="D66:D120" si="14">IF(B66=0, "    ---- ", IF(ABS(ROUND(100/B66*C66-100,1))&lt;999,ROUND(100/B66*C66-100,1),IF(ROUND(100/B66*C66-100,1)&gt;999,999,-999)))</f>
        <v>9.4</v>
      </c>
      <c r="E66" s="11">
        <f>IFERROR(100/'Skjema total MA'!C66*C66,0)</f>
        <v>1.8855381649912395</v>
      </c>
      <c r="F66" s="353">
        <v>1942305.378</v>
      </c>
      <c r="G66" s="353">
        <v>2186347.2055199998</v>
      </c>
      <c r="H66" s="351">
        <f t="shared" ref="H66:H125" si="15">IF(F66=0, "    ---- ", IF(ABS(ROUND(100/F66*G66-100,1))&lt;999,ROUND(100/F66*G66-100,1),IF(ROUND(100/F66*G66-100,1)&gt;999,999,-999)))</f>
        <v>12.6</v>
      </c>
      <c r="I66" s="11">
        <f>IFERROR(100/'Skjema total MA'!F66*G66,0)</f>
        <v>5.0087709787703574</v>
      </c>
      <c r="J66" s="312">
        <f t="shared" ref="J66:K79" si="16">SUM(B66,F66)</f>
        <v>2076471.923</v>
      </c>
      <c r="K66" s="319">
        <f t="shared" si="16"/>
        <v>2333126.2057599998</v>
      </c>
      <c r="L66" s="426">
        <f t="shared" ref="L66:L125" si="17">IF(J66=0, "    ---- ", IF(ABS(ROUND(100/J66*K66-100,1))&lt;999,ROUND(100/J66*K66-100,1),IF(ROUND(100/J66*K66-100,1)&gt;999,999,-999)))</f>
        <v>12.4</v>
      </c>
      <c r="M66" s="11">
        <f>IFERROR(100/'Skjema total MA'!I66*K66,0)</f>
        <v>4.5360818566077485</v>
      </c>
    </row>
    <row r="67" spans="1:14" x14ac:dyDescent="0.2">
      <c r="A67" s="21" t="s">
        <v>9</v>
      </c>
      <c r="B67" s="44">
        <v>134166.54500000001</v>
      </c>
      <c r="C67" s="144">
        <v>146779.00023999999</v>
      </c>
      <c r="D67" s="165">
        <f t="shared" si="14"/>
        <v>9.4</v>
      </c>
      <c r="E67" s="27">
        <f>IFERROR(100/'Skjema total MA'!C67*C67,0)</f>
        <v>3.032827193786324</v>
      </c>
      <c r="F67" s="233"/>
      <c r="G67" s="144"/>
      <c r="H67" s="165"/>
      <c r="I67" s="27"/>
      <c r="J67" s="290">
        <f t="shared" si="16"/>
        <v>134166.54500000001</v>
      </c>
      <c r="K67" s="44">
        <f t="shared" si="16"/>
        <v>146779.00023999999</v>
      </c>
      <c r="L67" s="258">
        <f t="shared" si="17"/>
        <v>9.4</v>
      </c>
      <c r="M67" s="27">
        <f>IFERROR(100/'Skjema total MA'!I67*K67,0)</f>
        <v>3.032827193786324</v>
      </c>
    </row>
    <row r="68" spans="1:14" x14ac:dyDescent="0.2">
      <c r="A68" s="21" t="s">
        <v>10</v>
      </c>
      <c r="B68" s="295"/>
      <c r="C68" s="296"/>
      <c r="D68" s="165"/>
      <c r="E68" s="27"/>
      <c r="F68" s="295">
        <v>1942305.378</v>
      </c>
      <c r="G68" s="296">
        <v>2186347.2055199998</v>
      </c>
      <c r="H68" s="165">
        <f t="shared" si="15"/>
        <v>12.6</v>
      </c>
      <c r="I68" s="27">
        <f>IFERROR(100/'Skjema total MA'!F68*G68,0)</f>
        <v>5.2022590520651191</v>
      </c>
      <c r="J68" s="290">
        <f t="shared" si="16"/>
        <v>1942305.378</v>
      </c>
      <c r="K68" s="44">
        <f t="shared" si="16"/>
        <v>2186347.2055199998</v>
      </c>
      <c r="L68" s="258">
        <f t="shared" si="17"/>
        <v>12.6</v>
      </c>
      <c r="M68" s="27">
        <f>IFERROR(100/'Skjema total MA'!I68*K68,0)</f>
        <v>5.1967001342805066</v>
      </c>
    </row>
    <row r="69" spans="1:14" ht="15.75" x14ac:dyDescent="0.2">
      <c r="A69" s="299" t="s">
        <v>441</v>
      </c>
      <c r="B69" s="284"/>
      <c r="C69" s="284"/>
      <c r="D69" s="165"/>
      <c r="E69" s="416"/>
      <c r="F69" s="284"/>
      <c r="G69" s="284"/>
      <c r="H69" s="165"/>
      <c r="I69" s="416"/>
      <c r="J69" s="293"/>
      <c r="K69" s="293"/>
      <c r="L69" s="165"/>
      <c r="M69" s="23"/>
    </row>
    <row r="70" spans="1:14" x14ac:dyDescent="0.2">
      <c r="A70" s="299" t="s">
        <v>12</v>
      </c>
      <c r="B70" s="297"/>
      <c r="C70" s="298"/>
      <c r="D70" s="165"/>
      <c r="E70" s="416"/>
      <c r="F70" s="284"/>
      <c r="G70" s="284"/>
      <c r="H70" s="165"/>
      <c r="I70" s="416"/>
      <c r="J70" s="293"/>
      <c r="K70" s="293"/>
      <c r="L70" s="165"/>
      <c r="M70" s="23"/>
    </row>
    <row r="71" spans="1:14" x14ac:dyDescent="0.2">
      <c r="A71" s="299" t="s">
        <v>13</v>
      </c>
      <c r="B71" s="234"/>
      <c r="C71" s="292"/>
      <c r="D71" s="165"/>
      <c r="E71" s="416"/>
      <c r="F71" s="284"/>
      <c r="G71" s="284"/>
      <c r="H71" s="165"/>
      <c r="I71" s="416"/>
      <c r="J71" s="293"/>
      <c r="K71" s="293"/>
      <c r="L71" s="165"/>
      <c r="M71" s="23"/>
    </row>
    <row r="72" spans="1:14" ht="15.75" x14ac:dyDescent="0.2">
      <c r="A72" s="299" t="s">
        <v>442</v>
      </c>
      <c r="B72" s="284"/>
      <c r="C72" s="284"/>
      <c r="D72" s="165"/>
      <c r="E72" s="416"/>
      <c r="F72" s="284">
        <v>1942305.378</v>
      </c>
      <c r="G72" s="284">
        <v>2186347.2055199998</v>
      </c>
      <c r="H72" s="165">
        <f t="shared" ref="H72" si="18">IF(F72=0, "    ---- ", IF(ABS(ROUND(100/F72*G72-100,1))&lt;999,ROUND(100/F72*G72-100,1),IF(ROUND(100/F72*G72-100,1)&gt;999,999,-999)))</f>
        <v>12.6</v>
      </c>
      <c r="I72" s="27">
        <f>IFERROR(100/'Skjema total MA'!F72*G72,0)</f>
        <v>5.2025759078737401</v>
      </c>
      <c r="J72" s="290">
        <f t="shared" ref="J72:K72" si="19">SUM(B72,F72)</f>
        <v>1942305.378</v>
      </c>
      <c r="K72" s="44">
        <f t="shared" si="19"/>
        <v>2186347.2055199998</v>
      </c>
      <c r="L72" s="258">
        <f t="shared" ref="L72" si="20">IF(J72=0, "    ---- ", IF(ABS(ROUND(100/J72*K72-100,1))&lt;999,ROUND(100/J72*K72-100,1),IF(ROUND(100/J72*K72-100,1)&gt;999,999,-999)))</f>
        <v>12.6</v>
      </c>
      <c r="M72" s="27">
        <f>IFERROR(100/'Skjema total MA'!I72*K72,0)</f>
        <v>5.1975392883555944</v>
      </c>
    </row>
    <row r="73" spans="1:14" x14ac:dyDescent="0.2">
      <c r="A73" s="299" t="s">
        <v>12</v>
      </c>
      <c r="B73" s="234"/>
      <c r="C73" s="292"/>
      <c r="D73" s="165"/>
      <c r="E73" s="416"/>
      <c r="F73" s="284"/>
      <c r="G73" s="284"/>
      <c r="H73" s="165"/>
      <c r="I73" s="416"/>
      <c r="J73" s="293"/>
      <c r="K73" s="293"/>
      <c r="L73" s="165"/>
      <c r="M73" s="23"/>
    </row>
    <row r="74" spans="1:14" s="3" customFormat="1" x14ac:dyDescent="0.2">
      <c r="A74" s="299" t="s">
        <v>13</v>
      </c>
      <c r="B74" s="234"/>
      <c r="C74" s="292"/>
      <c r="D74" s="165"/>
      <c r="E74" s="416"/>
      <c r="F74" s="284">
        <v>1942305.378</v>
      </c>
      <c r="G74" s="284">
        <v>2186347.2055199998</v>
      </c>
      <c r="H74" s="165">
        <f t="shared" ref="H74" si="21">IF(F74=0, "    ---- ", IF(ABS(ROUND(100/F74*G74-100,1))&lt;999,ROUND(100/F74*G74-100,1),IF(ROUND(100/F74*G74-100,1)&gt;999,999,-999)))</f>
        <v>12.6</v>
      </c>
      <c r="I74" s="27">
        <f>IFERROR(100/'Skjema total MA'!F74*G74,0)</f>
        <v>5.2025772665624768</v>
      </c>
      <c r="J74" s="290">
        <f t="shared" ref="J74:K74" si="22">SUM(B74,F74)</f>
        <v>1942305.378</v>
      </c>
      <c r="K74" s="44">
        <f t="shared" si="22"/>
        <v>2186347.2055199998</v>
      </c>
      <c r="L74" s="258">
        <f t="shared" ref="L74" si="23">IF(J74=0, "    ---- ", IF(ABS(ROUND(100/J74*K74-100,1))&lt;999,ROUND(100/J74*K74-100,1),IF(ROUND(100/J74*K74-100,1)&gt;999,999,-999)))</f>
        <v>12.6</v>
      </c>
      <c r="M74" s="27">
        <f>IFERROR(100/'Skjema total MA'!I74*K74,0)</f>
        <v>5.2025772665624768</v>
      </c>
      <c r="N74" s="147"/>
    </row>
    <row r="75" spans="1:14" s="3" customFormat="1" x14ac:dyDescent="0.2">
      <c r="A75" s="21" t="s">
        <v>335</v>
      </c>
      <c r="B75" s="233"/>
      <c r="C75" s="144"/>
      <c r="D75" s="165"/>
      <c r="E75" s="27"/>
      <c r="F75" s="233"/>
      <c r="G75" s="144"/>
      <c r="H75" s="165"/>
      <c r="I75" s="27"/>
      <c r="J75" s="290"/>
      <c r="K75" s="44"/>
      <c r="L75" s="258"/>
      <c r="M75" s="27"/>
      <c r="N75" s="147"/>
    </row>
    <row r="76" spans="1:14" s="3" customFormat="1" x14ac:dyDescent="0.2">
      <c r="A76" s="21" t="s">
        <v>334</v>
      </c>
      <c r="B76" s="233"/>
      <c r="C76" s="144"/>
      <c r="D76" s="165"/>
      <c r="E76" s="27"/>
      <c r="F76" s="233"/>
      <c r="G76" s="144"/>
      <c r="H76" s="165"/>
      <c r="I76" s="27"/>
      <c r="J76" s="290"/>
      <c r="K76" s="44"/>
      <c r="L76" s="258"/>
      <c r="M76" s="27"/>
      <c r="N76" s="147"/>
    </row>
    <row r="77" spans="1:14" ht="15.75" x14ac:dyDescent="0.2">
      <c r="A77" s="21" t="s">
        <v>443</v>
      </c>
      <c r="B77" s="233">
        <v>134166.54500000001</v>
      </c>
      <c r="C77" s="233">
        <v>146779.00023999999</v>
      </c>
      <c r="D77" s="165">
        <f t="shared" si="14"/>
        <v>9.4</v>
      </c>
      <c r="E77" s="27">
        <f>IFERROR(100/'Skjema total MA'!C77*C77,0)</f>
        <v>3.0609488457314922</v>
      </c>
      <c r="F77" s="233">
        <v>1942305.378</v>
      </c>
      <c r="G77" s="144">
        <v>2186347.2055199998</v>
      </c>
      <c r="H77" s="165">
        <f t="shared" si="15"/>
        <v>12.6</v>
      </c>
      <c r="I77" s="27">
        <f>IFERROR(100/'Skjema total MA'!F77*G77,0)</f>
        <v>5.2039153402365077</v>
      </c>
      <c r="J77" s="290">
        <f t="shared" si="16"/>
        <v>2076471.923</v>
      </c>
      <c r="K77" s="44">
        <f t="shared" si="16"/>
        <v>2333126.2057599998</v>
      </c>
      <c r="L77" s="258">
        <f t="shared" si="17"/>
        <v>12.4</v>
      </c>
      <c r="M77" s="27">
        <f>IFERROR(100/'Skjema total MA'!I77*K77,0)</f>
        <v>4.9843840159265058</v>
      </c>
    </row>
    <row r="78" spans="1:14" x14ac:dyDescent="0.2">
      <c r="A78" s="21" t="s">
        <v>9</v>
      </c>
      <c r="B78" s="233">
        <v>134166.54500000001</v>
      </c>
      <c r="C78" s="144">
        <v>146779.00023999999</v>
      </c>
      <c r="D78" s="165">
        <f t="shared" si="14"/>
        <v>9.4</v>
      </c>
      <c r="E78" s="27">
        <f>IFERROR(100/'Skjema total MA'!C78*C78,0)</f>
        <v>3.0882490589110212</v>
      </c>
      <c r="F78" s="233"/>
      <c r="G78" s="144"/>
      <c r="H78" s="165"/>
      <c r="I78" s="27"/>
      <c r="J78" s="290">
        <f t="shared" si="16"/>
        <v>134166.54500000001</v>
      </c>
      <c r="K78" s="44">
        <f t="shared" si="16"/>
        <v>146779.00023999999</v>
      </c>
      <c r="L78" s="258">
        <f t="shared" si="17"/>
        <v>9.4</v>
      </c>
      <c r="M78" s="27">
        <f>IFERROR(100/'Skjema total MA'!I78*K78,0)</f>
        <v>3.0882490589110212</v>
      </c>
    </row>
    <row r="79" spans="1:14" x14ac:dyDescent="0.2">
      <c r="A79" s="38" t="s">
        <v>473</v>
      </c>
      <c r="B79" s="295"/>
      <c r="C79" s="296"/>
      <c r="D79" s="165"/>
      <c r="E79" s="27"/>
      <c r="F79" s="295">
        <v>1942305.378</v>
      </c>
      <c r="G79" s="296">
        <v>2186347.2055199998</v>
      </c>
      <c r="H79" s="165">
        <f t="shared" si="15"/>
        <v>12.6</v>
      </c>
      <c r="I79" s="27">
        <f>IFERROR(100/'Skjema total MA'!F79*G79,0)</f>
        <v>5.2039153402365077</v>
      </c>
      <c r="J79" s="290">
        <f t="shared" si="16"/>
        <v>1942305.378</v>
      </c>
      <c r="K79" s="44">
        <f t="shared" si="16"/>
        <v>2186347.2055199998</v>
      </c>
      <c r="L79" s="258">
        <f t="shared" si="17"/>
        <v>12.6</v>
      </c>
      <c r="M79" s="27">
        <f>IFERROR(100/'Skjema total MA'!I79*K79,0)</f>
        <v>5.1986701055558724</v>
      </c>
    </row>
    <row r="80" spans="1:14" ht="15.75" x14ac:dyDescent="0.2">
      <c r="A80" s="299" t="s">
        <v>441</v>
      </c>
      <c r="B80" s="284"/>
      <c r="C80" s="284"/>
      <c r="D80" s="165"/>
      <c r="E80" s="416"/>
      <c r="F80" s="284"/>
      <c r="G80" s="284"/>
      <c r="H80" s="165"/>
      <c r="I80" s="416"/>
      <c r="J80" s="293"/>
      <c r="K80" s="293"/>
      <c r="L80" s="165"/>
      <c r="M80" s="23"/>
    </row>
    <row r="81" spans="1:13" x14ac:dyDescent="0.2">
      <c r="A81" s="299" t="s">
        <v>12</v>
      </c>
      <c r="B81" s="234"/>
      <c r="C81" s="292"/>
      <c r="D81" s="165"/>
      <c r="E81" s="416"/>
      <c r="F81" s="284"/>
      <c r="G81" s="284"/>
      <c r="H81" s="165"/>
      <c r="I81" s="416"/>
      <c r="J81" s="293"/>
      <c r="K81" s="293"/>
      <c r="L81" s="165"/>
      <c r="M81" s="23"/>
    </row>
    <row r="82" spans="1:13" x14ac:dyDescent="0.2">
      <c r="A82" s="299" t="s">
        <v>13</v>
      </c>
      <c r="B82" s="234"/>
      <c r="C82" s="292"/>
      <c r="D82" s="165"/>
      <c r="E82" s="416"/>
      <c r="F82" s="284"/>
      <c r="G82" s="284"/>
      <c r="H82" s="165"/>
      <c r="I82" s="416"/>
      <c r="J82" s="293"/>
      <c r="K82" s="293"/>
      <c r="L82" s="165"/>
      <c r="M82" s="23"/>
    </row>
    <row r="83" spans="1:13" ht="15.75" x14ac:dyDescent="0.2">
      <c r="A83" s="299" t="s">
        <v>442</v>
      </c>
      <c r="B83" s="284"/>
      <c r="C83" s="284"/>
      <c r="D83" s="165"/>
      <c r="E83" s="416"/>
      <c r="F83" s="284">
        <v>1942305.378</v>
      </c>
      <c r="G83" s="284">
        <v>2186347.2055199998</v>
      </c>
      <c r="H83" s="165">
        <f t="shared" ref="H83" si="24">IF(F83=0, "    ---- ", IF(ABS(ROUND(100/F83*G83-100,1))&lt;999,ROUND(100/F83*G83-100,1),IF(ROUND(100/F83*G83-100,1)&gt;999,999,-999)))</f>
        <v>12.6</v>
      </c>
      <c r="I83" s="27">
        <f>IFERROR(100/'Skjema total MA'!F83*G83,0)</f>
        <v>5.2039153402365077</v>
      </c>
      <c r="J83" s="290">
        <f t="shared" ref="J83:K83" si="25">SUM(B83,F83)</f>
        <v>1942305.378</v>
      </c>
      <c r="K83" s="44">
        <f t="shared" si="25"/>
        <v>2186347.2055199998</v>
      </c>
      <c r="L83" s="258">
        <f t="shared" ref="L83" si="26">IF(J83=0, "    ---- ", IF(ABS(ROUND(100/J83*K83-100,1))&lt;999,ROUND(100/J83*K83-100,1),IF(ROUND(100/J83*K83-100,1)&gt;999,999,-999)))</f>
        <v>12.6</v>
      </c>
      <c r="M83" s="27">
        <f>IFERROR(100/'Skjema total MA'!I83*K83,0)</f>
        <v>5.1986701055558724</v>
      </c>
    </row>
    <row r="84" spans="1:13" x14ac:dyDescent="0.2">
      <c r="A84" s="299" t="s">
        <v>12</v>
      </c>
      <c r="B84" s="234"/>
      <c r="C84" s="292"/>
      <c r="D84" s="165"/>
      <c r="E84" s="416"/>
      <c r="F84" s="284"/>
      <c r="G84" s="284"/>
      <c r="H84" s="165"/>
      <c r="I84" s="416"/>
      <c r="J84" s="293"/>
      <c r="K84" s="293"/>
      <c r="L84" s="165"/>
      <c r="M84" s="23"/>
    </row>
    <row r="85" spans="1:13" x14ac:dyDescent="0.2">
      <c r="A85" s="299" t="s">
        <v>13</v>
      </c>
      <c r="B85" s="234"/>
      <c r="C85" s="292"/>
      <c r="D85" s="165"/>
      <c r="E85" s="416"/>
      <c r="F85" s="284">
        <v>1942305.378</v>
      </c>
      <c r="G85" s="284">
        <v>2186347.2055199998</v>
      </c>
      <c r="H85" s="165">
        <f t="shared" ref="H85" si="27">IF(F85=0, "    ---- ", IF(ABS(ROUND(100/F85*G85-100,1))&lt;999,ROUND(100/F85*G85-100,1),IF(ROUND(100/F85*G85-100,1)&gt;999,999,-999)))</f>
        <v>12.6</v>
      </c>
      <c r="I85" s="27">
        <f>IFERROR(100/'Skjema total MA'!F85*G85,0)</f>
        <v>5.203916699624938</v>
      </c>
      <c r="J85" s="290">
        <f t="shared" ref="J85:K85" si="28">SUM(B85,F85)</f>
        <v>1942305.378</v>
      </c>
      <c r="K85" s="44">
        <f t="shared" si="28"/>
        <v>2186347.2055199998</v>
      </c>
      <c r="L85" s="258">
        <f t="shared" ref="L85" si="29">IF(J85=0, "    ---- ", IF(ABS(ROUND(100/J85*K85-100,1))&lt;999,ROUND(100/J85*K85-100,1),IF(ROUND(100/J85*K85-100,1)&gt;999,999,-999)))</f>
        <v>12.6</v>
      </c>
      <c r="M85" s="27">
        <f>IFERROR(100/'Skjema total MA'!I85*K85,0)</f>
        <v>5.203916699624938</v>
      </c>
    </row>
    <row r="86" spans="1:13" ht="15.75" x14ac:dyDescent="0.2">
      <c r="A86" s="21" t="s">
        <v>444</v>
      </c>
      <c r="B86" s="233"/>
      <c r="C86" s="144"/>
      <c r="D86" s="165"/>
      <c r="E86" s="27"/>
      <c r="F86" s="233"/>
      <c r="G86" s="144"/>
      <c r="H86" s="165"/>
      <c r="I86" s="27"/>
      <c r="J86" s="290"/>
      <c r="K86" s="44"/>
      <c r="L86" s="258"/>
      <c r="M86" s="27"/>
    </row>
    <row r="87" spans="1:13" ht="15.75" x14ac:dyDescent="0.2">
      <c r="A87" s="13" t="s">
        <v>426</v>
      </c>
      <c r="B87" s="354">
        <v>936041.30900000001</v>
      </c>
      <c r="C87" s="354">
        <v>971922.14194999996</v>
      </c>
      <c r="D87" s="170">
        <f t="shared" si="14"/>
        <v>3.8</v>
      </c>
      <c r="E87" s="11">
        <f>IFERROR(100/'Skjema total MA'!C87*C87,0)</f>
        <v>0.24402317503598417</v>
      </c>
      <c r="F87" s="353">
        <v>23784856.305</v>
      </c>
      <c r="G87" s="353">
        <v>22156909.288240001</v>
      </c>
      <c r="H87" s="170">
        <f t="shared" si="15"/>
        <v>-6.8</v>
      </c>
      <c r="I87" s="11">
        <f>IFERROR(100/'Skjema total MA'!F87*G87,0)</f>
        <v>5.0023421791252929</v>
      </c>
      <c r="J87" s="312">
        <f t="shared" ref="J87:K111" si="30">SUM(B87,F87)</f>
        <v>24720897.614</v>
      </c>
      <c r="K87" s="235">
        <f t="shared" si="30"/>
        <v>23128831.430190001</v>
      </c>
      <c r="L87" s="426">
        <f t="shared" si="17"/>
        <v>-6.4</v>
      </c>
      <c r="M87" s="11">
        <f>IFERROR(100/'Skjema total MA'!I87*K87,0)</f>
        <v>2.7494337908597428</v>
      </c>
    </row>
    <row r="88" spans="1:13" x14ac:dyDescent="0.2">
      <c r="A88" s="21" t="s">
        <v>9</v>
      </c>
      <c r="B88" s="233">
        <v>936041.30900000001</v>
      </c>
      <c r="C88" s="144">
        <v>971922.14194999996</v>
      </c>
      <c r="D88" s="165">
        <f t="shared" si="14"/>
        <v>3.8</v>
      </c>
      <c r="E88" s="27">
        <f>IFERROR(100/'Skjema total MA'!C88*C88,0)</f>
        <v>0.25399974786574386</v>
      </c>
      <c r="F88" s="233"/>
      <c r="G88" s="144"/>
      <c r="H88" s="165"/>
      <c r="I88" s="27"/>
      <c r="J88" s="290">
        <f t="shared" si="30"/>
        <v>936041.30900000001</v>
      </c>
      <c r="K88" s="44">
        <f t="shared" si="30"/>
        <v>971922.14194999996</v>
      </c>
      <c r="L88" s="258">
        <f t="shared" si="17"/>
        <v>3.8</v>
      </c>
      <c r="M88" s="27">
        <f>IFERROR(100/'Skjema total MA'!I88*K88,0)</f>
        <v>0.25399974786574386</v>
      </c>
    </row>
    <row r="89" spans="1:13" x14ac:dyDescent="0.2">
      <c r="A89" s="21" t="s">
        <v>10</v>
      </c>
      <c r="B89" s="233"/>
      <c r="C89" s="144"/>
      <c r="D89" s="165"/>
      <c r="E89" s="27"/>
      <c r="F89" s="233">
        <v>23784856.305</v>
      </c>
      <c r="G89" s="233">
        <v>22156909.288240001</v>
      </c>
      <c r="H89" s="165">
        <f t="shared" si="15"/>
        <v>-6.8</v>
      </c>
      <c r="I89" s="27">
        <f>IFERROR(100/'Skjema total MA'!F89*G89,0)</f>
        <v>5.0650107806286302</v>
      </c>
      <c r="J89" s="290">
        <f t="shared" si="30"/>
        <v>23784856.305</v>
      </c>
      <c r="K89" s="44">
        <f t="shared" si="30"/>
        <v>22156909.288240001</v>
      </c>
      <c r="L89" s="258">
        <f t="shared" si="17"/>
        <v>-6.8</v>
      </c>
      <c r="M89" s="27">
        <f>IFERROR(100/'Skjema total MA'!I89*K89,0)</f>
        <v>5.0269698151410411</v>
      </c>
    </row>
    <row r="90" spans="1:13" ht="15.75" x14ac:dyDescent="0.2">
      <c r="A90" s="299" t="s">
        <v>441</v>
      </c>
      <c r="B90" s="284"/>
      <c r="C90" s="284"/>
      <c r="D90" s="165"/>
      <c r="E90" s="416"/>
      <c r="F90" s="284"/>
      <c r="G90" s="284"/>
      <c r="H90" s="165"/>
      <c r="I90" s="416"/>
      <c r="J90" s="293"/>
      <c r="K90" s="293"/>
      <c r="L90" s="165"/>
      <c r="M90" s="23"/>
    </row>
    <row r="91" spans="1:13" x14ac:dyDescent="0.2">
      <c r="A91" s="299" t="s">
        <v>12</v>
      </c>
      <c r="B91" s="234"/>
      <c r="C91" s="292"/>
      <c r="D91" s="165"/>
      <c r="E91" s="416"/>
      <c r="F91" s="284"/>
      <c r="G91" s="284"/>
      <c r="H91" s="165"/>
      <c r="I91" s="416"/>
      <c r="J91" s="293"/>
      <c r="K91" s="293"/>
      <c r="L91" s="165"/>
      <c r="M91" s="23"/>
    </row>
    <row r="92" spans="1:13" x14ac:dyDescent="0.2">
      <c r="A92" s="299" t="s">
        <v>13</v>
      </c>
      <c r="B92" s="234"/>
      <c r="C92" s="292"/>
      <c r="D92" s="165"/>
      <c r="E92" s="416"/>
      <c r="F92" s="284"/>
      <c r="G92" s="284"/>
      <c r="H92" s="165"/>
      <c r="I92" s="416"/>
      <c r="J92" s="293"/>
      <c r="K92" s="293"/>
      <c r="L92" s="165"/>
      <c r="M92" s="23"/>
    </row>
    <row r="93" spans="1:13" ht="15.75" x14ac:dyDescent="0.2">
      <c r="A93" s="299" t="s">
        <v>442</v>
      </c>
      <c r="B93" s="284"/>
      <c r="C93" s="284"/>
      <c r="D93" s="165"/>
      <c r="E93" s="416"/>
      <c r="F93" s="284">
        <v>23784856.305</v>
      </c>
      <c r="G93" s="144">
        <v>22156909.288240001</v>
      </c>
      <c r="H93" s="165">
        <f t="shared" ref="H93" si="31">IF(F93=0, "    ---- ", IF(ABS(ROUND(100/F93*G93-100,1))&lt;999,ROUND(100/F93*G93-100,1),IF(ROUND(100/F93*G93-100,1)&gt;999,999,-999)))</f>
        <v>-6.8</v>
      </c>
      <c r="I93" s="27">
        <f>IFERROR(100/'Skjema total MA'!F93*G93,0)</f>
        <v>5.0661869081900219</v>
      </c>
      <c r="J93" s="290">
        <f t="shared" ref="J93:K93" si="32">SUM(B93,F93)</f>
        <v>23784856.305</v>
      </c>
      <c r="K93" s="44">
        <f t="shared" si="32"/>
        <v>22156909.288240001</v>
      </c>
      <c r="L93" s="258">
        <f t="shared" ref="L93" si="33">IF(J93=0, "    ---- ", IF(ABS(ROUND(100/J93*K93-100,1))&lt;999,ROUND(100/J93*K93-100,1),IF(ROUND(100/J93*K93-100,1)&gt;999,999,-999)))</f>
        <v>-6.8</v>
      </c>
      <c r="M93" s="27">
        <f>IFERROR(100/'Skjema total MA'!I93*K93,0)</f>
        <v>5.0281283403192996</v>
      </c>
    </row>
    <row r="94" spans="1:13" x14ac:dyDescent="0.2">
      <c r="A94" s="299" t="s">
        <v>12</v>
      </c>
      <c r="B94" s="234"/>
      <c r="C94" s="292"/>
      <c r="D94" s="165"/>
      <c r="E94" s="416"/>
      <c r="F94" s="284"/>
      <c r="G94" s="284"/>
      <c r="H94" s="165"/>
      <c r="I94" s="416"/>
      <c r="J94" s="293"/>
      <c r="K94" s="293"/>
      <c r="L94" s="165"/>
      <c r="M94" s="23"/>
    </row>
    <row r="95" spans="1:13" x14ac:dyDescent="0.2">
      <c r="A95" s="299" t="s">
        <v>13</v>
      </c>
      <c r="B95" s="234"/>
      <c r="C95" s="292"/>
      <c r="D95" s="165"/>
      <c r="E95" s="416"/>
      <c r="F95" s="284">
        <v>23784856.305</v>
      </c>
      <c r="G95" s="144">
        <v>22156909.288240001</v>
      </c>
      <c r="H95" s="165">
        <f t="shared" ref="H95" si="34">IF(F95=0, "    ---- ", IF(ABS(ROUND(100/F95*G95-100,1))&lt;999,ROUND(100/F95*G95-100,1),IF(ROUND(100/F95*G95-100,1)&gt;999,999,-999)))</f>
        <v>-6.8</v>
      </c>
      <c r="I95" s="27">
        <f>IFERROR(100/'Skjema total MA'!F95*G95,0)</f>
        <v>5.0664348717435148</v>
      </c>
      <c r="J95" s="290">
        <f t="shared" ref="J95:K95" si="35">SUM(B95,F95)</f>
        <v>23784856.305</v>
      </c>
      <c r="K95" s="44">
        <f t="shared" si="35"/>
        <v>22156909.288240001</v>
      </c>
      <c r="L95" s="258">
        <f t="shared" ref="L95" si="36">IF(J95=0, "    ---- ", IF(ABS(ROUND(100/J95*K95-100,1))&lt;999,ROUND(100/J95*K95-100,1),IF(ROUND(100/J95*K95-100,1)&gt;999,999,-999)))</f>
        <v>-6.8</v>
      </c>
      <c r="M95" s="27">
        <f>IFERROR(100/'Skjema total MA'!I95*K95,0)</f>
        <v>5.0664348717435148</v>
      </c>
    </row>
    <row r="96" spans="1:13" x14ac:dyDescent="0.2">
      <c r="A96" s="21" t="s">
        <v>333</v>
      </c>
      <c r="B96" s="233"/>
      <c r="C96" s="144"/>
      <c r="D96" s="165"/>
      <c r="E96" s="27"/>
      <c r="F96" s="233"/>
      <c r="G96" s="144"/>
      <c r="H96" s="165"/>
      <c r="I96" s="27"/>
      <c r="J96" s="290"/>
      <c r="K96" s="44"/>
      <c r="L96" s="258"/>
      <c r="M96" s="27"/>
    </row>
    <row r="97" spans="1:15" x14ac:dyDescent="0.2">
      <c r="A97" s="21" t="s">
        <v>332</v>
      </c>
      <c r="B97" s="233"/>
      <c r="C97" s="144"/>
      <c r="D97" s="165"/>
      <c r="E97" s="27"/>
      <c r="F97" s="233"/>
      <c r="G97" s="144"/>
      <c r="H97" s="165"/>
      <c r="I97" s="27"/>
      <c r="J97" s="290"/>
      <c r="K97" s="44"/>
      <c r="L97" s="258"/>
      <c r="M97" s="27"/>
    </row>
    <row r="98" spans="1:15" ht="15.75" x14ac:dyDescent="0.2">
      <c r="A98" s="21" t="s">
        <v>443</v>
      </c>
      <c r="B98" s="233">
        <v>936041.30900000001</v>
      </c>
      <c r="C98" s="233">
        <v>971922.14194999996</v>
      </c>
      <c r="D98" s="165">
        <f t="shared" si="14"/>
        <v>3.8</v>
      </c>
      <c r="E98" s="27">
        <f>IFERROR(100/'Skjema total MA'!C98*C98,0)</f>
        <v>0.25475461198448429</v>
      </c>
      <c r="F98" s="295">
        <v>23784856.305</v>
      </c>
      <c r="G98" s="295">
        <v>22156909.288240001</v>
      </c>
      <c r="H98" s="165">
        <f t="shared" si="15"/>
        <v>-6.8</v>
      </c>
      <c r="I98" s="27">
        <f>IFERROR(100/'Skjema total MA'!F98*G98,0)</f>
        <v>5.0673905368667409</v>
      </c>
      <c r="J98" s="290">
        <f t="shared" si="30"/>
        <v>24720897.614</v>
      </c>
      <c r="K98" s="44">
        <f t="shared" si="30"/>
        <v>23128831.430190001</v>
      </c>
      <c r="L98" s="258">
        <f t="shared" si="17"/>
        <v>-6.4</v>
      </c>
      <c r="M98" s="27">
        <f>IFERROR(100/'Skjema total MA'!I98*K98,0)</f>
        <v>2.8248677653053038</v>
      </c>
    </row>
    <row r="99" spans="1:15" x14ac:dyDescent="0.2">
      <c r="A99" s="21" t="s">
        <v>9</v>
      </c>
      <c r="B99" s="295">
        <v>936041.30900000001</v>
      </c>
      <c r="C99" s="296">
        <v>971922.14194999996</v>
      </c>
      <c r="D99" s="165">
        <f t="shared" si="14"/>
        <v>3.8</v>
      </c>
      <c r="E99" s="27">
        <f>IFERROR(100/'Skjema total MA'!C99*C99,0)</f>
        <v>0.25698444025109402</v>
      </c>
      <c r="F99" s="233"/>
      <c r="G99" s="144"/>
      <c r="H99" s="165"/>
      <c r="I99" s="27"/>
      <c r="J99" s="290">
        <f t="shared" si="30"/>
        <v>936041.30900000001</v>
      </c>
      <c r="K99" s="44">
        <f t="shared" si="30"/>
        <v>971922.14194999996</v>
      </c>
      <c r="L99" s="258">
        <f t="shared" si="17"/>
        <v>3.8</v>
      </c>
      <c r="M99" s="27">
        <f>IFERROR(100/'Skjema total MA'!I99*K99,0)</f>
        <v>0.25698444025109402</v>
      </c>
    </row>
    <row r="100" spans="1:15" x14ac:dyDescent="0.2">
      <c r="A100" s="38" t="s">
        <v>473</v>
      </c>
      <c r="B100" s="295"/>
      <c r="C100" s="296"/>
      <c r="D100" s="165"/>
      <c r="E100" s="27"/>
      <c r="F100" s="233">
        <v>23784856.305</v>
      </c>
      <c r="G100" s="233">
        <v>22156909.288240001</v>
      </c>
      <c r="H100" s="165">
        <f t="shared" si="15"/>
        <v>-6.8</v>
      </c>
      <c r="I100" s="27">
        <f>IFERROR(100/'Skjema total MA'!F100*G100,0)</f>
        <v>5.0673905368667409</v>
      </c>
      <c r="J100" s="290">
        <f t="shared" si="30"/>
        <v>23784856.305</v>
      </c>
      <c r="K100" s="44">
        <f t="shared" si="30"/>
        <v>22156909.288240001</v>
      </c>
      <c r="L100" s="258">
        <f t="shared" si="17"/>
        <v>-6.8</v>
      </c>
      <c r="M100" s="27">
        <f>IFERROR(100/'Skjema total MA'!I100*K100,0)</f>
        <v>5.0293139551948531</v>
      </c>
    </row>
    <row r="101" spans="1:15" ht="15.75" x14ac:dyDescent="0.2">
      <c r="A101" s="299" t="s">
        <v>441</v>
      </c>
      <c r="B101" s="284"/>
      <c r="C101" s="284"/>
      <c r="D101" s="165"/>
      <c r="E101" s="416"/>
      <c r="F101" s="284"/>
      <c r="G101" s="284"/>
      <c r="H101" s="165"/>
      <c r="I101" s="416"/>
      <c r="J101" s="293"/>
      <c r="K101" s="293"/>
      <c r="L101" s="165"/>
      <c r="M101" s="23"/>
    </row>
    <row r="102" spans="1:15" x14ac:dyDescent="0.2">
      <c r="A102" s="299" t="s">
        <v>12</v>
      </c>
      <c r="B102" s="234"/>
      <c r="C102" s="292"/>
      <c r="D102" s="165"/>
      <c r="E102" s="416"/>
      <c r="F102" s="284"/>
      <c r="G102" s="284"/>
      <c r="H102" s="165"/>
      <c r="I102" s="416"/>
      <c r="J102" s="293"/>
      <c r="K102" s="293"/>
      <c r="L102" s="165"/>
      <c r="M102" s="23"/>
    </row>
    <row r="103" spans="1:15" x14ac:dyDescent="0.2">
      <c r="A103" s="299" t="s">
        <v>13</v>
      </c>
      <c r="B103" s="234"/>
      <c r="C103" s="292"/>
      <c r="D103" s="165"/>
      <c r="E103" s="416"/>
      <c r="F103" s="284"/>
      <c r="G103" s="284"/>
      <c r="H103" s="165"/>
      <c r="I103" s="416"/>
      <c r="J103" s="293"/>
      <c r="K103" s="293"/>
      <c r="L103" s="165"/>
      <c r="M103" s="23"/>
    </row>
    <row r="104" spans="1:15" ht="15.75" x14ac:dyDescent="0.2">
      <c r="A104" s="299" t="s">
        <v>442</v>
      </c>
      <c r="B104" s="284"/>
      <c r="C104" s="284"/>
      <c r="D104" s="165"/>
      <c r="E104" s="416"/>
      <c r="F104" s="284">
        <v>23784856.305</v>
      </c>
      <c r="G104" s="284">
        <v>22156909.288240001</v>
      </c>
      <c r="H104" s="165">
        <f t="shared" ref="H104" si="37">IF(F104=0, "    ---- ", IF(ABS(ROUND(100/F104*G104-100,1))&lt;999,ROUND(100/F104*G104-100,1),IF(ROUND(100/F104*G104-100,1)&gt;999,999,-999)))</f>
        <v>-6.8</v>
      </c>
      <c r="I104" s="27">
        <f>IFERROR(100/'Skjema total MA'!F104*G104,0)</f>
        <v>5.0673905368667409</v>
      </c>
      <c r="J104" s="290">
        <f t="shared" ref="J104:K104" si="38">SUM(B104,F104)</f>
        <v>23784856.305</v>
      </c>
      <c r="K104" s="44">
        <f t="shared" si="38"/>
        <v>22156909.288240001</v>
      </c>
      <c r="L104" s="258">
        <f t="shared" ref="L104" si="39">IF(J104=0, "    ---- ", IF(ABS(ROUND(100/J104*K104-100,1))&lt;999,ROUND(100/J104*K104-100,1),IF(ROUND(100/J104*K104-100,1)&gt;999,999,-999)))</f>
        <v>-6.8</v>
      </c>
      <c r="M104" s="27">
        <f>IFERROR(100/'Skjema total MA'!I104*K104,0)</f>
        <v>5.0293139551948531</v>
      </c>
    </row>
    <row r="105" spans="1:15" x14ac:dyDescent="0.2">
      <c r="A105" s="299" t="s">
        <v>12</v>
      </c>
      <c r="B105" s="234"/>
      <c r="C105" s="292"/>
      <c r="D105" s="165"/>
      <c r="E105" s="416"/>
      <c r="F105" s="284"/>
      <c r="G105" s="284"/>
      <c r="H105" s="165"/>
      <c r="I105" s="416"/>
      <c r="J105" s="293"/>
      <c r="K105" s="293"/>
      <c r="L105" s="165"/>
      <c r="M105" s="23"/>
    </row>
    <row r="106" spans="1:15" x14ac:dyDescent="0.2">
      <c r="A106" s="299" t="s">
        <v>13</v>
      </c>
      <c r="B106" s="234"/>
      <c r="C106" s="292"/>
      <c r="D106" s="165"/>
      <c r="E106" s="416"/>
      <c r="F106" s="284">
        <v>23784856.305</v>
      </c>
      <c r="G106" s="284">
        <v>22156909.288240001</v>
      </c>
      <c r="H106" s="165">
        <f t="shared" ref="H106" si="40">IF(F106=0, "    ---- ", IF(ABS(ROUND(100/F106*G106-100,1))&lt;999,ROUND(100/F106*G106-100,1),IF(ROUND(100/F106*G106-100,1)&gt;999,999,-999)))</f>
        <v>-6.8</v>
      </c>
      <c r="I106" s="27">
        <f>IFERROR(100/'Skjema total MA'!F106*G106,0)</f>
        <v>5.0673917874480949</v>
      </c>
      <c r="J106" s="290">
        <f t="shared" ref="J106:K106" si="41">SUM(B106,F106)</f>
        <v>23784856.305</v>
      </c>
      <c r="K106" s="44">
        <f t="shared" si="41"/>
        <v>22156909.288240001</v>
      </c>
      <c r="L106" s="258">
        <f t="shared" ref="L106" si="42">IF(J106=0, "    ---- ", IF(ABS(ROUND(100/J106*K106-100,1))&lt;999,ROUND(100/J106*K106-100,1),IF(ROUND(100/J106*K106-100,1)&gt;999,999,-999)))</f>
        <v>-6.8</v>
      </c>
      <c r="M106" s="27">
        <f>IFERROR(100/'Skjema total MA'!I106*K106,0)</f>
        <v>5.0673917874480949</v>
      </c>
    </row>
    <row r="107" spans="1:15" ht="15.75" x14ac:dyDescent="0.2">
      <c r="A107" s="21" t="s">
        <v>444</v>
      </c>
      <c r="B107" s="233"/>
      <c r="C107" s="144"/>
      <c r="D107" s="165"/>
      <c r="E107" s="27"/>
      <c r="F107" s="233"/>
      <c r="G107" s="144"/>
      <c r="H107" s="165"/>
      <c r="I107" s="27"/>
      <c r="J107" s="290"/>
      <c r="K107" s="44"/>
      <c r="L107" s="258"/>
      <c r="M107" s="27"/>
    </row>
    <row r="108" spans="1:15" ht="15.75" x14ac:dyDescent="0.2">
      <c r="A108" s="21" t="s">
        <v>445</v>
      </c>
      <c r="B108" s="233">
        <v>161541.041</v>
      </c>
      <c r="C108" s="233">
        <v>198113.43</v>
      </c>
      <c r="D108" s="165">
        <f t="shared" si="14"/>
        <v>22.6</v>
      </c>
      <c r="E108" s="27">
        <f>IFERROR(100/'Skjema total MA'!C108*C108,0)</f>
        <v>6.0292815449882527E-2</v>
      </c>
      <c r="F108" s="233">
        <v>205474.06099999999</v>
      </c>
      <c r="G108" s="233">
        <v>0</v>
      </c>
      <c r="H108" s="165">
        <f t="shared" si="15"/>
        <v>-100</v>
      </c>
      <c r="I108" s="27">
        <f>IFERROR(100/'Skjema total MA'!F108*G108,0)</f>
        <v>0</v>
      </c>
      <c r="J108" s="290">
        <f t="shared" si="30"/>
        <v>367015.10199999996</v>
      </c>
      <c r="K108" s="44">
        <f t="shared" si="30"/>
        <v>198113.43</v>
      </c>
      <c r="L108" s="258">
        <f t="shared" si="17"/>
        <v>-46</v>
      </c>
      <c r="M108" s="27">
        <f>IFERROR(100/'Skjema total MA'!I108*K108,0)</f>
        <v>5.6959411809531596E-2</v>
      </c>
    </row>
    <row r="109" spans="1:15" ht="15.75" x14ac:dyDescent="0.2">
      <c r="A109" s="38" t="s">
        <v>481</v>
      </c>
      <c r="B109" s="233"/>
      <c r="C109" s="233"/>
      <c r="D109" s="165"/>
      <c r="E109" s="27"/>
      <c r="F109" s="233">
        <v>9537397</v>
      </c>
      <c r="G109" s="233">
        <v>9320003.9460999109</v>
      </c>
      <c r="H109" s="165">
        <f t="shared" si="15"/>
        <v>-2.2999999999999998</v>
      </c>
      <c r="I109" s="27">
        <f>IFERROR(100/'Skjema total MA'!F109*G109,0)</f>
        <v>5.8381060577018182</v>
      </c>
      <c r="J109" s="290">
        <f t="shared" si="30"/>
        <v>9537397</v>
      </c>
      <c r="K109" s="44">
        <f t="shared" si="30"/>
        <v>9320003.9460999109</v>
      </c>
      <c r="L109" s="258">
        <f t="shared" si="17"/>
        <v>-2.2999999999999998</v>
      </c>
      <c r="M109" s="27">
        <f>IFERROR(100/'Skjema total MA'!I109*K109,0)</f>
        <v>5.7728023706494795</v>
      </c>
      <c r="O109" s="3"/>
    </row>
    <row r="110" spans="1:15" ht="15.75" x14ac:dyDescent="0.2">
      <c r="A110" s="21" t="s">
        <v>446</v>
      </c>
      <c r="B110" s="233"/>
      <c r="C110" s="233"/>
      <c r="D110" s="165"/>
      <c r="E110" s="27"/>
      <c r="F110" s="233"/>
      <c r="G110" s="233"/>
      <c r="H110" s="165"/>
      <c r="I110" s="27"/>
      <c r="J110" s="290"/>
      <c r="K110" s="44"/>
      <c r="L110" s="258"/>
      <c r="M110" s="27"/>
    </row>
    <row r="111" spans="1:15" ht="15.75" x14ac:dyDescent="0.2">
      <c r="A111" s="13" t="s">
        <v>427</v>
      </c>
      <c r="B111" s="311">
        <v>23585.792000000001</v>
      </c>
      <c r="C111" s="158">
        <v>21664.08568</v>
      </c>
      <c r="D111" s="170">
        <f t="shared" si="14"/>
        <v>-8.1</v>
      </c>
      <c r="E111" s="11">
        <f>IFERROR(100/'Skjema total MA'!C111*C111,0)</f>
        <v>2.793439863616487</v>
      </c>
      <c r="F111" s="311">
        <v>5869068.2199999997</v>
      </c>
      <c r="G111" s="158">
        <v>2408647.9937</v>
      </c>
      <c r="H111" s="170">
        <f t="shared" si="15"/>
        <v>-59</v>
      </c>
      <c r="I111" s="11">
        <f>IFERROR(100/'Skjema total MA'!F111*G111,0)</f>
        <v>5.9316156512159264</v>
      </c>
      <c r="J111" s="312">
        <f t="shared" si="30"/>
        <v>5892654.0120000001</v>
      </c>
      <c r="K111" s="235">
        <f t="shared" si="30"/>
        <v>2430312.07938</v>
      </c>
      <c r="L111" s="426">
        <f t="shared" si="17"/>
        <v>-58.8</v>
      </c>
      <c r="M111" s="11">
        <f>IFERROR(100/'Skjema total MA'!I111*K111,0)</f>
        <v>5.8728042153373083</v>
      </c>
    </row>
    <row r="112" spans="1:15" x14ac:dyDescent="0.2">
      <c r="A112" s="21" t="s">
        <v>9</v>
      </c>
      <c r="B112" s="233">
        <v>23585.792000000001</v>
      </c>
      <c r="C112" s="144">
        <v>21664.08568</v>
      </c>
      <c r="D112" s="165">
        <f t="shared" si="14"/>
        <v>-8.1</v>
      </c>
      <c r="E112" s="27">
        <f>IFERROR(100/'Skjema total MA'!C112*C112,0)</f>
        <v>4.5119272784912843</v>
      </c>
      <c r="F112" s="233"/>
      <c r="G112" s="144"/>
      <c r="H112" s="165"/>
      <c r="I112" s="27"/>
      <c r="J112" s="290">
        <f t="shared" ref="J112:K125" si="43">SUM(B112,F112)</f>
        <v>23585.792000000001</v>
      </c>
      <c r="K112" s="44">
        <f t="shared" si="43"/>
        <v>21664.08568</v>
      </c>
      <c r="L112" s="258">
        <f t="shared" si="17"/>
        <v>-8.1</v>
      </c>
      <c r="M112" s="27">
        <f>IFERROR(100/'Skjema total MA'!I112*K112,0)</f>
        <v>4.4701607999875161</v>
      </c>
    </row>
    <row r="113" spans="1:14" x14ac:dyDescent="0.2">
      <c r="A113" s="21" t="s">
        <v>10</v>
      </c>
      <c r="B113" s="233"/>
      <c r="C113" s="144"/>
      <c r="D113" s="165"/>
      <c r="E113" s="27"/>
      <c r="F113" s="233">
        <v>5869068.2199999997</v>
      </c>
      <c r="G113" s="144">
        <v>2408647.9937</v>
      </c>
      <c r="H113" s="165">
        <f t="shared" si="15"/>
        <v>-59</v>
      </c>
      <c r="I113" s="27">
        <f>IFERROR(100/'Skjema total MA'!F113*G113,0)</f>
        <v>5.9324259909651555</v>
      </c>
      <c r="J113" s="290">
        <f t="shared" si="43"/>
        <v>5869068.2199999997</v>
      </c>
      <c r="K113" s="44">
        <f t="shared" si="43"/>
        <v>2408647.9937</v>
      </c>
      <c r="L113" s="258">
        <f t="shared" si="17"/>
        <v>-59</v>
      </c>
      <c r="M113" s="27">
        <f>IFERROR(100/'Skjema total MA'!I113*K113,0)</f>
        <v>5.9323995498861457</v>
      </c>
    </row>
    <row r="114" spans="1:14" x14ac:dyDescent="0.2">
      <c r="A114" s="21" t="s">
        <v>26</v>
      </c>
      <c r="B114" s="233"/>
      <c r="C114" s="144"/>
      <c r="D114" s="165"/>
      <c r="E114" s="27"/>
      <c r="F114" s="233"/>
      <c r="G114" s="144"/>
      <c r="H114" s="165"/>
      <c r="I114" s="27"/>
      <c r="J114" s="290"/>
      <c r="K114" s="44"/>
      <c r="L114" s="258"/>
      <c r="M114" s="27"/>
    </row>
    <row r="115" spans="1:14" x14ac:dyDescent="0.2">
      <c r="A115" s="299" t="s">
        <v>15</v>
      </c>
      <c r="B115" s="284"/>
      <c r="C115" s="284"/>
      <c r="D115" s="165"/>
      <c r="E115" s="416"/>
      <c r="F115" s="284"/>
      <c r="G115" s="284"/>
      <c r="H115" s="165"/>
      <c r="I115" s="416"/>
      <c r="J115" s="293"/>
      <c r="K115" s="293"/>
      <c r="L115" s="165"/>
      <c r="M115" s="23"/>
    </row>
    <row r="116" spans="1:14" ht="15.75" x14ac:dyDescent="0.2">
      <c r="A116" s="21" t="s">
        <v>447</v>
      </c>
      <c r="B116" s="233"/>
      <c r="C116" s="233"/>
      <c r="D116" s="165"/>
      <c r="E116" s="27"/>
      <c r="F116" s="233"/>
      <c r="G116" s="233"/>
      <c r="H116" s="165"/>
      <c r="I116" s="27"/>
      <c r="J116" s="290"/>
      <c r="K116" s="44"/>
      <c r="L116" s="258"/>
      <c r="M116" s="27"/>
    </row>
    <row r="117" spans="1:14" ht="15.75" x14ac:dyDescent="0.2">
      <c r="A117" s="38" t="s">
        <v>481</v>
      </c>
      <c r="B117" s="233"/>
      <c r="C117" s="233"/>
      <c r="D117" s="165"/>
      <c r="E117" s="27"/>
      <c r="F117" s="233">
        <v>4827613.0310000004</v>
      </c>
      <c r="G117" s="233">
        <v>1823089.825</v>
      </c>
      <c r="H117" s="165">
        <f t="shared" si="15"/>
        <v>-62.2</v>
      </c>
      <c r="I117" s="27">
        <f>IFERROR(100/'Skjema total MA'!F117*G117,0)</f>
        <v>7.9464701187312548</v>
      </c>
      <c r="J117" s="290">
        <f t="shared" si="43"/>
        <v>4827613.0310000004</v>
      </c>
      <c r="K117" s="44">
        <f t="shared" si="43"/>
        <v>1823089.825</v>
      </c>
      <c r="L117" s="258">
        <f t="shared" si="17"/>
        <v>-62.2</v>
      </c>
      <c r="M117" s="27">
        <f>IFERROR(100/'Skjema total MA'!I117*K117,0)</f>
        <v>7.9464074390464567</v>
      </c>
    </row>
    <row r="118" spans="1:14" ht="15.75" x14ac:dyDescent="0.2">
      <c r="A118" s="21" t="s">
        <v>446</v>
      </c>
      <c r="B118" s="233"/>
      <c r="C118" s="233"/>
      <c r="D118" s="165"/>
      <c r="E118" s="27"/>
      <c r="F118" s="233"/>
      <c r="G118" s="233"/>
      <c r="H118" s="165"/>
      <c r="I118" s="27"/>
      <c r="J118" s="290"/>
      <c r="K118" s="44"/>
      <c r="L118" s="258"/>
      <c r="M118" s="27"/>
    </row>
    <row r="119" spans="1:14" ht="15.75" x14ac:dyDescent="0.2">
      <c r="A119" s="13" t="s">
        <v>428</v>
      </c>
      <c r="B119" s="311">
        <v>22668.198</v>
      </c>
      <c r="C119" s="158">
        <v>26661.16272</v>
      </c>
      <c r="D119" s="170">
        <f t="shared" si="14"/>
        <v>17.600000000000001</v>
      </c>
      <c r="E119" s="11">
        <f>IFERROR(100/'Skjema total MA'!C119*C119,0)</f>
        <v>4.2896917116011277</v>
      </c>
      <c r="F119" s="311">
        <v>5236246.7010000004</v>
      </c>
      <c r="G119" s="158">
        <v>3034302.443</v>
      </c>
      <c r="H119" s="170">
        <f t="shared" si="15"/>
        <v>-42.1</v>
      </c>
      <c r="I119" s="11">
        <f>IFERROR(100/'Skjema total MA'!F119*G119,0)</f>
        <v>7.0471340964018614</v>
      </c>
      <c r="J119" s="312">
        <f t="shared" si="43"/>
        <v>5258914.8990000002</v>
      </c>
      <c r="K119" s="235">
        <f t="shared" si="43"/>
        <v>3060963.6057199999</v>
      </c>
      <c r="L119" s="426">
        <f t="shared" si="17"/>
        <v>-41.8</v>
      </c>
      <c r="M119" s="11">
        <f>IFERROR(100/'Skjema total MA'!I119*K119,0)</f>
        <v>7.0078977067731572</v>
      </c>
    </row>
    <row r="120" spans="1:14" x14ac:dyDescent="0.2">
      <c r="A120" s="21" t="s">
        <v>9</v>
      </c>
      <c r="B120" s="233">
        <v>22668.198</v>
      </c>
      <c r="C120" s="144">
        <v>26661.16272</v>
      </c>
      <c r="D120" s="165">
        <f t="shared" si="14"/>
        <v>17.600000000000001</v>
      </c>
      <c r="E120" s="27">
        <f>IFERROR(100/'Skjema total MA'!C120*C120,0)</f>
        <v>12.22394319884139</v>
      </c>
      <c r="F120" s="233"/>
      <c r="G120" s="144"/>
      <c r="H120" s="165"/>
      <c r="I120" s="27"/>
      <c r="J120" s="290">
        <f t="shared" si="43"/>
        <v>22668.198</v>
      </c>
      <c r="K120" s="44">
        <f t="shared" si="43"/>
        <v>26661.16272</v>
      </c>
      <c r="L120" s="258">
        <f t="shared" si="17"/>
        <v>17.600000000000001</v>
      </c>
      <c r="M120" s="27">
        <f>IFERROR(100/'Skjema total MA'!I120*K120,0)</f>
        <v>12.22394319884139</v>
      </c>
    </row>
    <row r="121" spans="1:14" x14ac:dyDescent="0.2">
      <c r="A121" s="21" t="s">
        <v>10</v>
      </c>
      <c r="B121" s="233"/>
      <c r="C121" s="144"/>
      <c r="D121" s="165"/>
      <c r="E121" s="27"/>
      <c r="F121" s="233">
        <v>5236246.7010000004</v>
      </c>
      <c r="G121" s="144">
        <v>3034302.443</v>
      </c>
      <c r="H121" s="165">
        <f t="shared" si="15"/>
        <v>-42.1</v>
      </c>
      <c r="I121" s="27">
        <f>IFERROR(100/'Skjema total MA'!F121*G121,0)</f>
        <v>7.0471340964018614</v>
      </c>
      <c r="J121" s="290">
        <f t="shared" si="43"/>
        <v>5236246.7010000004</v>
      </c>
      <c r="K121" s="44">
        <f t="shared" si="43"/>
        <v>3034302.443</v>
      </c>
      <c r="L121" s="258">
        <f t="shared" si="17"/>
        <v>-42.1</v>
      </c>
      <c r="M121" s="27">
        <f>IFERROR(100/'Skjema total MA'!I121*K121,0)</f>
        <v>7.0457975022542998</v>
      </c>
    </row>
    <row r="122" spans="1:14" x14ac:dyDescent="0.2">
      <c r="A122" s="21" t="s">
        <v>26</v>
      </c>
      <c r="B122" s="233"/>
      <c r="C122" s="144"/>
      <c r="D122" s="165"/>
      <c r="E122" s="27"/>
      <c r="F122" s="233"/>
      <c r="G122" s="144"/>
      <c r="H122" s="165"/>
      <c r="I122" s="27"/>
      <c r="J122" s="290"/>
      <c r="K122" s="44"/>
      <c r="L122" s="258"/>
      <c r="M122" s="27"/>
    </row>
    <row r="123" spans="1:14" x14ac:dyDescent="0.2">
      <c r="A123" s="299" t="s">
        <v>14</v>
      </c>
      <c r="B123" s="284"/>
      <c r="C123" s="284"/>
      <c r="D123" s="165"/>
      <c r="E123" s="416"/>
      <c r="F123" s="284"/>
      <c r="G123" s="284"/>
      <c r="H123" s="165"/>
      <c r="I123" s="416"/>
      <c r="J123" s="293"/>
      <c r="K123" s="293"/>
      <c r="L123" s="165"/>
      <c r="M123" s="23"/>
    </row>
    <row r="124" spans="1:14" ht="15.75" x14ac:dyDescent="0.2">
      <c r="A124" s="21" t="s">
        <v>452</v>
      </c>
      <c r="B124" s="233"/>
      <c r="C124" s="233"/>
      <c r="D124" s="165"/>
      <c r="E124" s="27"/>
      <c r="F124" s="233">
        <v>1317.1089999999999</v>
      </c>
      <c r="G124" s="233">
        <v>0</v>
      </c>
      <c r="H124" s="165">
        <f t="shared" si="15"/>
        <v>-100</v>
      </c>
      <c r="I124" s="27">
        <f>IFERROR(100/'Skjema total MA'!F124*G124,0)</f>
        <v>0</v>
      </c>
      <c r="J124" s="290">
        <f t="shared" si="43"/>
        <v>1317.1089999999999</v>
      </c>
      <c r="K124" s="44">
        <f t="shared" si="43"/>
        <v>0</v>
      </c>
      <c r="L124" s="258">
        <f t="shared" si="17"/>
        <v>-100</v>
      </c>
      <c r="M124" s="27">
        <f>IFERROR(100/'Skjema total MA'!I124*K124,0)</f>
        <v>0</v>
      </c>
    </row>
    <row r="125" spans="1:14" ht="15.75" x14ac:dyDescent="0.2">
      <c r="A125" s="38" t="s">
        <v>481</v>
      </c>
      <c r="B125" s="233"/>
      <c r="C125" s="233"/>
      <c r="D125" s="165"/>
      <c r="E125" s="27"/>
      <c r="F125" s="233">
        <v>4380568.7070000004</v>
      </c>
      <c r="G125" s="233">
        <v>2609696.2689999999</v>
      </c>
      <c r="H125" s="165">
        <f t="shared" si="15"/>
        <v>-40.4</v>
      </c>
      <c r="I125" s="27">
        <f>IFERROR(100/'Skjema total MA'!F125*G125,0)</f>
        <v>11.625083495753886</v>
      </c>
      <c r="J125" s="290">
        <f t="shared" si="43"/>
        <v>4380568.7070000004</v>
      </c>
      <c r="K125" s="44">
        <f t="shared" si="43"/>
        <v>2609696.2689999999</v>
      </c>
      <c r="L125" s="258">
        <f t="shared" si="17"/>
        <v>-40.4</v>
      </c>
      <c r="M125" s="27">
        <f>IFERROR(100/'Skjema total MA'!I125*K125,0)</f>
        <v>11.624637128026928</v>
      </c>
    </row>
    <row r="126" spans="1:14" ht="15.75" x14ac:dyDescent="0.2">
      <c r="A126" s="10" t="s">
        <v>446</v>
      </c>
      <c r="B126" s="45"/>
      <c r="C126" s="45"/>
      <c r="D126" s="166"/>
      <c r="E126" s="417"/>
      <c r="F126" s="45"/>
      <c r="G126" s="45"/>
      <c r="H126" s="166"/>
      <c r="I126" s="22"/>
      <c r="J126" s="291"/>
      <c r="K126" s="45"/>
      <c r="L126" s="259"/>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1012"/>
      <c r="C130" s="1012"/>
      <c r="D130" s="1012"/>
      <c r="E130" s="406"/>
      <c r="F130" s="1012"/>
      <c r="G130" s="1012"/>
      <c r="H130" s="1012"/>
      <c r="I130" s="406"/>
      <c r="J130" s="1012"/>
      <c r="K130" s="1012"/>
      <c r="L130" s="1012"/>
      <c r="M130" s="406"/>
    </row>
    <row r="131" spans="1:14" s="3" customFormat="1" x14ac:dyDescent="0.2">
      <c r="A131" s="143"/>
      <c r="B131" s="1010" t="s">
        <v>0</v>
      </c>
      <c r="C131" s="1011"/>
      <c r="D131" s="1011"/>
      <c r="E131" s="405"/>
      <c r="F131" s="1010" t="s">
        <v>1</v>
      </c>
      <c r="G131" s="1011"/>
      <c r="H131" s="1011"/>
      <c r="I131" s="408"/>
      <c r="J131" s="1010" t="s">
        <v>2</v>
      </c>
      <c r="K131" s="1011"/>
      <c r="L131" s="1011"/>
      <c r="M131" s="408"/>
      <c r="N131" s="147"/>
    </row>
    <row r="132" spans="1:14" s="3" customFormat="1" x14ac:dyDescent="0.2">
      <c r="A132" s="139"/>
      <c r="B132" s="151" t="s">
        <v>507</v>
      </c>
      <c r="C132" s="151" t="s">
        <v>508</v>
      </c>
      <c r="D132" s="245" t="s">
        <v>3</v>
      </c>
      <c r="E132" s="308" t="s">
        <v>29</v>
      </c>
      <c r="F132" s="151" t="s">
        <v>507</v>
      </c>
      <c r="G132" s="151" t="s">
        <v>508</v>
      </c>
      <c r="H132" s="205" t="s">
        <v>3</v>
      </c>
      <c r="I132" s="161" t="s">
        <v>29</v>
      </c>
      <c r="J132" s="246" t="s">
        <v>507</v>
      </c>
      <c r="K132" s="246" t="s">
        <v>508</v>
      </c>
      <c r="L132" s="247" t="s">
        <v>3</v>
      </c>
      <c r="M132" s="161" t="s">
        <v>29</v>
      </c>
      <c r="N132" s="147"/>
    </row>
    <row r="133" spans="1:14" s="3" customFormat="1" x14ac:dyDescent="0.2">
      <c r="A133" s="979"/>
      <c r="B133" s="155"/>
      <c r="C133" s="155"/>
      <c r="D133" s="247" t="s">
        <v>4</v>
      </c>
      <c r="E133" s="155" t="s">
        <v>30</v>
      </c>
      <c r="F133" s="160"/>
      <c r="G133" s="160"/>
      <c r="H133" s="205" t="s">
        <v>4</v>
      </c>
      <c r="I133" s="155" t="s">
        <v>30</v>
      </c>
      <c r="J133" s="155"/>
      <c r="K133" s="155"/>
      <c r="L133" s="149" t="s">
        <v>4</v>
      </c>
      <c r="M133" s="155" t="s">
        <v>30</v>
      </c>
      <c r="N133" s="147"/>
    </row>
    <row r="134" spans="1:14" s="3" customFormat="1" ht="15.75" x14ac:dyDescent="0.2">
      <c r="A134" s="14" t="s">
        <v>448</v>
      </c>
      <c r="B134" s="235"/>
      <c r="C134" s="312"/>
      <c r="D134" s="351"/>
      <c r="E134" s="11"/>
      <c r="F134" s="319"/>
      <c r="G134" s="320"/>
      <c r="H134" s="429"/>
      <c r="I134" s="24"/>
      <c r="J134" s="321"/>
      <c r="K134" s="321"/>
      <c r="L134" s="425"/>
      <c r="M134" s="11"/>
      <c r="N134" s="147"/>
    </row>
    <row r="135" spans="1:14" s="3" customFormat="1" ht="15.75" x14ac:dyDescent="0.2">
      <c r="A135" s="13" t="s">
        <v>453</v>
      </c>
      <c r="B135" s="235"/>
      <c r="C135" s="312"/>
      <c r="D135" s="170"/>
      <c r="E135" s="11"/>
      <c r="F135" s="235"/>
      <c r="G135" s="312"/>
      <c r="H135" s="430"/>
      <c r="I135" s="24"/>
      <c r="J135" s="311"/>
      <c r="K135" s="311"/>
      <c r="L135" s="426"/>
      <c r="M135" s="11"/>
      <c r="N135" s="147"/>
    </row>
    <row r="136" spans="1:14" s="3" customFormat="1" ht="15.75" x14ac:dyDescent="0.2">
      <c r="A136" s="13" t="s">
        <v>450</v>
      </c>
      <c r="B136" s="235"/>
      <c r="C136" s="312"/>
      <c r="D136" s="170"/>
      <c r="E136" s="11"/>
      <c r="F136" s="235"/>
      <c r="G136" s="312"/>
      <c r="H136" s="430"/>
      <c r="I136" s="24"/>
      <c r="J136" s="311"/>
      <c r="K136" s="311"/>
      <c r="L136" s="426"/>
      <c r="M136" s="11"/>
      <c r="N136" s="147"/>
    </row>
    <row r="137" spans="1:14" s="3" customFormat="1" ht="15.75" x14ac:dyDescent="0.2">
      <c r="A137" s="41" t="s">
        <v>451</v>
      </c>
      <c r="B137" s="279"/>
      <c r="C137" s="318"/>
      <c r="D137" s="168"/>
      <c r="E137" s="9"/>
      <c r="F137" s="279"/>
      <c r="G137" s="318"/>
      <c r="H137" s="431"/>
      <c r="I137" s="36"/>
      <c r="J137" s="317"/>
      <c r="K137" s="317"/>
      <c r="L137" s="427"/>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2414" priority="82">
      <formula>kvartal &lt; 4</formula>
    </cfRule>
  </conditionalFormatting>
  <conditionalFormatting sqref="B69">
    <cfRule type="expression" dxfId="2413" priority="61">
      <formula>kvartal &lt; 4</formula>
    </cfRule>
  </conditionalFormatting>
  <conditionalFormatting sqref="C69">
    <cfRule type="expression" dxfId="2412" priority="60">
      <formula>kvartal &lt; 4</formula>
    </cfRule>
  </conditionalFormatting>
  <conditionalFormatting sqref="B72">
    <cfRule type="expression" dxfId="2411" priority="59">
      <formula>kvartal &lt; 4</formula>
    </cfRule>
  </conditionalFormatting>
  <conditionalFormatting sqref="C72">
    <cfRule type="expression" dxfId="2410" priority="58">
      <formula>kvartal &lt; 4</formula>
    </cfRule>
  </conditionalFormatting>
  <conditionalFormatting sqref="B80">
    <cfRule type="expression" dxfId="2409" priority="57">
      <formula>kvartal &lt; 4</formula>
    </cfRule>
  </conditionalFormatting>
  <conditionalFormatting sqref="C80">
    <cfRule type="expression" dxfId="2408" priority="56">
      <formula>kvartal &lt; 4</formula>
    </cfRule>
  </conditionalFormatting>
  <conditionalFormatting sqref="B83">
    <cfRule type="expression" dxfId="2407" priority="55">
      <formula>kvartal &lt; 4</formula>
    </cfRule>
  </conditionalFormatting>
  <conditionalFormatting sqref="C83">
    <cfRule type="expression" dxfId="2406" priority="54">
      <formula>kvartal &lt; 4</formula>
    </cfRule>
  </conditionalFormatting>
  <conditionalFormatting sqref="B90">
    <cfRule type="expression" dxfId="2405" priority="53">
      <formula>kvartal &lt; 4</formula>
    </cfRule>
  </conditionalFormatting>
  <conditionalFormatting sqref="C90">
    <cfRule type="expression" dxfId="2404" priority="52">
      <formula>kvartal &lt; 4</formula>
    </cfRule>
  </conditionalFormatting>
  <conditionalFormatting sqref="B93">
    <cfRule type="expression" dxfId="2403" priority="51">
      <formula>kvartal &lt; 4</formula>
    </cfRule>
  </conditionalFormatting>
  <conditionalFormatting sqref="C93">
    <cfRule type="expression" dxfId="2402" priority="50">
      <formula>kvartal &lt; 4</formula>
    </cfRule>
  </conditionalFormatting>
  <conditionalFormatting sqref="B101">
    <cfRule type="expression" dxfId="2401" priority="49">
      <formula>kvartal &lt; 4</formula>
    </cfRule>
  </conditionalFormatting>
  <conditionalFormatting sqref="C101">
    <cfRule type="expression" dxfId="2400" priority="48">
      <formula>kvartal &lt; 4</formula>
    </cfRule>
  </conditionalFormatting>
  <conditionalFormatting sqref="B104">
    <cfRule type="expression" dxfId="2399" priority="47">
      <formula>kvartal &lt; 4</formula>
    </cfRule>
  </conditionalFormatting>
  <conditionalFormatting sqref="C104">
    <cfRule type="expression" dxfId="2398" priority="46">
      <formula>kvartal &lt; 4</formula>
    </cfRule>
  </conditionalFormatting>
  <conditionalFormatting sqref="B115">
    <cfRule type="expression" dxfId="2397" priority="45">
      <formula>kvartal &lt; 4</formula>
    </cfRule>
  </conditionalFormatting>
  <conditionalFormatting sqref="C115">
    <cfRule type="expression" dxfId="2396" priority="44">
      <formula>kvartal &lt; 4</formula>
    </cfRule>
  </conditionalFormatting>
  <conditionalFormatting sqref="B123">
    <cfRule type="expression" dxfId="2395" priority="43">
      <formula>kvartal &lt; 4</formula>
    </cfRule>
  </conditionalFormatting>
  <conditionalFormatting sqref="C123">
    <cfRule type="expression" dxfId="2394" priority="42">
      <formula>kvartal &lt; 4</formula>
    </cfRule>
  </conditionalFormatting>
  <conditionalFormatting sqref="F70">
    <cfRule type="expression" dxfId="2393" priority="41">
      <formula>kvartal &lt; 4</formula>
    </cfRule>
  </conditionalFormatting>
  <conditionalFormatting sqref="G70">
    <cfRule type="expression" dxfId="2392" priority="40">
      <formula>kvartal &lt; 4</formula>
    </cfRule>
  </conditionalFormatting>
  <conditionalFormatting sqref="F71:G71">
    <cfRule type="expression" dxfId="2391" priority="39">
      <formula>kvartal &lt; 4</formula>
    </cfRule>
  </conditionalFormatting>
  <conditionalFormatting sqref="F73:G74">
    <cfRule type="expression" dxfId="2390" priority="38">
      <formula>kvartal &lt; 4</formula>
    </cfRule>
  </conditionalFormatting>
  <conditionalFormatting sqref="F81:G82">
    <cfRule type="expression" dxfId="2389" priority="37">
      <formula>kvartal &lt; 4</formula>
    </cfRule>
  </conditionalFormatting>
  <conditionalFormatting sqref="F84:G85">
    <cfRule type="expression" dxfId="2388" priority="36">
      <formula>kvartal &lt; 4</formula>
    </cfRule>
  </conditionalFormatting>
  <conditionalFormatting sqref="F91:G92">
    <cfRule type="expression" dxfId="2387" priority="35">
      <formula>kvartal &lt; 4</formula>
    </cfRule>
  </conditionalFormatting>
  <conditionalFormatting sqref="F94:G94 F95">
    <cfRule type="expression" dxfId="2386" priority="34">
      <formula>kvartal &lt; 4</formula>
    </cfRule>
  </conditionalFormatting>
  <conditionalFormatting sqref="F102:G103">
    <cfRule type="expression" dxfId="2385" priority="33">
      <formula>kvartal &lt; 4</formula>
    </cfRule>
  </conditionalFormatting>
  <conditionalFormatting sqref="F105:G106">
    <cfRule type="expression" dxfId="2384" priority="32">
      <formula>kvartal &lt; 4</formula>
    </cfRule>
  </conditionalFormatting>
  <conditionalFormatting sqref="F115">
    <cfRule type="expression" dxfId="2383" priority="31">
      <formula>kvartal &lt; 4</formula>
    </cfRule>
  </conditionalFormatting>
  <conditionalFormatting sqref="G115">
    <cfRule type="expression" dxfId="2382" priority="30">
      <formula>kvartal &lt; 4</formula>
    </cfRule>
  </conditionalFormatting>
  <conditionalFormatting sqref="F123:G123">
    <cfRule type="expression" dxfId="2381" priority="29">
      <formula>kvartal &lt; 4</formula>
    </cfRule>
  </conditionalFormatting>
  <conditionalFormatting sqref="F69:G69">
    <cfRule type="expression" dxfId="2380" priority="28">
      <formula>kvartal &lt; 4</formula>
    </cfRule>
  </conditionalFormatting>
  <conditionalFormatting sqref="F72:G72">
    <cfRule type="expression" dxfId="2379" priority="27">
      <formula>kvartal &lt; 4</formula>
    </cfRule>
  </conditionalFormatting>
  <conditionalFormatting sqref="F80:G80">
    <cfRule type="expression" dxfId="2378" priority="26">
      <formula>kvartal &lt; 4</formula>
    </cfRule>
  </conditionalFormatting>
  <conditionalFormatting sqref="F83:G83">
    <cfRule type="expression" dxfId="2377" priority="25">
      <formula>kvartal &lt; 4</formula>
    </cfRule>
  </conditionalFormatting>
  <conditionalFormatting sqref="F90:G90">
    <cfRule type="expression" dxfId="2376" priority="24">
      <formula>kvartal &lt; 4</formula>
    </cfRule>
  </conditionalFormatting>
  <conditionalFormatting sqref="F93">
    <cfRule type="expression" dxfId="2375" priority="23">
      <formula>kvartal &lt; 4</formula>
    </cfRule>
  </conditionalFormatting>
  <conditionalFormatting sqref="F101">
    <cfRule type="expression" dxfId="2374" priority="21">
      <formula>kvartal &lt; 4</formula>
    </cfRule>
  </conditionalFormatting>
  <conditionalFormatting sqref="G101">
    <cfRule type="expression" dxfId="2373" priority="20">
      <formula>kvartal &lt; 4</formula>
    </cfRule>
  </conditionalFormatting>
  <conditionalFormatting sqref="G104">
    <cfRule type="expression" dxfId="2372" priority="19">
      <formula>kvartal &lt; 4</formula>
    </cfRule>
  </conditionalFormatting>
  <conditionalFormatting sqref="F104">
    <cfRule type="expression" dxfId="2371" priority="18">
      <formula>kvartal &lt; 4</formula>
    </cfRule>
  </conditionalFormatting>
  <conditionalFormatting sqref="J69:K71 J73:K73">
    <cfRule type="expression" dxfId="2370" priority="17">
      <formula>kvartal &lt; 4</formula>
    </cfRule>
  </conditionalFormatting>
  <conditionalFormatting sqref="J80:K82 J84:K84">
    <cfRule type="expression" dxfId="2369" priority="15">
      <formula>kvartal &lt; 4</formula>
    </cfRule>
  </conditionalFormatting>
  <conditionalFormatting sqref="J90:K92 J94:K94">
    <cfRule type="expression" dxfId="2368" priority="14">
      <formula>kvartal &lt; 4</formula>
    </cfRule>
  </conditionalFormatting>
  <conditionalFormatting sqref="J101:K103 J105:K105">
    <cfRule type="expression" dxfId="2367" priority="13">
      <formula>kvartal &lt; 4</formula>
    </cfRule>
  </conditionalFormatting>
  <conditionalFormatting sqref="J115:K115">
    <cfRule type="expression" dxfId="2366" priority="12">
      <formula>kvartal &lt; 4</formula>
    </cfRule>
  </conditionalFormatting>
  <conditionalFormatting sqref="J123:K123">
    <cfRule type="expression" dxfId="2365" priority="11">
      <formula>kvartal &lt; 4</formula>
    </cfRule>
  </conditionalFormatting>
  <conditionalFormatting sqref="A50:A52">
    <cfRule type="expression" dxfId="2364" priority="8">
      <formula>kvartal &lt; 4</formula>
    </cfRule>
  </conditionalFormatting>
  <conditionalFormatting sqref="A69:A74">
    <cfRule type="expression" dxfId="2363" priority="7">
      <formula>kvartal &lt; 4</formula>
    </cfRule>
  </conditionalFormatting>
  <conditionalFormatting sqref="A80:A85">
    <cfRule type="expression" dxfId="2362" priority="6">
      <formula>kvartal &lt; 4</formula>
    </cfRule>
  </conditionalFormatting>
  <conditionalFormatting sqref="A90:A95">
    <cfRule type="expression" dxfId="2361" priority="5">
      <formula>kvartal &lt; 4</formula>
    </cfRule>
  </conditionalFormatting>
  <conditionalFormatting sqref="A101:A106">
    <cfRule type="expression" dxfId="2360" priority="4">
      <formula>kvartal &lt; 4</formula>
    </cfRule>
  </conditionalFormatting>
  <conditionalFormatting sqref="A115">
    <cfRule type="expression" dxfId="2359" priority="3">
      <formula>kvartal &lt; 4</formula>
    </cfRule>
  </conditionalFormatting>
  <conditionalFormatting sqref="A123">
    <cfRule type="expression" dxfId="2358"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U E A A B Q S w M E F A A C A A g A 2 U 1 Y V h k z T J S l A A A A 9 g A A A B I A H A B D b 2 5 m a W c v U G F j a 2 F n Z S 5 4 b W w g o h g A K K A U A A A A A A A A A A A A A A A A A A A A A A A A A A A A h Y 9 B D o I w F E S v Q r q n L Z g Y J J + y c C t q Y m L c 1 l q h E T 4 G i u V u L j y S V x C j q D u X M / M m m b l f b 5 D 2 V e l d d N O a G h M S U E 4 8 j a o + G M w T 0 t m j H 5 F U w F q q k 8 y 1 N 8 D Y x n 1 r E l J Y e 4 4 Z c 8 5 R N 6 F 1 k 7 O Q 8 4 D t s s V G F b q S v s H W S l S a f F q H / y 0 i Y P s a I 0 I a 8 I j O o i n l w E Y T M o N f I B z 2 P t M f E + Z d a b t G C 9 z 7 y x W w U Q J 7 f x A P U E s D B B Q A A g A I A N l N W 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T V h W 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D Z T V h W G T N M l K U A A A D 2 A A A A E g A A A A A A A A A A A A A A A A A A A A A A Q 2 9 u Z m l n L 1 B h Y 2 t h Z 2 U u e G 1 s U E s B A i 0 A F A A C A A g A 2 U 1 Y V g / K 6 a u k A A A A 6 Q A A A B M A A A A A A A A A A A A A A A A A 8 Q A A A F t D b 2 5 0 Z W 5 0 X 1 R 5 c G V z X S 5 4 b W x Q S w E C L Q A U A A I A C A D Z T V h W B v r 5 6 f 4 A A A B i A Q A A E w A A A A A A A A A A A A A A A A D i A Q A A R m 9 y b X V s Y X M v U 2 V j d G l v b j E u b V B L B Q Y A A A A A A w A D A M I A A A A t 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6 j D A A A A A A A A I E 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x h c 3 R V c G R h d G V k I i B W Y W x 1 Z T 0 i Z D I w M j M t M D I t M j R U M D g 6 N D I 6 M D c u O T Y y N D k 3 N 1 o i I C 8 + P E V u d H J 5 I F R 5 c G U 9 I k Z p b G x F c n J v c k N v d W 5 0 I i B W Y W x 1 Z T 0 i b D A i I C 8 + P E V u d H J 5 I F R 5 c G U 9 I k Z p b G x F c n J v c k N v Z G U i I F Z h b H V l P S J z V W 5 r b m 9 3 b i I g L z 4 8 R W 5 0 c n k g V H l w Z T 0 i R m l s b E N v b H V t b l R 5 c G V z I i B W Y W x 1 Z T 0 i c 0 J n S U N B Z 0 l D Q W d V P S I g L z 4 8 R W 5 0 c n k g V H l w Z T 0 i R m l s b E N v b H V t b k 5 h b W V z I i B W Y W x 1 Z T 0 i c 1 s m c X V v d D t z w 7 h r Z W 7 D u G t r Z W w m c X V v d D s s J n F 1 b 3 Q 7 c 2 V s c 2 t h c F 9 p Z C Z x d W 9 0 O y w m c X V v d D v D p X I m c X V v d D s s J n F 1 b 3 Q 7 a 3 Z h c n R h b C Z x d W 9 0 O y w m c X V v d D t 0 Y W J l b G x f a W Q m c X V v d D s s J n F 1 b 3 Q 7 c m F k X 2 l k J n F 1 b 3 Q 7 L C Z x d W 9 0 O 2 t h d G V n b 3 J p X 2 l k J n F 1 b 3 Q 7 L C Z x d W 9 0 O 3 Z l c m R p J n F 1 b 3 Q 7 X S I g L z 4 8 R W 5 0 c n k g V H l w Z T 0 i R m l s b E N v d W 5 0 I i B W Y W x 1 Z T 0 i b D g 3 N D U i I C 8 + P E V u d H J 5 I F R 5 c G U 9 I k Z p b G x T d G F 0 d X M i I F Z h b H V l P S J z Q 2 9 t c G x l d G U i I C 8 + P E V u d H J 5 I F R 5 c G U 9 I k F k Z G V k V G 9 E Y X R h T W 9 k Z W w i I F Z h b H V l P S J s M C I g L z 4 8 R W 5 0 c n k g V H l w Z T 0 i U m V s Y X R p b 2 5 z a G l w S W 5 m b 0 N v b n R h a W 5 l c i I g V m F s d W U 9 I n N 7 J n F 1 b 3 Q 7 Y 2 9 s d W 1 u Q 2 9 1 b n Q m c X V v d D s 6 O C w m c X V v d D t r Z X l D b 2 x 1 b W 5 O Y W 1 l c y Z x d W 9 0 O z p b X S w m c X V v d D t x d W V y e V J l b G F 0 a W 9 u c 2 h p c H M m c X V v d D s 6 W 1 0 s J n F 1 b 3 Q 7 Y 2 9 s d W 1 u S W R l b n R p d G l l c y Z x d W 9 0 O z p b J n F 1 b 3 Q 7 U 2 V j d G l v b j E v R G F 0 Y S 9 B d X R v U m V t b 3 Z l Z E N v b H V t b n M x L n t z w 7 h r Z W 7 D u G t r Z W w s M H 0 m c X V v d D s s J n F 1 b 3 Q 7 U 2 V j d G l v b j E v R G F 0 Y S 9 B d X R v U m V t b 3 Z l Z E N v b H V t b n M x L n t z Z W x z a 2 F w X 2 l k L D F 9 J n F 1 b 3 Q 7 L C Z x d W 9 0 O 1 N l Y 3 R p b 2 4 x L 0 R h d G E v Q X V 0 b 1 J l b W 9 2 Z W R D b 2 x 1 b W 5 z M S 5 7 w 6 V y L D J 9 J n F 1 b 3 Q 7 L C Z x d W 9 0 O 1 N l Y 3 R p b 2 4 x L 0 R h d G E v Q X V 0 b 1 J l b W 9 2 Z W R D b 2 x 1 b W 5 z M S 5 7 a 3 Z h c n R h b C w z f S Z x d W 9 0 O y w m c X V v d D t T Z W N 0 a W 9 u M S 9 E Y X R h L 0 F 1 d G 9 S Z W 1 v d m V k Q 2 9 s d W 1 u c z E u e 3 R h Y m V s b F 9 p Z C w 0 f S Z x d W 9 0 O y w m c X V v d D t T Z W N 0 a W 9 u M S 9 E Y X R h L 0 F 1 d G 9 S Z W 1 v d m V k Q 2 9 s d W 1 u c z E u e 3 J h Z F 9 p Z C w 1 f S Z x d W 9 0 O y w m c X V v d D t T Z W N 0 a W 9 u M S 9 E Y X R h L 0 F 1 d G 9 S Z W 1 v d m V k Q 2 9 s d W 1 u c z E u e 2 t h d G V n b 3 J p X 2 l k L D Z 9 J n F 1 b 3 Q 7 L C Z x d W 9 0 O 1 N l Y 3 R p b 2 4 x L 0 R h d G E v Q X V 0 b 1 J l b W 9 2 Z W R D b 2 x 1 b W 5 z M S 5 7 d m V y Z G k s N 3 0 m c X V v d D t d L C Z x d W 9 0 O 0 N v b H V t b k N v d W 5 0 J n F 1 b 3 Q 7 O j g s J n F 1 b 3 Q 7 S 2 V 5 Q 2 9 s d W 1 u T m F t Z X M m c X V v d D s 6 W 1 0 s J n F 1 b 3 Q 7 Q 2 9 s d W 1 u S W R l b n R p d G l l c y Z x d W 9 0 O z p b J n F 1 b 3 Q 7 U 2 V j d G l v b j E v R G F 0 Y S 9 B d X R v U m V t b 3 Z l Z E N v b H V t b n M x L n t z w 7 h r Z W 7 D u G t r Z W w s M H 0 m c X V v d D s s J n F 1 b 3 Q 7 U 2 V j d G l v b j E v R G F 0 Y S 9 B d X R v U m V t b 3 Z l Z E N v b H V t b n M x L n t z Z W x z a 2 F w X 2 l k L D F 9 J n F 1 b 3 Q 7 L C Z x d W 9 0 O 1 N l Y 3 R p b 2 4 x L 0 R h d G E v Q X V 0 b 1 J l b W 9 2 Z W R D b 2 x 1 b W 5 z M S 5 7 w 6 V y L D J 9 J n F 1 b 3 Q 7 L C Z x d W 9 0 O 1 N l Y 3 R p b 2 4 x L 0 R h d G E v Q X V 0 b 1 J l b W 9 2 Z W R D b 2 x 1 b W 5 z M S 5 7 a 3 Z h c n R h b C w z f S Z x d W 9 0 O y w m c X V v d D t T Z W N 0 a W 9 u M S 9 E Y X R h L 0 F 1 d G 9 S Z W 1 v d m V k Q 2 9 s d W 1 u c z E u e 3 R h Y m V s b F 9 p Z C w 0 f S Z x d W 9 0 O y w m c X V v d D t T Z W N 0 a W 9 u M S 9 E Y X R h L 0 F 1 d G 9 S Z W 1 v d m V k Q 2 9 s d W 1 u c z E u e 3 J h Z F 9 p Z C w 1 f S Z x d W 9 0 O y w m c X V v d D t T Z W N 0 a W 9 u M S 9 E Y X R h L 0 F 1 d G 9 S Z W 1 v d m V k Q 2 9 s d W 1 u c z E u e 2 t h d G V n b 3 J p X 2 l k L D Z 9 J n F 1 b 3 Q 7 L C Z x d W 9 0 O 1 N l Y 3 R p b 2 4 x L 0 R h d G E v Q X V 0 b 1 J l b W 9 2 Z W R D b 2 x 1 b W 5 z M S 5 7 d m V y Z G k s N 3 0 m c X V v d D t d L C Z x d W 9 0 O 1 J l b G F 0 a W 9 u c 2 h p c E l u Z m 8 m c X V v d D s 6 W 1 1 9 I i A v P j x F b n R y e S B U e X B l P S J G a W x s T 2 J q Z W N 0 V H l w Z S I g V m F s d W U 9 I n N D b 2 5 u Z W N 0 a W 9 u T 2 5 s e 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D R N g u t i j M h T a q Q P c A R v z R B A A A A A A I A A A A A A A N m A A D A A A A A E A A A A O n a X 1 6 K k 1 Q 9 f 5 Z r z b 5 1 F x Y A A A A A B I A A A K A A A A A Q A A A A K w B Z J S D 9 E 7 v l V g G J z t 6 7 F 1 A A A A B n b E R 8 f z d M M x E M F N g j V 8 p A z I u F b Z E e y p m r E 1 W N q J t x Z 5 7 c Z l c 5 X C v m K D u m o u n g N x X 4 s P 9 z v 4 M x X G K o a 9 z 7 H a 3 s t 1 5 H E i l Z f d A J f 4 j e 3 A x q F B Q A A A C v 2 X r W j N E 4 y 1 d X k m f z t e T U a w r D d A = = < / 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2020-123998358-358</_dlc_DocId>
    <_dlc_DocIdUrl xmlns="6edf9311-6556-4af2-85ff-d57844cfe120">
      <Url>https://finansnorge.sharepoint.com/sites/intranett/arkiv/_layouts/15/DocIdRedir.aspx?ID=2020-123998358-358</Url>
      <Description>2020-123998358-358</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7A7EE872-6578-4D14-9481-2CFC75B97497}"/>
</file>

<file path=customXml/itemProps3.xml><?xml version="1.0" encoding="utf-8"?>
<ds:datastoreItem xmlns:ds="http://schemas.openxmlformats.org/officeDocument/2006/customXml" ds:itemID="{98DD5C01-8E89-4908-9DA2-790641432AEC}"/>
</file>

<file path=customXml/itemProps4.xml><?xml version="1.0" encoding="utf-8"?>
<ds:datastoreItem xmlns:ds="http://schemas.openxmlformats.org/officeDocument/2006/customXml" ds:itemID="{202421B1-344E-4EEA-9DE5-966F9268A7E8}"/>
</file>

<file path=customXml/itemProps5.xml><?xml version="1.0" encoding="utf-8"?>
<ds:datastoreItem xmlns:ds="http://schemas.openxmlformats.org/officeDocument/2006/customXml" ds:itemID="{9CE1D849-E5DB-4001-83D9-E2B3D29051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42</vt:i4>
      </vt:variant>
      <vt:variant>
        <vt:lpstr>Navngitte områder</vt:lpstr>
      </vt:variant>
      <vt:variant>
        <vt:i4>13</vt:i4>
      </vt:variant>
    </vt:vector>
  </HeadingPairs>
  <TitlesOfParts>
    <vt:vector size="55" baseType="lpstr">
      <vt:lpstr>Forside</vt:lpstr>
      <vt:lpstr>Innhold</vt:lpstr>
      <vt:lpstr>Figurer</vt:lpstr>
      <vt:lpstr>Tabel 1.1</vt:lpstr>
      <vt:lpstr>Tabell 1.2</vt:lpstr>
      <vt:lpstr>Tabell 1.3</vt:lpstr>
      <vt:lpstr>Skjema total MA</vt:lpstr>
      <vt:lpstr>Codan Forsikring</vt:lpstr>
      <vt:lpstr>Storebrand Danica Pensjon</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KLP</vt:lpstr>
      <vt:lpstr>KLP Skadeforsikring AS</vt:lpstr>
      <vt:lpstr>Landkreditt Forsikring</vt:lpstr>
      <vt:lpstr>Ly Forsikring</vt:lpstr>
      <vt:lpstr>Nordea Liv </vt:lpstr>
      <vt:lpstr>Oslo Pensjonsforsikring</vt:lpstr>
      <vt:lpstr>Protector Forsikring</vt:lpstr>
      <vt:lpstr>SHB Liv</vt:lpstr>
      <vt:lpstr>Sparebank 1 Forsikring</vt:lpstr>
      <vt:lpstr>Storebrand Livsforsikring</vt:lpstr>
      <vt:lpstr>Telenor Forsikring</vt:lpstr>
      <vt:lpstr>Tryg Forsikring</vt:lpstr>
      <vt:lpstr>WaterCircles F</vt:lpstr>
      <vt:lpstr>Youplus Livsforsikring</vt:lpstr>
      <vt:lpstr>Tabell 4</vt:lpstr>
      <vt:lpstr>Tabell 5.1</vt:lpstr>
      <vt:lpstr>Tabell 5.2</vt:lpstr>
      <vt:lpstr>Tabell 5.3</vt:lpstr>
      <vt:lpstr>Tabell 6</vt:lpstr>
      <vt:lpstr>Tabell 7a</vt:lpstr>
      <vt:lpstr>Tabell 7b</vt:lpstr>
      <vt:lpstr>Tabell 8</vt:lpstr>
      <vt:lpstr>Noter og kommentarer</vt:lpstr>
      <vt:lpstr>'Fremtind Livsforsikring'!Utskriftsområde</vt:lpstr>
      <vt:lpstr>'Noter og kommentarer'!Utskriftsområde</vt:lpstr>
      <vt:lpstr>'Skjema total MA'!Utskriftsområde</vt:lpstr>
      <vt:lpstr>'Tabell 5.1'!Utskriftsområde</vt:lpstr>
      <vt:lpstr>'Tabell 5.2'!Utskriftsområde</vt:lpstr>
      <vt:lpstr>'Tabell 7a'!Utskriftsområde</vt:lpstr>
      <vt:lpstr>'Tabell 7b'!Utskriftsområde</vt:lpstr>
      <vt:lpstr>'Tabell 8'!Utskriftsområde</vt:lpstr>
      <vt:lpstr>'Tabell 5.1'!Utskriftstitler</vt:lpstr>
      <vt:lpstr>'Tabell 5.2'!Utskriftstitler</vt:lpstr>
      <vt:lpstr>'Tabell 7a'!Utskriftstitler</vt:lpstr>
      <vt:lpstr>'Tabell 7b'!Utskriftstitler</vt:lpstr>
      <vt:lpstr>'Tabell 8'!Utskriftstitler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2023-03-22T12:18:15Z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e8c1077d-9404-42e8-90e8-39367cb7b7bc</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