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nnections.xml" ContentType="application/vnd.openxmlformats-officedocument.spreadsheetml.connection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O:\Statistikk og analyse\Livstatistikk\Faste statistikker\MA\2020\Q4-2020\Publisert\"/>
    </mc:Choice>
  </mc:AlternateContent>
  <xr:revisionPtr revIDLastSave="0" documentId="13_ncr:1_{107B66A0-DC74-4ABD-9BED-0C26D416242C}" xr6:coauthVersionLast="45" xr6:coauthVersionMax="45" xr10:uidLastSave="{00000000-0000-0000-0000-000000000000}"/>
  <bookViews>
    <workbookView xWindow="-120" yWindow="-120" windowWidth="29040" windowHeight="17640" tabRatio="835" firstSheet="1" activeTab="1" xr2:uid="{00000000-000D-0000-FFFF-FFFF00000000}"/>
  </bookViews>
  <sheets>
    <sheet name="Forside" sheetId="6" r:id="rId1"/>
    <sheet name="Innhold" sheetId="7" r:id="rId2"/>
    <sheet name="Figurer" sheetId="8" r:id="rId3"/>
    <sheet name="Tabel 1.1" sheetId="9" r:id="rId4"/>
    <sheet name="Tabell 1.2" sheetId="10" r:id="rId5"/>
    <sheet name="Tabell 1.3" sheetId="58" r:id="rId6"/>
    <sheet name="Skjema total MA" sheetId="4" r:id="rId7"/>
    <sheet name="Danica Pensjonsforsikring" sheetId="18" r:id="rId8"/>
    <sheet name="DNB Bedriftspensjon" sheetId="27" r:id="rId9"/>
    <sheet name="DNB Livsforsikring" sheetId="13" r:id="rId10"/>
    <sheet name="Eika Forsikring AS" sheetId="19" r:id="rId11"/>
    <sheet name="Fremtind Livsforsikring" sheetId="16" r:id="rId12"/>
    <sheet name="Frende Livsforsikring" sheetId="20" r:id="rId13"/>
    <sheet name="Frende Skadeforsikring" sheetId="21" r:id="rId14"/>
    <sheet name="Gjensidige Forsikring" sheetId="22" r:id="rId15"/>
    <sheet name="Gjensidige Pensjon" sheetId="23" r:id="rId16"/>
    <sheet name="Handelsbanken Liv" sheetId="24" r:id="rId17"/>
    <sheet name="If Skadeforsikring NUF" sheetId="25" r:id="rId18"/>
    <sheet name="Insr" sheetId="41" r:id="rId19"/>
    <sheet name="KLP" sheetId="26" r:id="rId20"/>
    <sheet name="KLP Skadeforsikring AS" sheetId="51" r:id="rId21"/>
    <sheet name="Landkreditt Forsikring" sheetId="40" r:id="rId22"/>
    <sheet name="Nordea Liv" sheetId="29" r:id="rId23"/>
    <sheet name="Oslo Pensjonsforsikring" sheetId="34" r:id="rId24"/>
    <sheet name="Protector Forsikring" sheetId="72" r:id="rId25"/>
    <sheet name="SHB Liv" sheetId="35" r:id="rId26"/>
    <sheet name="Sparebank 1" sheetId="33" r:id="rId27"/>
    <sheet name="Storebrand Livsforsikring" sheetId="37" r:id="rId28"/>
    <sheet name="Telenor Forsikring" sheetId="38" r:id="rId29"/>
    <sheet name="Tryg Forsikring" sheetId="39" r:id="rId30"/>
    <sheet name="WaterCircle F" sheetId="74" r:id="rId31"/>
    <sheet name="Tabell 4" sheetId="65" r:id="rId32"/>
    <sheet name="Tabell 5.1" sheetId="66" r:id="rId33"/>
    <sheet name="Tabell 5.2" sheetId="67" r:id="rId34"/>
    <sheet name="Tabell 5.3" sheetId="68" r:id="rId35"/>
    <sheet name="Tabell 6" sheetId="62" r:id="rId36"/>
    <sheet name="Tabell 7a" sheetId="69" r:id="rId37"/>
    <sheet name="Tabell 7b" sheetId="70" r:id="rId38"/>
    <sheet name="Tabell 8" sheetId="71" r:id="rId39"/>
    <sheet name="Noter og kommentarer" sheetId="3" r:id="rId40"/>
  </sheets>
  <externalReferences>
    <externalReference r:id="rId41"/>
    <externalReference r:id="rId42"/>
    <externalReference r:id="rId43"/>
  </externalReferences>
  <definedNames>
    <definedName name="Dag">#REF!</definedName>
    <definedName name="Dager">#REF!</definedName>
    <definedName name="dato">#REF!</definedName>
    <definedName name="Feilmelding">#REF!</definedName>
    <definedName name="FilNavn">[1]Oppslagstabeller!$N$5</definedName>
    <definedName name="Fjorårstall">#REF!</definedName>
    <definedName name="Koder2a">#REF!</definedName>
    <definedName name="kvartal">#REF!</definedName>
    <definedName name="Måned">#REF!</definedName>
    <definedName name="OppslagsKolonneDataVerdi">#REF!</definedName>
    <definedName name="OppslagsKolonneSelskapNavn">#REF!</definedName>
    <definedName name="Selskap">[1]Oppslagstabeller!$N$4</definedName>
    <definedName name="SelskapKolonneIndeks">[1]!Tabell3[#All]</definedName>
    <definedName name="SelskapListe">#REF!</definedName>
    <definedName name="Selskapsliste">[1]Oppslagstabeller!$A$1:$G$36</definedName>
    <definedName name="UtfylteTall">#REF!</definedName>
    <definedName name="_xlnm.Print_Area" localSheetId="11">'Fremtind Livsforsikring'!$A$1:$M$137</definedName>
    <definedName name="_xlnm.Print_Area" localSheetId="18">Insr!$A$1:$M$137</definedName>
    <definedName name="_xlnm.Print_Area" localSheetId="39">'Noter og kommentarer'!$A$1:$L$43</definedName>
    <definedName name="_xlnm.Print_Area" localSheetId="6">'Skjema total MA'!$A$1:$J$138</definedName>
    <definedName name="_xlnm.Print_Area" localSheetId="32">'Tabell 5.1'!$A$2:$AT$109</definedName>
    <definedName name="_xlnm.Print_Area" localSheetId="33">'Tabell 5.2'!$A$2:$AT$145</definedName>
    <definedName name="_xlnm.Print_Area" localSheetId="36">'Tabell 7a'!$A$2:$AN$57</definedName>
    <definedName name="_xlnm.Print_Area" localSheetId="37">'Tabell 7b'!$A$2:$AN$44</definedName>
    <definedName name="_xlnm.Print_Area" localSheetId="38">'Tabell 8'!$A$2:$AK$52</definedName>
    <definedName name="_xlnm.Print_Titles" localSheetId="32">'Tabell 5.1'!$A:$A,'Tabell 5.1'!$2:$9</definedName>
    <definedName name="_xlnm.Print_Titles" localSheetId="33">'Tabell 5.2'!$A:$A,'Tabell 5.2'!$2:$9</definedName>
    <definedName name="_xlnm.Print_Titles" localSheetId="36">'Tabell 7a'!$A:$A</definedName>
    <definedName name="_xlnm.Print_Titles" localSheetId="37">'Tabell 7b'!$A:$A</definedName>
    <definedName name="_xlnm.Print_Titles" localSheetId="38">'Tabell 8'!$A:$A</definedName>
    <definedName name="år">#REF!</definedName>
    <definedName name="ÅrFratrek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76" i="8" l="1"/>
  <c r="M76" i="8"/>
  <c r="C31" i="9" l="1"/>
  <c r="N65" i="8" l="1"/>
  <c r="M65" i="8"/>
  <c r="N66" i="8"/>
  <c r="M66" i="8"/>
  <c r="H95" i="18"/>
  <c r="H93" i="18"/>
  <c r="H85" i="18"/>
  <c r="H83" i="18"/>
  <c r="M88" i="62"/>
  <c r="M87" i="62"/>
  <c r="M75" i="62"/>
  <c r="M71" i="62"/>
  <c r="V28" i="62"/>
  <c r="L10" i="41" l="1"/>
  <c r="E52" i="39" l="1"/>
  <c r="D52" i="39"/>
  <c r="E51" i="39"/>
  <c r="D51" i="39"/>
  <c r="M106" i="37"/>
  <c r="K106" i="37"/>
  <c r="J106" i="37"/>
  <c r="L106" i="37" s="1"/>
  <c r="K104" i="37"/>
  <c r="M104" i="37" s="1"/>
  <c r="J104" i="37"/>
  <c r="L104" i="37" s="1"/>
  <c r="M95" i="37"/>
  <c r="K95" i="37"/>
  <c r="J95" i="37"/>
  <c r="L95" i="37" s="1"/>
  <c r="K93" i="37"/>
  <c r="M93" i="37" s="1"/>
  <c r="J93" i="37"/>
  <c r="L93" i="37" s="1"/>
  <c r="K85" i="37"/>
  <c r="M85" i="37" s="1"/>
  <c r="J85" i="37"/>
  <c r="L85" i="37" s="1"/>
  <c r="K83" i="37"/>
  <c r="M83" i="37" s="1"/>
  <c r="J83" i="37"/>
  <c r="L83" i="37" s="1"/>
  <c r="K74" i="37"/>
  <c r="M74" i="37" s="1"/>
  <c r="J74" i="37"/>
  <c r="L74" i="37" s="1"/>
  <c r="K72" i="37"/>
  <c r="M72" i="37" s="1"/>
  <c r="J72" i="37"/>
  <c r="L72" i="37" s="1"/>
  <c r="I72" i="37"/>
  <c r="H72" i="37"/>
  <c r="I74" i="37"/>
  <c r="H74" i="37"/>
  <c r="I83" i="37"/>
  <c r="H83" i="37"/>
  <c r="I85" i="37"/>
  <c r="H85" i="37"/>
  <c r="I93" i="37"/>
  <c r="H93" i="37"/>
  <c r="I106" i="37"/>
  <c r="H106" i="37"/>
  <c r="I104" i="37"/>
  <c r="H104" i="37"/>
  <c r="I95" i="37"/>
  <c r="H95" i="37"/>
  <c r="E104" i="37"/>
  <c r="D104" i="37"/>
  <c r="E93" i="37"/>
  <c r="D93" i="37"/>
  <c r="E52" i="37"/>
  <c r="D52" i="37"/>
  <c r="E51" i="37"/>
  <c r="D51" i="37"/>
  <c r="I25" i="37"/>
  <c r="H25" i="37"/>
  <c r="I24" i="37"/>
  <c r="H24" i="37"/>
  <c r="M106" i="33"/>
  <c r="K106" i="33"/>
  <c r="J106" i="33"/>
  <c r="L106" i="33" s="1"/>
  <c r="M104" i="33"/>
  <c r="L104" i="33"/>
  <c r="K104" i="33"/>
  <c r="J104" i="33"/>
  <c r="M95" i="33"/>
  <c r="L95" i="33"/>
  <c r="K95" i="33"/>
  <c r="J95" i="33"/>
  <c r="L93" i="33"/>
  <c r="K93" i="33"/>
  <c r="M93" i="33" s="1"/>
  <c r="J93" i="33"/>
  <c r="M85" i="33"/>
  <c r="L85" i="33"/>
  <c r="K85" i="33"/>
  <c r="J85" i="33"/>
  <c r="M83" i="33"/>
  <c r="L83" i="33"/>
  <c r="K83" i="33"/>
  <c r="J83" i="33"/>
  <c r="M74" i="33"/>
  <c r="K74" i="33"/>
  <c r="J74" i="33"/>
  <c r="L74" i="33" s="1"/>
  <c r="M73" i="33"/>
  <c r="L73" i="33"/>
  <c r="K73" i="33"/>
  <c r="J73" i="33"/>
  <c r="M72" i="33"/>
  <c r="K72" i="33"/>
  <c r="J72" i="33"/>
  <c r="L72" i="33" s="1"/>
  <c r="I72" i="33"/>
  <c r="H72" i="33"/>
  <c r="I85" i="33"/>
  <c r="H85" i="33"/>
  <c r="I83" i="33"/>
  <c r="H83" i="33"/>
  <c r="I74" i="33"/>
  <c r="H74" i="33"/>
  <c r="I93" i="33"/>
  <c r="H93" i="33"/>
  <c r="I95" i="33"/>
  <c r="H95" i="33"/>
  <c r="I100" i="33"/>
  <c r="H100" i="33"/>
  <c r="I104" i="33"/>
  <c r="H104" i="33"/>
  <c r="I106" i="33"/>
  <c r="H106" i="33"/>
  <c r="I107" i="33"/>
  <c r="H107" i="33"/>
  <c r="E104" i="33"/>
  <c r="D104" i="33"/>
  <c r="E93" i="33"/>
  <c r="D93" i="33"/>
  <c r="E83" i="33"/>
  <c r="D83" i="33"/>
  <c r="E72" i="33"/>
  <c r="D72" i="33"/>
  <c r="E52" i="33"/>
  <c r="D52" i="33"/>
  <c r="E51" i="33"/>
  <c r="D51" i="33"/>
  <c r="H24" i="33"/>
  <c r="I125" i="35"/>
  <c r="H125" i="35"/>
  <c r="I121" i="35"/>
  <c r="H121" i="35"/>
  <c r="I119" i="35"/>
  <c r="H119" i="35"/>
  <c r="I117" i="35"/>
  <c r="H117" i="35"/>
  <c r="I113" i="35"/>
  <c r="H113" i="35"/>
  <c r="I111" i="35"/>
  <c r="H111" i="35"/>
  <c r="I109" i="35"/>
  <c r="H109" i="35"/>
  <c r="I107" i="35"/>
  <c r="H107" i="35"/>
  <c r="I94" i="35"/>
  <c r="H94" i="35"/>
  <c r="I93" i="35"/>
  <c r="H93" i="35"/>
  <c r="I89" i="35"/>
  <c r="H89" i="35"/>
  <c r="I87" i="35"/>
  <c r="H87" i="35"/>
  <c r="K94" i="35"/>
  <c r="L94" i="35" s="1"/>
  <c r="J94" i="35"/>
  <c r="K93" i="35"/>
  <c r="M93" i="35" s="1"/>
  <c r="J93" i="35"/>
  <c r="L93" i="35" s="1"/>
  <c r="K115" i="29"/>
  <c r="M115" i="29" s="1"/>
  <c r="J115" i="29"/>
  <c r="L115" i="29" s="1"/>
  <c r="M106" i="29"/>
  <c r="K106" i="29"/>
  <c r="J106" i="29"/>
  <c r="L106" i="29" s="1"/>
  <c r="K105" i="29"/>
  <c r="M105" i="29" s="1"/>
  <c r="J105" i="29"/>
  <c r="L105" i="29" s="1"/>
  <c r="M104" i="29"/>
  <c r="K104" i="29"/>
  <c r="J104" i="29"/>
  <c r="L104" i="29" s="1"/>
  <c r="K100" i="29"/>
  <c r="M100" i="29" s="1"/>
  <c r="J100" i="29"/>
  <c r="L100" i="29" s="1"/>
  <c r="M99" i="29"/>
  <c r="L99" i="29"/>
  <c r="K99" i="29"/>
  <c r="J99" i="29"/>
  <c r="K98" i="29"/>
  <c r="M98" i="29" s="1"/>
  <c r="J98" i="29"/>
  <c r="L98" i="29" s="1"/>
  <c r="M97" i="29"/>
  <c r="L97" i="29"/>
  <c r="K97" i="29"/>
  <c r="J97" i="29"/>
  <c r="M95" i="29"/>
  <c r="K95" i="29"/>
  <c r="J95" i="29"/>
  <c r="L95" i="29" s="1"/>
  <c r="K94" i="29"/>
  <c r="M94" i="29" s="1"/>
  <c r="J94" i="29"/>
  <c r="L94" i="29" s="1"/>
  <c r="M93" i="29"/>
  <c r="K93" i="29"/>
  <c r="J93" i="29"/>
  <c r="L93" i="29" s="1"/>
  <c r="K92" i="29"/>
  <c r="M92" i="29" s="1"/>
  <c r="J92" i="29"/>
  <c r="L92" i="29" s="1"/>
  <c r="M90" i="29"/>
  <c r="K90" i="29"/>
  <c r="J90" i="29"/>
  <c r="L90" i="29" s="1"/>
  <c r="K85" i="29"/>
  <c r="M85" i="29" s="1"/>
  <c r="J85" i="29"/>
  <c r="L85" i="29" s="1"/>
  <c r="M84" i="29"/>
  <c r="L84" i="29"/>
  <c r="K84" i="29"/>
  <c r="J84" i="29"/>
  <c r="K83" i="29"/>
  <c r="M83" i="29" s="1"/>
  <c r="J83" i="29"/>
  <c r="L83" i="29" s="1"/>
  <c r="M74" i="29"/>
  <c r="K74" i="29"/>
  <c r="J74" i="29"/>
  <c r="L74" i="29" s="1"/>
  <c r="K73" i="29"/>
  <c r="M73" i="29" s="1"/>
  <c r="J73" i="29"/>
  <c r="L73" i="29" s="1"/>
  <c r="M72" i="29"/>
  <c r="K72" i="29"/>
  <c r="J72" i="29"/>
  <c r="L72" i="29" s="1"/>
  <c r="K71" i="29"/>
  <c r="M71" i="29" s="1"/>
  <c r="J71" i="29"/>
  <c r="L71" i="29" s="1"/>
  <c r="M70" i="29"/>
  <c r="K70" i="29"/>
  <c r="J70" i="29"/>
  <c r="L70" i="29" s="1"/>
  <c r="K69" i="29"/>
  <c r="M69" i="29" s="1"/>
  <c r="J69" i="29"/>
  <c r="L69" i="29" s="1"/>
  <c r="I74" i="29"/>
  <c r="H74" i="29"/>
  <c r="I73" i="29"/>
  <c r="H73" i="29"/>
  <c r="I72" i="29"/>
  <c r="H72" i="29"/>
  <c r="I71" i="29"/>
  <c r="H71" i="29"/>
  <c r="I70" i="29"/>
  <c r="H70" i="29"/>
  <c r="I69" i="29"/>
  <c r="H69" i="29"/>
  <c r="I68" i="29"/>
  <c r="H68" i="29"/>
  <c r="I83" i="29"/>
  <c r="H83" i="29"/>
  <c r="I84" i="29"/>
  <c r="H84" i="29"/>
  <c r="I85" i="29"/>
  <c r="H85" i="29"/>
  <c r="I86" i="29"/>
  <c r="H86" i="29"/>
  <c r="I93" i="29"/>
  <c r="H93" i="29"/>
  <c r="I90" i="29"/>
  <c r="H90" i="29"/>
  <c r="I92" i="29"/>
  <c r="H92" i="29"/>
  <c r="I94" i="29"/>
  <c r="H94" i="29"/>
  <c r="I95" i="29"/>
  <c r="H95" i="29"/>
  <c r="I98" i="29"/>
  <c r="H98" i="29"/>
  <c r="I104" i="29"/>
  <c r="H104" i="29"/>
  <c r="I105" i="29"/>
  <c r="H105" i="29"/>
  <c r="I106" i="29"/>
  <c r="H106" i="29"/>
  <c r="I107" i="29"/>
  <c r="H107" i="29"/>
  <c r="H109" i="29"/>
  <c r="I109" i="29"/>
  <c r="E115" i="29"/>
  <c r="D115" i="29"/>
  <c r="E104" i="29"/>
  <c r="D104" i="29"/>
  <c r="E93" i="29"/>
  <c r="D93" i="29"/>
  <c r="E83" i="29"/>
  <c r="D83" i="29"/>
  <c r="E72" i="29"/>
  <c r="D72" i="29"/>
  <c r="E69" i="29"/>
  <c r="D69" i="29"/>
  <c r="I33" i="37"/>
  <c r="M33" i="37"/>
  <c r="M33" i="33"/>
  <c r="I33" i="33"/>
  <c r="M33" i="35"/>
  <c r="I33" i="35"/>
  <c r="I33" i="29"/>
  <c r="M33" i="29"/>
  <c r="I33" i="18"/>
  <c r="I33" i="23"/>
  <c r="M33" i="23"/>
  <c r="M33" i="20"/>
  <c r="M33" i="18"/>
  <c r="L24" i="29"/>
  <c r="E50" i="26"/>
  <c r="K85" i="23"/>
  <c r="M85" i="23" s="1"/>
  <c r="J85" i="23"/>
  <c r="M83" i="23"/>
  <c r="K83" i="23"/>
  <c r="J83" i="23"/>
  <c r="L83" i="23" s="1"/>
  <c r="M74" i="23"/>
  <c r="K74" i="23"/>
  <c r="J74" i="23"/>
  <c r="L74" i="23" s="1"/>
  <c r="M72" i="23"/>
  <c r="K72" i="23"/>
  <c r="J72" i="23"/>
  <c r="L72" i="23" s="1"/>
  <c r="K93" i="23"/>
  <c r="M93" i="23" s="1"/>
  <c r="J93" i="23"/>
  <c r="M95" i="23"/>
  <c r="K95" i="23"/>
  <c r="J95" i="23"/>
  <c r="L95" i="23" s="1"/>
  <c r="M104" i="23"/>
  <c r="K104" i="23"/>
  <c r="J104" i="23"/>
  <c r="L104" i="23" s="1"/>
  <c r="M106" i="23"/>
  <c r="K106" i="23"/>
  <c r="J106" i="23"/>
  <c r="L106" i="23" s="1"/>
  <c r="E119" i="23"/>
  <c r="D119" i="23"/>
  <c r="I106" i="23"/>
  <c r="H106" i="23"/>
  <c r="I104" i="23"/>
  <c r="H104" i="23"/>
  <c r="I95" i="23"/>
  <c r="H95" i="23"/>
  <c r="I93" i="23"/>
  <c r="H93" i="23"/>
  <c r="I85" i="23"/>
  <c r="H85" i="23"/>
  <c r="I83" i="23"/>
  <c r="H83" i="23"/>
  <c r="I74" i="23"/>
  <c r="H74" i="23"/>
  <c r="I72" i="23"/>
  <c r="H72" i="23"/>
  <c r="I12" i="23"/>
  <c r="H12" i="23"/>
  <c r="I11" i="23"/>
  <c r="H11" i="23"/>
  <c r="I10" i="23"/>
  <c r="H10" i="23"/>
  <c r="I7" i="23"/>
  <c r="H7" i="23"/>
  <c r="E52" i="22"/>
  <c r="D52" i="22"/>
  <c r="E51" i="22"/>
  <c r="D51" i="22"/>
  <c r="M119" i="20"/>
  <c r="K119" i="20"/>
  <c r="J119" i="20"/>
  <c r="L119" i="20" s="1"/>
  <c r="K106" i="20"/>
  <c r="M106" i="20" s="1"/>
  <c r="J106" i="20"/>
  <c r="L106" i="20" s="1"/>
  <c r="K104" i="20"/>
  <c r="L104" i="20" s="1"/>
  <c r="J104" i="20"/>
  <c r="K95" i="20"/>
  <c r="M95" i="20" s="1"/>
  <c r="J95" i="20"/>
  <c r="L95" i="20" s="1"/>
  <c r="M93" i="20"/>
  <c r="K93" i="20"/>
  <c r="J93" i="20"/>
  <c r="L93" i="20" s="1"/>
  <c r="K85" i="20"/>
  <c r="M85" i="20" s="1"/>
  <c r="J85" i="20"/>
  <c r="L85" i="20" s="1"/>
  <c r="M83" i="20"/>
  <c r="K83" i="20"/>
  <c r="J83" i="20"/>
  <c r="L83" i="20" s="1"/>
  <c r="M74" i="20"/>
  <c r="K74" i="20"/>
  <c r="J74" i="20"/>
  <c r="L74" i="20" s="1"/>
  <c r="M72" i="20"/>
  <c r="L72" i="20"/>
  <c r="K72" i="20"/>
  <c r="J72" i="20"/>
  <c r="I72" i="20"/>
  <c r="H72" i="20"/>
  <c r="I74" i="20"/>
  <c r="H74" i="20"/>
  <c r="I83" i="20"/>
  <c r="H83" i="20"/>
  <c r="I85" i="20"/>
  <c r="H85" i="20"/>
  <c r="I93" i="20"/>
  <c r="H93" i="20"/>
  <c r="I95" i="20"/>
  <c r="H95" i="20"/>
  <c r="I104" i="20"/>
  <c r="H104" i="20"/>
  <c r="I106" i="20"/>
  <c r="H106" i="20"/>
  <c r="E104" i="20"/>
  <c r="D104" i="20"/>
  <c r="E93" i="20"/>
  <c r="D93" i="20"/>
  <c r="E83" i="20"/>
  <c r="D83" i="20"/>
  <c r="E72" i="20"/>
  <c r="D72" i="20"/>
  <c r="E52" i="16"/>
  <c r="E51" i="16"/>
  <c r="E104" i="13"/>
  <c r="D104" i="13"/>
  <c r="E86" i="13"/>
  <c r="D86" i="13"/>
  <c r="E93" i="13"/>
  <c r="D93" i="13"/>
  <c r="I72" i="13"/>
  <c r="H72" i="13"/>
  <c r="I74" i="13"/>
  <c r="H74" i="13"/>
  <c r="I83" i="13"/>
  <c r="H83" i="13"/>
  <c r="I85" i="13"/>
  <c r="H85" i="13"/>
  <c r="I95" i="13"/>
  <c r="H95" i="13"/>
  <c r="I93" i="13"/>
  <c r="H93" i="13"/>
  <c r="I91" i="13"/>
  <c r="H91" i="13"/>
  <c r="I90" i="13"/>
  <c r="H90" i="13"/>
  <c r="I104" i="13"/>
  <c r="H104" i="13"/>
  <c r="I106" i="13"/>
  <c r="H106" i="13"/>
  <c r="K106" i="13"/>
  <c r="M106" i="13" s="1"/>
  <c r="J106" i="13"/>
  <c r="L106" i="13" s="1"/>
  <c r="K104" i="13"/>
  <c r="M104" i="13" s="1"/>
  <c r="J104" i="13"/>
  <c r="L104" i="13" s="1"/>
  <c r="K95" i="13"/>
  <c r="M95" i="13" s="1"/>
  <c r="J95" i="13"/>
  <c r="L95" i="13" s="1"/>
  <c r="K93" i="13"/>
  <c r="M93" i="13" s="1"/>
  <c r="J93" i="13"/>
  <c r="L93" i="13" s="1"/>
  <c r="K91" i="13"/>
  <c r="M91" i="13" s="1"/>
  <c r="J91" i="13"/>
  <c r="L91" i="13" s="1"/>
  <c r="K90" i="13"/>
  <c r="M90" i="13" s="1"/>
  <c r="J90" i="13"/>
  <c r="L90" i="13" s="1"/>
  <c r="M85" i="13"/>
  <c r="K85" i="13"/>
  <c r="J85" i="13"/>
  <c r="L85" i="13" s="1"/>
  <c r="K83" i="13"/>
  <c r="M83" i="13" s="1"/>
  <c r="J83" i="13"/>
  <c r="L83" i="13" s="1"/>
  <c r="M74" i="13"/>
  <c r="K74" i="13"/>
  <c r="J74" i="13"/>
  <c r="L74" i="13" s="1"/>
  <c r="M72" i="13"/>
  <c r="K72" i="13"/>
  <c r="J72" i="13"/>
  <c r="L72" i="13" s="1"/>
  <c r="E51" i="13"/>
  <c r="D51" i="13"/>
  <c r="K106" i="27"/>
  <c r="M106" i="27" s="1"/>
  <c r="J106" i="27"/>
  <c r="L106" i="27" s="1"/>
  <c r="M104" i="27"/>
  <c r="K104" i="27"/>
  <c r="J104" i="27"/>
  <c r="L104" i="27" s="1"/>
  <c r="K95" i="27"/>
  <c r="M95" i="27" s="1"/>
  <c r="J95" i="27"/>
  <c r="L95" i="27" s="1"/>
  <c r="K93" i="27"/>
  <c r="M93" i="27" s="1"/>
  <c r="J93" i="27"/>
  <c r="L93" i="27" s="1"/>
  <c r="K85" i="27"/>
  <c r="M85" i="27" s="1"/>
  <c r="J85" i="27"/>
  <c r="L85" i="27" s="1"/>
  <c r="L83" i="27"/>
  <c r="K83" i="27"/>
  <c r="M83" i="27" s="1"/>
  <c r="J83" i="27"/>
  <c r="K74" i="27"/>
  <c r="M74" i="27" s="1"/>
  <c r="J74" i="27"/>
  <c r="L74" i="27" s="1"/>
  <c r="K72" i="27"/>
  <c r="M72" i="27" s="1"/>
  <c r="J72" i="27"/>
  <c r="L72" i="27" s="1"/>
  <c r="H106" i="27"/>
  <c r="H104" i="27"/>
  <c r="H95" i="27"/>
  <c r="H93" i="27"/>
  <c r="H83" i="27"/>
  <c r="H85" i="27"/>
  <c r="H74" i="27"/>
  <c r="H72" i="27"/>
  <c r="I104" i="18"/>
  <c r="H104" i="18"/>
  <c r="I106" i="18"/>
  <c r="H106" i="18"/>
  <c r="M106" i="18"/>
  <c r="K106" i="18"/>
  <c r="J106" i="18"/>
  <c r="L106" i="18" s="1"/>
  <c r="M104" i="18"/>
  <c r="K104" i="18"/>
  <c r="J104" i="18"/>
  <c r="L104" i="18" s="1"/>
  <c r="K95" i="18"/>
  <c r="M95" i="18" s="1"/>
  <c r="J95" i="18"/>
  <c r="L95" i="18" s="1"/>
  <c r="K93" i="18"/>
  <c r="M93" i="18" s="1"/>
  <c r="J93" i="18"/>
  <c r="L93" i="18" s="1"/>
  <c r="L85" i="18"/>
  <c r="K85" i="18"/>
  <c r="M85" i="18" s="1"/>
  <c r="J85" i="18"/>
  <c r="M83" i="18"/>
  <c r="L83" i="18"/>
  <c r="K83" i="18"/>
  <c r="J83" i="18"/>
  <c r="K74" i="18"/>
  <c r="M74" i="18" s="1"/>
  <c r="J74" i="18"/>
  <c r="L74" i="18" s="1"/>
  <c r="M72" i="18"/>
  <c r="K72" i="18"/>
  <c r="J72" i="18"/>
  <c r="L72" i="18" s="1"/>
  <c r="I74" i="18"/>
  <c r="H74" i="18"/>
  <c r="I72" i="18"/>
  <c r="H72" i="18"/>
  <c r="G98" i="4"/>
  <c r="D86" i="4"/>
  <c r="D83" i="4"/>
  <c r="G125" i="4"/>
  <c r="G124" i="4"/>
  <c r="G121" i="4"/>
  <c r="G119" i="4"/>
  <c r="G117" i="4"/>
  <c r="G116" i="4"/>
  <c r="G114" i="4"/>
  <c r="G113" i="4"/>
  <c r="G112" i="4"/>
  <c r="G111" i="4"/>
  <c r="G109" i="4"/>
  <c r="G108" i="4"/>
  <c r="G107" i="4"/>
  <c r="G106" i="4"/>
  <c r="G105" i="4"/>
  <c r="G104" i="4"/>
  <c r="G100" i="4"/>
  <c r="G96" i="4"/>
  <c r="G95" i="4"/>
  <c r="G94" i="4"/>
  <c r="G93" i="4"/>
  <c r="G92" i="4"/>
  <c r="G91" i="4"/>
  <c r="G90" i="4"/>
  <c r="G89" i="4"/>
  <c r="G87" i="4"/>
  <c r="G86" i="4"/>
  <c r="G85" i="4"/>
  <c r="G84" i="4"/>
  <c r="G83" i="4"/>
  <c r="G79" i="4"/>
  <c r="G77" i="4"/>
  <c r="G75" i="4"/>
  <c r="G74" i="4"/>
  <c r="G73" i="4"/>
  <c r="G72" i="4"/>
  <c r="G71" i="4"/>
  <c r="G70" i="4"/>
  <c r="G69" i="4"/>
  <c r="G68" i="4"/>
  <c r="M94" i="35" l="1"/>
  <c r="L85" i="23"/>
  <c r="L93" i="23"/>
  <c r="M104" i="20"/>
  <c r="X64" i="62"/>
  <c r="H39" i="4"/>
  <c r="G13" i="9"/>
  <c r="L35" i="71"/>
  <c r="L16" i="71"/>
  <c r="K8" i="70"/>
  <c r="L8" i="70"/>
  <c r="L41" i="69"/>
  <c r="L35" i="69"/>
  <c r="L23" i="69"/>
  <c r="L11" i="69"/>
  <c r="L79" i="62"/>
  <c r="L91" i="62" s="1"/>
  <c r="L39" i="62"/>
  <c r="L35" i="62"/>
  <c r="L45" i="62" s="1"/>
  <c r="L20" i="62"/>
  <c r="L16" i="62"/>
  <c r="L27" i="62" s="1"/>
  <c r="L29" i="62" s="1"/>
  <c r="L32" i="68"/>
  <c r="L34" i="68" s="1"/>
  <c r="L20" i="68"/>
  <c r="L22" i="68" s="1"/>
  <c r="L44" i="66"/>
  <c r="L56" i="65"/>
  <c r="L57" i="65" s="1"/>
  <c r="L40" i="65"/>
  <c r="L29" i="65"/>
  <c r="L21" i="65"/>
  <c r="L14" i="65"/>
  <c r="L34" i="65" s="1"/>
  <c r="L41" i="65" s="1"/>
  <c r="L43" i="65" s="1"/>
  <c r="L45" i="65" s="1"/>
  <c r="L62" i="62" l="1"/>
  <c r="L64" i="62" s="1"/>
  <c r="P38" i="70"/>
  <c r="O14" i="70"/>
  <c r="O13" i="70" s="1"/>
  <c r="AH52" i="69"/>
  <c r="AH22" i="69"/>
  <c r="AE53" i="69"/>
  <c r="AE51" i="69"/>
  <c r="AE50" i="69"/>
  <c r="AE49" i="69"/>
  <c r="AE48" i="69"/>
  <c r="AE45" i="69"/>
  <c r="AB52" i="69"/>
  <c r="AB50" i="69"/>
  <c r="G53" i="69"/>
  <c r="G52" i="69"/>
  <c r="G50" i="69"/>
  <c r="G49" i="69"/>
  <c r="G48" i="69"/>
  <c r="Y53" i="69"/>
  <c r="Y51" i="69"/>
  <c r="Y49" i="69"/>
  <c r="Y48" i="69"/>
  <c r="Y45" i="69"/>
  <c r="Y32" i="69"/>
  <c r="V54" i="69"/>
  <c r="V53" i="69"/>
  <c r="V52" i="69"/>
  <c r="V18" i="69"/>
  <c r="V15" i="69"/>
  <c r="V12" i="69"/>
  <c r="S53" i="69"/>
  <c r="S52" i="69"/>
  <c r="S50" i="69"/>
  <c r="S48" i="69"/>
  <c r="S43" i="69"/>
  <c r="S37" i="69"/>
  <c r="P52" i="69"/>
  <c r="P41" i="69"/>
  <c r="P40" i="69"/>
  <c r="P34" i="69"/>
  <c r="P30" i="69"/>
  <c r="P24" i="69"/>
  <c r="P22" i="69"/>
  <c r="P18" i="69"/>
  <c r="P12" i="69"/>
  <c r="D52" i="69"/>
  <c r="D37" i="69"/>
  <c r="D34" i="69"/>
  <c r="D32" i="69"/>
  <c r="D30" i="69"/>
  <c r="D22" i="69"/>
  <c r="D20" i="69"/>
  <c r="D18" i="69"/>
  <c r="D14" i="69"/>
  <c r="AN46" i="62"/>
  <c r="AK58" i="62"/>
  <c r="AK24" i="62"/>
  <c r="AH89" i="62"/>
  <c r="AH28" i="62"/>
  <c r="AE85" i="62"/>
  <c r="AE78" i="62"/>
  <c r="AE77" i="62"/>
  <c r="AE21" i="62"/>
  <c r="AB87" i="62"/>
  <c r="AB83" i="62"/>
  <c r="AB58" i="62"/>
  <c r="AB57" i="62"/>
  <c r="AB56" i="62"/>
  <c r="AB48" i="62"/>
  <c r="AB42" i="62"/>
  <c r="AB33" i="62"/>
  <c r="G44" i="62"/>
  <c r="G19" i="62"/>
  <c r="Y87" i="62"/>
  <c r="Y84" i="62"/>
  <c r="Y82" i="62"/>
  <c r="Y78" i="62"/>
  <c r="Y77" i="62"/>
  <c r="Y72" i="62"/>
  <c r="Y52" i="62"/>
  <c r="S76" i="62"/>
  <c r="S71" i="62"/>
  <c r="S61" i="62"/>
  <c r="S49" i="62"/>
  <c r="S46" i="62"/>
  <c r="S34" i="62"/>
  <c r="S19" i="62"/>
  <c r="S14" i="62"/>
  <c r="P88" i="62"/>
  <c r="P75" i="62"/>
  <c r="P37" i="62"/>
  <c r="P36" i="62"/>
  <c r="P18" i="62"/>
  <c r="P17" i="62"/>
  <c r="J38" i="62"/>
  <c r="J19" i="62"/>
  <c r="J18" i="62"/>
  <c r="J17" i="62"/>
  <c r="D70" i="62"/>
  <c r="D58" i="62"/>
  <c r="D57" i="62"/>
  <c r="V12" i="68"/>
  <c r="D24" i="68"/>
  <c r="D12" i="68"/>
  <c r="AN105" i="67"/>
  <c r="AN82" i="67"/>
  <c r="AN74" i="67"/>
  <c r="AN70" i="67"/>
  <c r="AN69" i="67"/>
  <c r="AN66" i="67"/>
  <c r="AN65" i="67"/>
  <c r="AN64" i="67"/>
  <c r="AN61" i="67"/>
  <c r="AN60" i="67"/>
  <c r="AN46" i="67"/>
  <c r="AN38" i="67"/>
  <c r="AN37" i="67"/>
  <c r="AK57" i="67"/>
  <c r="AH58" i="67"/>
  <c r="AH50" i="67"/>
  <c r="AE126" i="67"/>
  <c r="AE122" i="67"/>
  <c r="AB105" i="67"/>
  <c r="AB103" i="67"/>
  <c r="G106" i="67"/>
  <c r="G105" i="67"/>
  <c r="G102" i="67"/>
  <c r="G101" i="67"/>
  <c r="G99" i="67"/>
  <c r="G98" i="67"/>
  <c r="G96" i="67"/>
  <c r="G94" i="67"/>
  <c r="G93" i="67"/>
  <c r="G91" i="67"/>
  <c r="G86" i="67"/>
  <c r="G85" i="67"/>
  <c r="G84" i="67"/>
  <c r="G55" i="67"/>
  <c r="G18" i="67"/>
  <c r="Y140" i="67"/>
  <c r="Y135" i="67"/>
  <c r="S90" i="67"/>
  <c r="S52" i="67"/>
  <c r="S51" i="67"/>
  <c r="J85" i="67"/>
  <c r="D96" i="67"/>
  <c r="AN98" i="66"/>
  <c r="AN48" i="66"/>
  <c r="AK75" i="66"/>
  <c r="AH108" i="66"/>
  <c r="AB105" i="66"/>
  <c r="AB95" i="66"/>
  <c r="AB30" i="66"/>
  <c r="V36" i="66"/>
  <c r="D86" i="66"/>
  <c r="D36" i="66"/>
  <c r="AN54" i="65"/>
  <c r="AN53" i="65"/>
  <c r="AK54" i="65"/>
  <c r="AK55" i="65"/>
  <c r="AB57" i="65"/>
  <c r="AB56" i="65"/>
  <c r="AB55" i="65"/>
  <c r="G50" i="65"/>
  <c r="G55" i="65"/>
  <c r="S55" i="65"/>
  <c r="P55" i="65"/>
  <c r="J53" i="65"/>
  <c r="D55" i="65"/>
  <c r="D50" i="26" l="1"/>
  <c r="I35" i="71" l="1"/>
  <c r="I16" i="71"/>
  <c r="I37" i="70"/>
  <c r="H37" i="70"/>
  <c r="I36" i="70"/>
  <c r="H36" i="70"/>
  <c r="I31" i="70"/>
  <c r="H31" i="70"/>
  <c r="I14" i="70"/>
  <c r="I11" i="70" s="1"/>
  <c r="H14" i="70"/>
  <c r="H39" i="70" s="1"/>
  <c r="I54" i="69"/>
  <c r="H54" i="69"/>
  <c r="I52" i="69"/>
  <c r="H52" i="69"/>
  <c r="H51" i="69"/>
  <c r="I50" i="69"/>
  <c r="I49" i="69"/>
  <c r="H49" i="69"/>
  <c r="I48" i="69"/>
  <c r="H48" i="69"/>
  <c r="I43" i="69"/>
  <c r="I41" i="69" s="1"/>
  <c r="H41" i="69"/>
  <c r="I38" i="69"/>
  <c r="I35" i="69" s="1"/>
  <c r="H35" i="69"/>
  <c r="I34" i="69"/>
  <c r="I23" i="69" s="1"/>
  <c r="H34" i="69"/>
  <c r="H30" i="69"/>
  <c r="I22" i="69"/>
  <c r="I11" i="69" s="1"/>
  <c r="H22" i="69"/>
  <c r="H18" i="69"/>
  <c r="H88" i="62"/>
  <c r="I85" i="62"/>
  <c r="H85" i="62"/>
  <c r="I79" i="62"/>
  <c r="H79" i="62"/>
  <c r="I54" i="62"/>
  <c r="H54" i="62"/>
  <c r="H60" i="62" s="1"/>
  <c r="I39" i="62"/>
  <c r="H39" i="62"/>
  <c r="I35" i="62"/>
  <c r="I45" i="62" s="1"/>
  <c r="H35" i="62"/>
  <c r="H28" i="62"/>
  <c r="I20" i="62"/>
  <c r="H20" i="62"/>
  <c r="I16" i="62"/>
  <c r="I27" i="62" s="1"/>
  <c r="I29" i="62" s="1"/>
  <c r="H16" i="62"/>
  <c r="I32" i="68"/>
  <c r="H32" i="68"/>
  <c r="I20" i="68"/>
  <c r="H20" i="68"/>
  <c r="I104" i="67"/>
  <c r="H104" i="67"/>
  <c r="I92" i="67"/>
  <c r="H92" i="67"/>
  <c r="I56" i="67"/>
  <c r="H56" i="67"/>
  <c r="I22" i="67"/>
  <c r="H22" i="67"/>
  <c r="I21" i="67"/>
  <c r="H21" i="67"/>
  <c r="I17" i="67"/>
  <c r="H17" i="67"/>
  <c r="I16" i="67"/>
  <c r="I15" i="67"/>
  <c r="I14" i="67"/>
  <c r="H14" i="67"/>
  <c r="I13" i="67"/>
  <c r="H13" i="67"/>
  <c r="I12" i="67"/>
  <c r="H12" i="67"/>
  <c r="I106" i="66"/>
  <c r="H106" i="66"/>
  <c r="I82" i="66"/>
  <c r="H82" i="66"/>
  <c r="I70" i="66"/>
  <c r="H70" i="66"/>
  <c r="I56" i="66"/>
  <c r="H56" i="66"/>
  <c r="I32" i="66"/>
  <c r="H32" i="66"/>
  <c r="I20" i="66"/>
  <c r="H20" i="66"/>
  <c r="I56" i="65"/>
  <c r="H55" i="65"/>
  <c r="I40" i="65"/>
  <c r="H40" i="65"/>
  <c r="I33" i="65"/>
  <c r="I29" i="65"/>
  <c r="H29" i="65"/>
  <c r="I21" i="65"/>
  <c r="H21" i="65"/>
  <c r="I14" i="65"/>
  <c r="H14" i="65"/>
  <c r="H91" i="62" l="1"/>
  <c r="H34" i="65"/>
  <c r="H41" i="65" s="1"/>
  <c r="H43" i="65" s="1"/>
  <c r="H45" i="65" s="1"/>
  <c r="I34" i="65"/>
  <c r="I41" i="65" s="1"/>
  <c r="I43" i="65" s="1"/>
  <c r="I45" i="65" s="1"/>
  <c r="H53" i="69"/>
  <c r="J22" i="69"/>
  <c r="I53" i="69"/>
  <c r="H23" i="69"/>
  <c r="J34" i="69"/>
  <c r="H56" i="65"/>
  <c r="H57" i="65" s="1"/>
  <c r="J55" i="65"/>
  <c r="J16" i="62"/>
  <c r="I57" i="65"/>
  <c r="I47" i="69"/>
  <c r="H11" i="69"/>
  <c r="H47" i="69" s="1"/>
  <c r="I51" i="69"/>
  <c r="H45" i="62"/>
  <c r="H62" i="62" s="1"/>
  <c r="H64" i="62" s="1"/>
  <c r="I91" i="62"/>
  <c r="H50" i="69"/>
  <c r="H11" i="70"/>
  <c r="H35" i="70" s="1"/>
  <c r="H27" i="62"/>
  <c r="H29" i="62" s="1"/>
  <c r="H20" i="67"/>
  <c r="I35" i="70"/>
  <c r="I20" i="67"/>
  <c r="I60" i="62"/>
  <c r="I62" i="62" s="1"/>
  <c r="I64" i="62" s="1"/>
  <c r="I39" i="70"/>
  <c r="F35" i="71"/>
  <c r="F16" i="71"/>
  <c r="F39" i="70"/>
  <c r="E39" i="70"/>
  <c r="F31" i="70"/>
  <c r="E31" i="70"/>
  <c r="F11" i="70"/>
  <c r="E11" i="70"/>
  <c r="F54" i="69"/>
  <c r="E54" i="69"/>
  <c r="F53" i="69"/>
  <c r="F52" i="69"/>
  <c r="F51" i="69"/>
  <c r="E51" i="69"/>
  <c r="F50" i="69"/>
  <c r="F49" i="69"/>
  <c r="F48" i="69"/>
  <c r="F41" i="69"/>
  <c r="E41" i="69"/>
  <c r="F35" i="69"/>
  <c r="E35" i="69"/>
  <c r="F11" i="69"/>
  <c r="E11" i="69"/>
  <c r="F85" i="62"/>
  <c r="E85" i="62"/>
  <c r="F79" i="62"/>
  <c r="E79" i="62"/>
  <c r="F54" i="62"/>
  <c r="F60" i="62" s="1"/>
  <c r="E54" i="62"/>
  <c r="E60" i="62" s="1"/>
  <c r="F39" i="62"/>
  <c r="E39" i="62"/>
  <c r="F35" i="62"/>
  <c r="E35" i="62"/>
  <c r="F20" i="62"/>
  <c r="E20" i="62"/>
  <c r="F16" i="62"/>
  <c r="F27" i="62" s="1"/>
  <c r="F29" i="62" s="1"/>
  <c r="E16" i="62"/>
  <c r="F104" i="67"/>
  <c r="E104" i="67"/>
  <c r="F92" i="67"/>
  <c r="E92" i="67"/>
  <c r="F56" i="67"/>
  <c r="E56" i="67"/>
  <c r="F20" i="67"/>
  <c r="E20" i="67"/>
  <c r="F56" i="65"/>
  <c r="E56" i="65"/>
  <c r="G56" i="65" s="1"/>
  <c r="F51" i="65"/>
  <c r="E51" i="65"/>
  <c r="F40" i="65"/>
  <c r="E40" i="65"/>
  <c r="F29" i="65"/>
  <c r="E29" i="65"/>
  <c r="F21" i="65"/>
  <c r="E21" i="65"/>
  <c r="F14" i="65"/>
  <c r="E14" i="65"/>
  <c r="F45" i="62" l="1"/>
  <c r="E34" i="65"/>
  <c r="E41" i="65" s="1"/>
  <c r="E43" i="65" s="1"/>
  <c r="E45" i="65" s="1"/>
  <c r="G104" i="67"/>
  <c r="G51" i="65"/>
  <c r="F57" i="65"/>
  <c r="E35" i="70"/>
  <c r="E27" i="62"/>
  <c r="E29" i="62" s="1"/>
  <c r="G16" i="62"/>
  <c r="J56" i="65"/>
  <c r="G92" i="67"/>
  <c r="J57" i="65"/>
  <c r="F91" i="62"/>
  <c r="F62" i="62"/>
  <c r="F64" i="62" s="1"/>
  <c r="F35" i="70"/>
  <c r="F34" i="65"/>
  <c r="F41" i="65" s="1"/>
  <c r="F43" i="65" s="1"/>
  <c r="F45" i="65" s="1"/>
  <c r="E57" i="65"/>
  <c r="G57" i="65" s="1"/>
  <c r="E47" i="69"/>
  <c r="F47" i="69"/>
  <c r="E45" i="62"/>
  <c r="E62" i="62" s="1"/>
  <c r="E91" i="62"/>
  <c r="E64" i="62" l="1"/>
  <c r="AA39" i="70"/>
  <c r="Z39" i="70"/>
  <c r="AA37" i="70"/>
  <c r="Z37" i="70"/>
  <c r="AA36" i="70"/>
  <c r="Z36" i="70"/>
  <c r="AA11" i="70"/>
  <c r="Z11" i="70"/>
  <c r="Z35" i="70" s="1"/>
  <c r="AG85" i="62"/>
  <c r="AG91" i="62" s="1"/>
  <c r="AF85" i="62"/>
  <c r="AF91" i="62" s="1"/>
  <c r="AG54" i="62"/>
  <c r="AF54" i="62"/>
  <c r="AF60" i="62" s="1"/>
  <c r="AF62" i="62" s="1"/>
  <c r="AF29" i="62"/>
  <c r="AG48" i="68"/>
  <c r="AF48" i="68"/>
  <c r="AG47" i="68"/>
  <c r="AF47" i="68"/>
  <c r="AF46" i="68"/>
  <c r="AG45" i="68"/>
  <c r="AF45" i="68"/>
  <c r="AG44" i="68"/>
  <c r="AF44" i="68"/>
  <c r="AG43" i="68"/>
  <c r="AF43" i="68"/>
  <c r="AG42" i="68"/>
  <c r="AF42" i="68"/>
  <c r="AG41" i="68"/>
  <c r="AF41" i="68"/>
  <c r="AG40" i="68"/>
  <c r="AF40" i="68"/>
  <c r="AG39" i="68"/>
  <c r="AF39" i="68"/>
  <c r="AG38" i="68"/>
  <c r="AF38" i="68"/>
  <c r="AG56" i="67"/>
  <c r="AF56" i="67"/>
  <c r="AH56" i="67" s="1"/>
  <c r="AG106" i="66"/>
  <c r="AF106" i="66"/>
  <c r="AG40" i="65"/>
  <c r="AF40" i="65"/>
  <c r="AG29" i="65"/>
  <c r="AG21" i="65"/>
  <c r="AF21" i="65"/>
  <c r="AG14" i="65"/>
  <c r="AF14" i="65"/>
  <c r="AF34" i="65" l="1"/>
  <c r="AF41" i="65" s="1"/>
  <c r="AF43" i="65" s="1"/>
  <c r="AF45" i="65" s="1"/>
  <c r="AG29" i="62"/>
  <c r="AG60" i="62"/>
  <c r="AG62" i="62" s="1"/>
  <c r="AG46" i="68"/>
  <c r="AA35" i="70"/>
  <c r="AG34" i="65"/>
  <c r="AG41" i="65" s="1"/>
  <c r="AG43" i="65" s="1"/>
  <c r="AG45" i="65" s="1"/>
  <c r="AF64" i="62"/>
  <c r="U11" i="69"/>
  <c r="T11" i="69"/>
  <c r="T48" i="69"/>
  <c r="U48" i="69"/>
  <c r="T49" i="69"/>
  <c r="U49" i="69"/>
  <c r="T50" i="69"/>
  <c r="U50" i="69"/>
  <c r="T51" i="69"/>
  <c r="U51" i="69"/>
  <c r="U52" i="69"/>
  <c r="U53" i="69"/>
  <c r="U54" i="69"/>
  <c r="U79" i="62"/>
  <c r="T79" i="62"/>
  <c r="T91" i="62" s="1"/>
  <c r="T29" i="62"/>
  <c r="T64" i="62" s="1"/>
  <c r="U20" i="68"/>
  <c r="T20" i="68"/>
  <c r="U44" i="66"/>
  <c r="T44" i="66"/>
  <c r="U40" i="65"/>
  <c r="T40" i="65"/>
  <c r="U29" i="65"/>
  <c r="T29" i="65"/>
  <c r="U21" i="65"/>
  <c r="T21" i="65"/>
  <c r="U14" i="65"/>
  <c r="T14" i="65"/>
  <c r="AG64" i="62" l="1"/>
  <c r="T47" i="69"/>
  <c r="V11" i="69"/>
  <c r="U34" i="65"/>
  <c r="U41" i="65" s="1"/>
  <c r="U43" i="65" s="1"/>
  <c r="U45" i="65" s="1"/>
  <c r="U29" i="62"/>
  <c r="U91" i="62"/>
  <c r="T34" i="65"/>
  <c r="T41" i="65" s="1"/>
  <c r="T43" i="65" s="1"/>
  <c r="T45" i="65" s="1"/>
  <c r="U47" i="69"/>
  <c r="O11" i="70"/>
  <c r="N11" i="70"/>
  <c r="O41" i="69"/>
  <c r="O35" i="69"/>
  <c r="N35" i="69"/>
  <c r="O23" i="69"/>
  <c r="N23" i="69"/>
  <c r="O11" i="69"/>
  <c r="N11" i="69"/>
  <c r="O85" i="62"/>
  <c r="N85" i="62"/>
  <c r="O79" i="62"/>
  <c r="N79" i="62"/>
  <c r="O54" i="62"/>
  <c r="N54" i="62"/>
  <c r="N60" i="62" s="1"/>
  <c r="O39" i="62"/>
  <c r="N39" i="62"/>
  <c r="O35" i="62"/>
  <c r="N35" i="62"/>
  <c r="P35" i="62" s="1"/>
  <c r="O20" i="62"/>
  <c r="N20" i="62"/>
  <c r="O16" i="62"/>
  <c r="N16" i="62"/>
  <c r="P16" i="62" s="1"/>
  <c r="O32" i="68"/>
  <c r="N32" i="68"/>
  <c r="O20" i="68"/>
  <c r="N20" i="68"/>
  <c r="O56" i="67"/>
  <c r="N56" i="67"/>
  <c r="O94" i="66"/>
  <c r="N94" i="66"/>
  <c r="O44" i="66"/>
  <c r="N44" i="66"/>
  <c r="O56" i="65"/>
  <c r="N56" i="65"/>
  <c r="P56" i="65" s="1"/>
  <c r="O40" i="65"/>
  <c r="N40" i="65"/>
  <c r="O29" i="65"/>
  <c r="N29" i="65"/>
  <c r="O21" i="65"/>
  <c r="N21" i="65"/>
  <c r="O14" i="65"/>
  <c r="N14" i="65"/>
  <c r="U64" i="62" l="1"/>
  <c r="N45" i="62"/>
  <c r="N62" i="62" s="1"/>
  <c r="O91" i="62"/>
  <c r="N27" i="62"/>
  <c r="N29" i="62" s="1"/>
  <c r="O45" i="62"/>
  <c r="N34" i="65"/>
  <c r="N41" i="65" s="1"/>
  <c r="N43" i="65" s="1"/>
  <c r="N45" i="65" s="1"/>
  <c r="O34" i="65"/>
  <c r="O41" i="65" s="1"/>
  <c r="O43" i="65" s="1"/>
  <c r="O45" i="65" s="1"/>
  <c r="N91" i="62"/>
  <c r="N57" i="65"/>
  <c r="O60" i="62"/>
  <c r="O57" i="65"/>
  <c r="O27" i="62"/>
  <c r="O29" i="62" s="1"/>
  <c r="P57" i="65" l="1"/>
  <c r="O62" i="62"/>
  <c r="O64" i="62" s="1"/>
  <c r="N64" i="62"/>
  <c r="AD35" i="71"/>
  <c r="AD16" i="71"/>
  <c r="AD10" i="71"/>
  <c r="AD39" i="70"/>
  <c r="AC39" i="70"/>
  <c r="AD37" i="70"/>
  <c r="AC37" i="70"/>
  <c r="AD36" i="70"/>
  <c r="AC36" i="70"/>
  <c r="AD31" i="70"/>
  <c r="AC31" i="70"/>
  <c r="AD11" i="70"/>
  <c r="AC11" i="70"/>
  <c r="AG54" i="69"/>
  <c r="AF54" i="69"/>
  <c r="AG53" i="69"/>
  <c r="AF53" i="69"/>
  <c r="AG52" i="69"/>
  <c r="AG51" i="69"/>
  <c r="AF51" i="69"/>
  <c r="AG50" i="69"/>
  <c r="AF50" i="69"/>
  <c r="AG49" i="69"/>
  <c r="AF49" i="69"/>
  <c r="AG48" i="69"/>
  <c r="AF48" i="69"/>
  <c r="AG41" i="69"/>
  <c r="AF41" i="69"/>
  <c r="AG35" i="69"/>
  <c r="AF35" i="69"/>
  <c r="AG23" i="69"/>
  <c r="AF23" i="69"/>
  <c r="AG11" i="69"/>
  <c r="AF11" i="69"/>
  <c r="AJ85" i="62"/>
  <c r="AI85" i="62"/>
  <c r="AJ79" i="62"/>
  <c r="AI79" i="62"/>
  <c r="AJ54" i="62"/>
  <c r="AI54" i="62"/>
  <c r="AI60" i="62" s="1"/>
  <c r="AJ39" i="62"/>
  <c r="AI39" i="62"/>
  <c r="AJ35" i="62"/>
  <c r="AI35" i="62"/>
  <c r="AJ20" i="62"/>
  <c r="AI20" i="62"/>
  <c r="AJ16" i="62"/>
  <c r="AI16" i="62"/>
  <c r="AI27" i="62" s="1"/>
  <c r="AI29" i="62" s="1"/>
  <c r="AJ32" i="68"/>
  <c r="AI32" i="68"/>
  <c r="AJ20" i="68"/>
  <c r="AI20" i="68"/>
  <c r="AJ104" i="67"/>
  <c r="AI104" i="67"/>
  <c r="AJ92" i="67"/>
  <c r="AI92" i="67"/>
  <c r="AJ80" i="67"/>
  <c r="AI80" i="67"/>
  <c r="AJ68" i="67"/>
  <c r="AI68" i="67"/>
  <c r="AJ56" i="67"/>
  <c r="AI56" i="67"/>
  <c r="AJ44" i="67"/>
  <c r="AI44" i="67"/>
  <c r="AJ20" i="67"/>
  <c r="AI20" i="67"/>
  <c r="AJ106" i="66"/>
  <c r="AI106" i="66"/>
  <c r="AJ94" i="66"/>
  <c r="AI94" i="66"/>
  <c r="AJ82" i="66"/>
  <c r="AI82" i="66"/>
  <c r="AJ70" i="66"/>
  <c r="AI70" i="66"/>
  <c r="AJ56" i="66"/>
  <c r="AI56" i="66"/>
  <c r="AJ44" i="66"/>
  <c r="AI44" i="66"/>
  <c r="AJ32" i="66"/>
  <c r="AI32" i="66"/>
  <c r="AJ20" i="66"/>
  <c r="AI20" i="66"/>
  <c r="AJ56" i="65"/>
  <c r="AI56" i="65"/>
  <c r="AJ40" i="65"/>
  <c r="AI40" i="65"/>
  <c r="AJ29" i="65"/>
  <c r="AI29" i="65"/>
  <c r="AJ21" i="65"/>
  <c r="AI21" i="65"/>
  <c r="AJ14" i="65"/>
  <c r="AI14" i="65"/>
  <c r="AI57" i="65" l="1"/>
  <c r="AK56" i="65"/>
  <c r="AI34" i="65"/>
  <c r="AI41" i="65" s="1"/>
  <c r="AI43" i="65" s="1"/>
  <c r="AI45" i="65" s="1"/>
  <c r="AJ57" i="65"/>
  <c r="AJ34" i="65"/>
  <c r="AJ41" i="65" s="1"/>
  <c r="AJ43" i="65" s="1"/>
  <c r="AJ45" i="65" s="1"/>
  <c r="AJ27" i="62"/>
  <c r="AJ29" i="62" s="1"/>
  <c r="AJ60" i="62"/>
  <c r="AI91" i="62"/>
  <c r="AJ45" i="62"/>
  <c r="AC35" i="70"/>
  <c r="AI45" i="62"/>
  <c r="AI62" i="62" s="1"/>
  <c r="AI64" i="62" s="1"/>
  <c r="AD35" i="70"/>
  <c r="AF47" i="69"/>
  <c r="AG47" i="69"/>
  <c r="AJ91" i="62"/>
  <c r="U35" i="71"/>
  <c r="U16" i="71"/>
  <c r="U40" i="70"/>
  <c r="U31" i="70"/>
  <c r="U26" i="70"/>
  <c r="U16" i="70"/>
  <c r="U11" i="70"/>
  <c r="X54" i="69"/>
  <c r="X53" i="69"/>
  <c r="X52" i="69"/>
  <c r="X51" i="69"/>
  <c r="X50" i="69"/>
  <c r="X49" i="69"/>
  <c r="X48" i="69"/>
  <c r="X41" i="69"/>
  <c r="X35" i="69"/>
  <c r="X11" i="69"/>
  <c r="W85" i="62"/>
  <c r="W79" i="62"/>
  <c r="W54" i="62"/>
  <c r="W50" i="62"/>
  <c r="W39" i="62"/>
  <c r="W35" i="62"/>
  <c r="W27" i="62"/>
  <c r="W29" i="62" s="1"/>
  <c r="X20" i="68"/>
  <c r="W38" i="68"/>
  <c r="X38" i="68"/>
  <c r="W39" i="68"/>
  <c r="X39" i="68"/>
  <c r="W40" i="68"/>
  <c r="X40" i="68"/>
  <c r="W41" i="68"/>
  <c r="X41" i="68"/>
  <c r="W42" i="68"/>
  <c r="X42" i="68"/>
  <c r="W43" i="68"/>
  <c r="X43" i="68"/>
  <c r="W44" i="68"/>
  <c r="X44" i="68"/>
  <c r="W45" i="68"/>
  <c r="X45" i="68"/>
  <c r="W47" i="68"/>
  <c r="X47" i="68"/>
  <c r="W48" i="68"/>
  <c r="X48" i="68"/>
  <c r="X142" i="67"/>
  <c r="W142" i="67"/>
  <c r="X130" i="67"/>
  <c r="W130" i="67"/>
  <c r="W40" i="65"/>
  <c r="W29" i="65"/>
  <c r="W21" i="65"/>
  <c r="W14" i="65"/>
  <c r="W46" i="68" l="1"/>
  <c r="AK57" i="65"/>
  <c r="AJ62" i="62"/>
  <c r="AJ64" i="62" s="1"/>
  <c r="W60" i="62"/>
  <c r="W45" i="62"/>
  <c r="W62" i="62" s="1"/>
  <c r="W64" i="62" s="1"/>
  <c r="X46" i="68"/>
  <c r="X47" i="69"/>
  <c r="U35" i="70"/>
  <c r="W34" i="65"/>
  <c r="W41" i="65" s="1"/>
  <c r="W43" i="65" s="1"/>
  <c r="W45" i="65" s="1"/>
  <c r="W91" i="62"/>
  <c r="AD130" i="67"/>
  <c r="AC130" i="67"/>
  <c r="AC42" i="65"/>
  <c r="AD40" i="65"/>
  <c r="AC40" i="65"/>
  <c r="AD31" i="65"/>
  <c r="AC29" i="65"/>
  <c r="AD26" i="65"/>
  <c r="AD29" i="65" s="1"/>
  <c r="AD21" i="65"/>
  <c r="AC21" i="65"/>
  <c r="AD14" i="65"/>
  <c r="AC14" i="65"/>
  <c r="AC34" i="65" l="1"/>
  <c r="AC41" i="65" s="1"/>
  <c r="AC43" i="65" s="1"/>
  <c r="AC45" i="65" s="1"/>
  <c r="AD34" i="65"/>
  <c r="AD41" i="65" s="1"/>
  <c r="AD43" i="65" s="1"/>
  <c r="AD45" i="65" s="1"/>
  <c r="AA35" i="71"/>
  <c r="AA16" i="71"/>
  <c r="AA10" i="71"/>
  <c r="Z10" i="71"/>
  <c r="AD54" i="69"/>
  <c r="AC54" i="69"/>
  <c r="AD53" i="69"/>
  <c r="AD52" i="69"/>
  <c r="AC52" i="69"/>
  <c r="AD51" i="69"/>
  <c r="AD50" i="69"/>
  <c r="AD49" i="69"/>
  <c r="AD48" i="69"/>
  <c r="AD41" i="69"/>
  <c r="AC41" i="69"/>
  <c r="AD35" i="69"/>
  <c r="AC35" i="69"/>
  <c r="AD11" i="69"/>
  <c r="AC11" i="69"/>
  <c r="AD85" i="62"/>
  <c r="AD79" i="62"/>
  <c r="AC79" i="62"/>
  <c r="AC91" i="62" s="1"/>
  <c r="AD39" i="62"/>
  <c r="AC39" i="62"/>
  <c r="AD35" i="62"/>
  <c r="AC35" i="62"/>
  <c r="AD28" i="62"/>
  <c r="AC28" i="62"/>
  <c r="AD20" i="62"/>
  <c r="AC20" i="62"/>
  <c r="AD16" i="62"/>
  <c r="AC16" i="62"/>
  <c r="AD27" i="62" l="1"/>
  <c r="AD29" i="62" s="1"/>
  <c r="AC45" i="62"/>
  <c r="AC62" i="62" s="1"/>
  <c r="AC27" i="62"/>
  <c r="AC29" i="62" s="1"/>
  <c r="AD91" i="62"/>
  <c r="AC47" i="69"/>
  <c r="AD47" i="69"/>
  <c r="AD45" i="62"/>
  <c r="AG35" i="71"/>
  <c r="AG16" i="71"/>
  <c r="AF37" i="70"/>
  <c r="AF36" i="70"/>
  <c r="AG19" i="70"/>
  <c r="AG18" i="70"/>
  <c r="AF18" i="70"/>
  <c r="AG17" i="70"/>
  <c r="AF17" i="70"/>
  <c r="AG14" i="70"/>
  <c r="AG39" i="70" s="1"/>
  <c r="AF14" i="70"/>
  <c r="AF19" i="70" s="1"/>
  <c r="AG13" i="70"/>
  <c r="AG37" i="70" s="1"/>
  <c r="AG12" i="70"/>
  <c r="AG36" i="70" s="1"/>
  <c r="AJ43" i="69"/>
  <c r="AJ41" i="69" s="1"/>
  <c r="AI43" i="69"/>
  <c r="AI41" i="69" s="1"/>
  <c r="AJ35" i="69"/>
  <c r="AI35" i="69"/>
  <c r="AI33" i="69"/>
  <c r="AI32" i="69"/>
  <c r="AI30" i="69"/>
  <c r="AI28" i="69"/>
  <c r="AI27" i="69"/>
  <c r="AI25" i="69"/>
  <c r="AJ23" i="69"/>
  <c r="AJ19" i="69"/>
  <c r="AI19" i="69"/>
  <c r="AJ12" i="69"/>
  <c r="AI12" i="69"/>
  <c r="AI24" i="69" s="1"/>
  <c r="AM85" i="62"/>
  <c r="AL85" i="62"/>
  <c r="AM79" i="62"/>
  <c r="AL79" i="62"/>
  <c r="AM54" i="62"/>
  <c r="AL54" i="62"/>
  <c r="AM53" i="62"/>
  <c r="AL50" i="62"/>
  <c r="AM39" i="62"/>
  <c r="AL39" i="62"/>
  <c r="AM38" i="62"/>
  <c r="AM35" i="62" s="1"/>
  <c r="AL38" i="62"/>
  <c r="AL35" i="62" s="1"/>
  <c r="AM28" i="62"/>
  <c r="AL28" i="62"/>
  <c r="AM22" i="62"/>
  <c r="AM20" i="62" s="1"/>
  <c r="AL20" i="62"/>
  <c r="AM19" i="62"/>
  <c r="AL19" i="62"/>
  <c r="AL16" i="62" s="1"/>
  <c r="AM16" i="62"/>
  <c r="AM32" i="68"/>
  <c r="AL32" i="68"/>
  <c r="AM20" i="68"/>
  <c r="AL20" i="68"/>
  <c r="AL130" i="67"/>
  <c r="AL116" i="67"/>
  <c r="AL104" i="67"/>
  <c r="AL94" i="67"/>
  <c r="AL93" i="67"/>
  <c r="AL89" i="67"/>
  <c r="AL86" i="67"/>
  <c r="AL80" i="67"/>
  <c r="AN80" i="67" s="1"/>
  <c r="AL68" i="67"/>
  <c r="AN68" i="67" s="1"/>
  <c r="AL50" i="67"/>
  <c r="AL56" i="67" s="1"/>
  <c r="AL36" i="67"/>
  <c r="AL20" i="67"/>
  <c r="AM106" i="66"/>
  <c r="AL106" i="66"/>
  <c r="AM70" i="66"/>
  <c r="AL70" i="66"/>
  <c r="AM56" i="66"/>
  <c r="AL56" i="66"/>
  <c r="AM44" i="66"/>
  <c r="AL44" i="66"/>
  <c r="AL21" i="66"/>
  <c r="AM20" i="66"/>
  <c r="AL20" i="66"/>
  <c r="AM56" i="65"/>
  <c r="AL55" i="65"/>
  <c r="AM44" i="65"/>
  <c r="AM40" i="65"/>
  <c r="AL40" i="65"/>
  <c r="AM29" i="65"/>
  <c r="AL25" i="65"/>
  <c r="AL29" i="65" s="1"/>
  <c r="AM19" i="65"/>
  <c r="AM21" i="65" s="1"/>
  <c r="AL19" i="65"/>
  <c r="AL21" i="65" s="1"/>
  <c r="AM14" i="65"/>
  <c r="AL11" i="65"/>
  <c r="AL14" i="65" s="1"/>
  <c r="AL44" i="67" l="1"/>
  <c r="AN44" i="67" s="1"/>
  <c r="AN36" i="67"/>
  <c r="AM50" i="62"/>
  <c r="AN50" i="62" s="1"/>
  <c r="AN53" i="62"/>
  <c r="AL56" i="65"/>
  <c r="AN55" i="65"/>
  <c r="AM60" i="62"/>
  <c r="AJ11" i="69"/>
  <c r="AD62" i="62"/>
  <c r="AD64" i="62" s="1"/>
  <c r="AM91" i="62"/>
  <c r="AF11" i="70"/>
  <c r="AF35" i="70" s="1"/>
  <c r="AC64" i="62"/>
  <c r="AL27" i="62"/>
  <c r="AL29" i="62" s="1"/>
  <c r="AL45" i="62"/>
  <c r="AG16" i="70"/>
  <c r="AL92" i="67"/>
  <c r="AM57" i="65"/>
  <c r="AM45" i="62"/>
  <c r="AL91" i="62"/>
  <c r="AI11" i="69"/>
  <c r="AG11" i="70"/>
  <c r="AG35" i="70" s="1"/>
  <c r="AF39" i="70"/>
  <c r="AM27" i="62"/>
  <c r="AM29" i="62" s="1"/>
  <c r="AF16" i="70"/>
  <c r="AL60" i="62"/>
  <c r="AI31" i="69"/>
  <c r="AI23" i="69" s="1"/>
  <c r="AL34" i="65"/>
  <c r="AL41" i="65" s="1"/>
  <c r="AL43" i="65" s="1"/>
  <c r="AL45" i="65" s="1"/>
  <c r="AM34" i="65"/>
  <c r="AM41" i="65" s="1"/>
  <c r="AM43" i="65" s="1"/>
  <c r="AM45" i="65" s="1"/>
  <c r="AL57" i="65" l="1"/>
  <c r="AN57" i="65" s="1"/>
  <c r="AN56" i="65"/>
  <c r="AM62" i="62"/>
  <c r="AM64" i="62" s="1"/>
  <c r="AL62" i="62"/>
  <c r="AL64" i="62" s="1"/>
  <c r="R35" i="71"/>
  <c r="R16" i="71"/>
  <c r="R39" i="70"/>
  <c r="Q39" i="70"/>
  <c r="R37" i="70"/>
  <c r="R36" i="70"/>
  <c r="Q36" i="70"/>
  <c r="R31" i="70"/>
  <c r="Q31" i="70"/>
  <c r="R19" i="70"/>
  <c r="R16" i="70" s="1"/>
  <c r="Q16" i="70"/>
  <c r="Q13" i="70"/>
  <c r="Q11" i="70" s="1"/>
  <c r="R11" i="70"/>
  <c r="R54" i="69"/>
  <c r="Q54" i="69"/>
  <c r="R53" i="69"/>
  <c r="R52" i="69"/>
  <c r="R51" i="69"/>
  <c r="Q51" i="69"/>
  <c r="R50" i="69"/>
  <c r="R49" i="69"/>
  <c r="Q49" i="69"/>
  <c r="R48" i="69"/>
  <c r="R41" i="69"/>
  <c r="Q41" i="69"/>
  <c r="S41" i="69" s="1"/>
  <c r="R35" i="69"/>
  <c r="Q35" i="69"/>
  <c r="R31" i="69"/>
  <c r="R27" i="69"/>
  <c r="Q23" i="69"/>
  <c r="R11" i="69"/>
  <c r="Q11" i="69"/>
  <c r="R85" i="62"/>
  <c r="Q85" i="62"/>
  <c r="R79" i="62"/>
  <c r="Q79" i="62"/>
  <c r="R54" i="62"/>
  <c r="Q54" i="62"/>
  <c r="Q60" i="62" s="1"/>
  <c r="R39" i="62"/>
  <c r="Q39" i="62"/>
  <c r="R35" i="62"/>
  <c r="R45" i="62" s="1"/>
  <c r="Q35" i="62"/>
  <c r="Q28" i="62"/>
  <c r="R20" i="62"/>
  <c r="Q20" i="62"/>
  <c r="R16" i="62"/>
  <c r="Q16" i="62"/>
  <c r="S16" i="62" s="1"/>
  <c r="R92" i="67"/>
  <c r="Q92" i="67"/>
  <c r="R56" i="67"/>
  <c r="Q56" i="67"/>
  <c r="R106" i="66"/>
  <c r="Q106" i="66"/>
  <c r="R94" i="66"/>
  <c r="Q94" i="66"/>
  <c r="R56" i="65"/>
  <c r="Q56" i="65"/>
  <c r="R40" i="65"/>
  <c r="Q40" i="65"/>
  <c r="R29" i="65"/>
  <c r="Q23" i="65"/>
  <c r="Q29" i="65" s="1"/>
  <c r="R21" i="65"/>
  <c r="Q19" i="65"/>
  <c r="Q21" i="65" s="1"/>
  <c r="R14" i="65"/>
  <c r="Q14" i="65"/>
  <c r="AM48" i="68"/>
  <c r="AM47" i="68"/>
  <c r="AM46" i="68"/>
  <c r="AM45" i="68"/>
  <c r="AM44" i="68"/>
  <c r="AM43" i="68"/>
  <c r="AM42" i="68"/>
  <c r="AM41" i="68"/>
  <c r="AM40" i="68"/>
  <c r="AM39" i="68"/>
  <c r="AM38" i="68"/>
  <c r="AI48" i="68"/>
  <c r="AI47" i="68"/>
  <c r="AJ45" i="68"/>
  <c r="AI45" i="68"/>
  <c r="AJ44" i="68"/>
  <c r="AI44" i="68"/>
  <c r="AI43" i="68"/>
  <c r="AI42" i="68"/>
  <c r="AJ41" i="68"/>
  <c r="AI41" i="68"/>
  <c r="AI40" i="68"/>
  <c r="AJ39" i="68"/>
  <c r="AI39" i="68"/>
  <c r="AI38" i="68"/>
  <c r="AD48" i="68"/>
  <c r="AC48" i="68"/>
  <c r="AD47" i="68"/>
  <c r="AC47" i="68"/>
  <c r="AD45" i="68"/>
  <c r="AC45" i="68"/>
  <c r="AC44" i="68"/>
  <c r="AD43" i="68"/>
  <c r="AC43" i="68"/>
  <c r="AD42" i="68"/>
  <c r="AC42" i="68"/>
  <c r="AD41" i="68"/>
  <c r="AC41" i="68"/>
  <c r="AD40" i="68"/>
  <c r="AC40" i="68"/>
  <c r="AD39" i="68"/>
  <c r="AC39" i="68"/>
  <c r="AC38" i="68"/>
  <c r="Z48" i="68"/>
  <c r="Z47" i="68"/>
  <c r="Z45" i="68"/>
  <c r="Z44" i="68"/>
  <c r="Z43" i="68"/>
  <c r="Z42" i="68"/>
  <c r="Z41" i="68"/>
  <c r="Z40" i="68"/>
  <c r="Z39" i="68"/>
  <c r="Z38" i="68"/>
  <c r="E48" i="68"/>
  <c r="E47" i="68"/>
  <c r="E45" i="68"/>
  <c r="E44" i="68"/>
  <c r="E43" i="68"/>
  <c r="E42" i="68"/>
  <c r="E41" i="68"/>
  <c r="E40" i="68"/>
  <c r="E39" i="68"/>
  <c r="E38" i="68"/>
  <c r="T48" i="68"/>
  <c r="T47" i="68"/>
  <c r="T45" i="68"/>
  <c r="T44" i="68"/>
  <c r="T43" i="68"/>
  <c r="T42" i="68"/>
  <c r="T41" i="68"/>
  <c r="T40" i="68"/>
  <c r="T39" i="68"/>
  <c r="T38" i="68"/>
  <c r="Q48" i="68"/>
  <c r="Q47" i="68"/>
  <c r="Q45" i="68"/>
  <c r="Q44" i="68"/>
  <c r="Q43" i="68"/>
  <c r="Q42" i="68"/>
  <c r="Q41" i="68"/>
  <c r="Q40" i="68"/>
  <c r="Q39" i="68"/>
  <c r="Q38" i="68"/>
  <c r="N48" i="68"/>
  <c r="N47" i="68"/>
  <c r="N45" i="68"/>
  <c r="N44" i="68"/>
  <c r="N43" i="68"/>
  <c r="N42" i="68"/>
  <c r="N41" i="68"/>
  <c r="N40" i="68"/>
  <c r="N39" i="68"/>
  <c r="N38" i="68"/>
  <c r="H48" i="68"/>
  <c r="H47" i="68"/>
  <c r="H45" i="68"/>
  <c r="H44" i="68"/>
  <c r="H43" i="68"/>
  <c r="H42" i="68"/>
  <c r="H41" i="68"/>
  <c r="H40" i="68"/>
  <c r="H39" i="68"/>
  <c r="H38" i="68"/>
  <c r="B45" i="68"/>
  <c r="B44" i="68"/>
  <c r="B42" i="68"/>
  <c r="B41" i="68"/>
  <c r="B39" i="68"/>
  <c r="AA48" i="68"/>
  <c r="AA47" i="68"/>
  <c r="AA45" i="68"/>
  <c r="AA44" i="68"/>
  <c r="AA43" i="68"/>
  <c r="AA42" i="68"/>
  <c r="AA41" i="68"/>
  <c r="AA40" i="68"/>
  <c r="AA39" i="68"/>
  <c r="AA38" i="68"/>
  <c r="F48" i="68"/>
  <c r="F47" i="68"/>
  <c r="F45" i="68"/>
  <c r="F44" i="68"/>
  <c r="F43" i="68"/>
  <c r="F42" i="68"/>
  <c r="F41" i="68"/>
  <c r="F40" i="68"/>
  <c r="F39" i="68"/>
  <c r="F38" i="68"/>
  <c r="U48" i="68"/>
  <c r="U47" i="68"/>
  <c r="U45" i="68"/>
  <c r="U44" i="68"/>
  <c r="U43" i="68"/>
  <c r="U42" i="68"/>
  <c r="U41" i="68"/>
  <c r="U40" i="68"/>
  <c r="U39" i="68"/>
  <c r="U38" i="68"/>
  <c r="R48" i="68"/>
  <c r="R47" i="68"/>
  <c r="R45" i="68"/>
  <c r="R44" i="68"/>
  <c r="R43" i="68"/>
  <c r="R42" i="68"/>
  <c r="R41" i="68"/>
  <c r="R40" i="68"/>
  <c r="R39" i="68"/>
  <c r="R38" i="68"/>
  <c r="O48" i="68"/>
  <c r="O47" i="68"/>
  <c r="O45" i="68"/>
  <c r="O44" i="68"/>
  <c r="O43" i="68"/>
  <c r="O42" i="68"/>
  <c r="O41" i="68"/>
  <c r="O40" i="68"/>
  <c r="O39" i="68"/>
  <c r="O38" i="68"/>
  <c r="L48" i="68"/>
  <c r="L47" i="68"/>
  <c r="L46" i="68"/>
  <c r="L45" i="68"/>
  <c r="L44" i="68"/>
  <c r="L43" i="68"/>
  <c r="L42" i="68"/>
  <c r="L41" i="68"/>
  <c r="L40" i="68"/>
  <c r="L39" i="68"/>
  <c r="L38" i="68"/>
  <c r="I48" i="68"/>
  <c r="I47" i="68"/>
  <c r="I45" i="68"/>
  <c r="I44" i="68"/>
  <c r="I43" i="68"/>
  <c r="I42" i="68"/>
  <c r="I41" i="68"/>
  <c r="I40" i="68"/>
  <c r="I39" i="68"/>
  <c r="I38" i="68"/>
  <c r="C45" i="68"/>
  <c r="C44" i="68"/>
  <c r="C42" i="68"/>
  <c r="C41" i="68"/>
  <c r="C39" i="68"/>
  <c r="Q57" i="65" l="1"/>
  <c r="S56" i="65"/>
  <c r="R27" i="62"/>
  <c r="R29" i="62" s="1"/>
  <c r="R60" i="62"/>
  <c r="R62" i="62" s="1"/>
  <c r="Q46" i="68"/>
  <c r="R35" i="70"/>
  <c r="R91" i="62"/>
  <c r="Q35" i="70"/>
  <c r="R47" i="69"/>
  <c r="R34" i="65"/>
  <c r="R41" i="65" s="1"/>
  <c r="R43" i="65" s="1"/>
  <c r="R45" i="65" s="1"/>
  <c r="R57" i="65"/>
  <c r="R23" i="69"/>
  <c r="Q27" i="62"/>
  <c r="Q29" i="62" s="1"/>
  <c r="Q47" i="69"/>
  <c r="Q45" i="62"/>
  <c r="Q62" i="62" s="1"/>
  <c r="Q91" i="62"/>
  <c r="Q37" i="70"/>
  <c r="R46" i="68"/>
  <c r="Q34" i="65"/>
  <c r="Q41" i="65" s="1"/>
  <c r="Q43" i="65" s="1"/>
  <c r="Q45" i="65" s="1"/>
  <c r="S57" i="65" l="1"/>
  <c r="R64" i="62"/>
  <c r="Q64" i="62"/>
  <c r="C35" i="71"/>
  <c r="C16" i="71"/>
  <c r="B39" i="70"/>
  <c r="C37" i="70"/>
  <c r="B37" i="70"/>
  <c r="C36" i="70"/>
  <c r="B36" i="70"/>
  <c r="C31" i="70"/>
  <c r="B31" i="70"/>
  <c r="C14" i="70"/>
  <c r="C39" i="70" s="1"/>
  <c r="B11" i="70"/>
  <c r="B35" i="70" s="1"/>
  <c r="C54" i="69"/>
  <c r="B54" i="69"/>
  <c r="C53" i="69"/>
  <c r="B53" i="69"/>
  <c r="C52" i="69"/>
  <c r="C50" i="69"/>
  <c r="B50" i="69"/>
  <c r="C48" i="69"/>
  <c r="B48" i="69"/>
  <c r="C41" i="69"/>
  <c r="B41" i="69"/>
  <c r="C38" i="69"/>
  <c r="C35" i="69" s="1"/>
  <c r="B38" i="69"/>
  <c r="B35" i="69" s="1"/>
  <c r="C31" i="69"/>
  <c r="D31" i="69" s="1"/>
  <c r="C27" i="69"/>
  <c r="B27" i="69"/>
  <c r="C19" i="69"/>
  <c r="D19" i="69" s="1"/>
  <c r="C17" i="69"/>
  <c r="B17" i="69"/>
  <c r="C15" i="69"/>
  <c r="C49" i="69" s="1"/>
  <c r="B15" i="69"/>
  <c r="C85" i="62"/>
  <c r="B85" i="62"/>
  <c r="C79" i="62"/>
  <c r="B79" i="62"/>
  <c r="C54" i="62"/>
  <c r="B54" i="62"/>
  <c r="B60" i="62" s="1"/>
  <c r="C39" i="62"/>
  <c r="B39" i="62"/>
  <c r="B45" i="62" s="1"/>
  <c r="C28" i="62"/>
  <c r="B28" i="62"/>
  <c r="C20" i="62"/>
  <c r="B20" i="62"/>
  <c r="B27" i="62" s="1"/>
  <c r="C32" i="68"/>
  <c r="B32" i="68"/>
  <c r="C20" i="68"/>
  <c r="B20" i="68"/>
  <c r="C104" i="67"/>
  <c r="B104" i="67"/>
  <c r="C58" i="67"/>
  <c r="B58" i="67"/>
  <c r="C50" i="67"/>
  <c r="C56" i="67" s="1"/>
  <c r="B50" i="67"/>
  <c r="B56" i="67" s="1"/>
  <c r="C22" i="67"/>
  <c r="B22" i="67"/>
  <c r="C21" i="67"/>
  <c r="C47" i="68" s="1"/>
  <c r="B21" i="67"/>
  <c r="B47" i="68" s="1"/>
  <c r="C17" i="67"/>
  <c r="B17" i="67"/>
  <c r="C14" i="67"/>
  <c r="B14" i="67"/>
  <c r="C12" i="67"/>
  <c r="C38" i="68" s="1"/>
  <c r="B12" i="67"/>
  <c r="B38" i="68" s="1"/>
  <c r="C106" i="66"/>
  <c r="B106" i="66"/>
  <c r="C94" i="66"/>
  <c r="B94" i="66"/>
  <c r="C82" i="66"/>
  <c r="B82" i="66"/>
  <c r="C56" i="66"/>
  <c r="B56" i="66"/>
  <c r="C44" i="66"/>
  <c r="B44" i="66"/>
  <c r="C56" i="65"/>
  <c r="B56" i="65"/>
  <c r="C40" i="65"/>
  <c r="B40" i="65"/>
  <c r="C23" i="65"/>
  <c r="C29" i="65" s="1"/>
  <c r="B23" i="65"/>
  <c r="B29" i="65" s="1"/>
  <c r="C19" i="65"/>
  <c r="C21" i="65" s="1"/>
  <c r="B19" i="65"/>
  <c r="B21" i="65" s="1"/>
  <c r="C11" i="65"/>
  <c r="C14" i="65" s="1"/>
  <c r="B11" i="65"/>
  <c r="B14" i="65" s="1"/>
  <c r="D17" i="69" l="1"/>
  <c r="B57" i="65"/>
  <c r="D56" i="65"/>
  <c r="B23" i="69"/>
  <c r="D27" i="69"/>
  <c r="B49" i="69"/>
  <c r="D15" i="69"/>
  <c r="D53" i="69"/>
  <c r="C11" i="70"/>
  <c r="C35" i="70" s="1"/>
  <c r="C45" i="62"/>
  <c r="C27" i="62"/>
  <c r="C29" i="62" s="1"/>
  <c r="B11" i="69"/>
  <c r="B47" i="69" s="1"/>
  <c r="B48" i="68"/>
  <c r="C91" i="62"/>
  <c r="B29" i="62"/>
  <c r="C60" i="62"/>
  <c r="B91" i="62"/>
  <c r="C48" i="68"/>
  <c r="B20" i="67"/>
  <c r="B46" i="68" s="1"/>
  <c r="B43" i="68"/>
  <c r="C20" i="67"/>
  <c r="C46" i="68" s="1"/>
  <c r="C43" i="68"/>
  <c r="C23" i="69"/>
  <c r="C57" i="65"/>
  <c r="C51" i="69"/>
  <c r="B40" i="68"/>
  <c r="B62" i="62"/>
  <c r="C40" i="68"/>
  <c r="B51" i="69"/>
  <c r="C11" i="69"/>
  <c r="C47" i="69" s="1"/>
  <c r="C34" i="65"/>
  <c r="C41" i="65" s="1"/>
  <c r="C43" i="65" s="1"/>
  <c r="C45" i="65" s="1"/>
  <c r="B34" i="65"/>
  <c r="B41" i="65" s="1"/>
  <c r="B43" i="65" s="1"/>
  <c r="B45" i="65" s="1"/>
  <c r="X35" i="71"/>
  <c r="X16" i="71"/>
  <c r="AJ8" i="71"/>
  <c r="AI8" i="71"/>
  <c r="AG8" i="71"/>
  <c r="AF8" i="71"/>
  <c r="AD8" i="71"/>
  <c r="AC8" i="71"/>
  <c r="AA8" i="71"/>
  <c r="Z8" i="71"/>
  <c r="X8" i="71"/>
  <c r="W8" i="71"/>
  <c r="F8" i="71"/>
  <c r="E8" i="71"/>
  <c r="U8" i="71"/>
  <c r="T8" i="71"/>
  <c r="R8" i="71"/>
  <c r="Q8" i="71"/>
  <c r="O8" i="71"/>
  <c r="N8" i="71"/>
  <c r="L8" i="71"/>
  <c r="K8" i="71"/>
  <c r="I8" i="71"/>
  <c r="H8" i="71"/>
  <c r="X39" i="70"/>
  <c r="W39" i="70"/>
  <c r="X37" i="70"/>
  <c r="W37" i="70"/>
  <c r="X36" i="70"/>
  <c r="W36" i="70"/>
  <c r="X16" i="70"/>
  <c r="W16" i="70"/>
  <c r="X11" i="70"/>
  <c r="W11" i="70"/>
  <c r="W35" i="70" s="1"/>
  <c r="AM8" i="70"/>
  <c r="AL8" i="70"/>
  <c r="AJ8" i="70"/>
  <c r="AI8" i="70"/>
  <c r="AG8" i="70"/>
  <c r="AF8" i="70"/>
  <c r="AD8" i="70"/>
  <c r="AC8" i="70"/>
  <c r="AA8" i="70"/>
  <c r="Z8" i="70"/>
  <c r="X8" i="70"/>
  <c r="W8" i="70"/>
  <c r="F8" i="70"/>
  <c r="E8" i="70"/>
  <c r="U8" i="70"/>
  <c r="T8" i="70"/>
  <c r="R8" i="70"/>
  <c r="Q8" i="70"/>
  <c r="O8" i="70"/>
  <c r="N8" i="70"/>
  <c r="I8" i="70"/>
  <c r="H8" i="70"/>
  <c r="AM8" i="69"/>
  <c r="AL8" i="69"/>
  <c r="AJ8" i="69"/>
  <c r="AI8" i="69"/>
  <c r="AG8" i="69"/>
  <c r="AF8" i="69"/>
  <c r="AD8" i="69"/>
  <c r="AC8" i="69"/>
  <c r="AA8" i="69"/>
  <c r="Z8" i="69"/>
  <c r="F8" i="69"/>
  <c r="E8" i="69"/>
  <c r="X8" i="69"/>
  <c r="W8" i="69"/>
  <c r="U8" i="69"/>
  <c r="T8" i="69"/>
  <c r="R8" i="69"/>
  <c r="Q8" i="69"/>
  <c r="O8" i="69"/>
  <c r="N8" i="69"/>
  <c r="L8" i="69"/>
  <c r="K8" i="69"/>
  <c r="I8" i="69"/>
  <c r="H8" i="69"/>
  <c r="AA54" i="69"/>
  <c r="Z54" i="69"/>
  <c r="AA53" i="69"/>
  <c r="Z53" i="69"/>
  <c r="AA52" i="69"/>
  <c r="AA51" i="69"/>
  <c r="Z51" i="69"/>
  <c r="AA50" i="69"/>
  <c r="AA49" i="69"/>
  <c r="Z49" i="69"/>
  <c r="AA48" i="69"/>
  <c r="Z48" i="69"/>
  <c r="AA41" i="69"/>
  <c r="Z41" i="69"/>
  <c r="AA35" i="69"/>
  <c r="Z35" i="69"/>
  <c r="AA23" i="69"/>
  <c r="Z23" i="69"/>
  <c r="AA11" i="69"/>
  <c r="Z11" i="69"/>
  <c r="AA85" i="62"/>
  <c r="Z85" i="62"/>
  <c r="AA79" i="62"/>
  <c r="Z79" i="62"/>
  <c r="AA54" i="62"/>
  <c r="Z54" i="62"/>
  <c r="Z60" i="62" s="1"/>
  <c r="AA39" i="62"/>
  <c r="Z39" i="62"/>
  <c r="AA35" i="62"/>
  <c r="Z35" i="62"/>
  <c r="AA20" i="62"/>
  <c r="Z20" i="62"/>
  <c r="Z27" i="62" s="1"/>
  <c r="Z29" i="62" s="1"/>
  <c r="AA32" i="68"/>
  <c r="Z32" i="68"/>
  <c r="AS9" i="68"/>
  <c r="AR9" i="68"/>
  <c r="AP9" i="68"/>
  <c r="AO9" i="68"/>
  <c r="AM9" i="68"/>
  <c r="AL9" i="68"/>
  <c r="AJ9" i="68"/>
  <c r="AI9" i="68"/>
  <c r="AG9" i="68"/>
  <c r="AF9" i="68"/>
  <c r="AD9" i="68"/>
  <c r="AC9" i="68"/>
  <c r="AA9" i="68"/>
  <c r="Z9" i="68"/>
  <c r="F9" i="68"/>
  <c r="E9" i="68"/>
  <c r="X9" i="68"/>
  <c r="W9" i="68"/>
  <c r="U9" i="68"/>
  <c r="T9" i="68"/>
  <c r="R9" i="68"/>
  <c r="Q9" i="68"/>
  <c r="O9" i="68"/>
  <c r="N9" i="68"/>
  <c r="L9" i="68"/>
  <c r="K9" i="68"/>
  <c r="I9" i="68"/>
  <c r="H9" i="68"/>
  <c r="AS9" i="67"/>
  <c r="AR9" i="67"/>
  <c r="AP9" i="67"/>
  <c r="AO9" i="67"/>
  <c r="AM9" i="67"/>
  <c r="AL9" i="67"/>
  <c r="AJ9" i="67"/>
  <c r="AI9" i="67"/>
  <c r="AG9" i="67"/>
  <c r="AF9" i="67"/>
  <c r="AD9" i="67"/>
  <c r="AC9" i="67"/>
  <c r="AA9" i="67"/>
  <c r="Z9" i="67"/>
  <c r="F9" i="67"/>
  <c r="E9" i="67"/>
  <c r="X9" i="67"/>
  <c r="W9" i="67"/>
  <c r="U9" i="67"/>
  <c r="T9" i="67"/>
  <c r="R9" i="67"/>
  <c r="Q9" i="67"/>
  <c r="O9" i="67"/>
  <c r="N9" i="67"/>
  <c r="L9" i="67"/>
  <c r="K9" i="67"/>
  <c r="I9" i="67"/>
  <c r="H9" i="67"/>
  <c r="AA104" i="67"/>
  <c r="Z104" i="67"/>
  <c r="AA92" i="67"/>
  <c r="Z92" i="67"/>
  <c r="AA56" i="67"/>
  <c r="Z56" i="67"/>
  <c r="AA20" i="67"/>
  <c r="Z20" i="67"/>
  <c r="AA106" i="66"/>
  <c r="Z106" i="66"/>
  <c r="AA94" i="66"/>
  <c r="Z94" i="66"/>
  <c r="AA82" i="66"/>
  <c r="Z82" i="66"/>
  <c r="AA70" i="66"/>
  <c r="Z70" i="66"/>
  <c r="AA56" i="66"/>
  <c r="Z56" i="66"/>
  <c r="AA44" i="66"/>
  <c r="Z44" i="66"/>
  <c r="AA32" i="66"/>
  <c r="Z32" i="66"/>
  <c r="AA20" i="66"/>
  <c r="Z20" i="66"/>
  <c r="AS9" i="66"/>
  <c r="AR9" i="66"/>
  <c r="AP9" i="66"/>
  <c r="AO9" i="66"/>
  <c r="AM9" i="66"/>
  <c r="AL9" i="66"/>
  <c r="AJ9" i="66"/>
  <c r="AI9" i="66"/>
  <c r="AG9" i="66"/>
  <c r="AF9" i="66"/>
  <c r="AD9" i="66"/>
  <c r="AC9" i="66"/>
  <c r="AA9" i="66"/>
  <c r="Z9" i="66"/>
  <c r="F9" i="66"/>
  <c r="E9" i="66"/>
  <c r="X9" i="66"/>
  <c r="W9" i="66"/>
  <c r="U9" i="66"/>
  <c r="T9" i="66"/>
  <c r="R9" i="66"/>
  <c r="Q9" i="66"/>
  <c r="O9" i="66"/>
  <c r="N9" i="66"/>
  <c r="L9" i="66"/>
  <c r="K9" i="66"/>
  <c r="I9" i="66"/>
  <c r="H9" i="66"/>
  <c r="AA56" i="65"/>
  <c r="AA57" i="65" s="1"/>
  <c r="AA40" i="65"/>
  <c r="Z40" i="65"/>
  <c r="AA29" i="65"/>
  <c r="Z29" i="65"/>
  <c r="AA21" i="65"/>
  <c r="Z21" i="65"/>
  <c r="AA14" i="65"/>
  <c r="Z14" i="65"/>
  <c r="D57" i="65" l="1"/>
  <c r="C62" i="62"/>
  <c r="C64" i="62" s="1"/>
  <c r="B64" i="62"/>
  <c r="Z91" i="62"/>
  <c r="Z45" i="62"/>
  <c r="Z62" i="62" s="1"/>
  <c r="Z64" i="62" s="1"/>
  <c r="X35" i="70"/>
  <c r="AA27" i="62"/>
  <c r="AA29" i="62" s="1"/>
  <c r="AA45" i="62"/>
  <c r="Z46" i="68"/>
  <c r="AA46" i="68"/>
  <c r="AA34" i="65"/>
  <c r="AA41" i="65" s="1"/>
  <c r="AA43" i="65" s="1"/>
  <c r="AA45" i="65" s="1"/>
  <c r="Z34" i="65"/>
  <c r="Z41" i="65" s="1"/>
  <c r="Z43" i="65" s="1"/>
  <c r="Z45" i="65" s="1"/>
  <c r="AA91" i="62"/>
  <c r="Z47" i="69"/>
  <c r="AA60" i="62"/>
  <c r="AA47" i="69"/>
  <c r="N136" i="8"/>
  <c r="M136" i="8"/>
  <c r="N112" i="8"/>
  <c r="M112" i="8"/>
  <c r="N86" i="8"/>
  <c r="M86" i="8"/>
  <c r="N80" i="8"/>
  <c r="M80" i="8"/>
  <c r="N58" i="8"/>
  <c r="M58" i="8"/>
  <c r="N37" i="8"/>
  <c r="M37" i="8"/>
  <c r="AA62" i="62" l="1"/>
  <c r="AA64" i="62" s="1"/>
  <c r="G72" i="9" l="1"/>
  <c r="H72" i="9"/>
  <c r="O73" i="9"/>
  <c r="M73" i="9"/>
  <c r="N73" i="9"/>
  <c r="L73" i="9"/>
  <c r="AJ12" i="71" l="1"/>
  <c r="AJ11" i="71"/>
  <c r="AI12" i="71"/>
  <c r="AI11" i="71"/>
  <c r="AJ42" i="70"/>
  <c r="AJ41" i="70"/>
  <c r="AJ38" i="70"/>
  <c r="AJ34" i="70"/>
  <c r="AJ32" i="70"/>
  <c r="AJ30" i="70"/>
  <c r="AJ29" i="70"/>
  <c r="AJ28" i="70"/>
  <c r="AJ27" i="70"/>
  <c r="AJ25" i="70"/>
  <c r="AJ24" i="70"/>
  <c r="AJ23" i="70"/>
  <c r="AJ22" i="70"/>
  <c r="AJ21" i="70"/>
  <c r="AJ20" i="70"/>
  <c r="AJ19" i="70"/>
  <c r="AJ18" i="70"/>
  <c r="AJ17" i="70"/>
  <c r="AJ15" i="70"/>
  <c r="AJ13" i="70"/>
  <c r="AJ12" i="70"/>
  <c r="AI42" i="70"/>
  <c r="AI41" i="70"/>
  <c r="AI38" i="70"/>
  <c r="AI34" i="70"/>
  <c r="AI33" i="70"/>
  <c r="AI32" i="70"/>
  <c r="AI30" i="70"/>
  <c r="AI29" i="70"/>
  <c r="AI28" i="70"/>
  <c r="AI27" i="70"/>
  <c r="AI25" i="70"/>
  <c r="AI24" i="70"/>
  <c r="AI23" i="70"/>
  <c r="AI22" i="70"/>
  <c r="AI21" i="70"/>
  <c r="AI20" i="70"/>
  <c r="AI19" i="70"/>
  <c r="AI18" i="70"/>
  <c r="AI17" i="70"/>
  <c r="AI15" i="70"/>
  <c r="AI14" i="70"/>
  <c r="AI13" i="70"/>
  <c r="AI12" i="70"/>
  <c r="AM45" i="69"/>
  <c r="AM44" i="69"/>
  <c r="AM42" i="69"/>
  <c r="AM40" i="69"/>
  <c r="AM39" i="69"/>
  <c r="AM37" i="69"/>
  <c r="AM36" i="69"/>
  <c r="AM33" i="69"/>
  <c r="AM32" i="69"/>
  <c r="AM30" i="69"/>
  <c r="AM28" i="69"/>
  <c r="AM26" i="69"/>
  <c r="AM25" i="69"/>
  <c r="AM24" i="69"/>
  <c r="AM21" i="69"/>
  <c r="AM20" i="69"/>
  <c r="AM19" i="69"/>
  <c r="AM17" i="69"/>
  <c r="AM16" i="69"/>
  <c r="AM15" i="69"/>
  <c r="AM14" i="69"/>
  <c r="AM13" i="69"/>
  <c r="AM12" i="69"/>
  <c r="AL45" i="69"/>
  <c r="AL44" i="69"/>
  <c r="AL43" i="69"/>
  <c r="AL42" i="69"/>
  <c r="AL40" i="69"/>
  <c r="AL39" i="69"/>
  <c r="AL38" i="69"/>
  <c r="AL37" i="69"/>
  <c r="AL36" i="69"/>
  <c r="AL34" i="69"/>
  <c r="AL33" i="69"/>
  <c r="AL32" i="69"/>
  <c r="AL31" i="69"/>
  <c r="AL30" i="69"/>
  <c r="AL29" i="69"/>
  <c r="AL28" i="69"/>
  <c r="AL27" i="69"/>
  <c r="AL26" i="69"/>
  <c r="AL25" i="69"/>
  <c r="AL24" i="69"/>
  <c r="AL22" i="69"/>
  <c r="AL21" i="69"/>
  <c r="AL20" i="69"/>
  <c r="AL19" i="69"/>
  <c r="AL18" i="69"/>
  <c r="AL17" i="69"/>
  <c r="AL16" i="69"/>
  <c r="AL15" i="69"/>
  <c r="AL14" i="69"/>
  <c r="AL13" i="69"/>
  <c r="AL12" i="69"/>
  <c r="L54" i="69"/>
  <c r="M54" i="69"/>
  <c r="L53" i="69"/>
  <c r="M53" i="69"/>
  <c r="L52" i="69"/>
  <c r="L51" i="69"/>
  <c r="M51" i="69"/>
  <c r="L50" i="69"/>
  <c r="M50" i="69"/>
  <c r="L49" i="69"/>
  <c r="M49" i="69"/>
  <c r="L48" i="69"/>
  <c r="M48" i="69"/>
  <c r="M45" i="69"/>
  <c r="M38" i="69"/>
  <c r="M37" i="69"/>
  <c r="M35" i="69"/>
  <c r="M31" i="69"/>
  <c r="M29" i="69"/>
  <c r="M27" i="69"/>
  <c r="M23" i="69"/>
  <c r="M19" i="69"/>
  <c r="M17" i="69"/>
  <c r="M15" i="69"/>
  <c r="M11" i="69"/>
  <c r="AS89" i="62"/>
  <c r="AS88" i="62"/>
  <c r="AS87" i="62"/>
  <c r="AS84" i="62"/>
  <c r="AS83" i="62"/>
  <c r="AS82" i="62"/>
  <c r="AS81" i="62"/>
  <c r="AS78" i="62"/>
  <c r="AS76" i="62"/>
  <c r="AS75" i="62"/>
  <c r="AS74" i="62"/>
  <c r="AS73" i="62"/>
  <c r="AS71" i="62"/>
  <c r="AS70" i="62"/>
  <c r="AS68" i="62"/>
  <c r="AS61" i="62"/>
  <c r="AS58" i="62"/>
  <c r="AS57" i="62"/>
  <c r="AS56" i="62"/>
  <c r="AS53" i="62"/>
  <c r="AS52" i="62"/>
  <c r="AS51" i="62"/>
  <c r="AS49" i="62"/>
  <c r="AS48" i="62"/>
  <c r="AS46" i="62"/>
  <c r="AS43" i="62"/>
  <c r="AS42" i="62"/>
  <c r="AS41" i="62"/>
  <c r="AS40" i="62"/>
  <c r="AS37" i="62"/>
  <c r="AS36" i="62"/>
  <c r="AS34" i="62"/>
  <c r="AS33" i="62"/>
  <c r="AS26" i="62"/>
  <c r="AS25" i="62"/>
  <c r="AS24" i="62"/>
  <c r="AS23" i="62"/>
  <c r="AS22" i="62"/>
  <c r="AS21" i="62"/>
  <c r="AS18" i="62"/>
  <c r="AS17" i="62"/>
  <c r="AS15" i="62"/>
  <c r="AS14" i="62"/>
  <c r="AR89" i="62"/>
  <c r="AR88" i="62"/>
  <c r="AR87" i="62"/>
  <c r="AR86" i="62"/>
  <c r="AR84" i="62"/>
  <c r="AR83" i="62"/>
  <c r="AR82" i="62"/>
  <c r="AR81" i="62"/>
  <c r="AR78" i="62"/>
  <c r="AR77" i="62"/>
  <c r="AR76" i="62"/>
  <c r="AR75" i="62"/>
  <c r="AR74" i="62"/>
  <c r="AR73" i="62"/>
  <c r="AR71" i="62"/>
  <c r="AR70" i="62"/>
  <c r="AR69" i="62"/>
  <c r="AR68" i="62"/>
  <c r="AR61" i="62"/>
  <c r="AR58" i="62"/>
  <c r="AR57" i="62"/>
  <c r="AR56" i="62"/>
  <c r="AR53" i="62"/>
  <c r="AR52" i="62"/>
  <c r="AR51" i="62"/>
  <c r="AR49" i="62"/>
  <c r="AR48" i="62"/>
  <c r="AR46" i="62"/>
  <c r="AR44" i="62"/>
  <c r="AR43" i="62"/>
  <c r="AR42" i="62"/>
  <c r="AR41" i="62"/>
  <c r="AR40" i="62"/>
  <c r="AR37" i="62"/>
  <c r="AR36" i="62"/>
  <c r="AR33" i="62"/>
  <c r="AR26" i="62"/>
  <c r="AR25" i="62"/>
  <c r="AR24" i="62"/>
  <c r="AR23" i="62"/>
  <c r="AR22" i="62"/>
  <c r="AR21" i="62"/>
  <c r="AR18" i="62"/>
  <c r="AR17" i="62"/>
  <c r="AR15" i="62"/>
  <c r="AR14" i="62"/>
  <c r="AP89" i="62"/>
  <c r="AP88" i="62"/>
  <c r="AP87" i="62"/>
  <c r="AP84" i="62"/>
  <c r="AP83" i="62"/>
  <c r="AP82" i="62"/>
  <c r="AP81" i="62"/>
  <c r="AP78" i="62"/>
  <c r="AP76" i="62"/>
  <c r="AP75" i="62"/>
  <c r="AP74" i="62"/>
  <c r="AP73" i="62"/>
  <c r="AP71" i="62"/>
  <c r="AP70" i="62"/>
  <c r="AP68" i="62"/>
  <c r="AP61" i="62"/>
  <c r="AP58" i="62"/>
  <c r="AP57" i="62"/>
  <c r="AP56" i="62"/>
  <c r="AP53" i="62"/>
  <c r="AP52" i="62"/>
  <c r="AP51" i="62"/>
  <c r="AP49" i="62"/>
  <c r="AP48" i="62"/>
  <c r="AP46" i="62"/>
  <c r="AP43" i="62"/>
  <c r="AP42" i="62"/>
  <c r="AP41" i="62"/>
  <c r="AP40" i="62"/>
  <c r="AP37" i="62"/>
  <c r="AP36" i="62"/>
  <c r="AP34" i="62"/>
  <c r="AP33" i="62"/>
  <c r="AP26" i="62"/>
  <c r="AP25" i="62"/>
  <c r="AP24" i="62"/>
  <c r="AP23" i="62"/>
  <c r="AP22" i="62"/>
  <c r="AP21" i="62"/>
  <c r="AP18" i="62"/>
  <c r="AP17" i="62"/>
  <c r="AP15" i="62"/>
  <c r="AP14" i="62"/>
  <c r="AO89" i="62"/>
  <c r="AO88" i="62"/>
  <c r="AO87" i="62"/>
  <c r="AO86" i="62"/>
  <c r="AO84" i="62"/>
  <c r="AO83" i="62"/>
  <c r="AO82" i="62"/>
  <c r="AO81" i="62"/>
  <c r="AO78" i="62"/>
  <c r="AO77" i="62"/>
  <c r="AO76" i="62"/>
  <c r="AO75" i="62"/>
  <c r="AO74" i="62"/>
  <c r="AO73" i="62"/>
  <c r="AO71" i="62"/>
  <c r="AO70" i="62"/>
  <c r="AO69" i="62"/>
  <c r="AO68" i="62"/>
  <c r="AO61" i="62"/>
  <c r="AO58" i="62"/>
  <c r="AO57" i="62"/>
  <c r="AO56" i="62"/>
  <c r="AO53" i="62"/>
  <c r="AO52" i="62"/>
  <c r="AO51" i="62"/>
  <c r="AO49" i="62"/>
  <c r="AO48" i="62"/>
  <c r="AO46" i="62"/>
  <c r="AO44" i="62"/>
  <c r="AO43" i="62"/>
  <c r="AO42" i="62"/>
  <c r="AO41" i="62"/>
  <c r="AO40" i="62"/>
  <c r="AO37" i="62"/>
  <c r="AO36" i="62"/>
  <c r="AO33" i="62"/>
  <c r="AO26" i="62"/>
  <c r="AO25" i="62"/>
  <c r="AO24" i="62"/>
  <c r="AO23" i="62"/>
  <c r="AO22" i="62"/>
  <c r="AO21" i="62"/>
  <c r="AO18" i="62"/>
  <c r="AO17" i="62"/>
  <c r="AO15" i="62"/>
  <c r="AO14" i="62"/>
  <c r="M89" i="62"/>
  <c r="M86" i="62"/>
  <c r="M79" i="62"/>
  <c r="M73" i="62"/>
  <c r="M69" i="62"/>
  <c r="M68" i="62"/>
  <c r="M46" i="62"/>
  <c r="M44" i="62"/>
  <c r="M41" i="62"/>
  <c r="M40" i="62"/>
  <c r="M39" i="62"/>
  <c r="M28" i="62"/>
  <c r="M25" i="62"/>
  <c r="M22" i="62"/>
  <c r="M21" i="62"/>
  <c r="M20" i="62"/>
  <c r="AS34" i="68"/>
  <c r="AS33" i="68"/>
  <c r="AS31" i="68"/>
  <c r="AS30" i="68"/>
  <c r="AS29" i="68"/>
  <c r="AS28" i="68"/>
  <c r="AS27" i="68"/>
  <c r="AS26" i="68"/>
  <c r="AS25" i="68"/>
  <c r="AS24" i="68"/>
  <c r="AS22" i="68"/>
  <c r="AS21" i="68"/>
  <c r="AS19" i="68"/>
  <c r="AS18" i="68"/>
  <c r="AS17" i="68"/>
  <c r="AS16" i="68"/>
  <c r="AS15" i="68"/>
  <c r="AS14" i="68"/>
  <c r="AS13" i="68"/>
  <c r="AS12" i="68"/>
  <c r="AR34" i="68"/>
  <c r="AR33" i="68"/>
  <c r="AR31" i="68"/>
  <c r="AR30" i="68"/>
  <c r="AR29" i="68"/>
  <c r="AR28" i="68"/>
  <c r="AR27" i="68"/>
  <c r="AR26" i="68"/>
  <c r="AR25" i="68"/>
  <c r="AR24" i="68"/>
  <c r="AR22" i="68"/>
  <c r="AR21" i="68"/>
  <c r="AR19" i="68"/>
  <c r="AR18" i="68"/>
  <c r="AR17" i="68"/>
  <c r="AR16" i="68"/>
  <c r="AR15" i="68"/>
  <c r="AR14" i="68"/>
  <c r="AR13" i="68"/>
  <c r="AR12" i="68"/>
  <c r="AP34" i="68"/>
  <c r="AP33" i="68"/>
  <c r="AP31" i="68"/>
  <c r="AP30" i="68"/>
  <c r="AP29" i="68"/>
  <c r="AP28" i="68"/>
  <c r="AP27" i="68"/>
  <c r="AP26" i="68"/>
  <c r="AP25" i="68"/>
  <c r="AP24" i="68"/>
  <c r="AP22" i="68"/>
  <c r="AP21" i="68"/>
  <c r="AP19" i="68"/>
  <c r="AP18" i="68"/>
  <c r="AP17" i="68"/>
  <c r="AP16" i="68"/>
  <c r="AP15" i="68"/>
  <c r="AP14" i="68"/>
  <c r="AP13" i="68"/>
  <c r="AP12" i="68"/>
  <c r="AO34" i="68"/>
  <c r="AO33" i="68"/>
  <c r="AO31" i="68"/>
  <c r="AO30" i="68"/>
  <c r="AO29" i="68"/>
  <c r="AO28" i="68"/>
  <c r="AO27" i="68"/>
  <c r="AO26" i="68"/>
  <c r="AO25" i="68"/>
  <c r="AO24" i="68"/>
  <c r="AO22" i="68"/>
  <c r="AO21" i="68"/>
  <c r="AO19" i="68"/>
  <c r="AO18" i="68"/>
  <c r="AO17" i="68"/>
  <c r="AO16" i="68"/>
  <c r="AO15" i="68"/>
  <c r="AO14" i="68"/>
  <c r="AO13" i="68"/>
  <c r="AO12" i="68"/>
  <c r="M48" i="68"/>
  <c r="M47" i="68"/>
  <c r="M45" i="68"/>
  <c r="M44" i="68"/>
  <c r="M42" i="68"/>
  <c r="M41" i="68"/>
  <c r="M40" i="68"/>
  <c r="M39" i="68"/>
  <c r="M34" i="68"/>
  <c r="M32" i="68"/>
  <c r="M31" i="68"/>
  <c r="M29" i="68"/>
  <c r="M26" i="68"/>
  <c r="M24" i="68"/>
  <c r="M22" i="68"/>
  <c r="M19" i="68"/>
  <c r="M17" i="68"/>
  <c r="M14" i="68"/>
  <c r="M12" i="68"/>
  <c r="AS144" i="67"/>
  <c r="AS143" i="67"/>
  <c r="AS141" i="67"/>
  <c r="AS140" i="67"/>
  <c r="AS139" i="67"/>
  <c r="AS138" i="67"/>
  <c r="AS137" i="67"/>
  <c r="AS136" i="67"/>
  <c r="AS135" i="67"/>
  <c r="AS134" i="67"/>
  <c r="AS133" i="67"/>
  <c r="AS129" i="67"/>
  <c r="AS127" i="67"/>
  <c r="AS126" i="67"/>
  <c r="AS125" i="67"/>
  <c r="AS124" i="67"/>
  <c r="AS123" i="67"/>
  <c r="AS121" i="67"/>
  <c r="AS120" i="67"/>
  <c r="AS119" i="67"/>
  <c r="AS115" i="67"/>
  <c r="AS114" i="67"/>
  <c r="AS112" i="67"/>
  <c r="AS111" i="67"/>
  <c r="AS109" i="67"/>
  <c r="AS107" i="67"/>
  <c r="AS103" i="67"/>
  <c r="AS102" i="67"/>
  <c r="AS100" i="67"/>
  <c r="AS99" i="67"/>
  <c r="AS97" i="67"/>
  <c r="AS95" i="67"/>
  <c r="AS94" i="67"/>
  <c r="AS91" i="67"/>
  <c r="AS90" i="67"/>
  <c r="AS89" i="67"/>
  <c r="AS88" i="67"/>
  <c r="AS87" i="67"/>
  <c r="AS86" i="67"/>
  <c r="AS85" i="67"/>
  <c r="AS84" i="67"/>
  <c r="AS83" i="67"/>
  <c r="AS82" i="67"/>
  <c r="AS81" i="67"/>
  <c r="AS79" i="67"/>
  <c r="AS78" i="67"/>
  <c r="AS77" i="67"/>
  <c r="AS76" i="67"/>
  <c r="AS75" i="67"/>
  <c r="AS74" i="67"/>
  <c r="AS73" i="67"/>
  <c r="AS72" i="67"/>
  <c r="AS71" i="67"/>
  <c r="AS67" i="67"/>
  <c r="AS66" i="67"/>
  <c r="AS63" i="67"/>
  <c r="AS61" i="67"/>
  <c r="AS59" i="67"/>
  <c r="AS57" i="67"/>
  <c r="AS55" i="67"/>
  <c r="AS54" i="67"/>
  <c r="AS52" i="67"/>
  <c r="AS51" i="67"/>
  <c r="AS49" i="67"/>
  <c r="AS47" i="67"/>
  <c r="AS43" i="67"/>
  <c r="AS42" i="67"/>
  <c r="AS41" i="67"/>
  <c r="AS39" i="67"/>
  <c r="AS37" i="67"/>
  <c r="AS35" i="67"/>
  <c r="AS34" i="67"/>
  <c r="AS33" i="67"/>
  <c r="AS31" i="67"/>
  <c r="AS30" i="67"/>
  <c r="AS29" i="67"/>
  <c r="AS28" i="67"/>
  <c r="AS27" i="67"/>
  <c r="AS26" i="67"/>
  <c r="AS25" i="67"/>
  <c r="AS24" i="67"/>
  <c r="AS23" i="67"/>
  <c r="AS22" i="67"/>
  <c r="AS19" i="67"/>
  <c r="AS18" i="67"/>
  <c r="AS17" i="67"/>
  <c r="AS16" i="67"/>
  <c r="AS15" i="67"/>
  <c r="AS14" i="67"/>
  <c r="AS13" i="67"/>
  <c r="AS12" i="67"/>
  <c r="AR144" i="67"/>
  <c r="AR143" i="67"/>
  <c r="AR141" i="67"/>
  <c r="AR140" i="67"/>
  <c r="AR139" i="67"/>
  <c r="AR138" i="67"/>
  <c r="AR137" i="67"/>
  <c r="AR136" i="67"/>
  <c r="AR135" i="67"/>
  <c r="AR134" i="67"/>
  <c r="AR133" i="67"/>
  <c r="AR132" i="67"/>
  <c r="AR131" i="67"/>
  <c r="AR129" i="67"/>
  <c r="AR128" i="67"/>
  <c r="AR127" i="67"/>
  <c r="AR126" i="67"/>
  <c r="AR125" i="67"/>
  <c r="AR124" i="67"/>
  <c r="AR123" i="67"/>
  <c r="AR122" i="67"/>
  <c r="AR121" i="67"/>
  <c r="AR120" i="67"/>
  <c r="AR119" i="67"/>
  <c r="AR118" i="67"/>
  <c r="AR117" i="67"/>
  <c r="AR115" i="67"/>
  <c r="AR114" i="67"/>
  <c r="AR113" i="67"/>
  <c r="AR112" i="67"/>
  <c r="AR111" i="67"/>
  <c r="AR110" i="67"/>
  <c r="AR109" i="67"/>
  <c r="AR108" i="67"/>
  <c r="AR107" i="67"/>
  <c r="AR106" i="67"/>
  <c r="AR105" i="67"/>
  <c r="AR103" i="67"/>
  <c r="AR102" i="67"/>
  <c r="AR101" i="67"/>
  <c r="AR100" i="67"/>
  <c r="AR99" i="67"/>
  <c r="AR98" i="67"/>
  <c r="AR97" i="67"/>
  <c r="AR96" i="67"/>
  <c r="AR95" i="67"/>
  <c r="AR94" i="67"/>
  <c r="AR93" i="67"/>
  <c r="AR91" i="67"/>
  <c r="AR90" i="67"/>
  <c r="AR89" i="67"/>
  <c r="AR88" i="67"/>
  <c r="AR87" i="67"/>
  <c r="AR86" i="67"/>
  <c r="AR85" i="67"/>
  <c r="AR84" i="67"/>
  <c r="AR83" i="67"/>
  <c r="AR82" i="67"/>
  <c r="AR81" i="67"/>
  <c r="AR79" i="67"/>
  <c r="AR78" i="67"/>
  <c r="AR77" i="67"/>
  <c r="AR76" i="67"/>
  <c r="AR75" i="67"/>
  <c r="AR74" i="67"/>
  <c r="AR73" i="67"/>
  <c r="AR72" i="67"/>
  <c r="AR71" i="67"/>
  <c r="AR70" i="67"/>
  <c r="AR69" i="67"/>
  <c r="AR67" i="67"/>
  <c r="AR66" i="67"/>
  <c r="AR65" i="67"/>
  <c r="AR64" i="67"/>
  <c r="AR63" i="67"/>
  <c r="AR62" i="67"/>
  <c r="AR61" i="67"/>
  <c r="AR60" i="67"/>
  <c r="AR59" i="67"/>
  <c r="AR58" i="67"/>
  <c r="AR57" i="67"/>
  <c r="AR55" i="67"/>
  <c r="AR54" i="67"/>
  <c r="AR53" i="67"/>
  <c r="AR52" i="67"/>
  <c r="AR51" i="67"/>
  <c r="AR50" i="67"/>
  <c r="AR49" i="67"/>
  <c r="AR48" i="67"/>
  <c r="AR47" i="67"/>
  <c r="AR46" i="67"/>
  <c r="AR45" i="67"/>
  <c r="AR43" i="67"/>
  <c r="AR42" i="67"/>
  <c r="AR41" i="67"/>
  <c r="AR40" i="67"/>
  <c r="AR39" i="67"/>
  <c r="AR37" i="67"/>
  <c r="AR35" i="67"/>
  <c r="AR34" i="67"/>
  <c r="AR33" i="67"/>
  <c r="AR32" i="67"/>
  <c r="AR31" i="67"/>
  <c r="AR30" i="67"/>
  <c r="AR29" i="67"/>
  <c r="AR28" i="67"/>
  <c r="AR27" i="67"/>
  <c r="AR26" i="67"/>
  <c r="AR25" i="67"/>
  <c r="AR24" i="67"/>
  <c r="AR23" i="67"/>
  <c r="AR22" i="67"/>
  <c r="AR21" i="67"/>
  <c r="AR19" i="67"/>
  <c r="AR18" i="67"/>
  <c r="AR17" i="67"/>
  <c r="AR16" i="67"/>
  <c r="AR15" i="67"/>
  <c r="AR14" i="67"/>
  <c r="AR13" i="67"/>
  <c r="AR12" i="67"/>
  <c r="AP144" i="67"/>
  <c r="AP143" i="67"/>
  <c r="AP141" i="67"/>
  <c r="AP140" i="67"/>
  <c r="AP139" i="67"/>
  <c r="AP138" i="67"/>
  <c r="AP137" i="67"/>
  <c r="AP136" i="67"/>
  <c r="AP135" i="67"/>
  <c r="AP134" i="67"/>
  <c r="AP129" i="67"/>
  <c r="AP127" i="67"/>
  <c r="AP126" i="67"/>
  <c r="AP125" i="67"/>
  <c r="AP124" i="67"/>
  <c r="AP123" i="67"/>
  <c r="AP115" i="67"/>
  <c r="AP114" i="67"/>
  <c r="AP112" i="67"/>
  <c r="AP111" i="67"/>
  <c r="AP109" i="67"/>
  <c r="AP103" i="67"/>
  <c r="AP102" i="67"/>
  <c r="AP100" i="67"/>
  <c r="AP99" i="67"/>
  <c r="AP97" i="67"/>
  <c r="AP94" i="67"/>
  <c r="AP91" i="67"/>
  <c r="AP90" i="67"/>
  <c r="AP89" i="67"/>
  <c r="AP88" i="67"/>
  <c r="AP87" i="67"/>
  <c r="AP86" i="67"/>
  <c r="AP85" i="67"/>
  <c r="AP84" i="67"/>
  <c r="AP83" i="67"/>
  <c r="AP82" i="67"/>
  <c r="AP81" i="67"/>
  <c r="AP79" i="67"/>
  <c r="AP78" i="67"/>
  <c r="AP77" i="67"/>
  <c r="AP76" i="67"/>
  <c r="AP75" i="67"/>
  <c r="AP74" i="67"/>
  <c r="AP73" i="67"/>
  <c r="AP72" i="67"/>
  <c r="AP71" i="67"/>
  <c r="AP67" i="67"/>
  <c r="AP66" i="67"/>
  <c r="AP63" i="67"/>
  <c r="AP61" i="67"/>
  <c r="AP59" i="67"/>
  <c r="AP57" i="67"/>
  <c r="AP55" i="67"/>
  <c r="AP54" i="67"/>
  <c r="AP52" i="67"/>
  <c r="AP51" i="67"/>
  <c r="AP49" i="67"/>
  <c r="AP43" i="67"/>
  <c r="AP42" i="67"/>
  <c r="AP41" i="67"/>
  <c r="AP39" i="67"/>
  <c r="AP37" i="67"/>
  <c r="AP34" i="67"/>
  <c r="AP33" i="67"/>
  <c r="AP31" i="67"/>
  <c r="AP30" i="67"/>
  <c r="AP29" i="67"/>
  <c r="AP28" i="67"/>
  <c r="AP27" i="67"/>
  <c r="AP26" i="67"/>
  <c r="AP25" i="67"/>
  <c r="AP24" i="67"/>
  <c r="AP22" i="67"/>
  <c r="AP19" i="67"/>
  <c r="AP18" i="67"/>
  <c r="AP17" i="67"/>
  <c r="AP16" i="67"/>
  <c r="AP15" i="67"/>
  <c r="AP14" i="67"/>
  <c r="AP13" i="67"/>
  <c r="AP12" i="67"/>
  <c r="AO144" i="67"/>
  <c r="AO143" i="67"/>
  <c r="AO141" i="67"/>
  <c r="AO140" i="67"/>
  <c r="AO139" i="67"/>
  <c r="AO138" i="67"/>
  <c r="AO137" i="67"/>
  <c r="AO136" i="67"/>
  <c r="AO135" i="67"/>
  <c r="AO134" i="67"/>
  <c r="AO132" i="67"/>
  <c r="AO131" i="67"/>
  <c r="AO129" i="67"/>
  <c r="AO128" i="67"/>
  <c r="AO127" i="67"/>
  <c r="AO126" i="67"/>
  <c r="AO125" i="67"/>
  <c r="AO124" i="67"/>
  <c r="AO123" i="67"/>
  <c r="AO122" i="67"/>
  <c r="AO118" i="67"/>
  <c r="AO117" i="67"/>
  <c r="AO115" i="67"/>
  <c r="AO114" i="67"/>
  <c r="AO113" i="67"/>
  <c r="AO112" i="67"/>
  <c r="AO111" i="67"/>
  <c r="AO110" i="67"/>
  <c r="AO109" i="67"/>
  <c r="AO108" i="67"/>
  <c r="AO106" i="67"/>
  <c r="AO105" i="67"/>
  <c r="AO103" i="67"/>
  <c r="AO102" i="67"/>
  <c r="AO101" i="67"/>
  <c r="AO100" i="67"/>
  <c r="AO99" i="67"/>
  <c r="AO98" i="67"/>
  <c r="AO97" i="67"/>
  <c r="AO96" i="67"/>
  <c r="AO94" i="67"/>
  <c r="AO93" i="67"/>
  <c r="AO91" i="67"/>
  <c r="AO90" i="67"/>
  <c r="AO89" i="67"/>
  <c r="AO88" i="67"/>
  <c r="AO87" i="67"/>
  <c r="AO86" i="67"/>
  <c r="AO85" i="67"/>
  <c r="AO84" i="67"/>
  <c r="AO83" i="67"/>
  <c r="AO82" i="67"/>
  <c r="AO81" i="67"/>
  <c r="AO79" i="67"/>
  <c r="AO78" i="67"/>
  <c r="AO77" i="67"/>
  <c r="AO76" i="67"/>
  <c r="AO75" i="67"/>
  <c r="AO74" i="67"/>
  <c r="AO73" i="67"/>
  <c r="AO72" i="67"/>
  <c r="AO71" i="67"/>
  <c r="AO70" i="67"/>
  <c r="AO69" i="67"/>
  <c r="AO67" i="67"/>
  <c r="AO66" i="67"/>
  <c r="AO65" i="67"/>
  <c r="AO64" i="67"/>
  <c r="AO63" i="67"/>
  <c r="AO62" i="67"/>
  <c r="AO61" i="67"/>
  <c r="AO60" i="67"/>
  <c r="AO59" i="67"/>
  <c r="AO58" i="67"/>
  <c r="AO57" i="67"/>
  <c r="AO55" i="67"/>
  <c r="AO54" i="67"/>
  <c r="AO53" i="67"/>
  <c r="AO52" i="67"/>
  <c r="AO51" i="67"/>
  <c r="AO50" i="67"/>
  <c r="AO49" i="67"/>
  <c r="AO48" i="67"/>
  <c r="AO46" i="67"/>
  <c r="AO45" i="67"/>
  <c r="AO43" i="67"/>
  <c r="AO42" i="67"/>
  <c r="AO41" i="67"/>
  <c r="AO40" i="67"/>
  <c r="AO39" i="67"/>
  <c r="AO37" i="67"/>
  <c r="AO34" i="67"/>
  <c r="AO33" i="67"/>
  <c r="AO32" i="67"/>
  <c r="AO31" i="67"/>
  <c r="AO30" i="67"/>
  <c r="AO29" i="67"/>
  <c r="AO28" i="67"/>
  <c r="AO27" i="67"/>
  <c r="AO26" i="67"/>
  <c r="AO25" i="67"/>
  <c r="AO24" i="67"/>
  <c r="AO22" i="67"/>
  <c r="AO21" i="67"/>
  <c r="AO19" i="67"/>
  <c r="AO18" i="67"/>
  <c r="AO17" i="67"/>
  <c r="AO16" i="67"/>
  <c r="AO15" i="67"/>
  <c r="AO14" i="67"/>
  <c r="AO13" i="67"/>
  <c r="AO12" i="67"/>
  <c r="M58" i="67"/>
  <c r="M56" i="67"/>
  <c r="M55" i="67"/>
  <c r="M53" i="67"/>
  <c r="M50" i="67"/>
  <c r="M48" i="67"/>
  <c r="AS108" i="66"/>
  <c r="AS107" i="66"/>
  <c r="AS105" i="66"/>
  <c r="AS104" i="66"/>
  <c r="AS103" i="66"/>
  <c r="AS102" i="66"/>
  <c r="AS101" i="66"/>
  <c r="AS100" i="66"/>
  <c r="AS99" i="66"/>
  <c r="AS98" i="66"/>
  <c r="AS96" i="66"/>
  <c r="AS95" i="66"/>
  <c r="AS93" i="66"/>
  <c r="AS92" i="66"/>
  <c r="AS91" i="66"/>
  <c r="AS90" i="66"/>
  <c r="AS89" i="66"/>
  <c r="AS88" i="66"/>
  <c r="AS87" i="66"/>
  <c r="AS86" i="66"/>
  <c r="AS84" i="66"/>
  <c r="AS83" i="66"/>
  <c r="AS81" i="66"/>
  <c r="AS80" i="66"/>
  <c r="AS79" i="66"/>
  <c r="AS78" i="66"/>
  <c r="AS77" i="66"/>
  <c r="AS76" i="66"/>
  <c r="AS75" i="66"/>
  <c r="AS74" i="66"/>
  <c r="AS72" i="66"/>
  <c r="AS71" i="66"/>
  <c r="AS69" i="66"/>
  <c r="AS68" i="66"/>
  <c r="AS67" i="66"/>
  <c r="AS66" i="66"/>
  <c r="AS65" i="66"/>
  <c r="AS64" i="66"/>
  <c r="AS63" i="66"/>
  <c r="AS62" i="66"/>
  <c r="AS58" i="66"/>
  <c r="AS57" i="66"/>
  <c r="AS55" i="66"/>
  <c r="AS54" i="66"/>
  <c r="AS53" i="66"/>
  <c r="AS52" i="66"/>
  <c r="AS51" i="66"/>
  <c r="AS50" i="66"/>
  <c r="AS49" i="66"/>
  <c r="AS48" i="66"/>
  <c r="AS46" i="66"/>
  <c r="AS45" i="66"/>
  <c r="AS43" i="66"/>
  <c r="AS42" i="66"/>
  <c r="AS41" i="66"/>
  <c r="AS40" i="66"/>
  <c r="AS39" i="66"/>
  <c r="AS38" i="66"/>
  <c r="AS37" i="66"/>
  <c r="AS36" i="66"/>
  <c r="AS34" i="66"/>
  <c r="AS33" i="66"/>
  <c r="AS31" i="66"/>
  <c r="AS30" i="66"/>
  <c r="AS29" i="66"/>
  <c r="AS28" i="66"/>
  <c r="AS27" i="66"/>
  <c r="AS26" i="66"/>
  <c r="AS25" i="66"/>
  <c r="AS24" i="66"/>
  <c r="AS22" i="66"/>
  <c r="AS19" i="66"/>
  <c r="AS18" i="66"/>
  <c r="AS17" i="66"/>
  <c r="AS16" i="66"/>
  <c r="AS15" i="66"/>
  <c r="AS14" i="66"/>
  <c r="AS13" i="66"/>
  <c r="AS12" i="66"/>
  <c r="AR108" i="66"/>
  <c r="AR107" i="66"/>
  <c r="AR105" i="66"/>
  <c r="AR104" i="66"/>
  <c r="AR103" i="66"/>
  <c r="AR102" i="66"/>
  <c r="AR101" i="66"/>
  <c r="AR100" i="66"/>
  <c r="AR99" i="66"/>
  <c r="AR98" i="66"/>
  <c r="AR96" i="66"/>
  <c r="AR95" i="66"/>
  <c r="AR93" i="66"/>
  <c r="AR92" i="66"/>
  <c r="AR91" i="66"/>
  <c r="AR90" i="66"/>
  <c r="AR89" i="66"/>
  <c r="AR88" i="66"/>
  <c r="AR87" i="66"/>
  <c r="AR86" i="66"/>
  <c r="AR84" i="66"/>
  <c r="AR83" i="66"/>
  <c r="AR81" i="66"/>
  <c r="AR80" i="66"/>
  <c r="AR79" i="66"/>
  <c r="AR78" i="66"/>
  <c r="AR77" i="66"/>
  <c r="AR76" i="66"/>
  <c r="AR75" i="66"/>
  <c r="AR74" i="66"/>
  <c r="AR72" i="66"/>
  <c r="AR71" i="66"/>
  <c r="AR69" i="66"/>
  <c r="AR68" i="66"/>
  <c r="AR67" i="66"/>
  <c r="AR66" i="66"/>
  <c r="AR65" i="66"/>
  <c r="AR64" i="66"/>
  <c r="AR63" i="66"/>
  <c r="AR62" i="66"/>
  <c r="AR58" i="66"/>
  <c r="AR57" i="66"/>
  <c r="AR55" i="66"/>
  <c r="AR54" i="66"/>
  <c r="AR53" i="66"/>
  <c r="AR52" i="66"/>
  <c r="AR51" i="66"/>
  <c r="AR50" i="66"/>
  <c r="AR49" i="66"/>
  <c r="AR48" i="66"/>
  <c r="AR46" i="66"/>
  <c r="AR45" i="66"/>
  <c r="AR43" i="66"/>
  <c r="AR42" i="66"/>
  <c r="AR41" i="66"/>
  <c r="AR40" i="66"/>
  <c r="AR39" i="66"/>
  <c r="AR38" i="66"/>
  <c r="AR37" i="66"/>
  <c r="AR36" i="66"/>
  <c r="AR34" i="66"/>
  <c r="AR33" i="66"/>
  <c r="AR31" i="66"/>
  <c r="AR30" i="66"/>
  <c r="AR29" i="66"/>
  <c r="AR28" i="66"/>
  <c r="AR27" i="66"/>
  <c r="AR26" i="66"/>
  <c r="AR25" i="66"/>
  <c r="AR24" i="66"/>
  <c r="AR22" i="66"/>
  <c r="AR21" i="66"/>
  <c r="AR19" i="66"/>
  <c r="AR18" i="66"/>
  <c r="AR17" i="66"/>
  <c r="AR16" i="66"/>
  <c r="AR15" i="66"/>
  <c r="AR14" i="66"/>
  <c r="AR13" i="66"/>
  <c r="AR12" i="66"/>
  <c r="AP108" i="66"/>
  <c r="AP107" i="66"/>
  <c r="AP105" i="66"/>
  <c r="AP104" i="66"/>
  <c r="AP103" i="66"/>
  <c r="AP102" i="66"/>
  <c r="AP101" i="66"/>
  <c r="AP100" i="66"/>
  <c r="AP99" i="66"/>
  <c r="AP98" i="66"/>
  <c r="AP96" i="66"/>
  <c r="AP95" i="66"/>
  <c r="AP93" i="66"/>
  <c r="AP92" i="66"/>
  <c r="AP91" i="66"/>
  <c r="AP90" i="66"/>
  <c r="AP89" i="66"/>
  <c r="AP88" i="66"/>
  <c r="AP87" i="66"/>
  <c r="AP86" i="66"/>
  <c r="AP84" i="66"/>
  <c r="AP83" i="66"/>
  <c r="AP81" i="66"/>
  <c r="AP80" i="66"/>
  <c r="AP79" i="66"/>
  <c r="AP78" i="66"/>
  <c r="AP77" i="66"/>
  <c r="AP76" i="66"/>
  <c r="AP75" i="66"/>
  <c r="AP74" i="66"/>
  <c r="AP72" i="66"/>
  <c r="AP71" i="66"/>
  <c r="AP69" i="66"/>
  <c r="AP68" i="66"/>
  <c r="AP67" i="66"/>
  <c r="AP66" i="66"/>
  <c r="AP65" i="66"/>
  <c r="AP64" i="66"/>
  <c r="AP63" i="66"/>
  <c r="AP62" i="66"/>
  <c r="AP58" i="66"/>
  <c r="AP57" i="66"/>
  <c r="AP55" i="66"/>
  <c r="AP54" i="66"/>
  <c r="AP53" i="66"/>
  <c r="AP52" i="66"/>
  <c r="AP51" i="66"/>
  <c r="AP50" i="66"/>
  <c r="AP49" i="66"/>
  <c r="AP48" i="66"/>
  <c r="AP46" i="66"/>
  <c r="AP45" i="66"/>
  <c r="AP43" i="66"/>
  <c r="AP42" i="66"/>
  <c r="AP41" i="66"/>
  <c r="AP40" i="66"/>
  <c r="AP39" i="66"/>
  <c r="AP38" i="66"/>
  <c r="AP37" i="66"/>
  <c r="AP36" i="66"/>
  <c r="AP34" i="66"/>
  <c r="AP33" i="66"/>
  <c r="AP31" i="66"/>
  <c r="AP30" i="66"/>
  <c r="AP29" i="66"/>
  <c r="AP28" i="66"/>
  <c r="AP27" i="66"/>
  <c r="AP26" i="66"/>
  <c r="AP25" i="66"/>
  <c r="AP24" i="66"/>
  <c r="AP22" i="66"/>
  <c r="AP19" i="66"/>
  <c r="AP18" i="66"/>
  <c r="AP17" i="66"/>
  <c r="AP16" i="66"/>
  <c r="AP15" i="66"/>
  <c r="AP14" i="66"/>
  <c r="AP13" i="66"/>
  <c r="AP12" i="66"/>
  <c r="AO108" i="66"/>
  <c r="AO107" i="66"/>
  <c r="AO105" i="66"/>
  <c r="AO104" i="66"/>
  <c r="AO103" i="66"/>
  <c r="AO102" i="66"/>
  <c r="AO101" i="66"/>
  <c r="AO100" i="66"/>
  <c r="AO99" i="66"/>
  <c r="AO98" i="66"/>
  <c r="AO96" i="66"/>
  <c r="AO95" i="66"/>
  <c r="AO93" i="66"/>
  <c r="AO92" i="66"/>
  <c r="AO91" i="66"/>
  <c r="AO90" i="66"/>
  <c r="AO89" i="66"/>
  <c r="AO88" i="66"/>
  <c r="AO87" i="66"/>
  <c r="AO86" i="66"/>
  <c r="AO84" i="66"/>
  <c r="AO83" i="66"/>
  <c r="AO81" i="66"/>
  <c r="AO80" i="66"/>
  <c r="AO79" i="66"/>
  <c r="AO78" i="66"/>
  <c r="AO77" i="66"/>
  <c r="AO76" i="66"/>
  <c r="AO75" i="66"/>
  <c r="AO74" i="66"/>
  <c r="AO72" i="66"/>
  <c r="AO71" i="66"/>
  <c r="AO69" i="66"/>
  <c r="AO68" i="66"/>
  <c r="AO67" i="66"/>
  <c r="AO66" i="66"/>
  <c r="AO65" i="66"/>
  <c r="AO64" i="66"/>
  <c r="AO63" i="66"/>
  <c r="AO62" i="66"/>
  <c r="AO58" i="66"/>
  <c r="AO57" i="66"/>
  <c r="AO55" i="66"/>
  <c r="AO54" i="66"/>
  <c r="AO53" i="66"/>
  <c r="AO52" i="66"/>
  <c r="AO51" i="66"/>
  <c r="AO50" i="66"/>
  <c r="AO49" i="66"/>
  <c r="AO48" i="66"/>
  <c r="AO46" i="66"/>
  <c r="AO45" i="66"/>
  <c r="AO43" i="66"/>
  <c r="AO42" i="66"/>
  <c r="AO41" i="66"/>
  <c r="AO40" i="66"/>
  <c r="AO39" i="66"/>
  <c r="AO38" i="66"/>
  <c r="AO37" i="66"/>
  <c r="AO36" i="66"/>
  <c r="AO34" i="66"/>
  <c r="AO33" i="66"/>
  <c r="AO31" i="66"/>
  <c r="AO30" i="66"/>
  <c r="AO29" i="66"/>
  <c r="AO28" i="66"/>
  <c r="AO27" i="66"/>
  <c r="AO26" i="66"/>
  <c r="AO25" i="66"/>
  <c r="AO24" i="66"/>
  <c r="AO22" i="66"/>
  <c r="AO21" i="66"/>
  <c r="AO19" i="66"/>
  <c r="AO18" i="66"/>
  <c r="AO17" i="66"/>
  <c r="AO16" i="66"/>
  <c r="AO15" i="66"/>
  <c r="AO14" i="66"/>
  <c r="AO13" i="66"/>
  <c r="AO12" i="66"/>
  <c r="M96" i="66"/>
  <c r="M94" i="66"/>
  <c r="M93" i="66"/>
  <c r="M91" i="66"/>
  <c r="M88" i="66"/>
  <c r="M86" i="66"/>
  <c r="M41" i="66"/>
  <c r="M38" i="66"/>
  <c r="M36" i="66"/>
  <c r="AS20" i="65"/>
  <c r="AS17" i="65"/>
  <c r="AS16" i="65"/>
  <c r="AS15" i="65"/>
  <c r="AS13" i="65"/>
  <c r="AS12" i="65"/>
  <c r="AR20" i="65"/>
  <c r="AR17" i="65"/>
  <c r="AR16" i="65"/>
  <c r="AR15" i="65"/>
  <c r="AR13" i="65"/>
  <c r="AR12" i="65"/>
  <c r="AP57" i="65"/>
  <c r="AP56" i="65"/>
  <c r="AP55" i="65"/>
  <c r="AP54" i="65"/>
  <c r="AP53" i="65"/>
  <c r="AP52" i="65"/>
  <c r="AP51" i="65"/>
  <c r="AP50" i="65"/>
  <c r="AP49" i="65"/>
  <c r="AP48" i="65"/>
  <c r="AP44" i="65"/>
  <c r="AP42" i="65"/>
  <c r="AP39" i="65"/>
  <c r="AP38" i="65"/>
  <c r="AP37" i="65"/>
  <c r="AP33" i="65"/>
  <c r="AP32" i="65"/>
  <c r="AP31" i="65"/>
  <c r="AP30" i="65"/>
  <c r="AP28" i="65"/>
  <c r="AP27" i="65"/>
  <c r="AP26" i="65"/>
  <c r="AP25" i="65"/>
  <c r="AP24" i="65"/>
  <c r="AP20" i="65"/>
  <c r="AP17" i="65"/>
  <c r="AP16" i="65"/>
  <c r="AP15" i="65"/>
  <c r="AP13" i="65"/>
  <c r="AP12" i="65"/>
  <c r="AO57" i="65"/>
  <c r="AQ57" i="65" s="1"/>
  <c r="AO56" i="65"/>
  <c r="AQ56" i="65" s="1"/>
  <c r="AO55" i="65"/>
  <c r="AO54" i="65"/>
  <c r="AQ54" i="65" s="1"/>
  <c r="AO53" i="65"/>
  <c r="AO52" i="65"/>
  <c r="AQ52" i="65" s="1"/>
  <c r="AO51" i="65"/>
  <c r="AO50" i="65"/>
  <c r="AQ50" i="65" s="1"/>
  <c r="AO49" i="65"/>
  <c r="AQ49" i="65" s="1"/>
  <c r="AO48" i="65"/>
  <c r="AQ48" i="65" s="1"/>
  <c r="AO44" i="65"/>
  <c r="AO42" i="65"/>
  <c r="AO39" i="65"/>
  <c r="AO38" i="65"/>
  <c r="AO37" i="65"/>
  <c r="AO33" i="65"/>
  <c r="AO32" i="65"/>
  <c r="AO31" i="65"/>
  <c r="AO30" i="65"/>
  <c r="AO28" i="65"/>
  <c r="AO27" i="65"/>
  <c r="AO26" i="65"/>
  <c r="AO25" i="65"/>
  <c r="AO24" i="65"/>
  <c r="AO20" i="65"/>
  <c r="AO17" i="65"/>
  <c r="AO16" i="65"/>
  <c r="AO15" i="65"/>
  <c r="AO13" i="65"/>
  <c r="AO12" i="65"/>
  <c r="M42" i="65"/>
  <c r="M40" i="65"/>
  <c r="M39" i="65"/>
  <c r="M38" i="65"/>
  <c r="M37" i="65"/>
  <c r="M32" i="65"/>
  <c r="M29" i="65"/>
  <c r="M27" i="65"/>
  <c r="M24" i="65"/>
  <c r="M23" i="65"/>
  <c r="M21" i="65"/>
  <c r="M20" i="65"/>
  <c r="M19" i="65"/>
  <c r="M17" i="65"/>
  <c r="M16" i="65"/>
  <c r="M15" i="65"/>
  <c r="M13" i="65"/>
  <c r="M12" i="65"/>
  <c r="M11" i="65"/>
  <c r="K8" i="74"/>
  <c r="AQ51" i="65" l="1"/>
  <c r="AQ53" i="65"/>
  <c r="AQ55" i="65"/>
  <c r="G31" i="9"/>
  <c r="M81" i="8" s="1"/>
  <c r="D8" i="74"/>
  <c r="L8" i="74"/>
  <c r="M43" i="68"/>
  <c r="L47" i="69"/>
  <c r="M47" i="69"/>
  <c r="M45" i="62"/>
  <c r="M91" i="62"/>
  <c r="M27" i="62"/>
  <c r="M38" i="68"/>
  <c r="M20" i="68"/>
  <c r="M44" i="66"/>
  <c r="M14" i="65"/>
  <c r="H31" i="9"/>
  <c r="K7" i="74"/>
  <c r="L7" i="74"/>
  <c r="D48" i="74"/>
  <c r="D7" i="74"/>
  <c r="D47" i="74" l="1"/>
  <c r="H73" i="9"/>
  <c r="N81" i="8"/>
  <c r="B31" i="9"/>
  <c r="M31" i="8" s="1"/>
  <c r="G73" i="9"/>
  <c r="M29" i="62"/>
  <c r="M62" i="62"/>
  <c r="M46" i="68"/>
  <c r="M34" i="65"/>
  <c r="D31" i="9" l="1"/>
  <c r="B73" i="9"/>
  <c r="D73" i="9" s="1"/>
  <c r="AS11" i="65"/>
  <c r="AP11" i="65"/>
  <c r="AS59" i="62"/>
  <c r="AP59" i="62"/>
  <c r="AR11" i="65"/>
  <c r="AO11" i="65"/>
  <c r="AO59" i="62"/>
  <c r="AR59" i="62"/>
  <c r="AO23" i="65"/>
  <c r="AP23" i="65"/>
  <c r="M64" i="62"/>
  <c r="M41" i="65"/>
  <c r="M43" i="65" l="1"/>
  <c r="AP77" i="62" l="1"/>
  <c r="AS77" i="62"/>
  <c r="AO34" i="62"/>
  <c r="AR34" i="62"/>
  <c r="AP86" i="62"/>
  <c r="AS86" i="62"/>
  <c r="M45" i="65"/>
  <c r="AR55" i="62" l="1"/>
  <c r="AO55" i="62"/>
  <c r="AP55" i="62"/>
  <c r="AS55" i="62"/>
  <c r="AR19" i="62" l="1"/>
  <c r="AO19" i="62"/>
  <c r="AP19" i="62"/>
  <c r="AS19" i="62"/>
  <c r="AO50" i="62"/>
  <c r="AR50" i="62"/>
  <c r="AO28" i="62"/>
  <c r="AR28" i="62"/>
  <c r="AR38" i="62"/>
  <c r="AO38" i="62"/>
  <c r="AP19" i="65"/>
  <c r="AS19" i="65"/>
  <c r="AP38" i="62"/>
  <c r="AS38" i="62"/>
  <c r="AP69" i="62" l="1"/>
  <c r="AS69" i="62"/>
  <c r="AO16" i="62" l="1"/>
  <c r="AR16" i="62"/>
  <c r="AP40" i="65" l="1"/>
  <c r="AO40" i="65"/>
  <c r="AP29" i="65"/>
  <c r="AO29" i="65"/>
  <c r="AS14" i="65" l="1"/>
  <c r="AP14" i="65"/>
  <c r="AR14" i="65"/>
  <c r="AO14" i="65"/>
  <c r="AS50" i="62"/>
  <c r="AP50" i="62"/>
  <c r="AO20" i="62"/>
  <c r="AR20" i="62"/>
  <c r="AR19" i="65"/>
  <c r="AO19" i="65"/>
  <c r="AR79" i="62"/>
  <c r="AO79" i="62"/>
  <c r="AR35" i="62"/>
  <c r="AO35" i="62"/>
  <c r="AP79" i="62"/>
  <c r="AS79" i="62"/>
  <c r="AS35" i="62"/>
  <c r="AP35" i="62"/>
  <c r="AO54" i="62"/>
  <c r="AR54" i="62"/>
  <c r="AS20" i="62"/>
  <c r="AP20" i="62"/>
  <c r="AS28" i="62"/>
  <c r="AP28" i="62"/>
  <c r="AR39" i="62"/>
  <c r="AO39" i="62"/>
  <c r="AS85" i="62"/>
  <c r="AP85" i="62"/>
  <c r="AP16" i="62"/>
  <c r="AS16" i="62"/>
  <c r="AS54" i="62"/>
  <c r="AP54" i="62"/>
  <c r="AS21" i="65"/>
  <c r="AP21" i="65"/>
  <c r="AO85" i="62"/>
  <c r="AR85" i="62"/>
  <c r="AP44" i="62"/>
  <c r="AS44" i="62"/>
  <c r="AP91" i="62" l="1"/>
  <c r="AS91" i="62"/>
  <c r="AO60" i="62"/>
  <c r="AR60" i="62"/>
  <c r="AO45" i="62"/>
  <c r="AR45" i="62"/>
  <c r="AO34" i="65"/>
  <c r="AP34" i="65"/>
  <c r="AS60" i="62"/>
  <c r="AP60" i="62"/>
  <c r="AO91" i="62"/>
  <c r="AR91" i="62"/>
  <c r="AO21" i="65"/>
  <c r="AR21" i="65"/>
  <c r="AS45" i="62"/>
  <c r="AP45" i="62"/>
  <c r="AR27" i="62"/>
  <c r="AO27" i="62"/>
  <c r="AP27" i="62"/>
  <c r="AS27" i="62"/>
  <c r="AP39" i="62"/>
  <c r="AS39" i="62"/>
  <c r="AS62" i="62" l="1"/>
  <c r="AP62" i="62"/>
  <c r="AO62" i="62"/>
  <c r="AR62" i="62"/>
  <c r="AP29" i="62"/>
  <c r="AS29" i="62"/>
  <c r="AO41" i="65"/>
  <c r="AO29" i="62"/>
  <c r="AR29" i="62"/>
  <c r="AP41" i="65"/>
  <c r="V73" i="62"/>
  <c r="AO64" i="62" l="1"/>
  <c r="AR64" i="62"/>
  <c r="AP45" i="65"/>
  <c r="AP43" i="65"/>
  <c r="AO45" i="65"/>
  <c r="AO43" i="65"/>
  <c r="AP64" i="62"/>
  <c r="AS64" i="62"/>
  <c r="F29" i="4" l="1"/>
  <c r="B29" i="4"/>
  <c r="B22" i="4"/>
  <c r="E29" i="4"/>
  <c r="E22" i="4"/>
  <c r="F22" i="4"/>
  <c r="C22" i="4"/>
  <c r="C29" i="4"/>
  <c r="AM38" i="69"/>
  <c r="H46" i="68" l="1"/>
  <c r="I46" i="68"/>
  <c r="AM22" i="69"/>
  <c r="AM34" i="69"/>
  <c r="O39" i="70" l="1"/>
  <c r="N39" i="70"/>
  <c r="O37" i="70"/>
  <c r="N37" i="70"/>
  <c r="O36" i="70"/>
  <c r="N36" i="70"/>
  <c r="P36" i="70" s="1"/>
  <c r="N35" i="70"/>
  <c r="O54" i="69"/>
  <c r="N54" i="69"/>
  <c r="O53" i="69"/>
  <c r="N53" i="69"/>
  <c r="O52" i="69"/>
  <c r="O51" i="69"/>
  <c r="N51" i="69"/>
  <c r="O50" i="69"/>
  <c r="N50" i="69"/>
  <c r="O49" i="69"/>
  <c r="N49" i="69"/>
  <c r="O48" i="69"/>
  <c r="N48" i="69"/>
  <c r="N46" i="68" l="1"/>
  <c r="O46" i="68"/>
  <c r="O47" i="69"/>
  <c r="N47" i="69"/>
  <c r="O35" i="70"/>
  <c r="AJ14" i="70" l="1"/>
  <c r="AO32" i="68"/>
  <c r="AJ47" i="68"/>
  <c r="AJ48" i="68" l="1"/>
  <c r="AI46" i="68"/>
  <c r="AJ43" i="68"/>
  <c r="AJ40" i="68"/>
  <c r="AJ38" i="68"/>
  <c r="AJ42" i="68"/>
  <c r="AS40" i="67"/>
  <c r="AP40" i="67"/>
  <c r="AS106" i="67"/>
  <c r="AP106" i="67"/>
  <c r="AR43" i="68"/>
  <c r="AO43" i="68"/>
  <c r="AR48" i="68"/>
  <c r="AO48" i="68"/>
  <c r="AS60" i="67"/>
  <c r="AP60" i="67"/>
  <c r="AP62" i="67"/>
  <c r="AS62" i="67"/>
  <c r="AR39" i="68"/>
  <c r="AO39" i="68"/>
  <c r="AP45" i="67"/>
  <c r="AS45" i="67"/>
  <c r="AP64" i="67"/>
  <c r="AS64" i="67"/>
  <c r="AR44" i="68"/>
  <c r="AO44" i="68"/>
  <c r="AP46" i="67"/>
  <c r="AS46" i="67"/>
  <c r="AS65" i="67"/>
  <c r="AP65" i="67"/>
  <c r="AP96" i="67"/>
  <c r="AS96" i="67"/>
  <c r="AO40" i="68"/>
  <c r="AR40" i="68"/>
  <c r="AR32" i="68"/>
  <c r="AP38" i="67"/>
  <c r="AS38" i="67"/>
  <c r="AP105" i="67"/>
  <c r="AS105" i="67"/>
  <c r="AJ33" i="70"/>
  <c r="AR41" i="68"/>
  <c r="AO41" i="68"/>
  <c r="AO45" i="68"/>
  <c r="AR45" i="68"/>
  <c r="AS98" i="67"/>
  <c r="AP98" i="67"/>
  <c r="AP69" i="67"/>
  <c r="AS69" i="67"/>
  <c r="AP101" i="67"/>
  <c r="AS101" i="67"/>
  <c r="AR38" i="68"/>
  <c r="AO38" i="68"/>
  <c r="AS36" i="67"/>
  <c r="AP36" i="67"/>
  <c r="AP70" i="67"/>
  <c r="AS70" i="67"/>
  <c r="AR42" i="68"/>
  <c r="AO42" i="68"/>
  <c r="AR47" i="68"/>
  <c r="AO47" i="68"/>
  <c r="AJ46" i="68" l="1"/>
  <c r="T46" i="68"/>
  <c r="U46" i="68" l="1"/>
  <c r="AM18" i="69"/>
  <c r="AI26" i="70"/>
  <c r="AO20" i="68" l="1"/>
  <c r="AR20" i="68"/>
  <c r="AS132" i="67"/>
  <c r="AP132" i="67"/>
  <c r="AR142" i="67"/>
  <c r="AO142" i="67"/>
  <c r="E46" i="68" l="1"/>
  <c r="F46" i="68"/>
  <c r="AC46" i="68"/>
  <c r="AD44" i="68"/>
  <c r="AD38" i="68"/>
  <c r="AD46" i="68" l="1"/>
  <c r="AS122" i="67"/>
  <c r="AP122" i="67"/>
  <c r="AS128" i="67"/>
  <c r="AP128" i="67"/>
  <c r="AS47" i="68" l="1"/>
  <c r="AP47" i="68"/>
  <c r="AP45" i="68"/>
  <c r="AS45" i="68"/>
  <c r="AS41" i="68"/>
  <c r="AP41" i="68"/>
  <c r="AP44" i="68"/>
  <c r="AS44" i="68"/>
  <c r="AS39" i="68"/>
  <c r="AP39" i="68"/>
  <c r="AS42" i="68"/>
  <c r="AP42" i="68"/>
  <c r="AS38" i="68"/>
  <c r="AP38" i="68"/>
  <c r="AS43" i="68"/>
  <c r="AP43" i="68"/>
  <c r="AJ54" i="69"/>
  <c r="AI54" i="69"/>
  <c r="AJ53" i="69"/>
  <c r="AJ52" i="69"/>
  <c r="AI52" i="69"/>
  <c r="AL52" i="69" s="1"/>
  <c r="AI51" i="69"/>
  <c r="AJ50" i="69"/>
  <c r="AI50" i="69"/>
  <c r="AL50" i="69" s="1"/>
  <c r="AJ49" i="69"/>
  <c r="AI49" i="69"/>
  <c r="AJ48" i="69"/>
  <c r="AI48" i="69"/>
  <c r="AS21" i="66" l="1"/>
  <c r="AP21" i="66"/>
  <c r="AR36" i="67"/>
  <c r="AO36" i="67"/>
  <c r="AO68" i="67"/>
  <c r="AR68" i="67"/>
  <c r="AR38" i="67"/>
  <c r="AO38" i="67"/>
  <c r="AS108" i="67"/>
  <c r="AP108" i="67"/>
  <c r="AS131" i="67"/>
  <c r="AP131" i="67"/>
  <c r="AR130" i="67"/>
  <c r="AO130" i="67"/>
  <c r="AJ47" i="69"/>
  <c r="AM43" i="69"/>
  <c r="AS48" i="67"/>
  <c r="AP48" i="67"/>
  <c r="AR116" i="67"/>
  <c r="AO116" i="67"/>
  <c r="AP113" i="67"/>
  <c r="AS113" i="67"/>
  <c r="AP53" i="67"/>
  <c r="AS53" i="67"/>
  <c r="AP117" i="67"/>
  <c r="AS117" i="67"/>
  <c r="AR80" i="67"/>
  <c r="AO80" i="67"/>
  <c r="AP110" i="67"/>
  <c r="AS110" i="67"/>
  <c r="AP21" i="67"/>
  <c r="AS21" i="67"/>
  <c r="AP93" i="67"/>
  <c r="AS93" i="67"/>
  <c r="AP118" i="67"/>
  <c r="AS118" i="67"/>
  <c r="AI47" i="69"/>
  <c r="AJ51" i="69"/>
  <c r="AR44" i="67" l="1"/>
  <c r="AO44" i="67"/>
  <c r="AJ40" i="70" l="1"/>
  <c r="AJ39" i="70"/>
  <c r="AI40" i="70"/>
  <c r="AI39" i="70"/>
  <c r="AI37" i="70"/>
  <c r="AJ37" i="70" l="1"/>
  <c r="AI36" i="70"/>
  <c r="AJ36" i="70"/>
  <c r="AL53" i="69"/>
  <c r="AL48" i="69"/>
  <c r="AO56" i="66" l="1"/>
  <c r="AR56" i="66"/>
  <c r="AR20" i="66"/>
  <c r="AO20" i="66"/>
  <c r="AR20" i="67"/>
  <c r="AO20" i="67"/>
  <c r="AR32" i="66"/>
  <c r="AO32" i="66"/>
  <c r="AR82" i="66"/>
  <c r="AO82" i="66"/>
  <c r="AR104" i="67"/>
  <c r="AO104" i="67"/>
  <c r="AR70" i="66"/>
  <c r="AO70" i="66"/>
  <c r="AR44" i="66"/>
  <c r="AO44" i="66"/>
  <c r="AJ26" i="70" l="1"/>
  <c r="AJ16" i="70"/>
  <c r="AI16" i="70"/>
  <c r="AJ11" i="70"/>
  <c r="AI11" i="70"/>
  <c r="AM54" i="69"/>
  <c r="AL54" i="69"/>
  <c r="AM53" i="69"/>
  <c r="AM52" i="69"/>
  <c r="AM51" i="69"/>
  <c r="AL51" i="69"/>
  <c r="AM50" i="69"/>
  <c r="AM49" i="69"/>
  <c r="AL49" i="69"/>
  <c r="AM48" i="69"/>
  <c r="AM41" i="69"/>
  <c r="AL41" i="69"/>
  <c r="AM35" i="69"/>
  <c r="AL35" i="69"/>
  <c r="AM31" i="69"/>
  <c r="AM29" i="69"/>
  <c r="AM27" i="69"/>
  <c r="AL23" i="69"/>
  <c r="AM11" i="69"/>
  <c r="AL11" i="69"/>
  <c r="AS20" i="66" l="1"/>
  <c r="AP20" i="66"/>
  <c r="AR106" i="66"/>
  <c r="AO106" i="66"/>
  <c r="AS68" i="67"/>
  <c r="AP68" i="67"/>
  <c r="AS20" i="68"/>
  <c r="AP20" i="68"/>
  <c r="AS58" i="67"/>
  <c r="AP58" i="67"/>
  <c r="AS142" i="67"/>
  <c r="AP142" i="67"/>
  <c r="AS32" i="66"/>
  <c r="AP32" i="66"/>
  <c r="AS106" i="66"/>
  <c r="AP106" i="66"/>
  <c r="AS80" i="67"/>
  <c r="AP80" i="67"/>
  <c r="AS32" i="68"/>
  <c r="AP32" i="68"/>
  <c r="AP44" i="66"/>
  <c r="AS44" i="66"/>
  <c r="AO92" i="67"/>
  <c r="AR92" i="67"/>
  <c r="AI31" i="70"/>
  <c r="AP32" i="67"/>
  <c r="AS32" i="67"/>
  <c r="AS70" i="66"/>
  <c r="AP70" i="66"/>
  <c r="AJ31" i="70"/>
  <c r="AS94" i="66"/>
  <c r="AP94" i="66"/>
  <c r="AP44" i="67"/>
  <c r="AS44" i="67"/>
  <c r="AS50" i="67"/>
  <c r="AP50" i="67"/>
  <c r="AS116" i="67"/>
  <c r="AP116" i="67"/>
  <c r="AS20" i="67"/>
  <c r="AP20" i="67"/>
  <c r="AP56" i="66"/>
  <c r="AS56" i="66"/>
  <c r="AP92" i="67"/>
  <c r="AS92" i="67"/>
  <c r="AP104" i="67"/>
  <c r="AS104" i="67"/>
  <c r="AP82" i="66"/>
  <c r="AS82" i="66"/>
  <c r="AR94" i="66"/>
  <c r="AO94" i="66"/>
  <c r="AR56" i="67"/>
  <c r="AO56" i="67"/>
  <c r="AP130" i="67"/>
  <c r="AS130" i="67"/>
  <c r="AJ35" i="70"/>
  <c r="AI35" i="70"/>
  <c r="AM23" i="69"/>
  <c r="AM47" i="69"/>
  <c r="AL47" i="69"/>
  <c r="J76" i="62"/>
  <c r="AP40" i="68" l="1"/>
  <c r="AS40" i="68"/>
  <c r="AP56" i="67"/>
  <c r="AS56" i="67"/>
  <c r="AO46" i="68"/>
  <c r="AR46" i="68"/>
  <c r="AP48" i="68"/>
  <c r="AS48" i="68"/>
  <c r="AS8" i="65"/>
  <c r="AR8" i="65"/>
  <c r="AP8" i="65"/>
  <c r="AO8" i="65"/>
  <c r="AS46" i="68" l="1"/>
  <c r="AP46" i="68"/>
  <c r="K32" i="13" l="1"/>
  <c r="D30" i="33"/>
  <c r="H23" i="33"/>
  <c r="D23" i="23"/>
  <c r="D23" i="29"/>
  <c r="F33" i="4"/>
  <c r="F32" i="4"/>
  <c r="F30" i="4" l="1"/>
  <c r="D25" i="29"/>
  <c r="H25" i="23"/>
  <c r="D23" i="16"/>
  <c r="H24" i="18"/>
  <c r="H24" i="29"/>
  <c r="H24" i="23"/>
  <c r="D26" i="16"/>
  <c r="D30" i="16"/>
  <c r="D25" i="20"/>
  <c r="D25" i="13"/>
  <c r="D31" i="37"/>
  <c r="D32" i="29"/>
  <c r="D31" i="24"/>
  <c r="H30" i="18"/>
  <c r="H30" i="37"/>
  <c r="H30" i="33"/>
  <c r="H30" i="35"/>
  <c r="H30" i="29"/>
  <c r="H30" i="23"/>
  <c r="H30" i="13"/>
  <c r="D23" i="37"/>
  <c r="D23" i="20"/>
  <c r="D30" i="37"/>
  <c r="D30" i="20"/>
  <c r="H23" i="37"/>
  <c r="D27" i="16"/>
  <c r="D31" i="16"/>
  <c r="H24" i="13"/>
  <c r="D32" i="20"/>
  <c r="H31" i="18"/>
  <c r="H31" i="37"/>
  <c r="H31" i="29"/>
  <c r="H31" i="23"/>
  <c r="H31" i="13"/>
  <c r="H25" i="20"/>
  <c r="H25" i="13"/>
  <c r="D31" i="13"/>
  <c r="H32" i="18"/>
  <c r="H32" i="37"/>
  <c r="H32" i="33"/>
  <c r="H32" i="29"/>
  <c r="H32" i="23"/>
  <c r="H33" i="37"/>
  <c r="H33" i="33"/>
  <c r="H33" i="35"/>
  <c r="H33" i="29"/>
  <c r="H33" i="23"/>
  <c r="H23" i="35"/>
  <c r="H23" i="13"/>
  <c r="D30" i="13"/>
  <c r="D31" i="33"/>
  <c r="D31" i="29"/>
  <c r="D32" i="13"/>
  <c r="H33" i="18"/>
  <c r="H31" i="33"/>
  <c r="H31" i="35"/>
  <c r="D24" i="16"/>
  <c r="D32" i="16"/>
  <c r="H25" i="18"/>
  <c r="H25" i="33"/>
  <c r="H25" i="29"/>
  <c r="H32" i="20"/>
  <c r="H32" i="13"/>
  <c r="D25" i="16"/>
  <c r="D33" i="16"/>
  <c r="D24" i="37"/>
  <c r="D24" i="33"/>
  <c r="D24" i="29"/>
  <c r="D24" i="24"/>
  <c r="D24" i="13"/>
  <c r="H26" i="18"/>
  <c r="H26" i="37"/>
  <c r="H26" i="33"/>
  <c r="H26" i="35"/>
  <c r="H26" i="29"/>
  <c r="H26" i="23"/>
  <c r="H26" i="20"/>
  <c r="H33" i="20"/>
  <c r="J30" i="29"/>
  <c r="D30" i="29"/>
  <c r="J30" i="23"/>
  <c r="D30" i="23"/>
  <c r="D23" i="33"/>
  <c r="H23" i="18"/>
  <c r="H23" i="29"/>
  <c r="H23" i="23"/>
  <c r="E31" i="4"/>
  <c r="E32" i="4"/>
  <c r="D23" i="13"/>
  <c r="E33" i="4"/>
  <c r="J30" i="18"/>
  <c r="F31" i="4"/>
  <c r="J33" i="35"/>
  <c r="F25" i="4"/>
  <c r="K33" i="20"/>
  <c r="E24" i="4"/>
  <c r="E30" i="4"/>
  <c r="F24" i="4"/>
  <c r="F26" i="4"/>
  <c r="C24" i="4"/>
  <c r="E26" i="4"/>
  <c r="B30" i="4"/>
  <c r="C23" i="4"/>
  <c r="C31" i="4"/>
  <c r="C25" i="4"/>
  <c r="B24" i="4"/>
  <c r="E25" i="4"/>
  <c r="C30" i="4"/>
  <c r="B23" i="4"/>
  <c r="B31" i="4"/>
  <c r="J32" i="16"/>
  <c r="B32" i="4"/>
  <c r="C32" i="4"/>
  <c r="B25" i="4"/>
  <c r="E23" i="4"/>
  <c r="B33" i="4"/>
  <c r="F23" i="4"/>
  <c r="C33" i="4"/>
  <c r="K33" i="16"/>
  <c r="J33" i="23"/>
  <c r="J33" i="20"/>
  <c r="J33" i="33"/>
  <c r="J33" i="29"/>
  <c r="J31" i="16"/>
  <c r="J25" i="29"/>
  <c r="J25" i="23"/>
  <c r="J25" i="20"/>
  <c r="J25" i="13"/>
  <c r="J32" i="18"/>
  <c r="J32" i="33"/>
  <c r="J32" i="29"/>
  <c r="J32" i="23"/>
  <c r="J26" i="18"/>
  <c r="J26" i="37"/>
  <c r="J26" i="33"/>
  <c r="J26" i="35"/>
  <c r="J26" i="29"/>
  <c r="J26" i="23"/>
  <c r="J26" i="20"/>
  <c r="K23" i="33"/>
  <c r="J33" i="18"/>
  <c r="J33" i="37"/>
  <c r="K31" i="16"/>
  <c r="K31" i="23"/>
  <c r="K30" i="16"/>
  <c r="K25" i="18"/>
  <c r="K25" i="37"/>
  <c r="K25" i="33"/>
  <c r="K25" i="29"/>
  <c r="K25" i="23"/>
  <c r="K25" i="20"/>
  <c r="K25" i="13"/>
  <c r="K23" i="37"/>
  <c r="K23" i="20"/>
  <c r="K32" i="18"/>
  <c r="K32" i="33"/>
  <c r="K32" i="29"/>
  <c r="K32" i="23"/>
  <c r="J30" i="16"/>
  <c r="K33" i="23"/>
  <c r="K32" i="20"/>
  <c r="K26" i="18"/>
  <c r="K26" i="33"/>
  <c r="K26" i="29"/>
  <c r="K26" i="20"/>
  <c r="K23" i="35"/>
  <c r="K23" i="13"/>
  <c r="K33" i="18"/>
  <c r="K33" i="33"/>
  <c r="K33" i="29"/>
  <c r="J23" i="20"/>
  <c r="K26" i="35"/>
  <c r="J23" i="37"/>
  <c r="K26" i="37"/>
  <c r="K26" i="23"/>
  <c r="K31" i="13"/>
  <c r="J23" i="18"/>
  <c r="J23" i="29"/>
  <c r="J23" i="23"/>
  <c r="J25" i="18"/>
  <c r="J25" i="37"/>
  <c r="J25" i="33"/>
  <c r="J33" i="16"/>
  <c r="K24" i="24"/>
  <c r="K24" i="23"/>
  <c r="K24" i="13"/>
  <c r="K31" i="18"/>
  <c r="K31" i="33"/>
  <c r="K31" i="29"/>
  <c r="J23" i="16"/>
  <c r="J23" i="35"/>
  <c r="J23" i="13"/>
  <c r="K30" i="20"/>
  <c r="K30" i="13"/>
  <c r="K24" i="18"/>
  <c r="K24" i="33"/>
  <c r="K24" i="29"/>
  <c r="J31" i="37"/>
  <c r="J31" i="24"/>
  <c r="J31" i="35"/>
  <c r="J31" i="13"/>
  <c r="J24" i="18"/>
  <c r="L24" i="18" s="1"/>
  <c r="J24" i="37"/>
  <c r="J24" i="33"/>
  <c r="J24" i="29"/>
  <c r="J24" i="24"/>
  <c r="J24" i="23"/>
  <c r="J24" i="13"/>
  <c r="K23" i="18"/>
  <c r="K23" i="29"/>
  <c r="K23" i="23"/>
  <c r="J31" i="18"/>
  <c r="J31" i="33"/>
  <c r="J31" i="29"/>
  <c r="J31" i="23"/>
  <c r="K24" i="37"/>
  <c r="K30" i="37"/>
  <c r="J30" i="13"/>
  <c r="K32" i="16"/>
  <c r="K23" i="16"/>
  <c r="J23" i="33"/>
  <c r="J30" i="33"/>
  <c r="J30" i="35"/>
  <c r="J32" i="20"/>
  <c r="J32" i="13"/>
  <c r="L32" i="13" s="1"/>
  <c r="J30" i="37"/>
  <c r="J30" i="20"/>
  <c r="K26" i="16"/>
  <c r="J32" i="37"/>
  <c r="J25" i="16"/>
  <c r="K30" i="18"/>
  <c r="K30" i="33"/>
  <c r="K30" i="29"/>
  <c r="K30" i="23"/>
  <c r="J27" i="16"/>
  <c r="K32" i="37"/>
  <c r="K30" i="35"/>
  <c r="J26" i="16"/>
  <c r="K25" i="16"/>
  <c r="J24" i="16"/>
  <c r="K24" i="16"/>
  <c r="K31" i="37"/>
  <c r="K33" i="37"/>
  <c r="K31" i="35"/>
  <c r="K33" i="35"/>
  <c r="K31" i="24"/>
  <c r="K27" i="16"/>
  <c r="L31" i="23" l="1"/>
  <c r="L23" i="33"/>
  <c r="L30" i="37"/>
  <c r="L24" i="23"/>
  <c r="L23" i="35"/>
  <c r="L23" i="20"/>
  <c r="L33" i="16"/>
  <c r="L25" i="18"/>
  <c r="L31" i="29"/>
  <c r="L25" i="23"/>
  <c r="L25" i="29"/>
  <c r="L24" i="33"/>
  <c r="L26" i="33"/>
  <c r="L33" i="23"/>
  <c r="L30" i="35"/>
  <c r="L31" i="18"/>
  <c r="L33" i="18"/>
  <c r="L30" i="20"/>
  <c r="L31" i="13"/>
  <c r="L24" i="13"/>
  <c r="L26" i="35"/>
  <c r="L24" i="37"/>
  <c r="L31" i="37"/>
  <c r="L23" i="23"/>
  <c r="L26" i="20"/>
  <c r="L26" i="37"/>
  <c r="L26" i="29"/>
  <c r="L30" i="29"/>
  <c r="L32" i="37"/>
  <c r="L31" i="33"/>
  <c r="L23" i="13"/>
  <c r="L23" i="29"/>
  <c r="L33" i="37"/>
  <c r="L32" i="23"/>
  <c r="L25" i="13"/>
  <c r="L30" i="18"/>
  <c r="L31" i="35"/>
  <c r="L23" i="18"/>
  <c r="L33" i="29"/>
  <c r="L32" i="20"/>
  <c r="L25" i="33"/>
  <c r="L30" i="16"/>
  <c r="L26" i="23"/>
  <c r="L26" i="18"/>
  <c r="L32" i="29"/>
  <c r="L25" i="20"/>
  <c r="L33" i="33"/>
  <c r="L32" i="16"/>
  <c r="L30" i="13"/>
  <c r="L30" i="33"/>
  <c r="L24" i="24"/>
  <c r="L23" i="16"/>
  <c r="L25" i="37"/>
  <c r="L23" i="37"/>
  <c r="L32" i="33"/>
  <c r="L33" i="20"/>
  <c r="L31" i="24"/>
  <c r="L32" i="18"/>
  <c r="L33" i="35"/>
  <c r="L30" i="23"/>
  <c r="L31" i="16"/>
  <c r="L25" i="16"/>
  <c r="L27" i="16"/>
  <c r="L24" i="16"/>
  <c r="L26" i="16"/>
  <c r="J9" i="72"/>
  <c r="E31" i="13" l="1"/>
  <c r="E31" i="37"/>
  <c r="E31" i="33"/>
  <c r="E31" i="24"/>
  <c r="E31" i="29"/>
  <c r="E31" i="16"/>
  <c r="E23" i="23"/>
  <c r="E23" i="13"/>
  <c r="E23" i="20"/>
  <c r="E23" i="37"/>
  <c r="E23" i="33"/>
  <c r="E23" i="29"/>
  <c r="E23" i="16"/>
  <c r="E25" i="29"/>
  <c r="E25" i="16"/>
  <c r="E25" i="20"/>
  <c r="E25" i="13"/>
  <c r="E27" i="16"/>
  <c r="E30" i="13"/>
  <c r="E30" i="20"/>
  <c r="E30" i="37"/>
  <c r="E30" i="23"/>
  <c r="E30" i="29"/>
  <c r="E30" i="16"/>
  <c r="E30" i="33"/>
  <c r="E32" i="20"/>
  <c r="E32" i="13"/>
  <c r="E32" i="29"/>
  <c r="E32" i="16"/>
  <c r="E24" i="24"/>
  <c r="E24" i="13"/>
  <c r="E24" i="29"/>
  <c r="E24" i="33"/>
  <c r="E24" i="16"/>
  <c r="E24" i="37"/>
  <c r="E33" i="16"/>
  <c r="E26" i="16"/>
  <c r="K7" i="72"/>
  <c r="K9" i="72"/>
  <c r="L9" i="72" s="1"/>
  <c r="J7" i="72"/>
  <c r="K10" i="72"/>
  <c r="D10" i="72"/>
  <c r="D48" i="72"/>
  <c r="D7" i="72"/>
  <c r="J10" i="72"/>
  <c r="L10" i="72" s="1"/>
  <c r="D9" i="72"/>
  <c r="AH12" i="71"/>
  <c r="AE12" i="71"/>
  <c r="AB12" i="71"/>
  <c r="Y12" i="71"/>
  <c r="G12" i="71"/>
  <c r="V12" i="71"/>
  <c r="J12" i="71"/>
  <c r="AH11" i="71"/>
  <c r="AE11" i="71"/>
  <c r="AB11" i="71"/>
  <c r="Y11" i="71"/>
  <c r="V11" i="71"/>
  <c r="S11" i="71"/>
  <c r="J11" i="71"/>
  <c r="D11" i="71"/>
  <c r="G10" i="71"/>
  <c r="AK42" i="70"/>
  <c r="AK41" i="70"/>
  <c r="V40" i="70"/>
  <c r="AH39" i="70"/>
  <c r="AE39" i="70"/>
  <c r="AB39" i="70"/>
  <c r="Y39" i="70"/>
  <c r="G39" i="70"/>
  <c r="S39" i="70"/>
  <c r="P39" i="70"/>
  <c r="J39" i="70"/>
  <c r="D39" i="70"/>
  <c r="AK38" i="70"/>
  <c r="AH37" i="70"/>
  <c r="AE37" i="70"/>
  <c r="AB37" i="70"/>
  <c r="Y37" i="70"/>
  <c r="S37" i="70"/>
  <c r="P37" i="70"/>
  <c r="J37" i="70"/>
  <c r="D37" i="70"/>
  <c r="AH36" i="70"/>
  <c r="AE36" i="70"/>
  <c r="AB36" i="70"/>
  <c r="Y36" i="70"/>
  <c r="S36" i="70"/>
  <c r="J36" i="70"/>
  <c r="V34" i="70"/>
  <c r="AE33" i="70"/>
  <c r="G33" i="70"/>
  <c r="S33" i="70"/>
  <c r="J33" i="70"/>
  <c r="D33" i="70"/>
  <c r="AK32" i="70"/>
  <c r="S31" i="70"/>
  <c r="V30" i="70"/>
  <c r="AK29" i="70"/>
  <c r="AK28" i="70"/>
  <c r="AK27" i="70"/>
  <c r="AK25" i="70"/>
  <c r="AK24" i="70"/>
  <c r="AK23" i="70"/>
  <c r="AK22" i="70"/>
  <c r="AK21" i="70"/>
  <c r="V20" i="70"/>
  <c r="AH19" i="70"/>
  <c r="Y19" i="70"/>
  <c r="S19" i="70"/>
  <c r="AH18" i="70"/>
  <c r="Y18" i="70"/>
  <c r="S18" i="70"/>
  <c r="AH17" i="70"/>
  <c r="Y17" i="70"/>
  <c r="S17" i="70"/>
  <c r="AH16" i="70"/>
  <c r="V15" i="70"/>
  <c r="AH14" i="70"/>
  <c r="AE14" i="70"/>
  <c r="AB14" i="70"/>
  <c r="Y14" i="70"/>
  <c r="G14" i="70"/>
  <c r="S14" i="70"/>
  <c r="P14" i="70"/>
  <c r="J14" i="70"/>
  <c r="D14" i="70"/>
  <c r="AH13" i="70"/>
  <c r="AE13" i="70"/>
  <c r="AB13" i="70"/>
  <c r="Y13" i="70"/>
  <c r="S13" i="70"/>
  <c r="P13" i="70"/>
  <c r="J13" i="70"/>
  <c r="D13" i="70"/>
  <c r="AH12" i="70"/>
  <c r="AE12" i="70"/>
  <c r="AB12" i="70"/>
  <c r="Y12" i="70"/>
  <c r="S12" i="70"/>
  <c r="J12" i="70"/>
  <c r="D12" i="70"/>
  <c r="S11" i="70"/>
  <c r="AK53" i="69"/>
  <c r="V51" i="69"/>
  <c r="AK45" i="69"/>
  <c r="P45" i="69"/>
  <c r="J45" i="69"/>
  <c r="AK44" i="69"/>
  <c r="AE44" i="69"/>
  <c r="Y44" i="69"/>
  <c r="AK43" i="69"/>
  <c r="AH43" i="69"/>
  <c r="AB43" i="69"/>
  <c r="G43" i="69"/>
  <c r="J43" i="69"/>
  <c r="D43" i="69"/>
  <c r="AB42" i="69"/>
  <c r="J42" i="69"/>
  <c r="AE41" i="69"/>
  <c r="D41" i="69"/>
  <c r="AK40" i="69"/>
  <c r="AH40" i="69"/>
  <c r="AE40" i="69"/>
  <c r="AB40" i="69"/>
  <c r="G40" i="69"/>
  <c r="Y40" i="69"/>
  <c r="S40" i="69"/>
  <c r="J40" i="69"/>
  <c r="D40" i="69"/>
  <c r="AK39" i="69"/>
  <c r="AE39" i="69"/>
  <c r="Y39" i="69"/>
  <c r="AK38" i="69"/>
  <c r="AH38" i="69"/>
  <c r="AB38" i="69"/>
  <c r="G38" i="69"/>
  <c r="S38" i="69"/>
  <c r="P38" i="69"/>
  <c r="J38" i="69"/>
  <c r="D38" i="69"/>
  <c r="AK37" i="69"/>
  <c r="AH37" i="69"/>
  <c r="AB37" i="69"/>
  <c r="P37" i="69"/>
  <c r="J37" i="69"/>
  <c r="AK36" i="69"/>
  <c r="AH36" i="69"/>
  <c r="AB36" i="69"/>
  <c r="J36" i="69"/>
  <c r="AB34" i="69"/>
  <c r="AK33" i="69"/>
  <c r="AK32" i="69"/>
  <c r="AH32" i="69"/>
  <c r="AB32" i="69"/>
  <c r="S32" i="69"/>
  <c r="J32" i="69"/>
  <c r="AK31" i="69"/>
  <c r="AH31" i="69"/>
  <c r="AB31" i="69"/>
  <c r="S31" i="69"/>
  <c r="P31" i="69"/>
  <c r="J31" i="69"/>
  <c r="AK30" i="69"/>
  <c r="AH30" i="69"/>
  <c r="J30" i="69"/>
  <c r="AH29" i="69"/>
  <c r="AB29" i="69"/>
  <c r="S29" i="69"/>
  <c r="J29" i="69"/>
  <c r="AK28" i="69"/>
  <c r="AH28" i="69"/>
  <c r="AB28" i="69"/>
  <c r="J28" i="69"/>
  <c r="AK27" i="69"/>
  <c r="AH27" i="69"/>
  <c r="AB27" i="69"/>
  <c r="S27" i="69"/>
  <c r="P27" i="69"/>
  <c r="J27" i="69"/>
  <c r="AH26" i="69"/>
  <c r="AB26" i="69"/>
  <c r="J26" i="69"/>
  <c r="AK25" i="69"/>
  <c r="AH25" i="69"/>
  <c r="AB25" i="69"/>
  <c r="J25" i="69"/>
  <c r="AK24" i="69"/>
  <c r="AH24" i="69"/>
  <c r="AB24" i="69"/>
  <c r="J24" i="69"/>
  <c r="D24" i="69"/>
  <c r="P23" i="69"/>
  <c r="AB22" i="69"/>
  <c r="AK21" i="69"/>
  <c r="AE21" i="69"/>
  <c r="Y21" i="69"/>
  <c r="AK20" i="69"/>
  <c r="AH20" i="69"/>
  <c r="AB20" i="69"/>
  <c r="G20" i="69"/>
  <c r="S20" i="69"/>
  <c r="J20" i="69"/>
  <c r="AK19" i="69"/>
  <c r="AH19" i="69"/>
  <c r="AB19" i="69"/>
  <c r="G19" i="69"/>
  <c r="S19" i="69"/>
  <c r="P19" i="69"/>
  <c r="J19" i="69"/>
  <c r="AK18" i="69"/>
  <c r="AK50" i="69" s="1"/>
  <c r="AH18" i="69"/>
  <c r="Y18" i="69"/>
  <c r="J18" i="69"/>
  <c r="AH17" i="69"/>
  <c r="AB17" i="69"/>
  <c r="S17" i="69"/>
  <c r="J17" i="69"/>
  <c r="AK16" i="69"/>
  <c r="AH16" i="69"/>
  <c r="AB16" i="69"/>
  <c r="J16" i="69"/>
  <c r="AK15" i="69"/>
  <c r="AH15" i="69"/>
  <c r="AB15" i="69"/>
  <c r="S15" i="69"/>
  <c r="P15" i="69"/>
  <c r="J15" i="69"/>
  <c r="AH14" i="69"/>
  <c r="AB14" i="69"/>
  <c r="J14" i="69"/>
  <c r="AK13" i="69"/>
  <c r="AH13" i="69"/>
  <c r="AB13" i="69"/>
  <c r="J13" i="69"/>
  <c r="AK12" i="69"/>
  <c r="AH12" i="69"/>
  <c r="AB12" i="69"/>
  <c r="J12" i="69"/>
  <c r="D12" i="69"/>
  <c r="V47" i="68"/>
  <c r="P47" i="68"/>
  <c r="D47" i="68"/>
  <c r="AH45" i="68"/>
  <c r="AE45" i="68"/>
  <c r="Y45" i="68"/>
  <c r="V45" i="68"/>
  <c r="S45" i="68"/>
  <c r="J45" i="68"/>
  <c r="D45" i="68"/>
  <c r="AN44" i="68"/>
  <c r="AK44" i="68"/>
  <c r="AH44" i="68"/>
  <c r="G44" i="68"/>
  <c r="V44" i="68"/>
  <c r="S44" i="68"/>
  <c r="P44" i="68"/>
  <c r="J44" i="68"/>
  <c r="D44" i="68"/>
  <c r="AH43" i="68"/>
  <c r="AH42" i="68"/>
  <c r="V42" i="68"/>
  <c r="S42" i="68"/>
  <c r="P42" i="68"/>
  <c r="AK41" i="68"/>
  <c r="AH41" i="68"/>
  <c r="AE41" i="68"/>
  <c r="Y41" i="68"/>
  <c r="V41" i="68"/>
  <c r="S41" i="68"/>
  <c r="P41" i="68"/>
  <c r="D41" i="68"/>
  <c r="AN39" i="68"/>
  <c r="AH39" i="68"/>
  <c r="V39" i="68"/>
  <c r="S39" i="68"/>
  <c r="P39" i="68"/>
  <c r="D39" i="68"/>
  <c r="AH38" i="68"/>
  <c r="AN34" i="68"/>
  <c r="AK34" i="68"/>
  <c r="AB34" i="68"/>
  <c r="P34" i="68"/>
  <c r="J34" i="68"/>
  <c r="D34" i="68"/>
  <c r="AT33" i="68"/>
  <c r="AQ33" i="68"/>
  <c r="J33" i="68"/>
  <c r="AK32" i="68"/>
  <c r="AB31" i="68"/>
  <c r="P31" i="68"/>
  <c r="AT30" i="68"/>
  <c r="AQ30" i="68"/>
  <c r="AN29" i="68"/>
  <c r="AK29" i="68"/>
  <c r="AB29" i="68"/>
  <c r="P29" i="68"/>
  <c r="J29" i="68"/>
  <c r="D29" i="68"/>
  <c r="AT28" i="68"/>
  <c r="AQ28" i="68"/>
  <c r="AT27" i="68"/>
  <c r="AQ27" i="68"/>
  <c r="AN26" i="68"/>
  <c r="AK26" i="68"/>
  <c r="AB26" i="68"/>
  <c r="P26" i="68"/>
  <c r="J26" i="68"/>
  <c r="D26" i="68"/>
  <c r="AT25" i="68"/>
  <c r="AQ25" i="68"/>
  <c r="AN24" i="68"/>
  <c r="AK24" i="68"/>
  <c r="AB24" i="68"/>
  <c r="P24" i="68"/>
  <c r="J24" i="68"/>
  <c r="AN22" i="68"/>
  <c r="AK22" i="68"/>
  <c r="Y22" i="68"/>
  <c r="V22" i="68"/>
  <c r="P22" i="68"/>
  <c r="J22" i="68"/>
  <c r="D22" i="68"/>
  <c r="J21" i="68"/>
  <c r="P19" i="68"/>
  <c r="AT18" i="68"/>
  <c r="AQ18" i="68"/>
  <c r="AN17" i="68"/>
  <c r="AK17" i="68"/>
  <c r="Y17" i="68"/>
  <c r="V17" i="68"/>
  <c r="P17" i="68"/>
  <c r="J17" i="68"/>
  <c r="D17" i="68"/>
  <c r="AT16" i="68"/>
  <c r="AQ16" i="68"/>
  <c r="AT15" i="68"/>
  <c r="AQ15" i="68"/>
  <c r="AN14" i="68"/>
  <c r="AK14" i="68"/>
  <c r="Y14" i="68"/>
  <c r="V14" i="68"/>
  <c r="P14" i="68"/>
  <c r="J14" i="68"/>
  <c r="D14" i="68"/>
  <c r="AT13" i="68"/>
  <c r="AQ13" i="68"/>
  <c r="AN12" i="68"/>
  <c r="AK12" i="68"/>
  <c r="P12" i="68"/>
  <c r="J12" i="68"/>
  <c r="Y144" i="67"/>
  <c r="Y143" i="67"/>
  <c r="AU142" i="67"/>
  <c r="AT141" i="67"/>
  <c r="AQ141" i="67"/>
  <c r="Y139" i="67"/>
  <c r="Y138" i="67"/>
  <c r="AT137" i="67"/>
  <c r="AQ137" i="67"/>
  <c r="Y136" i="67"/>
  <c r="Y134" i="67"/>
  <c r="AN132" i="67"/>
  <c r="AE132" i="67"/>
  <c r="Y132" i="67"/>
  <c r="AN131" i="67"/>
  <c r="AE131" i="67"/>
  <c r="Y131" i="67"/>
  <c r="AU130" i="67"/>
  <c r="AN129" i="67"/>
  <c r="AN128" i="67"/>
  <c r="AE128" i="67"/>
  <c r="Y128" i="67"/>
  <c r="AN127" i="67"/>
  <c r="AE127" i="67"/>
  <c r="Y127" i="67"/>
  <c r="AN126" i="67"/>
  <c r="Y126" i="67"/>
  <c r="AN125" i="67"/>
  <c r="AN124" i="67"/>
  <c r="AE124" i="67"/>
  <c r="Y124" i="67"/>
  <c r="AN123" i="67"/>
  <c r="AE123" i="67"/>
  <c r="Y123" i="67"/>
  <c r="AN122" i="67"/>
  <c r="Y122" i="67"/>
  <c r="AN118" i="67"/>
  <c r="AN117" i="67"/>
  <c r="AU116" i="67"/>
  <c r="AT115" i="67"/>
  <c r="AQ115" i="67"/>
  <c r="AT114" i="67"/>
  <c r="AQ114" i="67"/>
  <c r="AT113" i="67"/>
  <c r="AQ113" i="67"/>
  <c r="AT112" i="67"/>
  <c r="AQ112" i="67"/>
  <c r="AT111" i="67"/>
  <c r="AQ111" i="67"/>
  <c r="AT109" i="67"/>
  <c r="AQ109" i="67"/>
  <c r="AN108" i="67"/>
  <c r="AN106" i="67"/>
  <c r="AK106" i="67"/>
  <c r="AB106" i="67"/>
  <c r="J106" i="67"/>
  <c r="D106" i="67"/>
  <c r="AK105" i="67"/>
  <c r="J105" i="67"/>
  <c r="AU104" i="67"/>
  <c r="AN104" i="67"/>
  <c r="AK104" i="67"/>
  <c r="AB104" i="67"/>
  <c r="J104" i="67"/>
  <c r="AT103" i="67"/>
  <c r="AQ103" i="67"/>
  <c r="AT102" i="67"/>
  <c r="AQ102" i="67"/>
  <c r="AN101" i="67"/>
  <c r="AK101" i="67"/>
  <c r="AB101" i="67"/>
  <c r="J101" i="67"/>
  <c r="D101" i="67"/>
  <c r="J100" i="67"/>
  <c r="AN99" i="67"/>
  <c r="J99" i="67"/>
  <c r="AN98" i="67"/>
  <c r="AK98" i="67"/>
  <c r="AB98" i="67"/>
  <c r="J98" i="67"/>
  <c r="D98" i="67"/>
  <c r="J97" i="67"/>
  <c r="AN96" i="67"/>
  <c r="AK96" i="67"/>
  <c r="AB96" i="67"/>
  <c r="J96" i="67"/>
  <c r="AN94" i="67"/>
  <c r="AK94" i="67"/>
  <c r="AB94" i="67"/>
  <c r="S94" i="67"/>
  <c r="J94" i="67"/>
  <c r="AN93" i="67"/>
  <c r="AK93" i="67"/>
  <c r="AB93" i="67"/>
  <c r="S93" i="67"/>
  <c r="J93" i="67"/>
  <c r="AU92" i="67"/>
  <c r="AN92" i="67"/>
  <c r="AB92" i="67"/>
  <c r="S92" i="67"/>
  <c r="AB91" i="67"/>
  <c r="AN90" i="67"/>
  <c r="AB90" i="67"/>
  <c r="AN89" i="67"/>
  <c r="AK89" i="67"/>
  <c r="AB89" i="67"/>
  <c r="S89" i="67"/>
  <c r="J89" i="67"/>
  <c r="AT88" i="67"/>
  <c r="AQ88" i="67"/>
  <c r="AT87" i="67"/>
  <c r="AQ87" i="67"/>
  <c r="AN86" i="67"/>
  <c r="AK86" i="67"/>
  <c r="AB86" i="67"/>
  <c r="S86" i="67"/>
  <c r="J86" i="67"/>
  <c r="AN85" i="67"/>
  <c r="AK85" i="67"/>
  <c r="AB85" i="67"/>
  <c r="AN84" i="67"/>
  <c r="AK84" i="67"/>
  <c r="AB84" i="67"/>
  <c r="S84" i="67"/>
  <c r="J84" i="67"/>
  <c r="AQ83" i="67"/>
  <c r="AK82" i="67"/>
  <c r="AU80" i="67"/>
  <c r="AT79" i="67"/>
  <c r="AQ79" i="67"/>
  <c r="AT78" i="67"/>
  <c r="AQ78" i="67"/>
  <c r="AK77" i="67"/>
  <c r="AT76" i="67"/>
  <c r="AQ76" i="67"/>
  <c r="AT75" i="67"/>
  <c r="AQ75" i="67"/>
  <c r="AK74" i="67"/>
  <c r="AT73" i="67"/>
  <c r="AQ73" i="67"/>
  <c r="AK72" i="67"/>
  <c r="AQ71" i="67"/>
  <c r="AK70" i="67"/>
  <c r="AK69" i="67"/>
  <c r="AU68" i="67"/>
  <c r="AT67" i="67"/>
  <c r="AQ67" i="67"/>
  <c r="AT66" i="67"/>
  <c r="AQ66" i="67"/>
  <c r="AK65" i="67"/>
  <c r="AK64" i="67"/>
  <c r="AK62" i="67"/>
  <c r="AK60" i="67"/>
  <c r="AT59" i="67"/>
  <c r="AQ59" i="67"/>
  <c r="AN58" i="67"/>
  <c r="AK58" i="67"/>
  <c r="AB58" i="67"/>
  <c r="G58" i="67"/>
  <c r="S58" i="67"/>
  <c r="P58" i="67"/>
  <c r="J58" i="67"/>
  <c r="D58" i="67"/>
  <c r="S57" i="67"/>
  <c r="J57" i="67"/>
  <c r="S56" i="67"/>
  <c r="P56" i="67"/>
  <c r="D56" i="67"/>
  <c r="AB55" i="67"/>
  <c r="P55" i="67"/>
  <c r="AT54" i="67"/>
  <c r="AQ54" i="67"/>
  <c r="AK53" i="67"/>
  <c r="AB53" i="67"/>
  <c r="S53" i="67"/>
  <c r="P53" i="67"/>
  <c r="J53" i="67"/>
  <c r="AT52" i="67"/>
  <c r="AQ52" i="67"/>
  <c r="AT51" i="67"/>
  <c r="AQ51" i="67"/>
  <c r="AN50" i="67"/>
  <c r="AK50" i="67"/>
  <c r="AB50" i="67"/>
  <c r="G50" i="67"/>
  <c r="S50" i="67"/>
  <c r="P50" i="67"/>
  <c r="J50" i="67"/>
  <c r="D50" i="67"/>
  <c r="AT49" i="67"/>
  <c r="AQ49" i="67"/>
  <c r="AN48" i="67"/>
  <c r="AK48" i="67"/>
  <c r="S48" i="67"/>
  <c r="P48" i="67"/>
  <c r="J48" i="67"/>
  <c r="AK46" i="67"/>
  <c r="AK45" i="67"/>
  <c r="AK44" i="67"/>
  <c r="AT43" i="67"/>
  <c r="AQ43" i="67"/>
  <c r="AK41" i="67"/>
  <c r="AK40" i="67"/>
  <c r="AK38" i="67"/>
  <c r="AT37" i="67"/>
  <c r="AQ37" i="67"/>
  <c r="AK36" i="67"/>
  <c r="AT34" i="67"/>
  <c r="AQ34" i="67"/>
  <c r="AT33" i="67"/>
  <c r="AQ33" i="67"/>
  <c r="AT31" i="67"/>
  <c r="AQ31" i="67"/>
  <c r="AT30" i="67"/>
  <c r="AQ30" i="67"/>
  <c r="AT29" i="67"/>
  <c r="AQ29" i="67"/>
  <c r="AT28" i="67"/>
  <c r="AQ28" i="67"/>
  <c r="AT27" i="67"/>
  <c r="AQ27" i="67"/>
  <c r="AT26" i="67"/>
  <c r="AQ26" i="67"/>
  <c r="AT25" i="67"/>
  <c r="AQ25" i="67"/>
  <c r="AT24" i="67"/>
  <c r="AQ24" i="67"/>
  <c r="AN22" i="67"/>
  <c r="AK22" i="67"/>
  <c r="AB22" i="67"/>
  <c r="G22" i="67"/>
  <c r="J22" i="67"/>
  <c r="D22" i="67"/>
  <c r="AN21" i="67"/>
  <c r="AK21" i="67"/>
  <c r="AB21" i="67"/>
  <c r="G21" i="67"/>
  <c r="J21" i="67"/>
  <c r="D21" i="67"/>
  <c r="J20" i="67"/>
  <c r="G19" i="67"/>
  <c r="AN18" i="67"/>
  <c r="AB18" i="67"/>
  <c r="AN17" i="67"/>
  <c r="AK17" i="67"/>
  <c r="AB17" i="67"/>
  <c r="G17" i="67"/>
  <c r="J17" i="67"/>
  <c r="D17" i="67"/>
  <c r="AN16" i="67"/>
  <c r="AK16" i="67"/>
  <c r="AB16" i="67"/>
  <c r="G16" i="67"/>
  <c r="J16" i="67"/>
  <c r="D16" i="67"/>
  <c r="AN15" i="67"/>
  <c r="AB15" i="67"/>
  <c r="G15" i="67"/>
  <c r="J15" i="67"/>
  <c r="AN14" i="67"/>
  <c r="AK14" i="67"/>
  <c r="AB14" i="67"/>
  <c r="G14" i="67"/>
  <c r="J14" i="67"/>
  <c r="D14" i="67"/>
  <c r="AN13" i="67"/>
  <c r="AK13" i="67"/>
  <c r="AB13" i="67"/>
  <c r="J13" i="67"/>
  <c r="AN12" i="67"/>
  <c r="AK12" i="67"/>
  <c r="AB12" i="67"/>
  <c r="G12" i="67"/>
  <c r="J12" i="67"/>
  <c r="D12" i="67"/>
  <c r="AN108" i="66"/>
  <c r="AK108" i="66"/>
  <c r="AB108" i="66"/>
  <c r="S108" i="66"/>
  <c r="J108" i="66"/>
  <c r="D108" i="66"/>
  <c r="J107" i="66"/>
  <c r="AT104" i="66"/>
  <c r="AQ104" i="66"/>
  <c r="AN103" i="66"/>
  <c r="AK103" i="66"/>
  <c r="AB103" i="66"/>
  <c r="S103" i="66"/>
  <c r="J103" i="66"/>
  <c r="D103" i="66"/>
  <c r="AT102" i="66"/>
  <c r="AQ102" i="66"/>
  <c r="AT101" i="66"/>
  <c r="AQ101" i="66"/>
  <c r="AN100" i="66"/>
  <c r="AK100" i="66"/>
  <c r="AH100" i="66"/>
  <c r="AB100" i="66"/>
  <c r="S100" i="66"/>
  <c r="J100" i="66"/>
  <c r="D100" i="66"/>
  <c r="AT99" i="66"/>
  <c r="AQ99" i="66"/>
  <c r="J98" i="66"/>
  <c r="AK96" i="66"/>
  <c r="AB96" i="66"/>
  <c r="S96" i="66"/>
  <c r="P96" i="66"/>
  <c r="D96" i="66"/>
  <c r="S95" i="66"/>
  <c r="AK94" i="66"/>
  <c r="P93" i="66"/>
  <c r="AT92" i="66"/>
  <c r="AQ92" i="66"/>
  <c r="AK91" i="66"/>
  <c r="AB91" i="66"/>
  <c r="S91" i="66"/>
  <c r="P91" i="66"/>
  <c r="D91" i="66"/>
  <c r="AT90" i="66"/>
  <c r="AQ90" i="66"/>
  <c r="AT89" i="66"/>
  <c r="AQ89" i="66"/>
  <c r="AK88" i="66"/>
  <c r="AB88" i="66"/>
  <c r="S88" i="66"/>
  <c r="P88" i="66"/>
  <c r="D88" i="66"/>
  <c r="AT87" i="66"/>
  <c r="AQ87" i="66"/>
  <c r="AK86" i="66"/>
  <c r="AB86" i="66"/>
  <c r="S86" i="66"/>
  <c r="P86" i="66"/>
  <c r="AK84" i="66"/>
  <c r="AB84" i="66"/>
  <c r="J84" i="66"/>
  <c r="D84" i="66"/>
  <c r="AK83" i="66"/>
  <c r="AB83" i="66"/>
  <c r="J83" i="66"/>
  <c r="D83" i="66"/>
  <c r="AK82" i="66"/>
  <c r="AB82" i="66"/>
  <c r="AT81" i="66"/>
  <c r="AQ81" i="66"/>
  <c r="AB80" i="66"/>
  <c r="AK79" i="66"/>
  <c r="AB79" i="66"/>
  <c r="J79" i="66"/>
  <c r="D79" i="66"/>
  <c r="AK78" i="66"/>
  <c r="AB78" i="66"/>
  <c r="J78" i="66"/>
  <c r="J77" i="66"/>
  <c r="AK76" i="66"/>
  <c r="AB76" i="66"/>
  <c r="J76" i="66"/>
  <c r="D76" i="66"/>
  <c r="AB75" i="66"/>
  <c r="J75" i="66"/>
  <c r="AK74" i="66"/>
  <c r="AB74" i="66"/>
  <c r="J74" i="66"/>
  <c r="D74" i="66"/>
  <c r="AN72" i="66"/>
  <c r="AK72" i="66"/>
  <c r="AB72" i="66"/>
  <c r="J72" i="66"/>
  <c r="AN71" i="66"/>
  <c r="AK71" i="66"/>
  <c r="AB71" i="66"/>
  <c r="J71" i="66"/>
  <c r="AK70" i="66"/>
  <c r="AT68" i="66"/>
  <c r="AQ68" i="66"/>
  <c r="AN67" i="66"/>
  <c r="AK67" i="66"/>
  <c r="AB67" i="66"/>
  <c r="J67" i="66"/>
  <c r="AT66" i="66"/>
  <c r="AQ66" i="66"/>
  <c r="AT65" i="66"/>
  <c r="AQ65" i="66"/>
  <c r="AN64" i="66"/>
  <c r="AK64" i="66"/>
  <c r="AB64" i="66"/>
  <c r="J64" i="66"/>
  <c r="AN63" i="66"/>
  <c r="AB63" i="66"/>
  <c r="J63" i="66"/>
  <c r="AN62" i="66"/>
  <c r="AK62" i="66"/>
  <c r="AB62" i="66"/>
  <c r="J62" i="66"/>
  <c r="AN58" i="66"/>
  <c r="AK58" i="66"/>
  <c r="AB58" i="66"/>
  <c r="J58" i="66"/>
  <c r="D58" i="66"/>
  <c r="J57" i="66"/>
  <c r="AN56" i="66"/>
  <c r="D56" i="66"/>
  <c r="AT55" i="66"/>
  <c r="AQ55" i="66"/>
  <c r="AT54" i="66"/>
  <c r="AQ54" i="66"/>
  <c r="AK53" i="66"/>
  <c r="AB53" i="66"/>
  <c r="J53" i="66"/>
  <c r="D53" i="66"/>
  <c r="AT52" i="66"/>
  <c r="AQ52" i="66"/>
  <c r="AT51" i="66"/>
  <c r="AQ51" i="66"/>
  <c r="AN50" i="66"/>
  <c r="AK50" i="66"/>
  <c r="AB50" i="66"/>
  <c r="J50" i="66"/>
  <c r="D50" i="66"/>
  <c r="AT49" i="66"/>
  <c r="AQ49" i="66"/>
  <c r="AK48" i="66"/>
  <c r="J48" i="66"/>
  <c r="AN46" i="66"/>
  <c r="AK46" i="66"/>
  <c r="AB46" i="66"/>
  <c r="V46" i="66"/>
  <c r="P46" i="66"/>
  <c r="D46" i="66"/>
  <c r="AT45" i="66"/>
  <c r="AQ45" i="66"/>
  <c r="P43" i="66"/>
  <c r="AT42" i="66"/>
  <c r="AQ42" i="66"/>
  <c r="AN41" i="66"/>
  <c r="AK41" i="66"/>
  <c r="AB41" i="66"/>
  <c r="V41" i="66"/>
  <c r="P41" i="66"/>
  <c r="D41" i="66"/>
  <c r="AT40" i="66"/>
  <c r="AQ40" i="66"/>
  <c r="AT39" i="66"/>
  <c r="AQ39" i="66"/>
  <c r="AN38" i="66"/>
  <c r="AK38" i="66"/>
  <c r="AB38" i="66"/>
  <c r="V38" i="66"/>
  <c r="P38" i="66"/>
  <c r="D38" i="66"/>
  <c r="AT37" i="66"/>
  <c r="AQ37" i="66"/>
  <c r="AN36" i="66"/>
  <c r="AK36" i="66"/>
  <c r="AB36" i="66"/>
  <c r="P36" i="66"/>
  <c r="AK34" i="66"/>
  <c r="AB34" i="66"/>
  <c r="J34" i="66"/>
  <c r="AB33" i="66"/>
  <c r="J33" i="66"/>
  <c r="AB32" i="66"/>
  <c r="AT31" i="66"/>
  <c r="AQ31" i="66"/>
  <c r="AB29" i="66"/>
  <c r="J29" i="66"/>
  <c r="AB28" i="66"/>
  <c r="J28" i="66"/>
  <c r="J27" i="66"/>
  <c r="AK26" i="66"/>
  <c r="AB26" i="66"/>
  <c r="J26" i="66"/>
  <c r="AB25" i="66"/>
  <c r="J25" i="66"/>
  <c r="AK24" i="66"/>
  <c r="AB24" i="66"/>
  <c r="J24" i="66"/>
  <c r="AN22" i="66"/>
  <c r="AK22" i="66"/>
  <c r="AB22" i="66"/>
  <c r="J22" i="66"/>
  <c r="AN21" i="66"/>
  <c r="AK21" i="66"/>
  <c r="AB21" i="66"/>
  <c r="J21" i="66"/>
  <c r="AK20" i="66"/>
  <c r="AN17" i="66"/>
  <c r="AK17" i="66"/>
  <c r="AB17" i="66"/>
  <c r="J17" i="66"/>
  <c r="AT15" i="66"/>
  <c r="AQ15" i="66"/>
  <c r="AN14" i="66"/>
  <c r="AK14" i="66"/>
  <c r="AB14" i="66"/>
  <c r="J14" i="66"/>
  <c r="AN13" i="66"/>
  <c r="AB13" i="66"/>
  <c r="J13" i="66"/>
  <c r="AN12" i="66"/>
  <c r="AK12" i="66"/>
  <c r="AB12" i="66"/>
  <c r="J12" i="66"/>
  <c r="AN44" i="65"/>
  <c r="AK44" i="65"/>
  <c r="AB44" i="65"/>
  <c r="G44" i="65"/>
  <c r="Y44" i="65"/>
  <c r="S44" i="65"/>
  <c r="J44" i="65"/>
  <c r="AN42" i="65"/>
  <c r="AK42" i="65"/>
  <c r="AE42" i="65"/>
  <c r="AB42" i="65"/>
  <c r="V42" i="65"/>
  <c r="S42" i="65"/>
  <c r="P42" i="65"/>
  <c r="J42" i="65"/>
  <c r="D42" i="65"/>
  <c r="AN40" i="65"/>
  <c r="AK40" i="65"/>
  <c r="AE40" i="65"/>
  <c r="AB40" i="65"/>
  <c r="G40" i="65"/>
  <c r="Y40" i="65"/>
  <c r="V40" i="65"/>
  <c r="S40" i="65"/>
  <c r="P40" i="65"/>
  <c r="J40" i="65"/>
  <c r="D40" i="65"/>
  <c r="AN39" i="65"/>
  <c r="AK39" i="65"/>
  <c r="AE39" i="65"/>
  <c r="AB39" i="65"/>
  <c r="G39" i="65"/>
  <c r="Y39" i="65"/>
  <c r="S39" i="65"/>
  <c r="P39" i="65"/>
  <c r="J39" i="65"/>
  <c r="AN38" i="65"/>
  <c r="AK38" i="65"/>
  <c r="AE38" i="65"/>
  <c r="AB38" i="65"/>
  <c r="G38" i="65"/>
  <c r="Y38" i="65"/>
  <c r="S38" i="65"/>
  <c r="P38" i="65"/>
  <c r="J38" i="65"/>
  <c r="AN37" i="65"/>
  <c r="AK37" i="65"/>
  <c r="AE37" i="65"/>
  <c r="AB37" i="65"/>
  <c r="G37" i="65"/>
  <c r="Y37" i="65"/>
  <c r="V37" i="65"/>
  <c r="S37" i="65"/>
  <c r="P37" i="65"/>
  <c r="J37" i="65"/>
  <c r="D37" i="65"/>
  <c r="AN33" i="65"/>
  <c r="AK33" i="65"/>
  <c r="AB33" i="65"/>
  <c r="G33" i="65"/>
  <c r="Y33" i="65"/>
  <c r="J33" i="65"/>
  <c r="AN32" i="65"/>
  <c r="AK32" i="65"/>
  <c r="AH32" i="65"/>
  <c r="AE32" i="65"/>
  <c r="AB32" i="65"/>
  <c r="G32" i="65"/>
  <c r="Y32" i="65"/>
  <c r="V32" i="65"/>
  <c r="S32" i="65"/>
  <c r="P32" i="65"/>
  <c r="J32" i="65"/>
  <c r="D32" i="65"/>
  <c r="AN31" i="65"/>
  <c r="AK31" i="65"/>
  <c r="AE31" i="65"/>
  <c r="AB31" i="65"/>
  <c r="Y31" i="65"/>
  <c r="S31" i="65"/>
  <c r="J31" i="65"/>
  <c r="D31" i="65"/>
  <c r="AN30" i="65"/>
  <c r="AK30" i="65"/>
  <c r="AH30" i="65"/>
  <c r="AB30" i="65"/>
  <c r="G30" i="65"/>
  <c r="Y30" i="65"/>
  <c r="S30" i="65"/>
  <c r="J30" i="65"/>
  <c r="D30" i="65"/>
  <c r="AB29" i="65"/>
  <c r="AN28" i="65"/>
  <c r="AK28" i="65"/>
  <c r="AB28" i="65"/>
  <c r="G28" i="65"/>
  <c r="Y28" i="65"/>
  <c r="S28" i="65"/>
  <c r="J28" i="65"/>
  <c r="AN27" i="65"/>
  <c r="AK27" i="65"/>
  <c r="AB27" i="65"/>
  <c r="P27" i="65"/>
  <c r="J27" i="65"/>
  <c r="D27" i="65"/>
  <c r="AN26" i="65"/>
  <c r="AK26" i="65"/>
  <c r="AE26" i="65"/>
  <c r="AB26" i="65"/>
  <c r="G26" i="65"/>
  <c r="Y26" i="65"/>
  <c r="J26" i="65"/>
  <c r="AN25" i="65"/>
  <c r="AK25" i="65"/>
  <c r="AE25" i="65"/>
  <c r="AB25" i="65"/>
  <c r="G25" i="65"/>
  <c r="Y25" i="65"/>
  <c r="S25" i="65"/>
  <c r="J25" i="65"/>
  <c r="D25" i="65"/>
  <c r="AN24" i="65"/>
  <c r="AK24" i="65"/>
  <c r="AE24" i="65"/>
  <c r="AB24" i="65"/>
  <c r="G24" i="65"/>
  <c r="Y24" i="65"/>
  <c r="S24" i="65"/>
  <c r="P24" i="65"/>
  <c r="J24" i="65"/>
  <c r="AN23" i="65"/>
  <c r="AK23" i="65"/>
  <c r="AE23" i="65"/>
  <c r="AB23" i="65"/>
  <c r="G23" i="65"/>
  <c r="Y23" i="65"/>
  <c r="S23" i="65"/>
  <c r="P23" i="65"/>
  <c r="J23" i="65"/>
  <c r="D23" i="65"/>
  <c r="AE21" i="65"/>
  <c r="AN20" i="65"/>
  <c r="AK20" i="65"/>
  <c r="AH20" i="65"/>
  <c r="AB20" i="65"/>
  <c r="G20" i="65"/>
  <c r="Y20" i="65"/>
  <c r="S20" i="65"/>
  <c r="P20" i="65"/>
  <c r="J20" i="65"/>
  <c r="D20" i="65"/>
  <c r="AN19" i="65"/>
  <c r="AK19" i="65"/>
  <c r="AH19" i="65"/>
  <c r="AE19" i="65"/>
  <c r="AB19" i="65"/>
  <c r="G19" i="65"/>
  <c r="Y19" i="65"/>
  <c r="V19" i="65"/>
  <c r="S19" i="65"/>
  <c r="P19" i="65"/>
  <c r="J19" i="65"/>
  <c r="D19" i="65"/>
  <c r="AN17" i="65"/>
  <c r="AK17" i="65"/>
  <c r="AE17" i="65"/>
  <c r="AB17" i="65"/>
  <c r="G17" i="65"/>
  <c r="Y17" i="65"/>
  <c r="P17" i="65"/>
  <c r="J17" i="65"/>
  <c r="AN16" i="65"/>
  <c r="AK16" i="65"/>
  <c r="AH16" i="65"/>
  <c r="AB16" i="65"/>
  <c r="G16" i="65"/>
  <c r="Y16" i="65"/>
  <c r="S16" i="65"/>
  <c r="P16" i="65"/>
  <c r="J16" i="65"/>
  <c r="D16" i="65"/>
  <c r="AN15" i="65"/>
  <c r="AK15" i="65"/>
  <c r="AE15" i="65"/>
  <c r="AB15" i="65"/>
  <c r="G15" i="65"/>
  <c r="Y15" i="65"/>
  <c r="S15" i="65"/>
  <c r="P15" i="65"/>
  <c r="J15" i="65"/>
  <c r="D15" i="65"/>
  <c r="AN14" i="65"/>
  <c r="AB14" i="65"/>
  <c r="AN13" i="65"/>
  <c r="AK13" i="65"/>
  <c r="AH13" i="65"/>
  <c r="AB13" i="65"/>
  <c r="G13" i="65"/>
  <c r="Y13" i="65"/>
  <c r="S13" i="65"/>
  <c r="P13" i="65"/>
  <c r="J13" i="65"/>
  <c r="D13" i="65"/>
  <c r="AN12" i="65"/>
  <c r="AK12" i="65"/>
  <c r="AB12" i="65"/>
  <c r="G12" i="65"/>
  <c r="Y12" i="65"/>
  <c r="S12" i="65"/>
  <c r="P12" i="65"/>
  <c r="J12" i="65"/>
  <c r="D12" i="65"/>
  <c r="AN11" i="65"/>
  <c r="AK11" i="65"/>
  <c r="AH11" i="65"/>
  <c r="AE11" i="65"/>
  <c r="AB11" i="65"/>
  <c r="G11" i="65"/>
  <c r="Y11" i="65"/>
  <c r="V11" i="65"/>
  <c r="S11" i="65"/>
  <c r="P11" i="65"/>
  <c r="J11" i="65"/>
  <c r="D11" i="65"/>
  <c r="AN89" i="62"/>
  <c r="AK89" i="62"/>
  <c r="AE89" i="62"/>
  <c r="AB89" i="62"/>
  <c r="G89" i="62"/>
  <c r="Y89" i="62"/>
  <c r="V89" i="62"/>
  <c r="S89" i="62"/>
  <c r="P89" i="62"/>
  <c r="J89" i="62"/>
  <c r="D89" i="62"/>
  <c r="AN88" i="62"/>
  <c r="AK88" i="62"/>
  <c r="AH88" i="62"/>
  <c r="AE88" i="62"/>
  <c r="AB88" i="62"/>
  <c r="G88" i="62"/>
  <c r="Y88" i="62"/>
  <c r="V88" i="62"/>
  <c r="S88" i="62"/>
  <c r="J88" i="62"/>
  <c r="D88" i="62"/>
  <c r="AK87" i="62"/>
  <c r="AN86" i="62"/>
  <c r="AK86" i="62"/>
  <c r="AE86" i="62"/>
  <c r="AB86" i="62"/>
  <c r="G86" i="62"/>
  <c r="Y86" i="62"/>
  <c r="S86" i="62"/>
  <c r="P86" i="62"/>
  <c r="J86" i="62"/>
  <c r="D86" i="62"/>
  <c r="AK83" i="62"/>
  <c r="G83" i="62"/>
  <c r="Y83" i="62"/>
  <c r="S83" i="62"/>
  <c r="J83" i="62"/>
  <c r="D83" i="62"/>
  <c r="AB82" i="62"/>
  <c r="AN81" i="62"/>
  <c r="AK81" i="62"/>
  <c r="AH81" i="62"/>
  <c r="AB81" i="62"/>
  <c r="G81" i="62"/>
  <c r="Y81" i="62"/>
  <c r="S81" i="62"/>
  <c r="P81" i="62"/>
  <c r="J81" i="62"/>
  <c r="D81" i="62"/>
  <c r="AN77" i="62"/>
  <c r="AB77" i="62"/>
  <c r="P77" i="62"/>
  <c r="J77" i="62"/>
  <c r="D77" i="62"/>
  <c r="AN76" i="62"/>
  <c r="AK76" i="62"/>
  <c r="AB76" i="62"/>
  <c r="G76" i="62"/>
  <c r="Y76" i="62"/>
  <c r="D76" i="62"/>
  <c r="AN75" i="62"/>
  <c r="AK75" i="62"/>
  <c r="AE75" i="62"/>
  <c r="AB75" i="62"/>
  <c r="G75" i="62"/>
  <c r="Y75" i="62"/>
  <c r="S75" i="62"/>
  <c r="J75" i="62"/>
  <c r="D75" i="62"/>
  <c r="AN74" i="62"/>
  <c r="AK74" i="62"/>
  <c r="AE74" i="62"/>
  <c r="AB74" i="62"/>
  <c r="G74" i="62"/>
  <c r="Y74" i="62"/>
  <c r="S74" i="62"/>
  <c r="P74" i="62"/>
  <c r="J74" i="62"/>
  <c r="D74" i="62"/>
  <c r="AN73" i="62"/>
  <c r="AK73" i="62"/>
  <c r="AE73" i="62"/>
  <c r="AB73" i="62"/>
  <c r="G73" i="62"/>
  <c r="Y73" i="62"/>
  <c r="S73" i="62"/>
  <c r="P73" i="62"/>
  <c r="J73" i="62"/>
  <c r="D73" i="62"/>
  <c r="AN71" i="62"/>
  <c r="AK71" i="62"/>
  <c r="AE71" i="62"/>
  <c r="AB71" i="62"/>
  <c r="Y71" i="62"/>
  <c r="J71" i="62"/>
  <c r="AN70" i="62"/>
  <c r="AK70" i="62"/>
  <c r="AE70" i="62"/>
  <c r="AB70" i="62"/>
  <c r="G70" i="62"/>
  <c r="Y70" i="62"/>
  <c r="S70" i="62"/>
  <c r="J70" i="62"/>
  <c r="AN69" i="62"/>
  <c r="AK69" i="62"/>
  <c r="AH69" i="62"/>
  <c r="AE69" i="62"/>
  <c r="AB69" i="62"/>
  <c r="G69" i="62"/>
  <c r="Y69" i="62"/>
  <c r="V69" i="62"/>
  <c r="S69" i="62"/>
  <c r="P69" i="62"/>
  <c r="J69" i="62"/>
  <c r="D69" i="62"/>
  <c r="AN68" i="62"/>
  <c r="AK68" i="62"/>
  <c r="AH68" i="62"/>
  <c r="AE68" i="62"/>
  <c r="AB68" i="62"/>
  <c r="G68" i="62"/>
  <c r="Y68" i="62"/>
  <c r="V68" i="62"/>
  <c r="S68" i="62"/>
  <c r="P68" i="62"/>
  <c r="J68" i="62"/>
  <c r="D68" i="62"/>
  <c r="AK59" i="62"/>
  <c r="AB59" i="62"/>
  <c r="Y59" i="62"/>
  <c r="S59" i="62"/>
  <c r="P59" i="62"/>
  <c r="D59" i="62"/>
  <c r="AN58" i="62"/>
  <c r="Y58" i="62"/>
  <c r="AN57" i="62"/>
  <c r="G57" i="62"/>
  <c r="Y57" i="62"/>
  <c r="S57" i="62"/>
  <c r="J57" i="62"/>
  <c r="AN56" i="62"/>
  <c r="AK56" i="62"/>
  <c r="G56" i="62"/>
  <c r="Y56" i="62"/>
  <c r="S56" i="62"/>
  <c r="P56" i="62"/>
  <c r="J56" i="62"/>
  <c r="D56" i="62"/>
  <c r="AN55" i="62"/>
  <c r="AK55" i="62"/>
  <c r="AH55" i="62"/>
  <c r="AB55" i="62"/>
  <c r="G55" i="62"/>
  <c r="Y55" i="62"/>
  <c r="S55" i="62"/>
  <c r="P55" i="62"/>
  <c r="J55" i="62"/>
  <c r="D55" i="62"/>
  <c r="Y53" i="62"/>
  <c r="Y51" i="62"/>
  <c r="AN49" i="62"/>
  <c r="Y49" i="62"/>
  <c r="AT48" i="62"/>
  <c r="AQ48" i="62"/>
  <c r="AK46" i="62"/>
  <c r="AB46" i="62"/>
  <c r="P46" i="62"/>
  <c r="D46" i="62"/>
  <c r="AK44" i="62"/>
  <c r="AE44" i="62"/>
  <c r="AB44" i="62"/>
  <c r="Y44" i="62"/>
  <c r="S44" i="62"/>
  <c r="P44" i="62"/>
  <c r="J44" i="62"/>
  <c r="D44" i="62"/>
  <c r="AN43" i="62"/>
  <c r="AK43" i="62"/>
  <c r="AE43" i="62"/>
  <c r="AB43" i="62"/>
  <c r="Y43" i="62"/>
  <c r="J43" i="62"/>
  <c r="D43" i="62"/>
  <c r="AN42" i="62"/>
  <c r="G42" i="62"/>
  <c r="Y42" i="62"/>
  <c r="J42" i="62"/>
  <c r="AN41" i="62"/>
  <c r="AK41" i="62"/>
  <c r="AE41" i="62"/>
  <c r="AB41" i="62"/>
  <c r="G41" i="62"/>
  <c r="Y41" i="62"/>
  <c r="S41" i="62"/>
  <c r="P41" i="62"/>
  <c r="J41" i="62"/>
  <c r="D41" i="62"/>
  <c r="AN40" i="62"/>
  <c r="AK40" i="62"/>
  <c r="AE40" i="62"/>
  <c r="AB40" i="62"/>
  <c r="G40" i="62"/>
  <c r="Y40" i="62"/>
  <c r="P40" i="62"/>
  <c r="J40" i="62"/>
  <c r="D40" i="62"/>
  <c r="AN38" i="62"/>
  <c r="AK38" i="62"/>
  <c r="AE38" i="62"/>
  <c r="AB38" i="62"/>
  <c r="G38" i="62"/>
  <c r="Y38" i="62"/>
  <c r="S38" i="62"/>
  <c r="AN37" i="62"/>
  <c r="AK37" i="62"/>
  <c r="AB37" i="62"/>
  <c r="Y37" i="62"/>
  <c r="J37" i="62"/>
  <c r="AN36" i="62"/>
  <c r="AK36" i="62"/>
  <c r="AE36" i="62"/>
  <c r="AB36" i="62"/>
  <c r="G36" i="62"/>
  <c r="Y36" i="62"/>
  <c r="J36" i="62"/>
  <c r="J35" i="62"/>
  <c r="AN34" i="62"/>
  <c r="AK34" i="62"/>
  <c r="AE34" i="62"/>
  <c r="AB34" i="62"/>
  <c r="G34" i="62"/>
  <c r="Y34" i="62"/>
  <c r="J34" i="62"/>
  <c r="J33" i="62"/>
  <c r="AN28" i="62"/>
  <c r="AK28" i="62"/>
  <c r="AE28" i="62"/>
  <c r="AB28" i="62"/>
  <c r="G28" i="62"/>
  <c r="Y28" i="62"/>
  <c r="S28" i="62"/>
  <c r="P28" i="62"/>
  <c r="J28" i="62"/>
  <c r="D28" i="62"/>
  <c r="AT26" i="62"/>
  <c r="AQ26" i="62"/>
  <c r="AK25" i="62"/>
  <c r="Y25" i="62"/>
  <c r="P25" i="62"/>
  <c r="J25" i="62"/>
  <c r="AN24" i="62"/>
  <c r="AE24" i="62"/>
  <c r="Y24" i="62"/>
  <c r="J24" i="62"/>
  <c r="AN23" i="62"/>
  <c r="AK23" i="62"/>
  <c r="AE23" i="62"/>
  <c r="AB23" i="62"/>
  <c r="G23" i="62"/>
  <c r="Y23" i="62"/>
  <c r="J23" i="62"/>
  <c r="AN22" i="62"/>
  <c r="AK22" i="62"/>
  <c r="AE22" i="62"/>
  <c r="AB22" i="62"/>
  <c r="G22" i="62"/>
  <c r="Y22" i="62"/>
  <c r="S22" i="62"/>
  <c r="P22" i="62"/>
  <c r="J22" i="62"/>
  <c r="D22" i="62"/>
  <c r="AN21" i="62"/>
  <c r="AK21" i="62"/>
  <c r="AB21" i="62"/>
  <c r="G21" i="62"/>
  <c r="Y21" i="62"/>
  <c r="S21" i="62"/>
  <c r="P21" i="62"/>
  <c r="J21" i="62"/>
  <c r="D21" i="62"/>
  <c r="AN20" i="62"/>
  <c r="AK20" i="62"/>
  <c r="AE20" i="62"/>
  <c r="AB20" i="62"/>
  <c r="G20" i="62"/>
  <c r="Y20" i="62"/>
  <c r="S20" i="62"/>
  <c r="P20" i="62"/>
  <c r="J20" i="62"/>
  <c r="AN19" i="62"/>
  <c r="AK19" i="62"/>
  <c r="AE19" i="62"/>
  <c r="Y19" i="62"/>
  <c r="AK18" i="62"/>
  <c r="Y18" i="62"/>
  <c r="AK17" i="62"/>
  <c r="AE17" i="62"/>
  <c r="Y17" i="62"/>
  <c r="AN27" i="62"/>
  <c r="AN15" i="62"/>
  <c r="AK15" i="62"/>
  <c r="AE15" i="62"/>
  <c r="Y15" i="62"/>
  <c r="J15" i="62"/>
  <c r="Y14" i="62"/>
  <c r="L7" i="72" l="1"/>
  <c r="AT61" i="62"/>
  <c r="AQ61" i="62"/>
  <c r="V38" i="68"/>
  <c r="AT69" i="67"/>
  <c r="AQ63" i="67"/>
  <c r="AQ81" i="67"/>
  <c r="AT81" i="67"/>
  <c r="AT63" i="67"/>
  <c r="AQ69" i="67"/>
  <c r="D11" i="70"/>
  <c r="J11" i="70"/>
  <c r="AE35" i="70"/>
  <c r="P35" i="70"/>
  <c r="AT30" i="66"/>
  <c r="AT105" i="66"/>
  <c r="AQ30" i="66"/>
  <c r="AQ105" i="66"/>
  <c r="D43" i="68"/>
  <c r="AN43" i="68"/>
  <c r="AN43" i="69"/>
  <c r="AT26" i="68"/>
  <c r="AK42" i="68"/>
  <c r="Y44" i="68"/>
  <c r="AQ84" i="62"/>
  <c r="AQ140" i="67"/>
  <c r="V16" i="70"/>
  <c r="AT84" i="62"/>
  <c r="AQ18" i="62"/>
  <c r="AQ19" i="62"/>
  <c r="AQ21" i="62"/>
  <c r="AT22" i="62"/>
  <c r="AQ117" i="67"/>
  <c r="AT125" i="67"/>
  <c r="AQ136" i="67"/>
  <c r="AQ22" i="68"/>
  <c r="AH40" i="68"/>
  <c r="AK40" i="68"/>
  <c r="AN41" i="68"/>
  <c r="J42" i="68"/>
  <c r="AT14" i="62"/>
  <c r="AT37" i="62"/>
  <c r="AT41" i="62"/>
  <c r="AT52" i="62"/>
  <c r="AH54" i="62"/>
  <c r="AK54" i="62"/>
  <c r="AQ59" i="62"/>
  <c r="AQ69" i="62"/>
  <c r="AQ70" i="62"/>
  <c r="AT67" i="66"/>
  <c r="AB94" i="66"/>
  <c r="S43" i="68"/>
  <c r="P53" i="69"/>
  <c r="AB11" i="70"/>
  <c r="AE11" i="70"/>
  <c r="AN45" i="68"/>
  <c r="AN45" i="69"/>
  <c r="AK13" i="70"/>
  <c r="AT34" i="66"/>
  <c r="AT77" i="66"/>
  <c r="AQ15" i="67"/>
  <c r="AT45" i="67"/>
  <c r="AQ132" i="67"/>
  <c r="AN19" i="69"/>
  <c r="AQ86" i="66"/>
  <c r="AT22" i="67"/>
  <c r="AT53" i="67"/>
  <c r="AT64" i="67"/>
  <c r="J48" i="68"/>
  <c r="S48" i="68"/>
  <c r="AB48" i="68"/>
  <c r="P48" i="69"/>
  <c r="AK15" i="70"/>
  <c r="AK12" i="71"/>
  <c r="G27" i="62"/>
  <c r="AT40" i="62"/>
  <c r="AT46" i="62"/>
  <c r="P14" i="65"/>
  <c r="AQ15" i="65"/>
  <c r="AT16" i="65"/>
  <c r="AQ19" i="65"/>
  <c r="AQ28" i="65"/>
  <c r="AT108" i="66"/>
  <c r="AT14" i="67"/>
  <c r="AQ38" i="67"/>
  <c r="AT50" i="67"/>
  <c r="AT86" i="67"/>
  <c r="AT93" i="67"/>
  <c r="AQ94" i="67"/>
  <c r="AT106" i="67"/>
  <c r="D42" i="68"/>
  <c r="AE42" i="68"/>
  <c r="G45" i="68"/>
  <c r="V48" i="69"/>
  <c r="AE52" i="69"/>
  <c r="S54" i="69"/>
  <c r="AB54" i="69"/>
  <c r="AK18" i="70"/>
  <c r="AK19" i="70"/>
  <c r="AK20" i="70"/>
  <c r="AT33" i="66"/>
  <c r="AT64" i="66"/>
  <c r="AT71" i="66"/>
  <c r="AT72" i="66"/>
  <c r="AT74" i="66"/>
  <c r="AQ78" i="66"/>
  <c r="AT86" i="66"/>
  <c r="AQ91" i="66"/>
  <c r="AQ53" i="67"/>
  <c r="AT55" i="67"/>
  <c r="AT124" i="67"/>
  <c r="AT22" i="68"/>
  <c r="AK39" i="68"/>
  <c r="V40" i="68"/>
  <c r="AE40" i="68"/>
  <c r="AB47" i="68"/>
  <c r="D48" i="68"/>
  <c r="V48" i="68"/>
  <c r="G48" i="68"/>
  <c r="AN22" i="69"/>
  <c r="AN26" i="69"/>
  <c r="AB48" i="69"/>
  <c r="J52" i="69"/>
  <c r="AT71" i="62"/>
  <c r="AQ74" i="62"/>
  <c r="AT75" i="62"/>
  <c r="AT81" i="62"/>
  <c r="AQ83" i="62"/>
  <c r="AQ86" i="62"/>
  <c r="AT87" i="62"/>
  <c r="AT89" i="62"/>
  <c r="AQ28" i="66"/>
  <c r="AQ12" i="67"/>
  <c r="AT18" i="67"/>
  <c r="AT42" i="67"/>
  <c r="AT46" i="67"/>
  <c r="AQ86" i="67"/>
  <c r="AT89" i="67"/>
  <c r="AQ90" i="67"/>
  <c r="AT105" i="67"/>
  <c r="AT21" i="68"/>
  <c r="AQ34" i="68"/>
  <c r="D38" i="68"/>
  <c r="AN48" i="68"/>
  <c r="AN14" i="69"/>
  <c r="AN15" i="69"/>
  <c r="AK51" i="69"/>
  <c r="AN21" i="69"/>
  <c r="AN24" i="69"/>
  <c r="AN37" i="69"/>
  <c r="AN44" i="69"/>
  <c r="AH54" i="69"/>
  <c r="AK17" i="70"/>
  <c r="AK33" i="70"/>
  <c r="AK34" i="70"/>
  <c r="H26" i="9"/>
  <c r="D47" i="72"/>
  <c r="G26" i="9"/>
  <c r="G67" i="9" s="1"/>
  <c r="B26" i="9"/>
  <c r="M26" i="8" s="1"/>
  <c r="AQ14" i="62"/>
  <c r="AQ15" i="62"/>
  <c r="AB27" i="62"/>
  <c r="AQ37" i="62"/>
  <c r="AQ38" i="62"/>
  <c r="AQ51" i="62"/>
  <c r="AQ52" i="62"/>
  <c r="AT55" i="62"/>
  <c r="AT57" i="62"/>
  <c r="AT68" i="62"/>
  <c r="AQ17" i="65"/>
  <c r="AQ20" i="65"/>
  <c r="AT17" i="66"/>
  <c r="AT28" i="66"/>
  <c r="AQ33" i="66"/>
  <c r="AT41" i="66"/>
  <c r="AQ67" i="66"/>
  <c r="AT91" i="66"/>
  <c r="AQ96" i="66"/>
  <c r="AT98" i="66"/>
  <c r="AT107" i="66"/>
  <c r="AT15" i="67"/>
  <c r="AQ16" i="67"/>
  <c r="AQ46" i="67"/>
  <c r="AT74" i="67"/>
  <c r="AQ84" i="67"/>
  <c r="AQ85" i="67"/>
  <c r="AQ97" i="67"/>
  <c r="AQ99" i="67"/>
  <c r="AQ100" i="67"/>
  <c r="AT108" i="67"/>
  <c r="AQ118" i="67"/>
  <c r="AQ122" i="67"/>
  <c r="AQ128" i="67"/>
  <c r="AQ131" i="67"/>
  <c r="V43" i="68"/>
  <c r="AE44" i="68"/>
  <c r="G47" i="68"/>
  <c r="AE48" i="68"/>
  <c r="AN20" i="69"/>
  <c r="AH50" i="69"/>
  <c r="AK14" i="70"/>
  <c r="D40" i="68"/>
  <c r="AN34" i="69"/>
  <c r="AN39" i="69"/>
  <c r="AN40" i="69"/>
  <c r="J50" i="69"/>
  <c r="Y50" i="69"/>
  <c r="AL40" i="70"/>
  <c r="Y52" i="69"/>
  <c r="J31" i="70"/>
  <c r="Y16" i="62"/>
  <c r="AT28" i="62"/>
  <c r="AQ33" i="62"/>
  <c r="AQ40" i="62"/>
  <c r="AT42" i="62"/>
  <c r="AQ46" i="62"/>
  <c r="AT69" i="62"/>
  <c r="AT76" i="62"/>
  <c r="AQ77" i="62"/>
  <c r="AQ78" i="62"/>
  <c r="AT82" i="62"/>
  <c r="AT12" i="65"/>
  <c r="AQ13" i="65"/>
  <c r="AQ27" i="65"/>
  <c r="AQ33" i="65"/>
  <c r="AQ44" i="65"/>
  <c r="AQ13" i="66"/>
  <c r="AQ22" i="66"/>
  <c r="AQ26" i="66"/>
  <c r="AQ53" i="66"/>
  <c r="AN70" i="66"/>
  <c r="AQ71" i="66"/>
  <c r="AQ74" i="66"/>
  <c r="AT78" i="66"/>
  <c r="AT80" i="66"/>
  <c r="AT16" i="67"/>
  <c r="AQ17" i="67"/>
  <c r="AT19" i="67"/>
  <c r="AN20" i="67"/>
  <c r="AQ40" i="67"/>
  <c r="AT60" i="67"/>
  <c r="AT72" i="67"/>
  <c r="AT77" i="67"/>
  <c r="AT82" i="67"/>
  <c r="AT84" i="67"/>
  <c r="AT118" i="67"/>
  <c r="AT140" i="67"/>
  <c r="AQ12" i="68"/>
  <c r="AQ19" i="68"/>
  <c r="G41" i="68"/>
  <c r="Y43" i="68"/>
  <c r="AB43" i="68"/>
  <c r="AK45" i="68"/>
  <c r="S47" i="68"/>
  <c r="AN30" i="69"/>
  <c r="J49" i="69"/>
  <c r="S49" i="69"/>
  <c r="AB49" i="69"/>
  <c r="G51" i="69"/>
  <c r="AH51" i="69"/>
  <c r="AT15" i="62"/>
  <c r="AT17" i="62"/>
  <c r="AT19" i="62"/>
  <c r="AT21" i="62"/>
  <c r="AT23" i="62"/>
  <c r="AQ25" i="62"/>
  <c r="AT33" i="62"/>
  <c r="AQ41" i="62"/>
  <c r="AQ42" i="62"/>
  <c r="AQ43" i="62"/>
  <c r="AT53" i="62"/>
  <c r="AQ56" i="62"/>
  <c r="AQ68" i="62"/>
  <c r="AT86" i="62"/>
  <c r="AQ87" i="62"/>
  <c r="AQ88" i="62"/>
  <c r="AQ89" i="62"/>
  <c r="AT19" i="65"/>
  <c r="AT14" i="66"/>
  <c r="AT22" i="66"/>
  <c r="AT36" i="66"/>
  <c r="AT38" i="66"/>
  <c r="AQ41" i="66"/>
  <c r="AQ48" i="66"/>
  <c r="AT57" i="66"/>
  <c r="AQ58" i="66"/>
  <c r="AQ107" i="66"/>
  <c r="AQ108" i="66"/>
  <c r="AQ72" i="67"/>
  <c r="AQ127" i="67"/>
  <c r="S11" i="69"/>
  <c r="AH23" i="69"/>
  <c r="Y41" i="69"/>
  <c r="G11" i="70"/>
  <c r="AK35" i="62"/>
  <c r="AB39" i="62"/>
  <c r="AQ58" i="62"/>
  <c r="AT50" i="66"/>
  <c r="AT63" i="66"/>
  <c r="AQ84" i="66"/>
  <c r="AB11" i="69"/>
  <c r="G35" i="69"/>
  <c r="Y16" i="70"/>
  <c r="G31" i="70"/>
  <c r="AE31" i="70"/>
  <c r="Y142" i="67"/>
  <c r="AQ23" i="62"/>
  <c r="AQ24" i="62"/>
  <c r="AT38" i="62"/>
  <c r="Y39" i="62"/>
  <c r="AT43" i="62"/>
  <c r="AQ44" i="62"/>
  <c r="AT49" i="62"/>
  <c r="AT51" i="62"/>
  <c r="AQ55" i="62"/>
  <c r="AT56" i="62"/>
  <c r="AT58" i="62"/>
  <c r="AT59" i="62"/>
  <c r="AT70" i="62"/>
  <c r="AT74" i="62"/>
  <c r="AQ75" i="62"/>
  <c r="AQ76" i="62"/>
  <c r="AT77" i="62"/>
  <c r="AT78" i="62"/>
  <c r="AQ82" i="62"/>
  <c r="AT15" i="65"/>
  <c r="AT20" i="65"/>
  <c r="J21" i="65"/>
  <c r="AK21" i="65"/>
  <c r="AQ38" i="65"/>
  <c r="AQ39" i="65"/>
  <c r="J20" i="66"/>
  <c r="AT24" i="66"/>
  <c r="AQ36" i="66"/>
  <c r="AT48" i="66"/>
  <c r="AT53" i="66"/>
  <c r="AT62" i="66"/>
  <c r="AQ63" i="66"/>
  <c r="AQ69" i="66"/>
  <c r="AT75" i="66"/>
  <c r="AQ79" i="66"/>
  <c r="AT84" i="66"/>
  <c r="AQ93" i="66"/>
  <c r="AQ98" i="66"/>
  <c r="AQ22" i="67"/>
  <c r="AQ42" i="67"/>
  <c r="AQ55" i="67"/>
  <c r="AQ64" i="67"/>
  <c r="S40" i="68"/>
  <c r="AQ18" i="67"/>
  <c r="AQ48" i="67"/>
  <c r="AQ60" i="67"/>
  <c r="AQ61" i="67"/>
  <c r="AT65" i="67"/>
  <c r="AQ70" i="67"/>
  <c r="AQ82" i="67"/>
  <c r="AT85" i="67"/>
  <c r="AQ89" i="67"/>
  <c r="AT90" i="67"/>
  <c r="AQ93" i="67"/>
  <c r="AT94" i="67"/>
  <c r="AT96" i="67"/>
  <c r="AQ98" i="67"/>
  <c r="AT99" i="67"/>
  <c r="AQ110" i="67"/>
  <c r="AT117" i="67"/>
  <c r="AT122" i="67"/>
  <c r="AT123" i="67"/>
  <c r="AT131" i="67"/>
  <c r="AT139" i="67"/>
  <c r="AT14" i="68"/>
  <c r="AQ29" i="68"/>
  <c r="AT34" i="68"/>
  <c r="J38" i="68"/>
  <c r="J40" i="68"/>
  <c r="Y42" i="68"/>
  <c r="AE43" i="68"/>
  <c r="AE47" i="68"/>
  <c r="P48" i="68"/>
  <c r="AH48" i="68"/>
  <c r="AN25" i="69"/>
  <c r="Y47" i="69"/>
  <c r="AN38" i="69"/>
  <c r="P49" i="69"/>
  <c r="AB53" i="69"/>
  <c r="J54" i="69"/>
  <c r="AK30" i="70"/>
  <c r="AK11" i="71"/>
  <c r="AQ13" i="67"/>
  <c r="AQ21" i="67"/>
  <c r="AQ39" i="67"/>
  <c r="AT48" i="67"/>
  <c r="AQ50" i="67"/>
  <c r="AT57" i="67"/>
  <c r="AT61" i="67"/>
  <c r="AQ65" i="67"/>
  <c r="AQ74" i="67"/>
  <c r="AQ125" i="67"/>
  <c r="AT128" i="67"/>
  <c r="AT134" i="67"/>
  <c r="AT136" i="67"/>
  <c r="AQ139" i="67"/>
  <c r="AQ143" i="67"/>
  <c r="AQ17" i="68"/>
  <c r="AQ31" i="68"/>
  <c r="P40" i="68"/>
  <c r="AK43" i="68"/>
  <c r="P45" i="68"/>
  <c r="AN47" i="68"/>
  <c r="AN13" i="69"/>
  <c r="AH53" i="69"/>
  <c r="Y54" i="69"/>
  <c r="AT129" i="67"/>
  <c r="AT24" i="68"/>
  <c r="AT29" i="68"/>
  <c r="P38" i="68"/>
  <c r="AB44" i="68"/>
  <c r="AK47" i="68"/>
  <c r="Y48" i="68"/>
  <c r="Y11" i="69"/>
  <c r="AN31" i="69"/>
  <c r="P51" i="69"/>
  <c r="G54" i="69"/>
  <c r="AE54" i="69"/>
  <c r="AK36" i="70"/>
  <c r="P29" i="65"/>
  <c r="D104" i="67"/>
  <c r="Y20" i="68"/>
  <c r="S16" i="70"/>
  <c r="S54" i="62"/>
  <c r="AN79" i="62"/>
  <c r="AE16" i="62"/>
  <c r="J54" i="62"/>
  <c r="AE14" i="65"/>
  <c r="Y29" i="65"/>
  <c r="AQ40" i="65"/>
  <c r="P94" i="66"/>
  <c r="AN106" i="66"/>
  <c r="AN20" i="68"/>
  <c r="V31" i="70"/>
  <c r="P11" i="70"/>
  <c r="P44" i="66"/>
  <c r="G85" i="62"/>
  <c r="D94" i="66"/>
  <c r="AK16" i="62"/>
  <c r="D14" i="65"/>
  <c r="AK29" i="65"/>
  <c r="D44" i="66"/>
  <c r="AB56" i="66"/>
  <c r="AT18" i="62"/>
  <c r="AQ49" i="62"/>
  <c r="AQ71" i="62"/>
  <c r="AT88" i="62"/>
  <c r="AQ12" i="65"/>
  <c r="AQ26" i="65"/>
  <c r="AT27" i="66"/>
  <c r="AK56" i="66"/>
  <c r="AQ77" i="66"/>
  <c r="J82" i="66"/>
  <c r="J56" i="67"/>
  <c r="AQ124" i="67"/>
  <c r="S35" i="62"/>
  <c r="AN35" i="62"/>
  <c r="AQ36" i="62"/>
  <c r="G39" i="62"/>
  <c r="AE39" i="62"/>
  <c r="AN54" i="62"/>
  <c r="AT73" i="62"/>
  <c r="AN16" i="62"/>
  <c r="AQ17" i="62"/>
  <c r="AQ20" i="62"/>
  <c r="AT24" i="62"/>
  <c r="AQ28" i="62"/>
  <c r="AT34" i="62"/>
  <c r="AT36" i="62"/>
  <c r="AT44" i="62"/>
  <c r="AQ53" i="62"/>
  <c r="D54" i="62"/>
  <c r="P54" i="62"/>
  <c r="AQ73" i="62"/>
  <c r="AK79" i="62"/>
  <c r="AQ81" i="62"/>
  <c r="AT83" i="62"/>
  <c r="Y85" i="62"/>
  <c r="AB85" i="62"/>
  <c r="AQ11" i="65"/>
  <c r="AT13" i="65"/>
  <c r="V14" i="65"/>
  <c r="AQ16" i="65"/>
  <c r="AT17" i="65"/>
  <c r="S21" i="65"/>
  <c r="AQ23" i="65"/>
  <c r="AQ24" i="65"/>
  <c r="AQ25" i="65"/>
  <c r="J29" i="65"/>
  <c r="AQ32" i="65"/>
  <c r="AT26" i="66"/>
  <c r="AQ29" i="66"/>
  <c r="AQ38" i="66"/>
  <c r="AQ46" i="66"/>
  <c r="AQ57" i="66"/>
  <c r="AQ62" i="66"/>
  <c r="J70" i="66"/>
  <c r="AT79" i="66"/>
  <c r="AT83" i="66"/>
  <c r="AQ95" i="66"/>
  <c r="AT96" i="66"/>
  <c r="AT13" i="67"/>
  <c r="AT40" i="67"/>
  <c r="AQ58" i="67"/>
  <c r="J92" i="67"/>
  <c r="AT97" i="67"/>
  <c r="AQ129" i="67"/>
  <c r="AN130" i="67"/>
  <c r="AT12" i="68"/>
  <c r="AQ26" i="68"/>
  <c r="AB39" i="68"/>
  <c r="J41" i="68"/>
  <c r="G42" i="68"/>
  <c r="S35" i="69"/>
  <c r="V11" i="70"/>
  <c r="V35" i="70"/>
  <c r="D36" i="70"/>
  <c r="G38" i="68"/>
  <c r="AT25" i="62"/>
  <c r="AQ57" i="62"/>
  <c r="AT25" i="66"/>
  <c r="AQ22" i="62"/>
  <c r="AT11" i="65"/>
  <c r="G14" i="65"/>
  <c r="AH34" i="65"/>
  <c r="Y21" i="65"/>
  <c r="AN21" i="65"/>
  <c r="D29" i="65"/>
  <c r="S29" i="65"/>
  <c r="AK44" i="66"/>
  <c r="AB70" i="66"/>
  <c r="AT76" i="66"/>
  <c r="AT100" i="66"/>
  <c r="D106" i="66"/>
  <c r="S106" i="66"/>
  <c r="AK20" i="67"/>
  <c r="AK56" i="67"/>
  <c r="AT101" i="67"/>
  <c r="AT135" i="67"/>
  <c r="AB40" i="68"/>
  <c r="AQ37" i="65"/>
  <c r="AQ27" i="66"/>
  <c r="AT29" i="66"/>
  <c r="AQ34" i="66"/>
  <c r="AT46" i="66"/>
  <c r="AQ50" i="66"/>
  <c r="AT58" i="66"/>
  <c r="AQ64" i="66"/>
  <c r="AQ75" i="66"/>
  <c r="AQ76" i="66"/>
  <c r="AQ80" i="66"/>
  <c r="AQ88" i="66"/>
  <c r="AT93" i="66"/>
  <c r="AQ103" i="66"/>
  <c r="AT17" i="67"/>
  <c r="D20" i="67"/>
  <c r="G20" i="67"/>
  <c r="AT21" i="67"/>
  <c r="AN40" i="68"/>
  <c r="AT38" i="67"/>
  <c r="AT39" i="67"/>
  <c r="G56" i="67"/>
  <c r="AQ57" i="67"/>
  <c r="AT58" i="67"/>
  <c r="AQ62" i="67"/>
  <c r="AK68" i="67"/>
  <c r="AQ96" i="67"/>
  <c r="AT98" i="67"/>
  <c r="AT100" i="67"/>
  <c r="AQ105" i="67"/>
  <c r="AQ126" i="67"/>
  <c r="AT132" i="67"/>
  <c r="AT143" i="67"/>
  <c r="AT144" i="67"/>
  <c r="AT19" i="68"/>
  <c r="J20" i="68"/>
  <c r="AQ21" i="68"/>
  <c r="AT31" i="68"/>
  <c r="Y38" i="68"/>
  <c r="AB38" i="68"/>
  <c r="G39" i="68"/>
  <c r="AE39" i="68"/>
  <c r="AB42" i="68"/>
  <c r="J43" i="68"/>
  <c r="AB45" i="68"/>
  <c r="AH11" i="69"/>
  <c r="AN18" i="69"/>
  <c r="AK52" i="69"/>
  <c r="S23" i="69"/>
  <c r="AK48" i="69"/>
  <c r="AK54" i="69"/>
  <c r="D49" i="69"/>
  <c r="AL37" i="70"/>
  <c r="AM42" i="70"/>
  <c r="P54" i="69"/>
  <c r="Y11" i="70"/>
  <c r="Y35" i="70"/>
  <c r="D31" i="70"/>
  <c r="AT41" i="67"/>
  <c r="AQ77" i="67"/>
  <c r="AT91" i="67"/>
  <c r="AT126" i="67"/>
  <c r="AQ134" i="67"/>
  <c r="AQ144" i="67"/>
  <c r="P43" i="68"/>
  <c r="AN29" i="69"/>
  <c r="J35" i="69"/>
  <c r="AH11" i="70"/>
  <c r="AK40" i="70"/>
  <c r="G43" i="68"/>
  <c r="AN16" i="69"/>
  <c r="AK23" i="69"/>
  <c r="AN32" i="69"/>
  <c r="AN33" i="69"/>
  <c r="AE35" i="69"/>
  <c r="AH35" i="69"/>
  <c r="J41" i="69"/>
  <c r="AK41" i="69"/>
  <c r="AN42" i="69"/>
  <c r="D48" i="69"/>
  <c r="AH49" i="69"/>
  <c r="D50" i="69"/>
  <c r="P50" i="69"/>
  <c r="V50" i="69"/>
  <c r="AB51" i="69"/>
  <c r="V26" i="70"/>
  <c r="AK48" i="68"/>
  <c r="AN12" i="69"/>
  <c r="AN28" i="69"/>
  <c r="J48" i="69"/>
  <c r="J51" i="69"/>
  <c r="AK37" i="70"/>
  <c r="AK39" i="70"/>
  <c r="AM38" i="70"/>
  <c r="AN36" i="69"/>
  <c r="D11" i="69"/>
  <c r="AK11" i="69"/>
  <c r="AK49" i="69"/>
  <c r="J23" i="69"/>
  <c r="D35" i="69"/>
  <c r="P35" i="69"/>
  <c r="Y35" i="69"/>
  <c r="AB35" i="69"/>
  <c r="AK35" i="69"/>
  <c r="J53" i="69"/>
  <c r="J11" i="69"/>
  <c r="P11" i="69"/>
  <c r="G11" i="69"/>
  <c r="AN17" i="69"/>
  <c r="AN27" i="69"/>
  <c r="G41" i="69"/>
  <c r="AB41" i="69"/>
  <c r="AH41" i="69"/>
  <c r="AH48" i="69"/>
  <c r="AL36" i="70"/>
  <c r="S51" i="69"/>
  <c r="AE11" i="69"/>
  <c r="D23" i="69"/>
  <c r="AB23" i="69"/>
  <c r="V49" i="69"/>
  <c r="D51" i="69"/>
  <c r="AM41" i="70"/>
  <c r="D54" i="69"/>
  <c r="AK12" i="70"/>
  <c r="J34" i="65"/>
  <c r="AT21" i="66"/>
  <c r="AN116" i="67"/>
  <c r="Y14" i="65"/>
  <c r="P21" i="65"/>
  <c r="G21" i="65"/>
  <c r="AH21" i="65"/>
  <c r="AN29" i="65"/>
  <c r="AE34" i="65"/>
  <c r="AQ14" i="66"/>
  <c r="J32" i="66"/>
  <c r="D82" i="66"/>
  <c r="AN38" i="68"/>
  <c r="AQ36" i="67"/>
  <c r="Y130" i="67"/>
  <c r="AE29" i="65"/>
  <c r="AQ30" i="65"/>
  <c r="AT12" i="66"/>
  <c r="AT13" i="66"/>
  <c r="AQ24" i="66"/>
  <c r="AT43" i="66"/>
  <c r="AB44" i="66"/>
  <c r="J56" i="66"/>
  <c r="AT69" i="66"/>
  <c r="AQ70" i="66"/>
  <c r="J106" i="66"/>
  <c r="AQ14" i="67"/>
  <c r="AQ19" i="67"/>
  <c r="AQ45" i="67"/>
  <c r="AB56" i="67"/>
  <c r="AT62" i="67"/>
  <c r="AT70" i="67"/>
  <c r="AK80" i="67"/>
  <c r="AQ106" i="67"/>
  <c r="AT110" i="67"/>
  <c r="AQ24" i="68"/>
  <c r="G29" i="65"/>
  <c r="AK32" i="66"/>
  <c r="AH106" i="66"/>
  <c r="AQ104" i="67"/>
  <c r="J14" i="65"/>
  <c r="S14" i="65"/>
  <c r="AH14" i="65"/>
  <c r="D21" i="65"/>
  <c r="V21" i="65"/>
  <c r="AT19" i="66"/>
  <c r="AN20" i="66"/>
  <c r="S94" i="66"/>
  <c r="D46" i="68"/>
  <c r="AK14" i="65"/>
  <c r="AB21" i="65"/>
  <c r="AQ31" i="65"/>
  <c r="AQ42" i="65"/>
  <c r="AQ12" i="66"/>
  <c r="AT16" i="66"/>
  <c r="AQ17" i="66"/>
  <c r="AQ18" i="66"/>
  <c r="AT18" i="66"/>
  <c r="AQ19" i="66"/>
  <c r="AB20" i="66"/>
  <c r="AQ25" i="66"/>
  <c r="AN44" i="66"/>
  <c r="AQ83" i="66"/>
  <c r="AB106" i="66"/>
  <c r="AB20" i="67"/>
  <c r="AN56" i="67"/>
  <c r="AQ108" i="67"/>
  <c r="Y47" i="68"/>
  <c r="AQ16" i="66"/>
  <c r="AE46" i="68"/>
  <c r="AQ21" i="66"/>
  <c r="AQ43" i="66"/>
  <c r="V44" i="66"/>
  <c r="AT56" i="66"/>
  <c r="AT70" i="66"/>
  <c r="AQ72" i="66"/>
  <c r="AT88" i="66"/>
  <c r="AT95" i="66"/>
  <c r="AQ100" i="66"/>
  <c r="AT103" i="66"/>
  <c r="AK106" i="66"/>
  <c r="AT12" i="67"/>
  <c r="AQ41" i="67"/>
  <c r="AQ91" i="67"/>
  <c r="AK92" i="67"/>
  <c r="AQ101" i="67"/>
  <c r="AQ123" i="67"/>
  <c r="AE130" i="67"/>
  <c r="P32" i="68"/>
  <c r="J39" i="68"/>
  <c r="AT20" i="67"/>
  <c r="AT68" i="67"/>
  <c r="AQ92" i="67"/>
  <c r="AT127" i="67"/>
  <c r="AQ130" i="67"/>
  <c r="AT138" i="67"/>
  <c r="S38" i="68"/>
  <c r="Y40" i="68"/>
  <c r="AQ138" i="67"/>
  <c r="AQ14" i="68"/>
  <c r="AT17" i="68"/>
  <c r="AN32" i="68"/>
  <c r="AE38" i="68"/>
  <c r="AK38" i="68"/>
  <c r="AB41" i="68"/>
  <c r="AQ135" i="67"/>
  <c r="AH47" i="68"/>
  <c r="D20" i="68"/>
  <c r="P20" i="68"/>
  <c r="V20" i="68"/>
  <c r="AK20" i="68"/>
  <c r="D32" i="68"/>
  <c r="Y39" i="68"/>
  <c r="AN42" i="68"/>
  <c r="AQ20" i="68"/>
  <c r="G40" i="68"/>
  <c r="J47" i="68"/>
  <c r="J32" i="68"/>
  <c r="AB32" i="68"/>
  <c r="Y27" i="62"/>
  <c r="V29" i="62"/>
  <c r="J27" i="62"/>
  <c r="P27" i="62"/>
  <c r="D27" i="62"/>
  <c r="S27" i="62"/>
  <c r="AH29" i="62"/>
  <c r="G35" i="62"/>
  <c r="AQ16" i="62"/>
  <c r="AQ34" i="62"/>
  <c r="Y35" i="62"/>
  <c r="S39" i="62"/>
  <c r="AK39" i="62"/>
  <c r="AT16" i="62"/>
  <c r="D20" i="62"/>
  <c r="AT20" i="62"/>
  <c r="AB35" i="62"/>
  <c r="J39" i="62"/>
  <c r="AN39" i="62"/>
  <c r="D39" i="62"/>
  <c r="AE35" i="62"/>
  <c r="P39" i="62"/>
  <c r="G54" i="62"/>
  <c r="J79" i="62"/>
  <c r="S79" i="62"/>
  <c r="Y79" i="62"/>
  <c r="AB79" i="62"/>
  <c r="J85" i="62"/>
  <c r="S85" i="62"/>
  <c r="AN85" i="62"/>
  <c r="Y91" i="62"/>
  <c r="Y50" i="62"/>
  <c r="Y54" i="62"/>
  <c r="AB54" i="62"/>
  <c r="D79" i="62"/>
  <c r="P79" i="62"/>
  <c r="V79" i="62"/>
  <c r="G79" i="62"/>
  <c r="AE79" i="62"/>
  <c r="D85" i="62"/>
  <c r="P85" i="62"/>
  <c r="AH85" i="62"/>
  <c r="AK85" i="62"/>
  <c r="AT92" i="67" l="1"/>
  <c r="AK31" i="70"/>
  <c r="AT116" i="67"/>
  <c r="AQ32" i="68"/>
  <c r="AQ40" i="68"/>
  <c r="AT44" i="68"/>
  <c r="AT36" i="67"/>
  <c r="AT45" i="68"/>
  <c r="AQ43" i="68"/>
  <c r="AN49" i="69"/>
  <c r="AT32" i="67"/>
  <c r="AT94" i="66"/>
  <c r="C26" i="9"/>
  <c r="AT39" i="62"/>
  <c r="B67" i="9"/>
  <c r="AH35" i="70"/>
  <c r="AT20" i="68"/>
  <c r="AH47" i="69"/>
  <c r="AK27" i="62"/>
  <c r="AQ41" i="68"/>
  <c r="AM36" i="70"/>
  <c r="AN36" i="70" s="1"/>
  <c r="V46" i="68"/>
  <c r="AQ27" i="62"/>
  <c r="AT27" i="62"/>
  <c r="AE27" i="62"/>
  <c r="AQ42" i="68"/>
  <c r="AT106" i="66"/>
  <c r="AK26" i="70"/>
  <c r="AN52" i="69"/>
  <c r="AK16" i="70"/>
  <c r="AT43" i="68"/>
  <c r="AT14" i="65"/>
  <c r="AN41" i="69"/>
  <c r="AB47" i="69"/>
  <c r="AT21" i="65"/>
  <c r="AQ45" i="68"/>
  <c r="AQ44" i="68"/>
  <c r="AK47" i="69"/>
  <c r="AQ35" i="62"/>
  <c r="V91" i="62"/>
  <c r="AT79" i="62"/>
  <c r="AQ47" i="68"/>
  <c r="AT40" i="68"/>
  <c r="AM37" i="70"/>
  <c r="AN37" i="70" s="1"/>
  <c r="AN50" i="69"/>
  <c r="S35" i="70"/>
  <c r="AM39" i="70"/>
  <c r="AT47" i="68"/>
  <c r="AM40" i="70"/>
  <c r="AN40" i="70" s="1"/>
  <c r="AQ79" i="62"/>
  <c r="G35" i="70"/>
  <c r="AB35" i="70"/>
  <c r="AN23" i="69"/>
  <c r="AK11" i="70"/>
  <c r="AN48" i="69"/>
  <c r="J47" i="69"/>
  <c r="S47" i="69"/>
  <c r="D47" i="69"/>
  <c r="AN35" i="69"/>
  <c r="D35" i="70"/>
  <c r="AE47" i="69"/>
  <c r="G47" i="69"/>
  <c r="AN53" i="69"/>
  <c r="AL41" i="70"/>
  <c r="AN41" i="70" s="1"/>
  <c r="P47" i="69"/>
  <c r="J35" i="70"/>
  <c r="AL42" i="70"/>
  <c r="AN42" i="70" s="1"/>
  <c r="AN54" i="69"/>
  <c r="AL38" i="70"/>
  <c r="AN38" i="70" s="1"/>
  <c r="AN51" i="69"/>
  <c r="AL39" i="70"/>
  <c r="V47" i="69"/>
  <c r="AN11" i="69"/>
  <c r="J46" i="68"/>
  <c r="AQ44" i="66"/>
  <c r="AT80" i="67"/>
  <c r="AQ20" i="67"/>
  <c r="AT32" i="66"/>
  <c r="AT38" i="68"/>
  <c r="V34" i="65"/>
  <c r="P34" i="65"/>
  <c r="J41" i="65"/>
  <c r="AQ48" i="68"/>
  <c r="AQ39" i="68"/>
  <c r="AQ116" i="67"/>
  <c r="P46" i="68"/>
  <c r="AT42" i="68"/>
  <c r="AQ29" i="65"/>
  <c r="AT20" i="66"/>
  <c r="AQ44" i="67"/>
  <c r="AQ56" i="66"/>
  <c r="AQ14" i="65"/>
  <c r="Y46" i="68"/>
  <c r="AQ38" i="68"/>
  <c r="AT32" i="68"/>
  <c r="AQ68" i="67"/>
  <c r="AQ32" i="67"/>
  <c r="AQ94" i="66"/>
  <c r="AQ82" i="66"/>
  <c r="S46" i="68"/>
  <c r="AK34" i="65"/>
  <c r="AQ21" i="65"/>
  <c r="G46" i="68"/>
  <c r="S34" i="65"/>
  <c r="AH46" i="68"/>
  <c r="AQ56" i="67"/>
  <c r="AQ32" i="66"/>
  <c r="AT39" i="68"/>
  <c r="AE41" i="65"/>
  <c r="AN34" i="65"/>
  <c r="AT142" i="67"/>
  <c r="AT82" i="66"/>
  <c r="AN46" i="68"/>
  <c r="AK46" i="68"/>
  <c r="AT130" i="67"/>
  <c r="AT48" i="68"/>
  <c r="AQ80" i="67"/>
  <c r="AB46" i="68"/>
  <c r="AQ20" i="66"/>
  <c r="G34" i="65"/>
  <c r="AT44" i="66"/>
  <c r="AT41" i="68"/>
  <c r="D34" i="65"/>
  <c r="AT104" i="67"/>
  <c r="AT56" i="67"/>
  <c r="AQ106" i="66"/>
  <c r="AB34" i="65"/>
  <c r="AQ142" i="67"/>
  <c r="Y34" i="65"/>
  <c r="G60" i="62"/>
  <c r="AK29" i="62"/>
  <c r="AE29" i="62"/>
  <c r="AQ85" i="62"/>
  <c r="AN60" i="62"/>
  <c r="G91" i="62"/>
  <c r="AT85" i="62"/>
  <c r="AT54" i="62"/>
  <c r="AB91" i="62"/>
  <c r="AT50" i="62"/>
  <c r="AE45" i="62"/>
  <c r="G45" i="62"/>
  <c r="P29" i="62"/>
  <c r="AB29" i="62"/>
  <c r="P91" i="62"/>
  <c r="D91" i="62"/>
  <c r="D45" i="62"/>
  <c r="AH60" i="62"/>
  <c r="AH91" i="62"/>
  <c r="AN45" i="62"/>
  <c r="AN91" i="62"/>
  <c r="P60" i="62"/>
  <c r="AQ50" i="62"/>
  <c r="S45" i="62"/>
  <c r="AB45" i="62"/>
  <c r="AQ54" i="62"/>
  <c r="Y45" i="62"/>
  <c r="AN29" i="62"/>
  <c r="S29" i="62"/>
  <c r="AQ29" i="62"/>
  <c r="D29" i="62"/>
  <c r="AT29" i="62"/>
  <c r="J29" i="62"/>
  <c r="Y29" i="62"/>
  <c r="J60" i="62"/>
  <c r="AE91" i="62"/>
  <c r="Y60" i="62"/>
  <c r="S60" i="62"/>
  <c r="S91" i="62"/>
  <c r="AB60" i="62"/>
  <c r="AK45" i="62"/>
  <c r="AK60" i="62"/>
  <c r="D60" i="62"/>
  <c r="AK91" i="62"/>
  <c r="J91" i="62"/>
  <c r="AT35" i="62"/>
  <c r="J45" i="62"/>
  <c r="AQ39" i="62"/>
  <c r="P45" i="62"/>
  <c r="G29" i="62"/>
  <c r="C67" i="9" l="1"/>
  <c r="D67" i="9" s="1"/>
  <c r="N26" i="8"/>
  <c r="AN39" i="70"/>
  <c r="AT46" i="68"/>
  <c r="AH41" i="65"/>
  <c r="AT44" i="67"/>
  <c r="AQ91" i="62"/>
  <c r="AQ34" i="65"/>
  <c r="AN47" i="69"/>
  <c r="AL35" i="70"/>
  <c r="AM35" i="70"/>
  <c r="AK35" i="70"/>
  <c r="G41" i="65"/>
  <c r="AE43" i="65"/>
  <c r="S41" i="65"/>
  <c r="J43" i="65"/>
  <c r="P41" i="65"/>
  <c r="Y41" i="65"/>
  <c r="AB41" i="65"/>
  <c r="D41" i="65"/>
  <c r="AQ41" i="65"/>
  <c r="AK41" i="65"/>
  <c r="AQ46" i="68"/>
  <c r="V41" i="65"/>
  <c r="AN41" i="65"/>
  <c r="AH43" i="65"/>
  <c r="AK64" i="62"/>
  <c r="P64" i="62"/>
  <c r="D62" i="62"/>
  <c r="J62" i="62"/>
  <c r="AQ60" i="62"/>
  <c r="AN64" i="62"/>
  <c r="S62" i="62"/>
  <c r="AN62" i="62"/>
  <c r="AE62" i="62"/>
  <c r="G64" i="62"/>
  <c r="AH62" i="62"/>
  <c r="AK62" i="62"/>
  <c r="AT91" i="62"/>
  <c r="AQ45" i="62"/>
  <c r="G62" i="62"/>
  <c r="P62" i="62"/>
  <c r="AT60" i="62"/>
  <c r="Y64" i="62"/>
  <c r="S64" i="62"/>
  <c r="Y62" i="62"/>
  <c r="AB62" i="62"/>
  <c r="AT45" i="62"/>
  <c r="G33" i="4"/>
  <c r="D33" i="4"/>
  <c r="I33" i="4" l="1"/>
  <c r="H33" i="4"/>
  <c r="AN35" i="70"/>
  <c r="AN43" i="65"/>
  <c r="V43" i="65"/>
  <c r="AQ43" i="65"/>
  <c r="D43" i="65"/>
  <c r="Y43" i="65"/>
  <c r="J45" i="65"/>
  <c r="S43" i="65"/>
  <c r="P43" i="65"/>
  <c r="AE45" i="65"/>
  <c r="G43" i="65"/>
  <c r="AH45" i="65"/>
  <c r="AK43" i="65"/>
  <c r="AB43" i="65"/>
  <c r="D64" i="62"/>
  <c r="AB64" i="62"/>
  <c r="AH64" i="62"/>
  <c r="J64" i="62"/>
  <c r="AQ62" i="62"/>
  <c r="AE64" i="62"/>
  <c r="V64" i="62"/>
  <c r="AT62" i="62"/>
  <c r="J33" i="4" l="1"/>
  <c r="AB45" i="65"/>
  <c r="S45" i="65"/>
  <c r="Y45" i="65"/>
  <c r="V45" i="65"/>
  <c r="G45" i="65"/>
  <c r="AK45" i="65"/>
  <c r="P45" i="65"/>
  <c r="D45" i="65"/>
  <c r="AN45" i="65"/>
  <c r="AT64" i="62"/>
  <c r="AQ64" i="62"/>
  <c r="K9" i="18"/>
  <c r="K8" i="18"/>
  <c r="AQ45" i="65" l="1"/>
  <c r="G9" i="9"/>
  <c r="M59" i="8" s="1"/>
  <c r="D22" i="18"/>
  <c r="H9" i="9"/>
  <c r="N59" i="8" s="1"/>
  <c r="D29" i="18"/>
  <c r="H124" i="18"/>
  <c r="H10" i="18"/>
  <c r="D7" i="18"/>
  <c r="D10" i="18"/>
  <c r="H117" i="18"/>
  <c r="H121" i="18"/>
  <c r="K7" i="18"/>
  <c r="J88" i="18"/>
  <c r="H109" i="18"/>
  <c r="H113" i="18"/>
  <c r="H125" i="18"/>
  <c r="K113" i="18"/>
  <c r="K99" i="18"/>
  <c r="H7" i="18"/>
  <c r="K11" i="18"/>
  <c r="J67" i="18"/>
  <c r="D99" i="18"/>
  <c r="J109" i="18"/>
  <c r="J112" i="18"/>
  <c r="J121" i="18"/>
  <c r="D28" i="18"/>
  <c r="H34" i="18"/>
  <c r="H35" i="18"/>
  <c r="K78" i="18"/>
  <c r="K108" i="18"/>
  <c r="J113" i="18"/>
  <c r="K120" i="18"/>
  <c r="H108" i="18"/>
  <c r="J35" i="18"/>
  <c r="H11" i="18"/>
  <c r="K109" i="18"/>
  <c r="J117" i="18"/>
  <c r="K12" i="18"/>
  <c r="K112" i="18"/>
  <c r="K117" i="18"/>
  <c r="H12" i="18"/>
  <c r="K35" i="18"/>
  <c r="J124" i="18"/>
  <c r="K10" i="18"/>
  <c r="J34" i="18"/>
  <c r="D67" i="18"/>
  <c r="D88" i="18"/>
  <c r="J99" i="18"/>
  <c r="J120" i="18"/>
  <c r="K121" i="18"/>
  <c r="K124" i="18"/>
  <c r="K28" i="18"/>
  <c r="K34" i="18"/>
  <c r="D124" i="18"/>
  <c r="D48" i="18"/>
  <c r="K67" i="18"/>
  <c r="D120" i="18"/>
  <c r="J11" i="18"/>
  <c r="J108" i="18"/>
  <c r="D112" i="18"/>
  <c r="H22" i="18"/>
  <c r="D78" i="18"/>
  <c r="D108" i="18"/>
  <c r="J125" i="18"/>
  <c r="J9" i="18"/>
  <c r="L9" i="18" s="1"/>
  <c r="D9" i="18"/>
  <c r="J28" i="18"/>
  <c r="J12" i="18"/>
  <c r="J7" i="18"/>
  <c r="J10" i="18"/>
  <c r="J8" i="18"/>
  <c r="L8" i="18" s="1"/>
  <c r="D8" i="18"/>
  <c r="J78" i="18"/>
  <c r="K125" i="18"/>
  <c r="K88" i="18"/>
  <c r="K98" i="18" l="1"/>
  <c r="I9" i="9"/>
  <c r="B97" i="4"/>
  <c r="C76" i="4"/>
  <c r="B76" i="4"/>
  <c r="C97" i="4"/>
  <c r="D87" i="18"/>
  <c r="H29" i="18"/>
  <c r="D66" i="18"/>
  <c r="K29" i="18"/>
  <c r="K22" i="18"/>
  <c r="J29" i="18"/>
  <c r="H119" i="18"/>
  <c r="J22" i="18"/>
  <c r="K119" i="18"/>
  <c r="L113" i="18"/>
  <c r="L12" i="18"/>
  <c r="L28" i="18"/>
  <c r="L88" i="18"/>
  <c r="L121" i="18"/>
  <c r="L109" i="18"/>
  <c r="L120" i="18"/>
  <c r="L99" i="18"/>
  <c r="L35" i="18"/>
  <c r="J111" i="18"/>
  <c r="H111" i="18"/>
  <c r="L117" i="18"/>
  <c r="L78" i="18"/>
  <c r="L7" i="18"/>
  <c r="L108" i="18"/>
  <c r="L11" i="18"/>
  <c r="L67" i="18"/>
  <c r="K111" i="18"/>
  <c r="L112" i="18"/>
  <c r="L124" i="18"/>
  <c r="D98" i="18"/>
  <c r="L10" i="18"/>
  <c r="J119" i="18"/>
  <c r="D119" i="18"/>
  <c r="L34" i="18"/>
  <c r="L125" i="18"/>
  <c r="D111" i="18"/>
  <c r="K97" i="37"/>
  <c r="J97" i="37"/>
  <c r="D97" i="29"/>
  <c r="K97" i="33"/>
  <c r="J97" i="13"/>
  <c r="J97" i="33"/>
  <c r="D97" i="37"/>
  <c r="D97" i="13"/>
  <c r="K97" i="13"/>
  <c r="D97" i="33"/>
  <c r="K76" i="37"/>
  <c r="D76" i="33"/>
  <c r="D76" i="37"/>
  <c r="K76" i="29"/>
  <c r="J76" i="13"/>
  <c r="J76" i="37"/>
  <c r="D76" i="29"/>
  <c r="K76" i="33"/>
  <c r="J76" i="33"/>
  <c r="J76" i="29"/>
  <c r="D76" i="13"/>
  <c r="K76" i="13"/>
  <c r="J8" i="37"/>
  <c r="K8" i="37"/>
  <c r="J9" i="37"/>
  <c r="K9" i="37"/>
  <c r="J36" i="37"/>
  <c r="J37" i="37"/>
  <c r="K100" i="18" l="1"/>
  <c r="L8" i="37"/>
  <c r="L9" i="37"/>
  <c r="D47" i="18"/>
  <c r="B9" i="9"/>
  <c r="M9" i="8" s="1"/>
  <c r="L76" i="33"/>
  <c r="L119" i="18"/>
  <c r="L97" i="33"/>
  <c r="L76" i="29"/>
  <c r="D77" i="18"/>
  <c r="H68" i="18"/>
  <c r="J68" i="18"/>
  <c r="J66" i="18"/>
  <c r="L29" i="18"/>
  <c r="K79" i="18"/>
  <c r="K77" i="18"/>
  <c r="L22" i="18"/>
  <c r="L76" i="13"/>
  <c r="D97" i="4"/>
  <c r="D76" i="4"/>
  <c r="L97" i="37"/>
  <c r="K68" i="18"/>
  <c r="L76" i="37"/>
  <c r="K87" i="18"/>
  <c r="K89" i="18"/>
  <c r="L97" i="13"/>
  <c r="H100" i="18"/>
  <c r="J100" i="18"/>
  <c r="L100" i="18" s="1"/>
  <c r="J89" i="18"/>
  <c r="H89" i="18"/>
  <c r="H79" i="18"/>
  <c r="J79" i="18"/>
  <c r="I97" i="4"/>
  <c r="I76" i="4"/>
  <c r="L111" i="18"/>
  <c r="H34" i="37"/>
  <c r="H116" i="37"/>
  <c r="D114" i="37"/>
  <c r="D116" i="37"/>
  <c r="J124" i="37"/>
  <c r="H76" i="4"/>
  <c r="J76" i="4" s="1"/>
  <c r="H97" i="4"/>
  <c r="K12" i="37"/>
  <c r="K7" i="37"/>
  <c r="H113" i="37"/>
  <c r="H117" i="37"/>
  <c r="J88" i="37"/>
  <c r="K75" i="37"/>
  <c r="K108" i="37"/>
  <c r="K96" i="37"/>
  <c r="K67" i="37"/>
  <c r="J35" i="37"/>
  <c r="J10" i="37"/>
  <c r="D7" i="37"/>
  <c r="K135" i="37"/>
  <c r="K134" i="37"/>
  <c r="K122" i="37"/>
  <c r="D122" i="37"/>
  <c r="H114" i="37"/>
  <c r="H112" i="37"/>
  <c r="J121" i="37"/>
  <c r="H121" i="37"/>
  <c r="K114" i="37"/>
  <c r="K107" i="37"/>
  <c r="K99" i="37"/>
  <c r="J125" i="37"/>
  <c r="K116" i="37"/>
  <c r="K78" i="37"/>
  <c r="D8" i="37"/>
  <c r="H108" i="37"/>
  <c r="D67" i="37"/>
  <c r="K110" i="37"/>
  <c r="J86" i="37"/>
  <c r="K28" i="37"/>
  <c r="H7" i="37"/>
  <c r="D135" i="37"/>
  <c r="H124" i="37"/>
  <c r="J110" i="37"/>
  <c r="D108" i="37"/>
  <c r="D28" i="37"/>
  <c r="D125" i="37"/>
  <c r="K113" i="37"/>
  <c r="J108" i="37"/>
  <c r="D34" i="37"/>
  <c r="K10" i="37"/>
  <c r="K125" i="37"/>
  <c r="J117" i="37"/>
  <c r="J113" i="37"/>
  <c r="D110" i="37"/>
  <c r="K136" i="37"/>
  <c r="J134" i="37"/>
  <c r="H35" i="37"/>
  <c r="J28" i="37"/>
  <c r="K11" i="37"/>
  <c r="J122" i="37"/>
  <c r="J116" i="37"/>
  <c r="K109" i="37"/>
  <c r="D35" i="37"/>
  <c r="J12" i="37"/>
  <c r="J7" i="37"/>
  <c r="H75" i="37"/>
  <c r="D48" i="37"/>
  <c r="K121" i="37"/>
  <c r="J67" i="37"/>
  <c r="H125" i="37"/>
  <c r="D124" i="37"/>
  <c r="H96" i="37"/>
  <c r="K88" i="37"/>
  <c r="J34" i="37"/>
  <c r="D9" i="37"/>
  <c r="J107" i="37"/>
  <c r="D107" i="37"/>
  <c r="K124" i="37"/>
  <c r="D99" i="37"/>
  <c r="D134" i="37"/>
  <c r="D120" i="37"/>
  <c r="J78" i="37"/>
  <c r="D78" i="37"/>
  <c r="J75" i="37"/>
  <c r="D75" i="37"/>
  <c r="J112" i="37"/>
  <c r="D112" i="37"/>
  <c r="J109" i="37"/>
  <c r="J135" i="37"/>
  <c r="D136" i="37"/>
  <c r="K120" i="37"/>
  <c r="J99" i="37"/>
  <c r="J96" i="37"/>
  <c r="D96" i="37"/>
  <c r="K86" i="37"/>
  <c r="J136" i="37"/>
  <c r="J120" i="37"/>
  <c r="J114" i="37"/>
  <c r="H109" i="37"/>
  <c r="D86" i="37"/>
  <c r="K117" i="37"/>
  <c r="K112" i="37"/>
  <c r="D88" i="37"/>
  <c r="H11" i="37"/>
  <c r="D10" i="37"/>
  <c r="K35" i="37"/>
  <c r="D57" i="37"/>
  <c r="D54" i="37"/>
  <c r="K34" i="37"/>
  <c r="H12" i="37"/>
  <c r="K37" i="37"/>
  <c r="D37" i="37"/>
  <c r="H10" i="37"/>
  <c r="K36" i="37"/>
  <c r="D36" i="37"/>
  <c r="J11" i="37"/>
  <c r="L122" i="37" l="1"/>
  <c r="L114" i="37"/>
  <c r="L79" i="18"/>
  <c r="D77" i="37"/>
  <c r="H29" i="37"/>
  <c r="J29" i="37"/>
  <c r="D100" i="37"/>
  <c r="L68" i="18"/>
  <c r="L89" i="18"/>
  <c r="K98" i="37"/>
  <c r="H66" i="18"/>
  <c r="K66" i="18"/>
  <c r="L66" i="18" s="1"/>
  <c r="K77" i="37"/>
  <c r="J79" i="37"/>
  <c r="L110" i="37"/>
  <c r="J97" i="4"/>
  <c r="J100" i="37"/>
  <c r="J66" i="37"/>
  <c r="H87" i="18"/>
  <c r="J87" i="18"/>
  <c r="L87" i="18" s="1"/>
  <c r="H77" i="18"/>
  <c r="J77" i="18"/>
  <c r="L77" i="18" s="1"/>
  <c r="J98" i="18"/>
  <c r="L98" i="18" s="1"/>
  <c r="H98" i="18"/>
  <c r="L116" i="37"/>
  <c r="D89" i="37"/>
  <c r="K22" i="37"/>
  <c r="D49" i="37"/>
  <c r="J22" i="37"/>
  <c r="H22" i="37"/>
  <c r="K29" i="37"/>
  <c r="D29" i="37"/>
  <c r="D22" i="37"/>
  <c r="D87" i="37"/>
  <c r="D56" i="37"/>
  <c r="L88" i="37"/>
  <c r="L124" i="37"/>
  <c r="L12" i="37"/>
  <c r="L78" i="37"/>
  <c r="K111" i="37"/>
  <c r="L7" i="37"/>
  <c r="L135" i="37"/>
  <c r="D53" i="37"/>
  <c r="L28" i="37"/>
  <c r="L136" i="37"/>
  <c r="L96" i="37"/>
  <c r="L34" i="37"/>
  <c r="L109" i="37"/>
  <c r="L67" i="37"/>
  <c r="L99" i="37"/>
  <c r="L108" i="37"/>
  <c r="L134" i="37"/>
  <c r="L10" i="37"/>
  <c r="D47" i="37"/>
  <c r="L107" i="37"/>
  <c r="L75" i="37"/>
  <c r="K119" i="37"/>
  <c r="H111" i="37"/>
  <c r="L86" i="37"/>
  <c r="L121" i="37"/>
  <c r="H119" i="37"/>
  <c r="L35" i="37"/>
  <c r="L120" i="37"/>
  <c r="L11" i="37"/>
  <c r="D119" i="37"/>
  <c r="L117" i="37"/>
  <c r="L125" i="37"/>
  <c r="L113" i="37"/>
  <c r="J111" i="37"/>
  <c r="D111" i="37"/>
  <c r="D66" i="37"/>
  <c r="D98" i="37"/>
  <c r="J119" i="37"/>
  <c r="L112" i="37"/>
  <c r="L29" i="37" l="1"/>
  <c r="K79" i="37"/>
  <c r="L79" i="37" s="1"/>
  <c r="K100" i="37"/>
  <c r="L100" i="37" s="1"/>
  <c r="K87" i="37"/>
  <c r="K89" i="37"/>
  <c r="H68" i="37"/>
  <c r="H79" i="37"/>
  <c r="H100" i="37"/>
  <c r="H77" i="37"/>
  <c r="H98" i="37"/>
  <c r="L22" i="37"/>
  <c r="J68" i="37"/>
  <c r="K68" i="37"/>
  <c r="H89" i="37"/>
  <c r="J89" i="37"/>
  <c r="L111" i="37"/>
  <c r="L119" i="37"/>
  <c r="H87" i="37" l="1"/>
  <c r="L89" i="37"/>
  <c r="J98" i="37"/>
  <c r="L98" i="37" s="1"/>
  <c r="J77" i="37"/>
  <c r="L77" i="37" s="1"/>
  <c r="L68" i="37"/>
  <c r="J87" i="37"/>
  <c r="L87" i="37" s="1"/>
  <c r="H66" i="37"/>
  <c r="K66" i="37"/>
  <c r="L66" i="37" s="1"/>
  <c r="G14" i="58" l="1"/>
  <c r="C14" i="58"/>
  <c r="B13" i="58"/>
  <c r="F13" i="58"/>
  <c r="F22" i="58"/>
  <c r="B22" i="58"/>
  <c r="G21" i="58"/>
  <c r="C21" i="58"/>
  <c r="F17" i="58"/>
  <c r="B17" i="58"/>
  <c r="F28" i="58"/>
  <c r="B28" i="58"/>
  <c r="C26" i="58"/>
  <c r="G26" i="58"/>
  <c r="F29" i="58"/>
  <c r="B29" i="58"/>
  <c r="F11" i="58"/>
  <c r="B11" i="58"/>
  <c r="C13" i="58"/>
  <c r="G13" i="58"/>
  <c r="F20" i="58"/>
  <c r="B20" i="58"/>
  <c r="G22" i="58"/>
  <c r="C22" i="58"/>
  <c r="G17" i="58"/>
  <c r="C17" i="58"/>
  <c r="G28" i="58"/>
  <c r="C28" i="58"/>
  <c r="G29" i="58"/>
  <c r="C29" i="58"/>
  <c r="G11" i="58"/>
  <c r="C11" i="58"/>
  <c r="B12" i="58"/>
  <c r="F12" i="58"/>
  <c r="B10" i="58"/>
  <c r="F10" i="58"/>
  <c r="F9" i="58"/>
  <c r="B9" i="58"/>
  <c r="F19" i="58"/>
  <c r="B19" i="58"/>
  <c r="G20" i="58"/>
  <c r="C20" i="58"/>
  <c r="F18" i="58"/>
  <c r="B18" i="58"/>
  <c r="F27" i="58"/>
  <c r="B27" i="58"/>
  <c r="F30" i="58"/>
  <c r="B30" i="58"/>
  <c r="F25" i="58"/>
  <c r="B25" i="58"/>
  <c r="C12" i="58"/>
  <c r="G12" i="58"/>
  <c r="F14" i="58"/>
  <c r="B14" i="58"/>
  <c r="G10" i="58"/>
  <c r="C10" i="58"/>
  <c r="C9" i="58"/>
  <c r="G9" i="58"/>
  <c r="G19" i="58"/>
  <c r="C19" i="58"/>
  <c r="G18" i="58"/>
  <c r="C18" i="58"/>
  <c r="F21" i="58"/>
  <c r="B21" i="58"/>
  <c r="G27" i="58"/>
  <c r="C27" i="58"/>
  <c r="G30" i="58"/>
  <c r="C30" i="58"/>
  <c r="F26" i="58"/>
  <c r="B26" i="58"/>
  <c r="G25" i="58"/>
  <c r="C25" i="58"/>
  <c r="C8" i="58" l="1"/>
  <c r="F106" i="4" l="1"/>
  <c r="E106" i="4"/>
  <c r="F105" i="4"/>
  <c r="E105" i="4"/>
  <c r="F95" i="4"/>
  <c r="E95" i="4"/>
  <c r="F94" i="4"/>
  <c r="E94" i="4"/>
  <c r="F92" i="4"/>
  <c r="E92" i="4"/>
  <c r="F91" i="4"/>
  <c r="E91" i="4"/>
  <c r="F85" i="4"/>
  <c r="E85" i="4"/>
  <c r="F84" i="4"/>
  <c r="E84" i="4"/>
  <c r="F74" i="4"/>
  <c r="E74" i="4"/>
  <c r="F73" i="4"/>
  <c r="E73" i="4"/>
  <c r="F71" i="4"/>
  <c r="E71" i="4"/>
  <c r="F70" i="4"/>
  <c r="E70" i="4"/>
  <c r="C115" i="4"/>
  <c r="C104" i="4"/>
  <c r="B104" i="4"/>
  <c r="C93" i="4"/>
  <c r="B93" i="4"/>
  <c r="C83" i="4"/>
  <c r="B83" i="4"/>
  <c r="C72" i="4"/>
  <c r="B72" i="4"/>
  <c r="C69" i="4"/>
  <c r="B69" i="4"/>
  <c r="G31" i="4"/>
  <c r="B115" i="4" l="1"/>
  <c r="G23" i="4"/>
  <c r="G24" i="4"/>
  <c r="G30" i="4"/>
  <c r="G25" i="4"/>
  <c r="G32" i="4"/>
  <c r="D32" i="4"/>
  <c r="D24" i="4"/>
  <c r="I23" i="37"/>
  <c r="I25" i="18"/>
  <c r="I30" i="37"/>
  <c r="I30" i="18"/>
  <c r="I31" i="37"/>
  <c r="I31" i="18"/>
  <c r="G26" i="4"/>
  <c r="D25" i="4"/>
  <c r="I24" i="18"/>
  <c r="I32" i="37"/>
  <c r="I32" i="18"/>
  <c r="D30" i="4"/>
  <c r="D31" i="4"/>
  <c r="F93" i="4"/>
  <c r="E69" i="4"/>
  <c r="E90" i="4"/>
  <c r="E83" i="4"/>
  <c r="E104" i="4"/>
  <c r="F69" i="4"/>
  <c r="F90" i="4"/>
  <c r="E72" i="4"/>
  <c r="E93" i="4"/>
  <c r="F104" i="4" l="1"/>
  <c r="F83" i="4"/>
  <c r="F72" i="4"/>
  <c r="D69" i="4"/>
  <c r="D72" i="4"/>
  <c r="D104" i="4"/>
  <c r="D93" i="4"/>
  <c r="E29" i="18"/>
  <c r="E29" i="23"/>
  <c r="E29" i="29"/>
  <c r="E29" i="33"/>
  <c r="E29" i="16"/>
  <c r="E29" i="20"/>
  <c r="E29" i="24"/>
  <c r="E29" i="51"/>
  <c r="E29" i="37"/>
  <c r="E29" i="13"/>
  <c r="I23" i="18"/>
  <c r="D23" i="4"/>
  <c r="I26" i="4"/>
  <c r="D115" i="4"/>
  <c r="H26" i="4"/>
  <c r="I95" i="18"/>
  <c r="I85" i="18"/>
  <c r="F26" i="10"/>
  <c r="F16" i="10"/>
  <c r="F34" i="10"/>
  <c r="I26" i="29"/>
  <c r="I26" i="20"/>
  <c r="I26" i="23"/>
  <c r="I26" i="33"/>
  <c r="I26" i="37"/>
  <c r="I26" i="35"/>
  <c r="I26" i="18"/>
  <c r="G16" i="10"/>
  <c r="G26" i="10"/>
  <c r="G34" i="10"/>
  <c r="M26" i="29" l="1"/>
  <c r="J26" i="4"/>
  <c r="I83" i="18"/>
  <c r="M26" i="20"/>
  <c r="I93" i="18"/>
  <c r="M26" i="23"/>
  <c r="M26" i="16"/>
  <c r="M26" i="35"/>
  <c r="M26" i="37"/>
  <c r="M26" i="33"/>
  <c r="M26" i="18"/>
  <c r="I9" i="16"/>
  <c r="I8" i="16"/>
  <c r="H30" i="58"/>
  <c r="H29" i="58"/>
  <c r="D29" i="58"/>
  <c r="H28" i="58"/>
  <c r="D28" i="58"/>
  <c r="H27" i="58"/>
  <c r="D27" i="58"/>
  <c r="H25" i="58"/>
  <c r="C24" i="58"/>
  <c r="D25" i="58"/>
  <c r="D22" i="58"/>
  <c r="H21" i="58"/>
  <c r="D20" i="58"/>
  <c r="H19" i="58"/>
  <c r="D18" i="58"/>
  <c r="G16" i="58"/>
  <c r="F16" i="58"/>
  <c r="H13" i="58"/>
  <c r="H12" i="58"/>
  <c r="H11" i="58"/>
  <c r="H10" i="58"/>
  <c r="H9" i="58"/>
  <c r="C38" i="58"/>
  <c r="C35" i="58"/>
  <c r="C34" i="58"/>
  <c r="B36" i="58"/>
  <c r="D11" i="58"/>
  <c r="D9" i="58"/>
  <c r="D30" i="58"/>
  <c r="D26" i="58"/>
  <c r="H22" i="58"/>
  <c r="H20" i="58"/>
  <c r="H18" i="58"/>
  <c r="H14" i="58"/>
  <c r="D13" i="58"/>
  <c r="G8" i="58"/>
  <c r="B24" i="58" l="1"/>
  <c r="D24" i="58" s="1"/>
  <c r="B37" i="58"/>
  <c r="B34" i="58"/>
  <c r="D34" i="58" s="1"/>
  <c r="B38" i="58"/>
  <c r="D38" i="58" s="1"/>
  <c r="C37" i="58"/>
  <c r="B35" i="58"/>
  <c r="D35" i="58" s="1"/>
  <c r="C36" i="58"/>
  <c r="D36" i="58" s="1"/>
  <c r="H26" i="58"/>
  <c r="C33" i="58"/>
  <c r="C16" i="58"/>
  <c r="G24" i="58"/>
  <c r="H16" i="58"/>
  <c r="B8" i="58"/>
  <c r="D8" i="58" s="1"/>
  <c r="B33" i="58"/>
  <c r="H17" i="58"/>
  <c r="D10" i="58"/>
  <c r="D12" i="58"/>
  <c r="D14" i="58"/>
  <c r="B16" i="58"/>
  <c r="D17" i="58"/>
  <c r="D19" i="58"/>
  <c r="D21" i="58"/>
  <c r="F8" i="58"/>
  <c r="H8" i="58" s="1"/>
  <c r="F24" i="58"/>
  <c r="D16" i="58" l="1"/>
  <c r="C32" i="58"/>
  <c r="G33" i="58" s="1"/>
  <c r="D37" i="58"/>
  <c r="D33" i="58"/>
  <c r="H24" i="58"/>
  <c r="B32" i="58"/>
  <c r="G34" i="58" l="1"/>
  <c r="G37" i="58"/>
  <c r="G35" i="58"/>
  <c r="G36" i="58"/>
  <c r="D32" i="58"/>
  <c r="G38" i="58"/>
  <c r="F36" i="58"/>
  <c r="F35" i="58"/>
  <c r="F33" i="58"/>
  <c r="H33" i="58" s="1"/>
  <c r="F37" i="58"/>
  <c r="F38" i="58"/>
  <c r="F34" i="58"/>
  <c r="H37" i="58" l="1"/>
  <c r="H34" i="58"/>
  <c r="H36" i="58"/>
  <c r="G32" i="58"/>
  <c r="H38" i="58"/>
  <c r="H35" i="58"/>
  <c r="F32" i="58"/>
  <c r="H32" i="58" l="1"/>
  <c r="C52" i="4"/>
  <c r="C51" i="4"/>
  <c r="C50" i="4"/>
  <c r="B50" i="4" l="1"/>
  <c r="B52" i="4"/>
  <c r="B51" i="4"/>
  <c r="D51" i="16"/>
  <c r="D50" i="16"/>
  <c r="D52" i="16"/>
  <c r="D51" i="4" l="1"/>
  <c r="D52" i="4"/>
  <c r="D50" i="4"/>
  <c r="G56" i="10" l="1"/>
  <c r="G60" i="10"/>
  <c r="F60" i="10" l="1"/>
  <c r="F56" i="10"/>
  <c r="H56" i="10" s="1"/>
  <c r="K28" i="10" l="1"/>
  <c r="J28" i="10"/>
  <c r="K9" i="33" l="1"/>
  <c r="K9" i="29"/>
  <c r="K8" i="51"/>
  <c r="K8" i="29"/>
  <c r="K9" i="41"/>
  <c r="K8" i="33"/>
  <c r="K8" i="41"/>
  <c r="K9" i="51"/>
  <c r="K8" i="25"/>
  <c r="K8" i="24"/>
  <c r="K9" i="25"/>
  <c r="K9" i="24"/>
  <c r="K8" i="22"/>
  <c r="K9" i="22"/>
  <c r="K9" i="20"/>
  <c r="K8" i="20"/>
  <c r="K8" i="19"/>
  <c r="J36" i="13"/>
  <c r="K9" i="19"/>
  <c r="K39" i="13"/>
  <c r="K37" i="13"/>
  <c r="J39" i="13"/>
  <c r="J37" i="13"/>
  <c r="K36" i="13"/>
  <c r="K8" i="13"/>
  <c r="K9" i="13"/>
  <c r="D22" i="16"/>
  <c r="C7" i="4" l="1"/>
  <c r="F116" i="4"/>
  <c r="C28" i="4"/>
  <c r="C99" i="4"/>
  <c r="B10" i="4"/>
  <c r="B20" i="10" s="1"/>
  <c r="F34" i="4"/>
  <c r="C34" i="4"/>
  <c r="C12" i="4"/>
  <c r="E10" i="4"/>
  <c r="F20" i="10" s="1"/>
  <c r="B86" i="4"/>
  <c r="E121" i="4"/>
  <c r="C88" i="4"/>
  <c r="B54" i="4"/>
  <c r="C49" i="4"/>
  <c r="F68" i="4"/>
  <c r="B110" i="4"/>
  <c r="F109" i="4"/>
  <c r="B36" i="4"/>
  <c r="B16" i="10" s="1"/>
  <c r="C107" i="4"/>
  <c r="E86" i="4"/>
  <c r="B89" i="4"/>
  <c r="B23" i="10" s="1"/>
  <c r="B75" i="4"/>
  <c r="C35" i="4"/>
  <c r="B137" i="4"/>
  <c r="B44" i="10" s="1"/>
  <c r="C86" i="4"/>
  <c r="F7" i="4"/>
  <c r="C8" i="4"/>
  <c r="C68" i="4"/>
  <c r="F79" i="4"/>
  <c r="C110" i="4"/>
  <c r="B116" i="4"/>
  <c r="E34" i="4"/>
  <c r="F31" i="10" s="1"/>
  <c r="F86" i="4"/>
  <c r="E11" i="4"/>
  <c r="F30" i="10" s="1"/>
  <c r="E12" i="4"/>
  <c r="F41" i="10" s="1"/>
  <c r="C112" i="4"/>
  <c r="E107" i="4"/>
  <c r="E134" i="4"/>
  <c r="F15" i="10" s="1"/>
  <c r="C96" i="4"/>
  <c r="C89" i="4"/>
  <c r="E117" i="4"/>
  <c r="C39" i="4"/>
  <c r="C75" i="4"/>
  <c r="E75" i="4"/>
  <c r="F96" i="4"/>
  <c r="C57" i="4"/>
  <c r="F78" i="4"/>
  <c r="B34" i="4"/>
  <c r="B58" i="4"/>
  <c r="C114" i="4"/>
  <c r="B8" i="4"/>
  <c r="F107" i="4"/>
  <c r="F12" i="4"/>
  <c r="C11" i="4"/>
  <c r="E96" i="4"/>
  <c r="C79" i="4"/>
  <c r="B49" i="4"/>
  <c r="E100" i="4"/>
  <c r="B108" i="4"/>
  <c r="C124" i="4"/>
  <c r="F117" i="4"/>
  <c r="C116" i="4"/>
  <c r="C120" i="4"/>
  <c r="F100" i="4"/>
  <c r="B114" i="4"/>
  <c r="B11" i="4"/>
  <c r="B30" i="10" s="1"/>
  <c r="B113" i="4"/>
  <c r="E108" i="4"/>
  <c r="E113" i="4"/>
  <c r="B107" i="4"/>
  <c r="B37" i="4"/>
  <c r="B26" i="10" s="1"/>
  <c r="C37" i="4"/>
  <c r="F114" i="4"/>
  <c r="C54" i="4"/>
  <c r="B79" i="4"/>
  <c r="C58" i="4"/>
  <c r="B68" i="4"/>
  <c r="B13" i="10" s="1"/>
  <c r="F11" i="4"/>
  <c r="C134" i="4"/>
  <c r="E35" i="4"/>
  <c r="F42" i="10" s="1"/>
  <c r="B96" i="4"/>
  <c r="B120" i="4"/>
  <c r="C100" i="4"/>
  <c r="B109" i="4"/>
  <c r="F108" i="4"/>
  <c r="F136" i="4"/>
  <c r="C55" i="4"/>
  <c r="B112" i="4"/>
  <c r="B99" i="4"/>
  <c r="C122" i="4"/>
  <c r="C135" i="4"/>
  <c r="B78" i="4"/>
  <c r="F121" i="4"/>
  <c r="E112" i="4"/>
  <c r="F35" i="4"/>
  <c r="B122" i="4"/>
  <c r="B67" i="4"/>
  <c r="E89" i="4"/>
  <c r="F23" i="10" s="1"/>
  <c r="B124" i="4"/>
  <c r="B125" i="4"/>
  <c r="B28" i="4"/>
  <c r="D28" i="4" s="1"/>
  <c r="B35" i="4"/>
  <c r="F112" i="4"/>
  <c r="F89" i="4"/>
  <c r="F125" i="4"/>
  <c r="C9" i="4"/>
  <c r="E136" i="4"/>
  <c r="B9" i="4"/>
  <c r="B121" i="4"/>
  <c r="F75" i="4"/>
  <c r="B88" i="4"/>
  <c r="E135" i="4"/>
  <c r="F25" i="10" s="1"/>
  <c r="B136" i="4"/>
  <c r="B33" i="10" s="1"/>
  <c r="C109" i="4"/>
  <c r="E124" i="4"/>
  <c r="F113" i="4"/>
  <c r="C121" i="4"/>
  <c r="C48" i="4"/>
  <c r="E109" i="4"/>
  <c r="B134" i="4"/>
  <c r="B15" i="10" s="1"/>
  <c r="C113" i="4"/>
  <c r="C36" i="4"/>
  <c r="C136" i="4"/>
  <c r="C137" i="4"/>
  <c r="C78" i="4"/>
  <c r="F134" i="4"/>
  <c r="E68" i="4"/>
  <c r="F13" i="10" s="1"/>
  <c r="B100" i="4"/>
  <c r="E125" i="4"/>
  <c r="B7" i="4"/>
  <c r="B9" i="10" s="1"/>
  <c r="C10" i="4"/>
  <c r="B55" i="4"/>
  <c r="B12" i="4"/>
  <c r="B41" i="10" s="1"/>
  <c r="B135" i="4"/>
  <c r="B25" i="10" s="1"/>
  <c r="B57" i="4"/>
  <c r="E7" i="4"/>
  <c r="F9" i="10" s="1"/>
  <c r="F10" i="4"/>
  <c r="E114" i="4"/>
  <c r="F135" i="4"/>
  <c r="B48" i="4"/>
  <c r="E78" i="4"/>
  <c r="E79" i="4"/>
  <c r="C67" i="4"/>
  <c r="C108" i="4"/>
  <c r="C125" i="4"/>
  <c r="E116" i="4"/>
  <c r="F124" i="4"/>
  <c r="G16" i="9"/>
  <c r="G57" i="9" s="1"/>
  <c r="H41" i="9"/>
  <c r="C39" i="9"/>
  <c r="H40" i="9"/>
  <c r="G10" i="9"/>
  <c r="M60" i="8" s="1"/>
  <c r="G39" i="9"/>
  <c r="H19" i="9"/>
  <c r="N69" i="8" s="1"/>
  <c r="G17" i="9"/>
  <c r="M67" i="8" s="1"/>
  <c r="H10" i="9"/>
  <c r="N60" i="8" s="1"/>
  <c r="H13" i="9"/>
  <c r="N63" i="8" s="1"/>
  <c r="G14" i="9"/>
  <c r="M64" i="8" s="1"/>
  <c r="G15" i="9"/>
  <c r="H20" i="9"/>
  <c r="N70" i="8" s="1"/>
  <c r="C37" i="9"/>
  <c r="G18" i="9"/>
  <c r="M68" i="8" s="1"/>
  <c r="B42" i="9"/>
  <c r="B43" i="9"/>
  <c r="C43" i="9"/>
  <c r="C36" i="9"/>
  <c r="G22" i="9"/>
  <c r="M72" i="8" s="1"/>
  <c r="C41" i="9"/>
  <c r="H42" i="9"/>
  <c r="H14" i="9"/>
  <c r="N64" i="8" s="1"/>
  <c r="H38" i="9"/>
  <c r="G12" i="9"/>
  <c r="C38" i="9"/>
  <c r="G21" i="9"/>
  <c r="M71" i="8" s="1"/>
  <c r="H21" i="9"/>
  <c r="G24" i="9"/>
  <c r="M74" i="8" s="1"/>
  <c r="H37" i="9"/>
  <c r="H11" i="9"/>
  <c r="N61" i="8" s="1"/>
  <c r="H39" i="9"/>
  <c r="H36" i="9"/>
  <c r="C42" i="9"/>
  <c r="G11" i="9"/>
  <c r="M61" i="8" s="1"/>
  <c r="H12" i="9"/>
  <c r="N62" i="8" s="1"/>
  <c r="C40" i="9"/>
  <c r="G23" i="9"/>
  <c r="G19" i="9"/>
  <c r="G25" i="9"/>
  <c r="H43" i="9"/>
  <c r="G27" i="9"/>
  <c r="M77" i="8" s="1"/>
  <c r="G29" i="9"/>
  <c r="M79" i="8" s="1"/>
  <c r="G37" i="9"/>
  <c r="H23" i="9"/>
  <c r="N73" i="8" s="1"/>
  <c r="G20" i="9"/>
  <c r="B37" i="9"/>
  <c r="B41" i="9"/>
  <c r="B38" i="9"/>
  <c r="K36" i="16"/>
  <c r="J38" i="16"/>
  <c r="J39" i="16"/>
  <c r="J37" i="16"/>
  <c r="K37" i="16"/>
  <c r="K38" i="16"/>
  <c r="J36" i="16"/>
  <c r="K39" i="16"/>
  <c r="K135" i="26"/>
  <c r="K7" i="35"/>
  <c r="H29" i="29"/>
  <c r="K121" i="13"/>
  <c r="H121" i="33"/>
  <c r="H29" i="20"/>
  <c r="H125" i="33"/>
  <c r="K113" i="33"/>
  <c r="H29" i="13"/>
  <c r="K68" i="20"/>
  <c r="K12" i="29"/>
  <c r="J86" i="29"/>
  <c r="K108" i="33"/>
  <c r="H22" i="33"/>
  <c r="K68" i="33"/>
  <c r="H35" i="29"/>
  <c r="H34" i="13"/>
  <c r="D37" i="16"/>
  <c r="H121" i="27"/>
  <c r="D55" i="39"/>
  <c r="K89" i="27"/>
  <c r="K108" i="27"/>
  <c r="K22" i="51"/>
  <c r="K135" i="34"/>
  <c r="K134" i="26"/>
  <c r="K113" i="29"/>
  <c r="H100" i="29"/>
  <c r="K137" i="26"/>
  <c r="K116" i="29"/>
  <c r="J79" i="29"/>
  <c r="K28" i="51"/>
  <c r="H89" i="29"/>
  <c r="K12" i="33"/>
  <c r="K116" i="33"/>
  <c r="K29" i="51"/>
  <c r="H34" i="33"/>
  <c r="H12" i="33"/>
  <c r="H79" i="27"/>
  <c r="H125" i="29"/>
  <c r="K109" i="20"/>
  <c r="K108" i="23"/>
  <c r="K22" i="23"/>
  <c r="K100" i="27"/>
  <c r="K107" i="33"/>
  <c r="K100" i="33"/>
  <c r="K75" i="33"/>
  <c r="K122" i="33"/>
  <c r="K114" i="33"/>
  <c r="H29" i="33"/>
  <c r="D58" i="39"/>
  <c r="D58" i="22"/>
  <c r="H75" i="33"/>
  <c r="D36" i="16"/>
  <c r="D12" i="16"/>
  <c r="D11" i="16"/>
  <c r="D37" i="13"/>
  <c r="K89" i="20"/>
  <c r="H100" i="20"/>
  <c r="K89" i="23"/>
  <c r="K68" i="23"/>
  <c r="K28" i="24"/>
  <c r="H135" i="26"/>
  <c r="H22" i="29"/>
  <c r="K113" i="35"/>
  <c r="K12" i="35"/>
  <c r="K109" i="35"/>
  <c r="H12" i="35"/>
  <c r="H96" i="33"/>
  <c r="H117" i="33"/>
  <c r="K100" i="20"/>
  <c r="K28" i="25"/>
  <c r="K136" i="34"/>
  <c r="K96" i="33"/>
  <c r="H35" i="33"/>
  <c r="D49" i="33"/>
  <c r="K117" i="33"/>
  <c r="H100" i="27"/>
  <c r="K28" i="23"/>
  <c r="K124" i="33"/>
  <c r="H114" i="33"/>
  <c r="K113" i="20"/>
  <c r="K109" i="27"/>
  <c r="K89" i="33"/>
  <c r="K11" i="35"/>
  <c r="D58" i="33"/>
  <c r="D57" i="16"/>
  <c r="D35" i="16"/>
  <c r="D28" i="16"/>
  <c r="D29" i="16"/>
  <c r="D9" i="16"/>
  <c r="D10" i="16"/>
  <c r="D39" i="16"/>
  <c r="D58" i="16"/>
  <c r="D54" i="16"/>
  <c r="D8" i="16"/>
  <c r="D49" i="16"/>
  <c r="D7" i="16"/>
  <c r="D55" i="16"/>
  <c r="D34" i="16"/>
  <c r="D38" i="16"/>
  <c r="D48" i="16"/>
  <c r="H100" i="23"/>
  <c r="B21" i="10"/>
  <c r="K109" i="23"/>
  <c r="H109" i="27"/>
  <c r="K10" i="35"/>
  <c r="K34" i="13"/>
  <c r="K107" i="13"/>
  <c r="K121" i="23"/>
  <c r="H109" i="23"/>
  <c r="H22" i="23"/>
  <c r="H68" i="33"/>
  <c r="K125" i="33"/>
  <c r="D49" i="39"/>
  <c r="K7" i="13"/>
  <c r="K7" i="19"/>
  <c r="K10" i="29"/>
  <c r="H7" i="29"/>
  <c r="H7" i="33"/>
  <c r="K10" i="33"/>
  <c r="H10" i="13"/>
  <c r="K7" i="23"/>
  <c r="K11" i="33"/>
  <c r="K7" i="29"/>
  <c r="H10" i="35"/>
  <c r="H11" i="13"/>
  <c r="H89" i="20"/>
  <c r="K22" i="13"/>
  <c r="K29" i="13"/>
  <c r="H79" i="13"/>
  <c r="K100" i="13"/>
  <c r="K116" i="13"/>
  <c r="K10" i="19"/>
  <c r="K10" i="13"/>
  <c r="H121" i="13"/>
  <c r="K7" i="20"/>
  <c r="K10" i="20"/>
  <c r="K22" i="24"/>
  <c r="D49" i="26"/>
  <c r="K11" i="29"/>
  <c r="H22" i="35"/>
  <c r="H113" i="29"/>
  <c r="H7" i="35"/>
  <c r="H11" i="35"/>
  <c r="K7" i="33"/>
  <c r="H89" i="33"/>
  <c r="K121" i="33"/>
  <c r="H89" i="13"/>
  <c r="K109" i="13"/>
  <c r="K67" i="13"/>
  <c r="K11" i="13"/>
  <c r="H22" i="20"/>
  <c r="H113" i="33"/>
  <c r="H136" i="26"/>
  <c r="H89" i="27"/>
  <c r="K28" i="29"/>
  <c r="K34" i="29"/>
  <c r="H134" i="26"/>
  <c r="K117" i="29"/>
  <c r="H109" i="20"/>
  <c r="H35" i="35"/>
  <c r="H79" i="23"/>
  <c r="H89" i="23"/>
  <c r="H117" i="23"/>
  <c r="K35" i="29"/>
  <c r="H117" i="29"/>
  <c r="D49" i="13"/>
  <c r="H44" i="9"/>
  <c r="D39" i="13"/>
  <c r="H22" i="13"/>
  <c r="H113" i="20"/>
  <c r="H7" i="13"/>
  <c r="K35" i="13"/>
  <c r="K108" i="13"/>
  <c r="K12" i="13"/>
  <c r="H107" i="13"/>
  <c r="C44" i="9"/>
  <c r="D48" i="13"/>
  <c r="J10" i="13"/>
  <c r="D10" i="13"/>
  <c r="K28" i="13"/>
  <c r="K68" i="13"/>
  <c r="K112" i="13"/>
  <c r="K117" i="13"/>
  <c r="H35" i="13"/>
  <c r="H109" i="13"/>
  <c r="J89" i="13"/>
  <c r="D89" i="13"/>
  <c r="D11" i="13"/>
  <c r="J11" i="13"/>
  <c r="J9" i="19"/>
  <c r="L9" i="19" s="1"/>
  <c r="D9" i="19"/>
  <c r="B35" i="9"/>
  <c r="K113" i="13"/>
  <c r="J9" i="13"/>
  <c r="L9" i="13" s="1"/>
  <c r="D9" i="13"/>
  <c r="H68" i="13"/>
  <c r="J88" i="13"/>
  <c r="D88" i="13"/>
  <c r="H100" i="13"/>
  <c r="H12" i="13"/>
  <c r="C35" i="9"/>
  <c r="H35" i="9"/>
  <c r="H50" i="9" s="1"/>
  <c r="G35" i="9"/>
  <c r="G50" i="9" s="1"/>
  <c r="D78" i="13"/>
  <c r="J78" i="13"/>
  <c r="J12" i="13"/>
  <c r="D12" i="13"/>
  <c r="K120" i="13"/>
  <c r="J109" i="20"/>
  <c r="K88" i="13"/>
  <c r="H117" i="13"/>
  <c r="D35" i="13"/>
  <c r="J35" i="13"/>
  <c r="J68" i="13"/>
  <c r="K86" i="13"/>
  <c r="K89" i="13"/>
  <c r="J107" i="13"/>
  <c r="D107" i="13"/>
  <c r="D112" i="13"/>
  <c r="J112" i="13"/>
  <c r="J117" i="13"/>
  <c r="J86" i="13"/>
  <c r="J125" i="13"/>
  <c r="D8" i="20"/>
  <c r="J8" i="20"/>
  <c r="L8" i="20" s="1"/>
  <c r="J79" i="13"/>
  <c r="D99" i="13"/>
  <c r="J99" i="13"/>
  <c r="J124" i="13"/>
  <c r="D124" i="13"/>
  <c r="H108" i="13"/>
  <c r="H113" i="13"/>
  <c r="J68" i="20"/>
  <c r="D68" i="20"/>
  <c r="J100" i="20"/>
  <c r="D100" i="20"/>
  <c r="D36" i="13"/>
  <c r="D54" i="13"/>
  <c r="D108" i="13"/>
  <c r="J108" i="13"/>
  <c r="J113" i="13"/>
  <c r="K124" i="13"/>
  <c r="J7" i="20"/>
  <c r="D7" i="20"/>
  <c r="J7" i="13"/>
  <c r="D7" i="13"/>
  <c r="D22" i="13"/>
  <c r="J22" i="13"/>
  <c r="J29" i="13"/>
  <c r="D29" i="13"/>
  <c r="D57" i="13"/>
  <c r="K78" i="13"/>
  <c r="K99" i="13"/>
  <c r="D109" i="13"/>
  <c r="J109" i="13"/>
  <c r="J120" i="13"/>
  <c r="D120" i="13"/>
  <c r="H125" i="13"/>
  <c r="J10" i="20"/>
  <c r="D10" i="20"/>
  <c r="J7" i="19"/>
  <c r="D7" i="19"/>
  <c r="D10" i="19"/>
  <c r="J10" i="19"/>
  <c r="J28" i="20"/>
  <c r="D28" i="20"/>
  <c r="K79" i="20"/>
  <c r="K121" i="20"/>
  <c r="D54" i="22"/>
  <c r="D22" i="23"/>
  <c r="J22" i="23"/>
  <c r="D28" i="24"/>
  <c r="J28" i="24"/>
  <c r="D28" i="25"/>
  <c r="J28" i="25"/>
  <c r="J100" i="27"/>
  <c r="J112" i="23"/>
  <c r="D112" i="23"/>
  <c r="J22" i="24"/>
  <c r="D22" i="24"/>
  <c r="J88" i="27"/>
  <c r="D88" i="27"/>
  <c r="D8" i="22"/>
  <c r="J8" i="22"/>
  <c r="L8" i="22" s="1"/>
  <c r="D29" i="23"/>
  <c r="J29" i="23"/>
  <c r="K112" i="23"/>
  <c r="D7" i="24"/>
  <c r="J7" i="24"/>
  <c r="J22" i="51"/>
  <c r="D22" i="51"/>
  <c r="K11" i="23"/>
  <c r="K35" i="23"/>
  <c r="D107" i="23"/>
  <c r="J107" i="23"/>
  <c r="J117" i="23"/>
  <c r="K29" i="24"/>
  <c r="D48" i="25"/>
  <c r="D9" i="22"/>
  <c r="J9" i="22"/>
  <c r="L9" i="22" s="1"/>
  <c r="K12" i="23"/>
  <c r="K67" i="23"/>
  <c r="D78" i="23"/>
  <c r="K78" i="23"/>
  <c r="J108" i="23"/>
  <c r="D108" i="23"/>
  <c r="H113" i="23"/>
  <c r="J68" i="27"/>
  <c r="K88" i="27"/>
  <c r="D67" i="29"/>
  <c r="K67" i="29"/>
  <c r="J75" i="33"/>
  <c r="D75" i="33"/>
  <c r="D48" i="26"/>
  <c r="K67" i="27"/>
  <c r="J79" i="27"/>
  <c r="J121" i="27"/>
  <c r="D48" i="51"/>
  <c r="D54" i="40"/>
  <c r="J28" i="29"/>
  <c r="D28" i="29"/>
  <c r="D136" i="26"/>
  <c r="J136" i="26"/>
  <c r="H68" i="27"/>
  <c r="H117" i="27"/>
  <c r="K10" i="41"/>
  <c r="D7" i="29"/>
  <c r="J7" i="29"/>
  <c r="J10" i="35"/>
  <c r="J8" i="41"/>
  <c r="L8" i="41" s="1"/>
  <c r="D8" i="41"/>
  <c r="J12" i="29"/>
  <c r="D9" i="41"/>
  <c r="J9" i="41"/>
  <c r="L9" i="41" s="1"/>
  <c r="H12" i="29"/>
  <c r="J109" i="29"/>
  <c r="D109" i="29"/>
  <c r="K120" i="29"/>
  <c r="D68" i="29"/>
  <c r="J68" i="29"/>
  <c r="D86" i="29"/>
  <c r="K86" i="29"/>
  <c r="K89" i="29"/>
  <c r="K107" i="29"/>
  <c r="J112" i="29"/>
  <c r="D112" i="29"/>
  <c r="D116" i="29"/>
  <c r="J116" i="29"/>
  <c r="H121" i="29"/>
  <c r="J7" i="35"/>
  <c r="K22" i="35"/>
  <c r="K29" i="35"/>
  <c r="J10" i="33"/>
  <c r="D10" i="33"/>
  <c r="J68" i="33"/>
  <c r="D68" i="33"/>
  <c r="J125" i="35"/>
  <c r="D54" i="33"/>
  <c r="J89" i="35"/>
  <c r="J107" i="35"/>
  <c r="D57" i="33"/>
  <c r="K78" i="33"/>
  <c r="K77" i="33"/>
  <c r="K112" i="33"/>
  <c r="K121" i="35"/>
  <c r="J8" i="33"/>
  <c r="L8" i="33" s="1"/>
  <c r="D8" i="33"/>
  <c r="H11" i="33"/>
  <c r="K35" i="33"/>
  <c r="D96" i="33"/>
  <c r="J96" i="33"/>
  <c r="J108" i="33"/>
  <c r="D108" i="33"/>
  <c r="D124" i="33"/>
  <c r="J124" i="33"/>
  <c r="K110" i="33"/>
  <c r="D116" i="33"/>
  <c r="J116" i="33"/>
  <c r="D54" i="39"/>
  <c r="J8" i="13"/>
  <c r="L8" i="13" s="1"/>
  <c r="D8" i="13"/>
  <c r="J28" i="13"/>
  <c r="D28" i="13"/>
  <c r="J34" i="13"/>
  <c r="D34" i="13"/>
  <c r="D67" i="13"/>
  <c r="J67" i="13"/>
  <c r="K79" i="13"/>
  <c r="D100" i="13"/>
  <c r="J100" i="13"/>
  <c r="J116" i="13"/>
  <c r="D116" i="13"/>
  <c r="J121" i="13"/>
  <c r="D113" i="20"/>
  <c r="J113" i="20"/>
  <c r="K125" i="13"/>
  <c r="J8" i="19"/>
  <c r="L8" i="19" s="1"/>
  <c r="D8" i="19"/>
  <c r="D79" i="20"/>
  <c r="J79" i="20"/>
  <c r="J121" i="20"/>
  <c r="D121" i="20"/>
  <c r="D57" i="22"/>
  <c r="J9" i="20"/>
  <c r="L9" i="20" s="1"/>
  <c r="D9" i="20"/>
  <c r="H68" i="20"/>
  <c r="K22" i="20"/>
  <c r="K29" i="20"/>
  <c r="H79" i="20"/>
  <c r="H121" i="20"/>
  <c r="J113" i="23"/>
  <c r="J125" i="27"/>
  <c r="K7" i="22"/>
  <c r="J12" i="35"/>
  <c r="D49" i="22"/>
  <c r="J10" i="23"/>
  <c r="J34" i="23"/>
  <c r="K113" i="23"/>
  <c r="J125" i="23"/>
  <c r="J8" i="24"/>
  <c r="L8" i="24" s="1"/>
  <c r="D8" i="24"/>
  <c r="J7" i="25"/>
  <c r="D7" i="25"/>
  <c r="J10" i="25"/>
  <c r="D10" i="25"/>
  <c r="D29" i="51"/>
  <c r="J29" i="51"/>
  <c r="J12" i="23"/>
  <c r="J78" i="23"/>
  <c r="K7" i="24"/>
  <c r="D10" i="24"/>
  <c r="J10" i="24"/>
  <c r="H29" i="23"/>
  <c r="J68" i="23"/>
  <c r="K79" i="23"/>
  <c r="J88" i="23"/>
  <c r="D88" i="23"/>
  <c r="K99" i="23"/>
  <c r="J109" i="23"/>
  <c r="K120" i="23"/>
  <c r="K10" i="24"/>
  <c r="D48" i="40"/>
  <c r="J29" i="29"/>
  <c r="D29" i="29"/>
  <c r="D112" i="27"/>
  <c r="J112" i="27"/>
  <c r="J117" i="27"/>
  <c r="D48" i="41"/>
  <c r="K68" i="27"/>
  <c r="K112" i="27"/>
  <c r="K117" i="27"/>
  <c r="J137" i="34"/>
  <c r="L137" i="34" s="1"/>
  <c r="D137" i="34"/>
  <c r="D134" i="26"/>
  <c r="J134" i="26"/>
  <c r="D137" i="26"/>
  <c r="J137" i="26"/>
  <c r="H113" i="27"/>
  <c r="K7" i="51"/>
  <c r="K10" i="51"/>
  <c r="J78" i="29"/>
  <c r="D78" i="29"/>
  <c r="J22" i="29"/>
  <c r="D22" i="29"/>
  <c r="K68" i="29"/>
  <c r="J88" i="29"/>
  <c r="D88" i="29"/>
  <c r="J11" i="33"/>
  <c r="J121" i="29"/>
  <c r="J134" i="34"/>
  <c r="D134" i="34"/>
  <c r="H29" i="35"/>
  <c r="K108" i="29"/>
  <c r="D48" i="34"/>
  <c r="J22" i="35"/>
  <c r="J29" i="35"/>
  <c r="H77" i="29"/>
  <c r="K112" i="29"/>
  <c r="J117" i="29"/>
  <c r="J135" i="34"/>
  <c r="D135" i="34"/>
  <c r="K34" i="35"/>
  <c r="J117" i="35"/>
  <c r="J9" i="33"/>
  <c r="L9" i="33" s="1"/>
  <c r="D9" i="33"/>
  <c r="J78" i="33"/>
  <c r="D78" i="33"/>
  <c r="J22" i="33"/>
  <c r="D22" i="33"/>
  <c r="J29" i="33"/>
  <c r="D29" i="33"/>
  <c r="J67" i="33"/>
  <c r="K79" i="33"/>
  <c r="K89" i="35"/>
  <c r="K107" i="35"/>
  <c r="J99" i="33"/>
  <c r="D99" i="33"/>
  <c r="D109" i="33"/>
  <c r="J109" i="33"/>
  <c r="D48" i="38"/>
  <c r="G44" i="9"/>
  <c r="J112" i="33"/>
  <c r="D112" i="33"/>
  <c r="J117" i="33"/>
  <c r="D48" i="39"/>
  <c r="K28" i="20"/>
  <c r="J89" i="20"/>
  <c r="D89" i="20"/>
  <c r="J28" i="23"/>
  <c r="D28" i="23"/>
  <c r="D48" i="21"/>
  <c r="D57" i="25"/>
  <c r="J11" i="23"/>
  <c r="J35" i="23"/>
  <c r="J8" i="25"/>
  <c r="L8" i="25" s="1"/>
  <c r="D8" i="25"/>
  <c r="J9" i="51"/>
  <c r="L9" i="51" s="1"/>
  <c r="D9" i="51"/>
  <c r="K29" i="23"/>
  <c r="J67" i="23"/>
  <c r="D67" i="23"/>
  <c r="J79" i="23"/>
  <c r="J99" i="23"/>
  <c r="D99" i="23"/>
  <c r="J120" i="23"/>
  <c r="D120" i="23"/>
  <c r="K125" i="23"/>
  <c r="K7" i="25"/>
  <c r="K10" i="25"/>
  <c r="D48" i="22"/>
  <c r="H34" i="23"/>
  <c r="K86" i="23"/>
  <c r="J89" i="23"/>
  <c r="K100" i="23"/>
  <c r="K116" i="23"/>
  <c r="J121" i="23"/>
  <c r="H125" i="23"/>
  <c r="J9" i="24"/>
  <c r="L9" i="24" s="1"/>
  <c r="D9" i="24"/>
  <c r="D54" i="25"/>
  <c r="D99" i="27"/>
  <c r="J99" i="27"/>
  <c r="J113" i="27"/>
  <c r="D57" i="41"/>
  <c r="K113" i="27"/>
  <c r="J7" i="51"/>
  <c r="D7" i="51"/>
  <c r="D10" i="51"/>
  <c r="J10" i="51"/>
  <c r="J34" i="29"/>
  <c r="D34" i="29"/>
  <c r="K78" i="27"/>
  <c r="K77" i="27"/>
  <c r="K120" i="27"/>
  <c r="H125" i="27"/>
  <c r="K7" i="41"/>
  <c r="D10" i="29"/>
  <c r="J10" i="29"/>
  <c r="J89" i="29"/>
  <c r="D89" i="29"/>
  <c r="J11" i="35"/>
  <c r="H10" i="29"/>
  <c r="K22" i="29"/>
  <c r="K29" i="29"/>
  <c r="J120" i="29"/>
  <c r="D120" i="29"/>
  <c r="J107" i="29"/>
  <c r="D107" i="29"/>
  <c r="K137" i="34"/>
  <c r="H34" i="35"/>
  <c r="K78" i="29"/>
  <c r="K109" i="29"/>
  <c r="J125" i="29"/>
  <c r="K134" i="34"/>
  <c r="J34" i="35"/>
  <c r="H28" i="9"/>
  <c r="N78" i="8" s="1"/>
  <c r="H79" i="29"/>
  <c r="J113" i="29"/>
  <c r="K125" i="29"/>
  <c r="K35" i="35"/>
  <c r="D48" i="33"/>
  <c r="K117" i="35"/>
  <c r="I67" i="9"/>
  <c r="D67" i="33"/>
  <c r="K67" i="33"/>
  <c r="J79" i="33"/>
  <c r="D79" i="33"/>
  <c r="K125" i="35"/>
  <c r="J28" i="33"/>
  <c r="D28" i="33"/>
  <c r="J34" i="33"/>
  <c r="K86" i="33"/>
  <c r="D122" i="33"/>
  <c r="J122" i="33"/>
  <c r="J113" i="35"/>
  <c r="K22" i="33"/>
  <c r="K29" i="33"/>
  <c r="H79" i="33"/>
  <c r="J88" i="33"/>
  <c r="D88" i="33"/>
  <c r="J100" i="33"/>
  <c r="D100" i="33"/>
  <c r="K120" i="33"/>
  <c r="D113" i="33"/>
  <c r="J113" i="33"/>
  <c r="D57" i="39"/>
  <c r="D54" i="21"/>
  <c r="J22" i="20"/>
  <c r="D22" i="20"/>
  <c r="J29" i="20"/>
  <c r="D29" i="20"/>
  <c r="D48" i="20"/>
  <c r="J7" i="23"/>
  <c r="K10" i="22"/>
  <c r="K88" i="23"/>
  <c r="J35" i="29"/>
  <c r="D7" i="22"/>
  <c r="J7" i="22"/>
  <c r="D10" i="22"/>
  <c r="J10" i="22"/>
  <c r="H121" i="23"/>
  <c r="J29" i="24"/>
  <c r="D29" i="24"/>
  <c r="J89" i="27"/>
  <c r="K10" i="23"/>
  <c r="K34" i="23"/>
  <c r="H68" i="23"/>
  <c r="D86" i="23"/>
  <c r="J86" i="23"/>
  <c r="J100" i="23"/>
  <c r="D116" i="23"/>
  <c r="J116" i="23"/>
  <c r="J108" i="27"/>
  <c r="D108" i="27"/>
  <c r="J28" i="51"/>
  <c r="D28" i="51"/>
  <c r="H35" i="23"/>
  <c r="K107" i="23"/>
  <c r="K117" i="23"/>
  <c r="J9" i="25"/>
  <c r="L9" i="25" s="1"/>
  <c r="D9" i="25"/>
  <c r="J109" i="27"/>
  <c r="D67" i="27"/>
  <c r="J67" i="27"/>
  <c r="K99" i="27"/>
  <c r="K125" i="27"/>
  <c r="K136" i="26"/>
  <c r="J78" i="27"/>
  <c r="D78" i="27"/>
  <c r="D120" i="27"/>
  <c r="J120" i="27"/>
  <c r="J8" i="51"/>
  <c r="L8" i="51" s="1"/>
  <c r="D8" i="51"/>
  <c r="D135" i="26"/>
  <c r="J135" i="26"/>
  <c r="K79" i="27"/>
  <c r="K121" i="27"/>
  <c r="D57" i="40"/>
  <c r="J7" i="41"/>
  <c r="D7" i="41"/>
  <c r="J10" i="41"/>
  <c r="D10" i="41"/>
  <c r="J8" i="29"/>
  <c r="L8" i="29" s="1"/>
  <c r="D8" i="29"/>
  <c r="J11" i="29"/>
  <c r="D99" i="29"/>
  <c r="D120" i="33"/>
  <c r="J120" i="33"/>
  <c r="D9" i="29"/>
  <c r="J9" i="29"/>
  <c r="L9" i="29" s="1"/>
  <c r="H11" i="29"/>
  <c r="H34" i="29"/>
  <c r="D100" i="29"/>
  <c r="J136" i="34"/>
  <c r="D136" i="34"/>
  <c r="J108" i="29"/>
  <c r="D108" i="29"/>
  <c r="J12" i="33"/>
  <c r="D125" i="33"/>
  <c r="J125" i="33"/>
  <c r="J67" i="29"/>
  <c r="D79" i="29"/>
  <c r="K79" i="29"/>
  <c r="K88" i="29"/>
  <c r="K121" i="29"/>
  <c r="J35" i="35"/>
  <c r="K99" i="33"/>
  <c r="K88" i="33"/>
  <c r="J86" i="33"/>
  <c r="D121" i="33"/>
  <c r="J121" i="33"/>
  <c r="J121" i="35"/>
  <c r="J35" i="33"/>
  <c r="D35" i="33"/>
  <c r="J109" i="35"/>
  <c r="J7" i="33"/>
  <c r="D7" i="33"/>
  <c r="H10" i="33"/>
  <c r="K28" i="33"/>
  <c r="K34" i="33"/>
  <c r="H86" i="33"/>
  <c r="J89" i="33"/>
  <c r="D89" i="33"/>
  <c r="J107" i="33"/>
  <c r="J110" i="33"/>
  <c r="D110" i="33"/>
  <c r="K109" i="33"/>
  <c r="H109" i="33"/>
  <c r="J114" i="33"/>
  <c r="D114" i="33"/>
  <c r="G28" i="9"/>
  <c r="M78" i="8" s="1"/>
  <c r="B10" i="10"/>
  <c r="F21" i="10"/>
  <c r="F10" i="10"/>
  <c r="K9" i="16"/>
  <c r="K8" i="16"/>
  <c r="K22" i="16"/>
  <c r="K11" i="16"/>
  <c r="K7" i="16"/>
  <c r="J8" i="16"/>
  <c r="J35" i="16"/>
  <c r="J9" i="16"/>
  <c r="J22" i="16"/>
  <c r="J28" i="16"/>
  <c r="J34" i="16"/>
  <c r="J29" i="16"/>
  <c r="K10" i="16"/>
  <c r="K29" i="16"/>
  <c r="K34" i="16"/>
  <c r="J11" i="16"/>
  <c r="K35" i="16"/>
  <c r="J12" i="16"/>
  <c r="J10" i="16"/>
  <c r="J7" i="16"/>
  <c r="K12" i="16"/>
  <c r="K28" i="16"/>
  <c r="L86" i="23" l="1"/>
  <c r="D34" i="4"/>
  <c r="E36" i="13"/>
  <c r="E36" i="37"/>
  <c r="E37" i="13"/>
  <c r="E37" i="37"/>
  <c r="K77" i="20"/>
  <c r="L7" i="35"/>
  <c r="L107" i="23"/>
  <c r="B13" i="9"/>
  <c r="M13" i="8" s="1"/>
  <c r="H77" i="33"/>
  <c r="L10" i="22"/>
  <c r="L29" i="51"/>
  <c r="H77" i="20"/>
  <c r="H77" i="27"/>
  <c r="N142" i="8"/>
  <c r="L124" i="33"/>
  <c r="G61" i="9"/>
  <c r="M70" i="8"/>
  <c r="E28" i="16"/>
  <c r="H62" i="9"/>
  <c r="N71" i="8"/>
  <c r="E28" i="33"/>
  <c r="E28" i="51"/>
  <c r="G66" i="9"/>
  <c r="M75" i="8"/>
  <c r="G60" i="9"/>
  <c r="M69" i="8"/>
  <c r="E28" i="29"/>
  <c r="E28" i="24"/>
  <c r="G64" i="9"/>
  <c r="M73" i="8"/>
  <c r="E28" i="23"/>
  <c r="E28" i="20"/>
  <c r="G53" i="9"/>
  <c r="M62" i="8"/>
  <c r="E28" i="25"/>
  <c r="G54" i="9"/>
  <c r="I54" i="9" s="1"/>
  <c r="M63" i="8"/>
  <c r="G56" i="9"/>
  <c r="M142" i="8"/>
  <c r="H51" i="9"/>
  <c r="G70" i="9"/>
  <c r="I11" i="9"/>
  <c r="G52" i="9"/>
  <c r="G58" i="9"/>
  <c r="G71" i="9"/>
  <c r="G63" i="9"/>
  <c r="G59" i="9"/>
  <c r="K98" i="33"/>
  <c r="C13" i="9"/>
  <c r="L22" i="51"/>
  <c r="H54" i="9"/>
  <c r="I13" i="9"/>
  <c r="L109" i="20"/>
  <c r="D47" i="39"/>
  <c r="L7" i="51"/>
  <c r="E34" i="37"/>
  <c r="E34" i="13"/>
  <c r="E34" i="16"/>
  <c r="E34" i="29"/>
  <c r="L7" i="41"/>
  <c r="L110" i="33"/>
  <c r="B111" i="4"/>
  <c r="B32" i="10" s="1"/>
  <c r="E111" i="4"/>
  <c r="F32" i="10" s="1"/>
  <c r="F111" i="4"/>
  <c r="B66" i="4"/>
  <c r="E87" i="4"/>
  <c r="E77" i="4"/>
  <c r="C66" i="4"/>
  <c r="F87" i="4"/>
  <c r="F119" i="4"/>
  <c r="C119" i="4"/>
  <c r="B87" i="4"/>
  <c r="B22" i="10" s="1"/>
  <c r="C87" i="4"/>
  <c r="F66" i="4"/>
  <c r="B119" i="4"/>
  <c r="B43" i="10" s="1"/>
  <c r="B47" i="4"/>
  <c r="B11" i="10" s="1"/>
  <c r="F98" i="4"/>
  <c r="C53" i="4"/>
  <c r="C47" i="4"/>
  <c r="C77" i="4"/>
  <c r="E98" i="4"/>
  <c r="C56" i="4"/>
  <c r="E66" i="4"/>
  <c r="C98" i="4"/>
  <c r="C111" i="4"/>
  <c r="B77" i="4"/>
  <c r="B56" i="4"/>
  <c r="B49" i="10" s="1"/>
  <c r="B53" i="4"/>
  <c r="B38" i="10" s="1"/>
  <c r="E119" i="4"/>
  <c r="F43" i="10" s="1"/>
  <c r="B98" i="4"/>
  <c r="F77" i="4"/>
  <c r="E8" i="74"/>
  <c r="E28" i="18"/>
  <c r="E10" i="72"/>
  <c r="E7" i="72"/>
  <c r="E7" i="74"/>
  <c r="E48" i="72"/>
  <c r="E48" i="74"/>
  <c r="E28" i="37"/>
  <c r="E28" i="13"/>
  <c r="D35" i="4"/>
  <c r="C30" i="9"/>
  <c r="N30" i="8" s="1"/>
  <c r="D53" i="40"/>
  <c r="D53" i="21"/>
  <c r="L28" i="51"/>
  <c r="L125" i="35"/>
  <c r="L10" i="51"/>
  <c r="E35" i="16"/>
  <c r="E35" i="13"/>
  <c r="E35" i="37"/>
  <c r="E35" i="33"/>
  <c r="B34" i="10"/>
  <c r="H77" i="13"/>
  <c r="L38" i="16"/>
  <c r="L39" i="16"/>
  <c r="B42" i="10"/>
  <c r="E99" i="18"/>
  <c r="D29" i="4"/>
  <c r="E88" i="18"/>
  <c r="E9" i="18"/>
  <c r="E9" i="72"/>
  <c r="E67" i="18"/>
  <c r="E8" i="18"/>
  <c r="E112" i="18"/>
  <c r="E108" i="18"/>
  <c r="E120" i="18"/>
  <c r="E78" i="18"/>
  <c r="E124" i="18"/>
  <c r="L36" i="16"/>
  <c r="L37" i="16"/>
  <c r="D37" i="4"/>
  <c r="L10" i="19"/>
  <c r="D36" i="4"/>
  <c r="D39" i="4"/>
  <c r="I33" i="20"/>
  <c r="B31" i="10"/>
  <c r="H119" i="20"/>
  <c r="D110" i="4"/>
  <c r="L117" i="35"/>
  <c r="L10" i="25"/>
  <c r="L122" i="33"/>
  <c r="L135" i="26"/>
  <c r="E38" i="16"/>
  <c r="E39" i="16"/>
  <c r="E39" i="13"/>
  <c r="L113" i="35"/>
  <c r="D122" i="4"/>
  <c r="D47" i="34"/>
  <c r="L121" i="13"/>
  <c r="L108" i="33"/>
  <c r="L121" i="35"/>
  <c r="E48" i="37"/>
  <c r="E48" i="18"/>
  <c r="I11" i="37"/>
  <c r="I11" i="18"/>
  <c r="E54" i="37"/>
  <c r="I34" i="37"/>
  <c r="I34" i="18"/>
  <c r="I117" i="37"/>
  <c r="I117" i="18"/>
  <c r="E22" i="37"/>
  <c r="E22" i="18"/>
  <c r="I109" i="37"/>
  <c r="I109" i="18"/>
  <c r="E7" i="37"/>
  <c r="E7" i="18"/>
  <c r="E134" i="37"/>
  <c r="I89" i="37"/>
  <c r="I89" i="18"/>
  <c r="I10" i="37"/>
  <c r="I10" i="18"/>
  <c r="I125" i="37"/>
  <c r="I125" i="18"/>
  <c r="I124" i="37"/>
  <c r="I124" i="18"/>
  <c r="I113" i="37"/>
  <c r="I113" i="18"/>
  <c r="I68" i="37"/>
  <c r="I68" i="18"/>
  <c r="I114" i="37"/>
  <c r="I96" i="37"/>
  <c r="E75" i="37"/>
  <c r="E49" i="37"/>
  <c r="I100" i="37"/>
  <c r="I100" i="18"/>
  <c r="E89" i="37"/>
  <c r="D114" i="4"/>
  <c r="I12" i="37"/>
  <c r="I12" i="18"/>
  <c r="I22" i="37"/>
  <c r="I22" i="18"/>
  <c r="I121" i="37"/>
  <c r="I121" i="18"/>
  <c r="I29" i="37"/>
  <c r="I29" i="18"/>
  <c r="I79" i="37"/>
  <c r="I79" i="18"/>
  <c r="I116" i="37"/>
  <c r="I35" i="37"/>
  <c r="I35" i="18"/>
  <c r="I75" i="37"/>
  <c r="E135" i="37"/>
  <c r="I112" i="37"/>
  <c r="I108" i="37"/>
  <c r="I108" i="18"/>
  <c r="E10" i="37"/>
  <c r="E10" i="18"/>
  <c r="E57" i="37"/>
  <c r="I7" i="37"/>
  <c r="I7" i="18"/>
  <c r="E96" i="37"/>
  <c r="E136" i="37"/>
  <c r="L114" i="33"/>
  <c r="H77" i="23"/>
  <c r="K77" i="23"/>
  <c r="D47" i="21"/>
  <c r="D47" i="20"/>
  <c r="L107" i="29"/>
  <c r="L134" i="26"/>
  <c r="L109" i="23"/>
  <c r="L113" i="33"/>
  <c r="L12" i="33"/>
  <c r="D56" i="22"/>
  <c r="H111" i="20"/>
  <c r="D56" i="41"/>
  <c r="E100" i="37"/>
  <c r="E122" i="37"/>
  <c r="E78" i="37"/>
  <c r="E114" i="37"/>
  <c r="E9" i="37"/>
  <c r="E124" i="37"/>
  <c r="E8" i="37"/>
  <c r="E67" i="37"/>
  <c r="E116" i="37"/>
  <c r="E125" i="37"/>
  <c r="E99" i="37"/>
  <c r="E112" i="37"/>
  <c r="E110" i="37"/>
  <c r="E107" i="37"/>
  <c r="E88" i="37"/>
  <c r="E86" i="37"/>
  <c r="E108" i="37"/>
  <c r="E120" i="37"/>
  <c r="H66" i="27"/>
  <c r="D47" i="38"/>
  <c r="L96" i="33"/>
  <c r="L113" i="29"/>
  <c r="L89" i="23"/>
  <c r="L75" i="33"/>
  <c r="L68" i="20"/>
  <c r="L136" i="34"/>
  <c r="H98" i="20"/>
  <c r="L68" i="33"/>
  <c r="L68" i="23"/>
  <c r="L28" i="24"/>
  <c r="L89" i="20"/>
  <c r="L22" i="23"/>
  <c r="K98" i="20"/>
  <c r="L120" i="33"/>
  <c r="K87" i="29"/>
  <c r="L137" i="26"/>
  <c r="D47" i="40"/>
  <c r="L89" i="27"/>
  <c r="K66" i="27"/>
  <c r="L113" i="20"/>
  <c r="L28" i="23"/>
  <c r="L12" i="29"/>
  <c r="D53" i="13"/>
  <c r="K87" i="33"/>
  <c r="K87" i="23"/>
  <c r="L89" i="33"/>
  <c r="H87" i="29"/>
  <c r="L135" i="34"/>
  <c r="L109" i="27"/>
  <c r="L10" i="29"/>
  <c r="L7" i="33"/>
  <c r="H98" i="27"/>
  <c r="H66" i="23"/>
  <c r="L35" i="29"/>
  <c r="D56" i="39"/>
  <c r="L11" i="35"/>
  <c r="L116" i="29"/>
  <c r="L11" i="29"/>
  <c r="D47" i="41"/>
  <c r="H111" i="13"/>
  <c r="L108" i="27"/>
  <c r="L35" i="23"/>
  <c r="N141" i="8"/>
  <c r="C12" i="9"/>
  <c r="N12" i="8" s="1"/>
  <c r="N117" i="8"/>
  <c r="C24" i="9"/>
  <c r="N24" i="8" s="1"/>
  <c r="C14" i="9"/>
  <c r="N14" i="8" s="1"/>
  <c r="C23" i="9"/>
  <c r="N22" i="8" s="1"/>
  <c r="C27" i="9"/>
  <c r="N27" i="8" s="1"/>
  <c r="K111" i="13"/>
  <c r="L107" i="33"/>
  <c r="L100" i="33"/>
  <c r="L100" i="20"/>
  <c r="N144" i="8"/>
  <c r="M117" i="8"/>
  <c r="L108" i="13"/>
  <c r="D56" i="40"/>
  <c r="N145" i="8"/>
  <c r="L109" i="35"/>
  <c r="H119" i="23"/>
  <c r="L116" i="33"/>
  <c r="L100" i="27"/>
  <c r="C21" i="9"/>
  <c r="N20" i="8" s="1"/>
  <c r="D53" i="22"/>
  <c r="L35" i="33"/>
  <c r="L8" i="16"/>
  <c r="L67" i="29"/>
  <c r="L29" i="20"/>
  <c r="L116" i="23"/>
  <c r="L12" i="35"/>
  <c r="H87" i="27"/>
  <c r="L108" i="23"/>
  <c r="L28" i="25"/>
  <c r="L9" i="16"/>
  <c r="H98" i="13"/>
  <c r="K111" i="29"/>
  <c r="L7" i="16"/>
  <c r="D53" i="16"/>
  <c r="D47" i="33"/>
  <c r="D56" i="25"/>
  <c r="L117" i="33"/>
  <c r="L10" i="35"/>
  <c r="L12" i="13"/>
  <c r="D56" i="16"/>
  <c r="N139" i="8"/>
  <c r="L99" i="23"/>
  <c r="L7" i="20"/>
  <c r="K119" i="13"/>
  <c r="M118" i="8"/>
  <c r="K66" i="23"/>
  <c r="K87" i="35"/>
  <c r="M113" i="8"/>
  <c r="L11" i="33"/>
  <c r="H119" i="13"/>
  <c r="L22" i="16"/>
  <c r="L29" i="16"/>
  <c r="C15" i="9"/>
  <c r="N15" i="8" s="1"/>
  <c r="L35" i="16"/>
  <c r="L10" i="16"/>
  <c r="D47" i="16"/>
  <c r="L28" i="16"/>
  <c r="L12" i="16"/>
  <c r="L11" i="16"/>
  <c r="L34" i="16"/>
  <c r="N143" i="8"/>
  <c r="L7" i="13"/>
  <c r="M138" i="8"/>
  <c r="N137" i="8"/>
  <c r="B28" i="9"/>
  <c r="M28" i="8" s="1"/>
  <c r="M119" i="8"/>
  <c r="M143" i="8"/>
  <c r="N116" i="8"/>
  <c r="N140" i="8"/>
  <c r="N146" i="8"/>
  <c r="C28" i="9"/>
  <c r="N28" i="8" s="1"/>
  <c r="C22" i="9"/>
  <c r="N21" i="8" s="1"/>
  <c r="C18" i="9"/>
  <c r="N18" i="8" s="1"/>
  <c r="M116" i="8"/>
  <c r="B11" i="9"/>
  <c r="M11" i="8" s="1"/>
  <c r="B16" i="9"/>
  <c r="M16" i="8" s="1"/>
  <c r="M120" i="8"/>
  <c r="H119" i="33"/>
  <c r="L125" i="33"/>
  <c r="L121" i="23"/>
  <c r="M114" i="8"/>
  <c r="M141" i="8"/>
  <c r="L116" i="13"/>
  <c r="N119" i="8"/>
  <c r="L10" i="33"/>
  <c r="C19" i="9"/>
  <c r="N19" i="8" s="1"/>
  <c r="B19" i="9"/>
  <c r="M19" i="8" s="1"/>
  <c r="L22" i="13"/>
  <c r="L107" i="13"/>
  <c r="L10" i="13"/>
  <c r="L121" i="33"/>
  <c r="C25" i="9"/>
  <c r="N25" i="8" s="1"/>
  <c r="K98" i="27"/>
  <c r="H87" i="23"/>
  <c r="L29" i="24"/>
  <c r="L7" i="23"/>
  <c r="H87" i="33"/>
  <c r="L120" i="29"/>
  <c r="D47" i="22"/>
  <c r="L11" i="23"/>
  <c r="L117" i="29"/>
  <c r="B20" i="9"/>
  <c r="M23" i="8" s="1"/>
  <c r="N114" i="8"/>
  <c r="K119" i="23"/>
  <c r="L34" i="13"/>
  <c r="M145" i="8"/>
  <c r="B22" i="9"/>
  <c r="M21" i="8" s="1"/>
  <c r="B21" i="9"/>
  <c r="M20" i="8" s="1"/>
  <c r="N138" i="8"/>
  <c r="L22" i="24"/>
  <c r="L7" i="19"/>
  <c r="N113" i="8"/>
  <c r="M115" i="8"/>
  <c r="C9" i="9"/>
  <c r="N9" i="8" s="1"/>
  <c r="L11" i="13"/>
  <c r="C11" i="9"/>
  <c r="N11" i="8" s="1"/>
  <c r="M137" i="8"/>
  <c r="C29" i="9"/>
  <c r="N29" i="8" s="1"/>
  <c r="F14" i="10"/>
  <c r="E48" i="39"/>
  <c r="E48" i="16"/>
  <c r="I89" i="20"/>
  <c r="I89" i="13"/>
  <c r="I89" i="29"/>
  <c r="I89" i="33"/>
  <c r="I89" i="27"/>
  <c r="I89" i="23"/>
  <c r="G23" i="10"/>
  <c r="I35" i="23"/>
  <c r="I35" i="29"/>
  <c r="I35" i="35"/>
  <c r="I35" i="33"/>
  <c r="I35" i="13"/>
  <c r="G42" i="10"/>
  <c r="I134" i="26"/>
  <c r="G15" i="10"/>
  <c r="I10" i="35"/>
  <c r="I10" i="29"/>
  <c r="I10" i="33"/>
  <c r="I10" i="13"/>
  <c r="G20" i="10"/>
  <c r="I10" i="16"/>
  <c r="E49" i="39"/>
  <c r="E49" i="16"/>
  <c r="I23" i="33"/>
  <c r="I23" i="13"/>
  <c r="I23" i="23"/>
  <c r="I23" i="29"/>
  <c r="I23" i="35"/>
  <c r="E54" i="39"/>
  <c r="E54" i="16"/>
  <c r="I114" i="33"/>
  <c r="C25" i="10"/>
  <c r="C31" i="10"/>
  <c r="C9" i="10"/>
  <c r="C23" i="10"/>
  <c r="G44" i="10"/>
  <c r="C41" i="10"/>
  <c r="I86" i="33"/>
  <c r="C21" i="10"/>
  <c r="C33" i="10"/>
  <c r="C16" i="10"/>
  <c r="H17" i="9"/>
  <c r="N67" i="8" s="1"/>
  <c r="B15" i="9"/>
  <c r="M15" i="8" s="1"/>
  <c r="M146" i="8"/>
  <c r="B12" i="9"/>
  <c r="M12" i="8" s="1"/>
  <c r="H67" i="9"/>
  <c r="H18" i="9"/>
  <c r="N68" i="8" s="1"/>
  <c r="M140" i="8"/>
  <c r="N115" i="8"/>
  <c r="G36" i="9"/>
  <c r="G51" i="9" s="1"/>
  <c r="I29" i="33"/>
  <c r="I29" i="20"/>
  <c r="I29" i="23"/>
  <c r="I29" i="29"/>
  <c r="I29" i="13"/>
  <c r="I29" i="35"/>
  <c r="G21" i="10"/>
  <c r="I25" i="20"/>
  <c r="I25" i="23"/>
  <c r="I25" i="29"/>
  <c r="I25" i="33"/>
  <c r="I25" i="13"/>
  <c r="I30" i="23"/>
  <c r="I30" i="29"/>
  <c r="I30" i="35"/>
  <c r="I30" i="33"/>
  <c r="I30" i="13"/>
  <c r="C30" i="10"/>
  <c r="I107" i="13"/>
  <c r="C44" i="10"/>
  <c r="I75" i="33"/>
  <c r="G14" i="10"/>
  <c r="I32" i="13"/>
  <c r="I32" i="20"/>
  <c r="I32" i="23"/>
  <c r="I32" i="29"/>
  <c r="I32" i="33"/>
  <c r="I100" i="13"/>
  <c r="I100" i="20"/>
  <c r="I100" i="23"/>
  <c r="I100" i="27"/>
  <c r="I100" i="29"/>
  <c r="I22" i="23"/>
  <c r="I22" i="29"/>
  <c r="I22" i="35"/>
  <c r="I22" i="33"/>
  <c r="I22" i="20"/>
  <c r="I22" i="13"/>
  <c r="G10" i="10"/>
  <c r="C34" i="10"/>
  <c r="I121" i="20"/>
  <c r="I121" i="13"/>
  <c r="I121" i="23"/>
  <c r="I121" i="27"/>
  <c r="I121" i="33"/>
  <c r="I121" i="29"/>
  <c r="I113" i="20"/>
  <c r="I113" i="23"/>
  <c r="I113" i="13"/>
  <c r="I113" i="27"/>
  <c r="I113" i="33"/>
  <c r="I113" i="29"/>
  <c r="I108" i="13"/>
  <c r="M144" i="8"/>
  <c r="N118" i="8"/>
  <c r="B40" i="9"/>
  <c r="B14" i="9"/>
  <c r="M14" i="8" s="1"/>
  <c r="B30" i="9"/>
  <c r="M30" i="8" s="1"/>
  <c r="G43" i="9"/>
  <c r="G69" i="9" s="1"/>
  <c r="B36" i="9"/>
  <c r="H22" i="9"/>
  <c r="N72" i="8" s="1"/>
  <c r="C16" i="9"/>
  <c r="N16" i="8" s="1"/>
  <c r="B29" i="9"/>
  <c r="M29" i="8" s="1"/>
  <c r="H27" i="9"/>
  <c r="N77" i="8" s="1"/>
  <c r="B39" i="9"/>
  <c r="B18" i="9"/>
  <c r="M18" i="8" s="1"/>
  <c r="I106" i="27"/>
  <c r="I136" i="26"/>
  <c r="G33" i="10"/>
  <c r="I7" i="29"/>
  <c r="I7" i="33"/>
  <c r="I7" i="35"/>
  <c r="I7" i="13"/>
  <c r="G9" i="10"/>
  <c r="I7" i="16"/>
  <c r="B45" i="10"/>
  <c r="I31" i="35"/>
  <c r="I31" i="13"/>
  <c r="I31" i="33"/>
  <c r="I31" i="23"/>
  <c r="I31" i="29"/>
  <c r="C45" i="10"/>
  <c r="C42" i="10"/>
  <c r="I24" i="13"/>
  <c r="I24" i="33"/>
  <c r="I24" i="29"/>
  <c r="I24" i="23"/>
  <c r="C15" i="10"/>
  <c r="B27" i="9"/>
  <c r="M27" i="8" s="1"/>
  <c r="B10" i="9"/>
  <c r="M10" i="8" s="1"/>
  <c r="H16" i="9"/>
  <c r="M139" i="8"/>
  <c r="B44" i="9"/>
  <c r="G42" i="9"/>
  <c r="G68" i="9" s="1"/>
  <c r="C20" i="9"/>
  <c r="N23" i="8" s="1"/>
  <c r="N120" i="8"/>
  <c r="C17" i="9"/>
  <c r="N17" i="8" s="1"/>
  <c r="H29" i="9"/>
  <c r="N79" i="8" s="1"/>
  <c r="I74" i="27"/>
  <c r="C13" i="10"/>
  <c r="I85" i="27"/>
  <c r="F44" i="10"/>
  <c r="I135" i="26"/>
  <c r="G25" i="10"/>
  <c r="E58" i="39"/>
  <c r="E58" i="16"/>
  <c r="I96" i="33"/>
  <c r="G24" i="10"/>
  <c r="E55" i="39"/>
  <c r="E55" i="16"/>
  <c r="C14" i="10"/>
  <c r="I68" i="20"/>
  <c r="I68" i="23"/>
  <c r="I68" i="27"/>
  <c r="I68" i="33"/>
  <c r="I68" i="13"/>
  <c r="G13" i="10"/>
  <c r="I95" i="27"/>
  <c r="G136" i="4"/>
  <c r="F33" i="10"/>
  <c r="I79" i="13"/>
  <c r="I79" i="20"/>
  <c r="I79" i="23"/>
  <c r="I79" i="33"/>
  <c r="I79" i="27"/>
  <c r="I79" i="29"/>
  <c r="I109" i="20"/>
  <c r="I109" i="13"/>
  <c r="I109" i="27"/>
  <c r="I109" i="23"/>
  <c r="I109" i="33"/>
  <c r="I12" i="29"/>
  <c r="I12" i="33"/>
  <c r="I12" i="35"/>
  <c r="I12" i="13"/>
  <c r="I12" i="16"/>
  <c r="G41" i="10"/>
  <c r="I11" i="13"/>
  <c r="I11" i="35"/>
  <c r="I11" i="33"/>
  <c r="I11" i="16"/>
  <c r="G30" i="10"/>
  <c r="I11" i="29"/>
  <c r="F24" i="10"/>
  <c r="I125" i="13"/>
  <c r="I125" i="27"/>
  <c r="I125" i="23"/>
  <c r="I125" i="29"/>
  <c r="I125" i="33"/>
  <c r="C26" i="10"/>
  <c r="I34" i="13"/>
  <c r="I34" i="35"/>
  <c r="I34" i="23"/>
  <c r="I34" i="29"/>
  <c r="I34" i="33"/>
  <c r="G31" i="10"/>
  <c r="D96" i="4"/>
  <c r="B24" i="10"/>
  <c r="C24" i="10"/>
  <c r="I117" i="13"/>
  <c r="I117" i="23"/>
  <c r="I117" i="29"/>
  <c r="I117" i="33"/>
  <c r="I117" i="27"/>
  <c r="C10" i="10"/>
  <c r="C20" i="10"/>
  <c r="D75" i="4"/>
  <c r="B14" i="10"/>
  <c r="E57" i="39"/>
  <c r="E57" i="16"/>
  <c r="L120" i="27"/>
  <c r="K119" i="27"/>
  <c r="L120" i="23"/>
  <c r="L67" i="23"/>
  <c r="H98" i="33"/>
  <c r="L22" i="35"/>
  <c r="H87" i="20"/>
  <c r="L100" i="13"/>
  <c r="D53" i="39"/>
  <c r="D56" i="33"/>
  <c r="L109" i="29"/>
  <c r="L7" i="29"/>
  <c r="L28" i="29"/>
  <c r="L117" i="23"/>
  <c r="H98" i="23"/>
  <c r="L10" i="20"/>
  <c r="K98" i="13"/>
  <c r="L29" i="13"/>
  <c r="G40" i="9"/>
  <c r="G62" i="9" s="1"/>
  <c r="B17" i="9"/>
  <c r="M17" i="8" s="1"/>
  <c r="G41" i="9"/>
  <c r="G65" i="9" s="1"/>
  <c r="B23" i="9"/>
  <c r="M22" i="8" s="1"/>
  <c r="H15" i="9"/>
  <c r="B25" i="9"/>
  <c r="M25" i="8" s="1"/>
  <c r="C10" i="9"/>
  <c r="N10" i="8" s="1"/>
  <c r="G38" i="9"/>
  <c r="G55" i="9" s="1"/>
  <c r="H25" i="9"/>
  <c r="N75" i="8" s="1"/>
  <c r="B24" i="9"/>
  <c r="M24" i="8" s="1"/>
  <c r="H24" i="9"/>
  <c r="N74" i="8" s="1"/>
  <c r="L22" i="20"/>
  <c r="L109" i="33"/>
  <c r="L99" i="33"/>
  <c r="H111" i="29"/>
  <c r="L10" i="23"/>
  <c r="L28" i="13"/>
  <c r="L89" i="35"/>
  <c r="D56" i="13"/>
  <c r="L35" i="35"/>
  <c r="K119" i="33"/>
  <c r="L88" i="33"/>
  <c r="L28" i="33"/>
  <c r="L79" i="33"/>
  <c r="L34" i="29"/>
  <c r="H66" i="33"/>
  <c r="L78" i="33"/>
  <c r="L67" i="13"/>
  <c r="K87" i="27"/>
  <c r="L109" i="13"/>
  <c r="L112" i="13"/>
  <c r="L35" i="13"/>
  <c r="L79" i="29"/>
  <c r="L86" i="29"/>
  <c r="L7" i="22"/>
  <c r="L78" i="27"/>
  <c r="K66" i="33"/>
  <c r="L89" i="29"/>
  <c r="L112" i="27"/>
  <c r="L12" i="23"/>
  <c r="H87" i="13"/>
  <c r="L120" i="13"/>
  <c r="L68" i="13"/>
  <c r="L7" i="25"/>
  <c r="K66" i="20"/>
  <c r="L134" i="34"/>
  <c r="L125" i="27"/>
  <c r="L108" i="29"/>
  <c r="L67" i="27"/>
  <c r="L34" i="35"/>
  <c r="D53" i="25"/>
  <c r="L112" i="33"/>
  <c r="L29" i="33"/>
  <c r="L121" i="29"/>
  <c r="L29" i="29"/>
  <c r="H111" i="23"/>
  <c r="D53" i="33"/>
  <c r="L112" i="29"/>
  <c r="L68" i="29"/>
  <c r="L136" i="26"/>
  <c r="L79" i="27"/>
  <c r="D47" i="25"/>
  <c r="L88" i="27"/>
  <c r="L112" i="23"/>
  <c r="H66" i="20"/>
  <c r="L113" i="13"/>
  <c r="L117" i="13"/>
  <c r="K87" i="20"/>
  <c r="L86" i="33"/>
  <c r="H119" i="29"/>
  <c r="L34" i="33"/>
  <c r="L125" i="29"/>
  <c r="L99" i="27"/>
  <c r="L29" i="35"/>
  <c r="L88" i="29"/>
  <c r="L78" i="29"/>
  <c r="K111" i="27"/>
  <c r="L88" i="23"/>
  <c r="L125" i="23"/>
  <c r="L113" i="23"/>
  <c r="L79" i="20"/>
  <c r="H111" i="33"/>
  <c r="L107" i="35"/>
  <c r="D47" i="51"/>
  <c r="D47" i="26"/>
  <c r="L7" i="24"/>
  <c r="L29" i="23"/>
  <c r="L28" i="20"/>
  <c r="L121" i="27"/>
  <c r="K119" i="35"/>
  <c r="L100" i="23"/>
  <c r="L113" i="27"/>
  <c r="L79" i="23"/>
  <c r="L67" i="33"/>
  <c r="L22" i="33"/>
  <c r="L22" i="29"/>
  <c r="J77" i="29"/>
  <c r="L117" i="27"/>
  <c r="K98" i="23"/>
  <c r="L10" i="24"/>
  <c r="L78" i="23"/>
  <c r="L34" i="23"/>
  <c r="L121" i="20"/>
  <c r="H111" i="27"/>
  <c r="L68" i="27"/>
  <c r="K111" i="20"/>
  <c r="L124" i="13"/>
  <c r="L79" i="13"/>
  <c r="L89" i="13"/>
  <c r="L99" i="13"/>
  <c r="L125" i="13"/>
  <c r="L78" i="13"/>
  <c r="K66" i="13"/>
  <c r="L86" i="13"/>
  <c r="K87" i="13"/>
  <c r="J77" i="13"/>
  <c r="L88" i="13"/>
  <c r="H66" i="13"/>
  <c r="D47" i="13"/>
  <c r="J87" i="35"/>
  <c r="D66" i="33"/>
  <c r="J66" i="33"/>
  <c r="D77" i="27"/>
  <c r="J77" i="27"/>
  <c r="L77" i="27" s="1"/>
  <c r="J98" i="23"/>
  <c r="D98" i="23"/>
  <c r="D111" i="33"/>
  <c r="J111" i="33"/>
  <c r="J111" i="35"/>
  <c r="D87" i="20"/>
  <c r="J87" i="20"/>
  <c r="D66" i="13"/>
  <c r="J66" i="13"/>
  <c r="K111" i="33"/>
  <c r="K111" i="35"/>
  <c r="J111" i="29"/>
  <c r="D111" i="29"/>
  <c r="J111" i="23"/>
  <c r="D111" i="23"/>
  <c r="J77" i="20"/>
  <c r="L77" i="20" s="1"/>
  <c r="D77" i="20"/>
  <c r="J87" i="13"/>
  <c r="D87" i="13"/>
  <c r="J119" i="33"/>
  <c r="D119" i="33"/>
  <c r="J119" i="27"/>
  <c r="D119" i="27"/>
  <c r="J66" i="27"/>
  <c r="D66" i="27"/>
  <c r="D77" i="29"/>
  <c r="K77" i="29"/>
  <c r="D98" i="27"/>
  <c r="J98" i="27"/>
  <c r="D77" i="13"/>
  <c r="K77" i="13"/>
  <c r="D98" i="20"/>
  <c r="J98" i="20"/>
  <c r="J66" i="29"/>
  <c r="J87" i="33"/>
  <c r="D87" i="33"/>
  <c r="D119" i="29"/>
  <c r="J119" i="29"/>
  <c r="D98" i="33"/>
  <c r="J98" i="33"/>
  <c r="J87" i="29"/>
  <c r="D87" i="29"/>
  <c r="J111" i="27"/>
  <c r="D111" i="27"/>
  <c r="J87" i="23"/>
  <c r="D87" i="23"/>
  <c r="K119" i="29"/>
  <c r="H119" i="27"/>
  <c r="K111" i="23"/>
  <c r="D119" i="13"/>
  <c r="J119" i="13"/>
  <c r="D98" i="13"/>
  <c r="J98" i="13"/>
  <c r="D111" i="13"/>
  <c r="J111" i="13"/>
  <c r="D98" i="29"/>
  <c r="J119" i="35"/>
  <c r="H66" i="29"/>
  <c r="J119" i="23"/>
  <c r="J66" i="23"/>
  <c r="D66" i="23"/>
  <c r="D77" i="33"/>
  <c r="J77" i="33"/>
  <c r="L77" i="33" s="1"/>
  <c r="J77" i="23"/>
  <c r="D77" i="23"/>
  <c r="D66" i="29"/>
  <c r="K66" i="29"/>
  <c r="D87" i="27"/>
  <c r="J87" i="27"/>
  <c r="D119" i="20"/>
  <c r="J111" i="20"/>
  <c r="D111" i="20"/>
  <c r="D66" i="20"/>
  <c r="J66" i="20"/>
  <c r="E48" i="38"/>
  <c r="E88" i="33"/>
  <c r="E108" i="33"/>
  <c r="E22" i="33"/>
  <c r="E57" i="33"/>
  <c r="E99" i="33"/>
  <c r="E9" i="33"/>
  <c r="E48" i="33"/>
  <c r="E110" i="33"/>
  <c r="E122" i="33"/>
  <c r="E75" i="33"/>
  <c r="E116" i="33"/>
  <c r="E10" i="33"/>
  <c r="E79" i="33"/>
  <c r="E58" i="33"/>
  <c r="E49" i="33"/>
  <c r="E54" i="33"/>
  <c r="E7" i="33"/>
  <c r="E89" i="33"/>
  <c r="E100" i="33"/>
  <c r="E125" i="33"/>
  <c r="E68" i="33"/>
  <c r="E124" i="33"/>
  <c r="E96" i="33"/>
  <c r="E8" i="33"/>
  <c r="E78" i="33"/>
  <c r="E67" i="33"/>
  <c r="E112" i="33"/>
  <c r="E109" i="33"/>
  <c r="E114" i="33"/>
  <c r="E121" i="33"/>
  <c r="E120" i="33"/>
  <c r="E113" i="33"/>
  <c r="E99" i="29"/>
  <c r="E9" i="29"/>
  <c r="E48" i="34"/>
  <c r="E86" i="29"/>
  <c r="E134" i="34"/>
  <c r="E68" i="29"/>
  <c r="E88" i="29"/>
  <c r="E108" i="29"/>
  <c r="E116" i="29"/>
  <c r="E22" i="29"/>
  <c r="E10" i="29"/>
  <c r="E79" i="29"/>
  <c r="E137" i="34"/>
  <c r="E135" i="34"/>
  <c r="E7" i="29"/>
  <c r="E89" i="29"/>
  <c r="E100" i="29"/>
  <c r="E107" i="29"/>
  <c r="E136" i="34"/>
  <c r="E8" i="29"/>
  <c r="E78" i="29"/>
  <c r="E67" i="29"/>
  <c r="E112" i="29"/>
  <c r="E109" i="29"/>
  <c r="E120" i="29"/>
  <c r="E9" i="41"/>
  <c r="E48" i="40"/>
  <c r="E48" i="41"/>
  <c r="E10" i="41"/>
  <c r="E57" i="40"/>
  <c r="E57" i="41"/>
  <c r="E54" i="40"/>
  <c r="E7" i="41"/>
  <c r="E8" i="41"/>
  <c r="E99" i="27"/>
  <c r="E9" i="51"/>
  <c r="E48" i="51"/>
  <c r="E88" i="27"/>
  <c r="E108" i="27"/>
  <c r="E22" i="51"/>
  <c r="E10" i="51"/>
  <c r="E7" i="51"/>
  <c r="E8" i="51"/>
  <c r="E78" i="27"/>
  <c r="E67" i="27"/>
  <c r="E112" i="27"/>
  <c r="E120" i="27"/>
  <c r="E9" i="25"/>
  <c r="E10" i="25"/>
  <c r="E57" i="25"/>
  <c r="E48" i="25"/>
  <c r="E48" i="26"/>
  <c r="E137" i="26"/>
  <c r="E49" i="26"/>
  <c r="E54" i="25"/>
  <c r="E135" i="26"/>
  <c r="E7" i="25"/>
  <c r="E136" i="26"/>
  <c r="E134" i="26"/>
  <c r="E8" i="25"/>
  <c r="E99" i="23"/>
  <c r="E9" i="24"/>
  <c r="E86" i="23"/>
  <c r="E88" i="23"/>
  <c r="E108" i="23"/>
  <c r="E116" i="23"/>
  <c r="E22" i="23"/>
  <c r="E22" i="24"/>
  <c r="E10" i="24"/>
  <c r="E7" i="24"/>
  <c r="E107" i="23"/>
  <c r="E8" i="24"/>
  <c r="E78" i="23"/>
  <c r="E67" i="23"/>
  <c r="E112" i="23"/>
  <c r="E120" i="23"/>
  <c r="E9" i="22"/>
  <c r="E48" i="21"/>
  <c r="E48" i="22"/>
  <c r="E10" i="22"/>
  <c r="E57" i="22"/>
  <c r="E58" i="22"/>
  <c r="E49" i="22"/>
  <c r="E54" i="21"/>
  <c r="E54" i="22"/>
  <c r="E7" i="22"/>
  <c r="E8" i="22"/>
  <c r="E68" i="20"/>
  <c r="E22" i="20"/>
  <c r="E10" i="19"/>
  <c r="E10" i="20"/>
  <c r="E79" i="20"/>
  <c r="E7" i="19"/>
  <c r="E7" i="20"/>
  <c r="E89" i="20"/>
  <c r="E100" i="20"/>
  <c r="E9" i="19"/>
  <c r="E9" i="20"/>
  <c r="E48" i="20"/>
  <c r="E8" i="19"/>
  <c r="E8" i="20"/>
  <c r="E121" i="20"/>
  <c r="E113" i="20"/>
  <c r="E99" i="13"/>
  <c r="E9" i="13"/>
  <c r="E48" i="13"/>
  <c r="E88" i="13"/>
  <c r="E124" i="13"/>
  <c r="E108" i="13"/>
  <c r="E116" i="13"/>
  <c r="E22" i="13"/>
  <c r="E10" i="13"/>
  <c r="E57" i="13"/>
  <c r="E11" i="13"/>
  <c r="E49" i="13"/>
  <c r="E54" i="13"/>
  <c r="E7" i="13"/>
  <c r="E89" i="13"/>
  <c r="E100" i="13"/>
  <c r="E107" i="13"/>
  <c r="E12" i="13"/>
  <c r="E8" i="13"/>
  <c r="E78" i="13"/>
  <c r="E67" i="13"/>
  <c r="E112" i="13"/>
  <c r="E109" i="13"/>
  <c r="E120" i="13"/>
  <c r="D116" i="4"/>
  <c r="D108" i="4"/>
  <c r="D124" i="4"/>
  <c r="D125" i="4"/>
  <c r="D109" i="4"/>
  <c r="E22" i="16"/>
  <c r="E9" i="16"/>
  <c r="D22" i="4"/>
  <c r="D136" i="4"/>
  <c r="D57" i="4"/>
  <c r="E12" i="16"/>
  <c r="E10" i="16"/>
  <c r="E11" i="16"/>
  <c r="G22" i="4"/>
  <c r="D113" i="4"/>
  <c r="D137" i="4"/>
  <c r="D10" i="4"/>
  <c r="D112" i="4"/>
  <c r="D55" i="4"/>
  <c r="D120" i="4"/>
  <c r="D7" i="4"/>
  <c r="E7" i="16"/>
  <c r="D68" i="4"/>
  <c r="D8" i="4"/>
  <c r="E8" i="16"/>
  <c r="D134" i="4"/>
  <c r="G7" i="4"/>
  <c r="D48" i="4"/>
  <c r="D54" i="4"/>
  <c r="D49" i="4"/>
  <c r="D12" i="4"/>
  <c r="D11" i="4"/>
  <c r="G12" i="4"/>
  <c r="G34" i="4"/>
  <c r="D121" i="4"/>
  <c r="G11" i="4"/>
  <c r="H22" i="4"/>
  <c r="G29" i="4"/>
  <c r="D67" i="4"/>
  <c r="D100" i="4"/>
  <c r="D58" i="4"/>
  <c r="G10" i="4"/>
  <c r="D89" i="4"/>
  <c r="G35" i="4"/>
  <c r="D99" i="4"/>
  <c r="D107" i="4"/>
  <c r="D135" i="4"/>
  <c r="G135" i="4"/>
  <c r="G134" i="4"/>
  <c r="D78" i="4"/>
  <c r="D88" i="4"/>
  <c r="D79" i="4"/>
  <c r="D9" i="4"/>
  <c r="B54" i="9" l="1"/>
  <c r="D54" i="9" s="1"/>
  <c r="L98" i="33"/>
  <c r="B32" i="9"/>
  <c r="C54" i="9"/>
  <c r="N13" i="8"/>
  <c r="D13" i="9"/>
  <c r="E47" i="72"/>
  <c r="E47" i="74"/>
  <c r="L119" i="35"/>
  <c r="E87" i="18"/>
  <c r="E66" i="18"/>
  <c r="L77" i="23"/>
  <c r="I77" i="27"/>
  <c r="I77" i="29"/>
  <c r="I77" i="20"/>
  <c r="I77" i="23"/>
  <c r="I77" i="13"/>
  <c r="I77" i="33"/>
  <c r="L111" i="35"/>
  <c r="E56" i="37"/>
  <c r="I111" i="37"/>
  <c r="I111" i="18"/>
  <c r="I98" i="18"/>
  <c r="E77" i="18"/>
  <c r="I77" i="18"/>
  <c r="E119" i="37"/>
  <c r="E119" i="18"/>
  <c r="I119" i="37"/>
  <c r="I119" i="18"/>
  <c r="E47" i="37"/>
  <c r="E47" i="18"/>
  <c r="E98" i="18"/>
  <c r="I87" i="37"/>
  <c r="I87" i="18"/>
  <c r="E111" i="37"/>
  <c r="E111" i="18"/>
  <c r="E53" i="37"/>
  <c r="I66" i="37"/>
  <c r="I66" i="18"/>
  <c r="I77" i="37"/>
  <c r="L98" i="27"/>
  <c r="L87" i="29"/>
  <c r="E97" i="33"/>
  <c r="E97" i="29"/>
  <c r="E97" i="37"/>
  <c r="E97" i="13"/>
  <c r="I98" i="37"/>
  <c r="L119" i="13"/>
  <c r="E76" i="33"/>
  <c r="E76" i="29"/>
  <c r="E76" i="37"/>
  <c r="E76" i="13"/>
  <c r="E66" i="37"/>
  <c r="E87" i="33"/>
  <c r="E87" i="37"/>
  <c r="E98" i="37"/>
  <c r="E77" i="37"/>
  <c r="L98" i="20"/>
  <c r="L111" i="29"/>
  <c r="L66" i="27"/>
  <c r="L111" i="13"/>
  <c r="L87" i="33"/>
  <c r="L87" i="20"/>
  <c r="L119" i="23"/>
  <c r="L87" i="23"/>
  <c r="L98" i="23"/>
  <c r="L111" i="27"/>
  <c r="E66" i="20"/>
  <c r="E87" i="13"/>
  <c r="E87" i="23"/>
  <c r="D98" i="4"/>
  <c r="E98" i="29"/>
  <c r="E98" i="33"/>
  <c r="L87" i="27"/>
  <c r="L119" i="33"/>
  <c r="L98" i="13"/>
  <c r="L66" i="33"/>
  <c r="L87" i="35"/>
  <c r="L66" i="23"/>
  <c r="L66" i="13"/>
  <c r="E66" i="23"/>
  <c r="E66" i="13"/>
  <c r="E66" i="27"/>
  <c r="E66" i="29"/>
  <c r="E66" i="33"/>
  <c r="L111" i="33"/>
  <c r="D87" i="4"/>
  <c r="E98" i="20"/>
  <c r="E98" i="23"/>
  <c r="E87" i="27"/>
  <c r="E98" i="27"/>
  <c r="E87" i="29"/>
  <c r="L119" i="27"/>
  <c r="C43" i="10"/>
  <c r="I119" i="13"/>
  <c r="I119" i="20"/>
  <c r="I119" i="23"/>
  <c r="I119" i="27"/>
  <c r="I119" i="29"/>
  <c r="I119" i="33"/>
  <c r="G43" i="10"/>
  <c r="F22" i="10"/>
  <c r="I98" i="20"/>
  <c r="I98" i="13"/>
  <c r="I98" i="23"/>
  <c r="I98" i="27"/>
  <c r="I98" i="33"/>
  <c r="D66" i="4"/>
  <c r="B12" i="10"/>
  <c r="I66" i="13"/>
  <c r="I66" i="20"/>
  <c r="I66" i="27"/>
  <c r="I66" i="29"/>
  <c r="I66" i="33"/>
  <c r="G12" i="10"/>
  <c r="I66" i="23"/>
  <c r="G66" i="4"/>
  <c r="F12" i="10"/>
  <c r="E53" i="39"/>
  <c r="C38" i="10"/>
  <c r="E53" i="16"/>
  <c r="I72" i="27"/>
  <c r="I83" i="27"/>
  <c r="I93" i="27"/>
  <c r="I104" i="27"/>
  <c r="I111" i="13"/>
  <c r="I111" i="20"/>
  <c r="I111" i="23"/>
  <c r="I111" i="27"/>
  <c r="I111" i="29"/>
  <c r="I111" i="33"/>
  <c r="G32" i="10"/>
  <c r="E56" i="39"/>
  <c r="E56" i="16"/>
  <c r="C49" i="10"/>
  <c r="C32" i="10"/>
  <c r="C22" i="10"/>
  <c r="E47" i="39"/>
  <c r="C11" i="10"/>
  <c r="E47" i="16"/>
  <c r="C12" i="10"/>
  <c r="I87" i="13"/>
  <c r="I87" i="20"/>
  <c r="I87" i="27"/>
  <c r="I87" i="29"/>
  <c r="I87" i="23"/>
  <c r="I87" i="33"/>
  <c r="G22" i="10"/>
  <c r="L66" i="20"/>
  <c r="L111" i="20"/>
  <c r="L87" i="13"/>
  <c r="L119" i="29"/>
  <c r="L66" i="29"/>
  <c r="L77" i="29"/>
  <c r="L111" i="23"/>
  <c r="E98" i="13"/>
  <c r="E87" i="20"/>
  <c r="L77" i="13"/>
  <c r="E47" i="38"/>
  <c r="E77" i="33"/>
  <c r="E111" i="33"/>
  <c r="E47" i="33"/>
  <c r="E119" i="33"/>
  <c r="E53" i="33"/>
  <c r="E56" i="33"/>
  <c r="E47" i="34"/>
  <c r="E119" i="29"/>
  <c r="E77" i="29"/>
  <c r="E111" i="29"/>
  <c r="E53" i="40"/>
  <c r="E56" i="40"/>
  <c r="E56" i="41"/>
  <c r="E47" i="40"/>
  <c r="E47" i="41"/>
  <c r="E77" i="27"/>
  <c r="E111" i="27"/>
  <c r="E47" i="51"/>
  <c r="E119" i="27"/>
  <c r="E53" i="25"/>
  <c r="E47" i="25"/>
  <c r="E47" i="26"/>
  <c r="E56" i="25"/>
  <c r="E77" i="23"/>
  <c r="E111" i="23"/>
  <c r="E56" i="22"/>
  <c r="E47" i="21"/>
  <c r="E47" i="22"/>
  <c r="E53" i="21"/>
  <c r="E53" i="22"/>
  <c r="E119" i="20"/>
  <c r="E47" i="20"/>
  <c r="E77" i="20"/>
  <c r="E111" i="20"/>
  <c r="E53" i="13"/>
  <c r="E77" i="13"/>
  <c r="E56" i="13"/>
  <c r="E111" i="13"/>
  <c r="E47" i="13"/>
  <c r="E119" i="13"/>
  <c r="D111" i="4"/>
  <c r="D77" i="4"/>
  <c r="D119" i="4"/>
  <c r="D53" i="4"/>
  <c r="D56" i="4"/>
  <c r="D47" i="4"/>
  <c r="I73" i="4"/>
  <c r="I84" i="4"/>
  <c r="C60" i="10" l="1"/>
  <c r="H84" i="4"/>
  <c r="J84" i="4" s="1"/>
  <c r="H71" i="4"/>
  <c r="H92" i="4"/>
  <c r="H107" i="4"/>
  <c r="H106" i="4"/>
  <c r="H85" i="4"/>
  <c r="H73" i="4"/>
  <c r="J73" i="4" s="1"/>
  <c r="H114" i="4"/>
  <c r="H116" i="4"/>
  <c r="H95" i="4"/>
  <c r="H74" i="4"/>
  <c r="H94" i="4"/>
  <c r="H91" i="4"/>
  <c r="H104" i="4"/>
  <c r="H105" i="4"/>
  <c r="H93" i="4"/>
  <c r="H28" i="4"/>
  <c r="H70" i="4"/>
  <c r="H115" i="4"/>
  <c r="H98" i="4" l="1"/>
  <c r="H117" i="4"/>
  <c r="H99" i="4"/>
  <c r="H24" i="4"/>
  <c r="H90" i="4"/>
  <c r="H72" i="4"/>
  <c r="H78" i="4"/>
  <c r="D9" i="10"/>
  <c r="H124" i="4"/>
  <c r="H112" i="4"/>
  <c r="H88" i="4"/>
  <c r="H9" i="4"/>
  <c r="H8" i="4"/>
  <c r="H79" i="4"/>
  <c r="H83" i="4"/>
  <c r="H122" i="4"/>
  <c r="H14" i="10"/>
  <c r="H37" i="4"/>
  <c r="H121" i="4"/>
  <c r="I121" i="4"/>
  <c r="I112" i="4"/>
  <c r="I9" i="4"/>
  <c r="I109" i="4"/>
  <c r="K49" i="10"/>
  <c r="H113" i="4"/>
  <c r="I105" i="4"/>
  <c r="I93" i="4"/>
  <c r="I108" i="4"/>
  <c r="H11" i="4"/>
  <c r="I85" i="4"/>
  <c r="I122" i="4"/>
  <c r="I79" i="4"/>
  <c r="I100" i="4"/>
  <c r="I104" i="4"/>
  <c r="H110" i="4"/>
  <c r="H25" i="4"/>
  <c r="H125" i="4"/>
  <c r="H86" i="4"/>
  <c r="H42" i="10"/>
  <c r="H21" i="10"/>
  <c r="I120" i="4"/>
  <c r="I28" i="4"/>
  <c r="H109" i="4"/>
  <c r="I32" i="4"/>
  <c r="I67" i="4"/>
  <c r="K11" i="10"/>
  <c r="I23" i="4"/>
  <c r="H22" i="10"/>
  <c r="H108" i="4"/>
  <c r="I95" i="4"/>
  <c r="H10" i="4"/>
  <c r="I77" i="4"/>
  <c r="I88" i="4"/>
  <c r="I91" i="4"/>
  <c r="I117" i="4"/>
  <c r="H67" i="4"/>
  <c r="H12" i="10"/>
  <c r="I116" i="4"/>
  <c r="H120" i="4"/>
  <c r="I110" i="4"/>
  <c r="I113" i="4"/>
  <c r="I69" i="4"/>
  <c r="I90" i="4"/>
  <c r="I78" i="4"/>
  <c r="I115" i="4"/>
  <c r="K26" i="10"/>
  <c r="I98" i="4"/>
  <c r="I99" i="4"/>
  <c r="K9" i="10"/>
  <c r="H77" i="4"/>
  <c r="I92" i="4"/>
  <c r="H24" i="10"/>
  <c r="I31" i="4"/>
  <c r="I24" i="4"/>
  <c r="H69" i="4"/>
  <c r="K16" i="10"/>
  <c r="I72" i="4"/>
  <c r="I30" i="4"/>
  <c r="H36" i="4"/>
  <c r="K45" i="10"/>
  <c r="I94" i="4"/>
  <c r="I107" i="4"/>
  <c r="I74" i="4"/>
  <c r="I8" i="4"/>
  <c r="I114" i="4"/>
  <c r="I83" i="4"/>
  <c r="I86" i="4"/>
  <c r="I106" i="4"/>
  <c r="H10" i="10"/>
  <c r="I124" i="4"/>
  <c r="I70" i="4"/>
  <c r="H100" i="4"/>
  <c r="H7" i="4"/>
  <c r="H23" i="4"/>
  <c r="H15" i="10"/>
  <c r="I71" i="4"/>
  <c r="I125" i="4"/>
  <c r="M9" i="72" l="1"/>
  <c r="M8" i="74"/>
  <c r="J91" i="4"/>
  <c r="J106" i="4"/>
  <c r="J95" i="4"/>
  <c r="J71" i="4"/>
  <c r="J70" i="4"/>
  <c r="J74" i="4"/>
  <c r="J94" i="4"/>
  <c r="J115" i="4"/>
  <c r="J92" i="4"/>
  <c r="J93" i="4"/>
  <c r="J104" i="4"/>
  <c r="J85" i="4"/>
  <c r="J105" i="4"/>
  <c r="J69" i="4"/>
  <c r="J83" i="4"/>
  <c r="J23" i="4"/>
  <c r="J72" i="4"/>
  <c r="J90" i="4"/>
  <c r="J24" i="4"/>
  <c r="J110" i="4"/>
  <c r="M67" i="37"/>
  <c r="M67" i="18"/>
  <c r="M107" i="37"/>
  <c r="M32" i="37"/>
  <c r="M32" i="18"/>
  <c r="M79" i="37"/>
  <c r="M79" i="18"/>
  <c r="M124" i="37"/>
  <c r="M124" i="18"/>
  <c r="M88" i="37"/>
  <c r="M88" i="18"/>
  <c r="M78" i="37"/>
  <c r="M78" i="18"/>
  <c r="M100" i="37"/>
  <c r="M100" i="18"/>
  <c r="M86" i="37"/>
  <c r="M122" i="37"/>
  <c r="M109" i="37"/>
  <c r="M109" i="18"/>
  <c r="M99" i="37"/>
  <c r="M99" i="18"/>
  <c r="M113" i="37"/>
  <c r="M113" i="18"/>
  <c r="M117" i="37"/>
  <c r="M117" i="18"/>
  <c r="M28" i="37"/>
  <c r="M28" i="18"/>
  <c r="M114" i="37"/>
  <c r="M98" i="18"/>
  <c r="M110" i="37"/>
  <c r="M9" i="37"/>
  <c r="M9" i="18"/>
  <c r="M31" i="37"/>
  <c r="M31" i="18"/>
  <c r="M8" i="37"/>
  <c r="M8" i="18"/>
  <c r="M24" i="37"/>
  <c r="M24" i="18"/>
  <c r="M108" i="37"/>
  <c r="M108" i="18"/>
  <c r="M112" i="37"/>
  <c r="M112" i="18"/>
  <c r="J122" i="4"/>
  <c r="M23" i="37"/>
  <c r="M23" i="18"/>
  <c r="M121" i="37"/>
  <c r="M121" i="18"/>
  <c r="M125" i="37"/>
  <c r="M125" i="18"/>
  <c r="M30" i="37"/>
  <c r="M30" i="18"/>
  <c r="M116" i="37"/>
  <c r="M77" i="18"/>
  <c r="M120" i="37"/>
  <c r="M120" i="18"/>
  <c r="J114" i="4"/>
  <c r="M98" i="37"/>
  <c r="M97" i="37"/>
  <c r="M97" i="13"/>
  <c r="M97" i="33"/>
  <c r="M77" i="37"/>
  <c r="M76" i="37"/>
  <c r="M76" i="33"/>
  <c r="M76" i="29"/>
  <c r="M76" i="13"/>
  <c r="M24" i="13"/>
  <c r="M24" i="24"/>
  <c r="M24" i="23"/>
  <c r="M24" i="33"/>
  <c r="M24" i="29"/>
  <c r="M24" i="16"/>
  <c r="M88" i="13"/>
  <c r="M88" i="27"/>
  <c r="M88" i="29"/>
  <c r="M88" i="23"/>
  <c r="M88" i="33"/>
  <c r="J28" i="4"/>
  <c r="M28" i="20"/>
  <c r="M28" i="25"/>
  <c r="M28" i="23"/>
  <c r="M28" i="24"/>
  <c r="M28" i="51"/>
  <c r="M28" i="29"/>
  <c r="M28" i="16"/>
  <c r="M28" i="13"/>
  <c r="M28" i="33"/>
  <c r="M121" i="23"/>
  <c r="M121" i="13"/>
  <c r="M121" i="27"/>
  <c r="M121" i="29"/>
  <c r="M121" i="33"/>
  <c r="M121" i="20"/>
  <c r="M121" i="35"/>
  <c r="M125" i="23"/>
  <c r="M125" i="27"/>
  <c r="M125" i="13"/>
  <c r="M125" i="29"/>
  <c r="M125" i="33"/>
  <c r="M125" i="35"/>
  <c r="M124" i="13"/>
  <c r="M124" i="33"/>
  <c r="M114" i="33"/>
  <c r="M31" i="23"/>
  <c r="M31" i="13"/>
  <c r="M31" i="24"/>
  <c r="M31" i="35"/>
  <c r="M31" i="16"/>
  <c r="M31" i="29"/>
  <c r="M31" i="33"/>
  <c r="M78" i="23"/>
  <c r="M78" i="27"/>
  <c r="M78" i="13"/>
  <c r="M78" i="29"/>
  <c r="M78" i="33"/>
  <c r="M113" i="23"/>
  <c r="M113" i="13"/>
  <c r="M113" i="27"/>
  <c r="M113" i="20"/>
  <c r="M113" i="29"/>
  <c r="M113" i="33"/>
  <c r="M113" i="35"/>
  <c r="J116" i="4"/>
  <c r="M116" i="13"/>
  <c r="M116" i="23"/>
  <c r="M116" i="29"/>
  <c r="M116" i="33"/>
  <c r="M117" i="23"/>
  <c r="M117" i="27"/>
  <c r="M117" i="13"/>
  <c r="M117" i="29"/>
  <c r="M117" i="33"/>
  <c r="M117" i="35"/>
  <c r="M23" i="20"/>
  <c r="M23" i="23"/>
  <c r="M23" i="13"/>
  <c r="M23" i="35"/>
  <c r="M23" i="16"/>
  <c r="M23" i="29"/>
  <c r="M23" i="33"/>
  <c r="M32" i="13"/>
  <c r="M32" i="20"/>
  <c r="M32" i="33"/>
  <c r="M32" i="23"/>
  <c r="M32" i="29"/>
  <c r="M32" i="16"/>
  <c r="M79" i="13"/>
  <c r="M79" i="20"/>
  <c r="M79" i="23"/>
  <c r="M79" i="33"/>
  <c r="M79" i="29"/>
  <c r="M79" i="27"/>
  <c r="M8" i="20"/>
  <c r="M8" i="13"/>
  <c r="M8" i="22"/>
  <c r="M8" i="24"/>
  <c r="M8" i="51"/>
  <c r="M8" i="25"/>
  <c r="M8" i="41"/>
  <c r="M8" i="29"/>
  <c r="M8" i="33"/>
  <c r="M8" i="19"/>
  <c r="M8" i="16"/>
  <c r="M30" i="20"/>
  <c r="M30" i="13"/>
  <c r="M30" i="23"/>
  <c r="M30" i="33"/>
  <c r="M30" i="29"/>
  <c r="M30" i="35"/>
  <c r="M30" i="16"/>
  <c r="M99" i="23"/>
  <c r="M99" i="27"/>
  <c r="M99" i="13"/>
  <c r="M99" i="33"/>
  <c r="M110" i="33"/>
  <c r="M120" i="13"/>
  <c r="M120" i="23"/>
  <c r="M120" i="27"/>
  <c r="M120" i="29"/>
  <c r="M120" i="33"/>
  <c r="M100" i="13"/>
  <c r="M100" i="20"/>
  <c r="M100" i="33"/>
  <c r="M100" i="27"/>
  <c r="M100" i="23"/>
  <c r="M122" i="33"/>
  <c r="M108" i="13"/>
  <c r="M108" i="23"/>
  <c r="M108" i="33"/>
  <c r="M108" i="29"/>
  <c r="M108" i="27"/>
  <c r="M9" i="19"/>
  <c r="M9" i="25"/>
  <c r="M9" i="20"/>
  <c r="M9" i="22"/>
  <c r="M9" i="51"/>
  <c r="M9" i="13"/>
  <c r="M9" i="16"/>
  <c r="M9" i="29"/>
  <c r="M9" i="24"/>
  <c r="M9" i="41"/>
  <c r="M9" i="33"/>
  <c r="M86" i="23"/>
  <c r="M86" i="29"/>
  <c r="M86" i="13"/>
  <c r="M86" i="33"/>
  <c r="J107" i="4"/>
  <c r="M107" i="23"/>
  <c r="M107" i="13"/>
  <c r="M107" i="35"/>
  <c r="M107" i="29"/>
  <c r="M107" i="33"/>
  <c r="M98" i="20"/>
  <c r="M98" i="13"/>
  <c r="M98" i="23"/>
  <c r="M98" i="27"/>
  <c r="M98" i="33"/>
  <c r="M77" i="20"/>
  <c r="M77" i="13"/>
  <c r="M77" i="27"/>
  <c r="M77" i="23"/>
  <c r="M77" i="29"/>
  <c r="M77" i="33"/>
  <c r="M67" i="13"/>
  <c r="M67" i="23"/>
  <c r="M67" i="27"/>
  <c r="M67" i="29"/>
  <c r="M67" i="33"/>
  <c r="M109" i="27"/>
  <c r="M109" i="13"/>
  <c r="M109" i="23"/>
  <c r="M109" i="20"/>
  <c r="M109" i="29"/>
  <c r="M109" i="35"/>
  <c r="M109" i="33"/>
  <c r="M112" i="13"/>
  <c r="M112" i="23"/>
  <c r="M112" i="27"/>
  <c r="M112" i="33"/>
  <c r="M112" i="29"/>
  <c r="J108" i="4"/>
  <c r="M44" i="8"/>
  <c r="D41" i="9"/>
  <c r="H66" i="9"/>
  <c r="B68" i="9"/>
  <c r="M45" i="8"/>
  <c r="D42" i="9"/>
  <c r="M41" i="8"/>
  <c r="D38" i="9"/>
  <c r="C55" i="9"/>
  <c r="H53" i="9"/>
  <c r="N47" i="8"/>
  <c r="I16" i="9"/>
  <c r="G32" i="9"/>
  <c r="B72" i="9"/>
  <c r="D30" i="9"/>
  <c r="D15" i="9"/>
  <c r="B56" i="9"/>
  <c r="D23" i="9"/>
  <c r="B64" i="9"/>
  <c r="M38" i="8"/>
  <c r="B45" i="9"/>
  <c r="D35" i="9"/>
  <c r="I12" i="9"/>
  <c r="I24" i="9"/>
  <c r="H56" i="9"/>
  <c r="I20" i="9"/>
  <c r="C50" i="9"/>
  <c r="B71" i="9"/>
  <c r="D29" i="9"/>
  <c r="M90" i="8"/>
  <c r="I38" i="9"/>
  <c r="G74" i="9"/>
  <c r="I21" i="9"/>
  <c r="N44" i="8"/>
  <c r="C53" i="9"/>
  <c r="C64" i="9"/>
  <c r="B62" i="9"/>
  <c r="D21" i="9"/>
  <c r="H57" i="9"/>
  <c r="N43" i="8"/>
  <c r="D36" i="9"/>
  <c r="M39" i="8"/>
  <c r="N42" i="8"/>
  <c r="C70" i="9"/>
  <c r="H55" i="9"/>
  <c r="N46" i="8"/>
  <c r="M47" i="8"/>
  <c r="D44" i="9"/>
  <c r="B70" i="9"/>
  <c r="H32" i="9"/>
  <c r="I10" i="9"/>
  <c r="C52" i="9"/>
  <c r="M89" i="8"/>
  <c r="I37" i="9"/>
  <c r="H60" i="9"/>
  <c r="D43" i="9"/>
  <c r="M46" i="8"/>
  <c r="H64" i="9"/>
  <c r="I22" i="9"/>
  <c r="D14" i="9"/>
  <c r="B55" i="9"/>
  <c r="N90" i="8"/>
  <c r="B66" i="9"/>
  <c r="D25" i="9"/>
  <c r="C62" i="9"/>
  <c r="D10" i="9"/>
  <c r="B51" i="9"/>
  <c r="C51" i="9"/>
  <c r="D11" i="9"/>
  <c r="B52" i="9"/>
  <c r="I26" i="9"/>
  <c r="M91" i="8"/>
  <c r="I39" i="9"/>
  <c r="H59" i="9"/>
  <c r="I27" i="9"/>
  <c r="H69" i="9"/>
  <c r="H70" i="9"/>
  <c r="N96" i="8"/>
  <c r="B50" i="9"/>
  <c r="D9" i="9"/>
  <c r="N45" i="8"/>
  <c r="C68" i="9"/>
  <c r="H65" i="9"/>
  <c r="N91" i="8"/>
  <c r="H52" i="9"/>
  <c r="C57" i="9"/>
  <c r="I41" i="9"/>
  <c r="M93" i="8"/>
  <c r="B59" i="9"/>
  <c r="D18" i="9"/>
  <c r="N93" i="8"/>
  <c r="C72" i="9"/>
  <c r="I42" i="9"/>
  <c r="M94" i="8"/>
  <c r="C69" i="9"/>
  <c r="N88" i="8"/>
  <c r="D22" i="9"/>
  <c r="B63" i="9"/>
  <c r="C58" i="9"/>
  <c r="N95" i="8"/>
  <c r="C45" i="9"/>
  <c r="N38" i="8"/>
  <c r="M43" i="8"/>
  <c r="D40" i="9"/>
  <c r="I25" i="9"/>
  <c r="N41" i="8"/>
  <c r="B65" i="9"/>
  <c r="D24" i="9"/>
  <c r="D37" i="9"/>
  <c r="M40" i="8"/>
  <c r="N92" i="8"/>
  <c r="D28" i="9"/>
  <c r="H45" i="9"/>
  <c r="N87" i="8"/>
  <c r="C66" i="9"/>
  <c r="N40" i="8"/>
  <c r="B58" i="9"/>
  <c r="D17" i="9"/>
  <c r="C63" i="9"/>
  <c r="N89" i="8"/>
  <c r="C61" i="9"/>
  <c r="C71" i="9"/>
  <c r="I40" i="9"/>
  <c r="M92" i="8"/>
  <c r="D12" i="9"/>
  <c r="B53" i="9"/>
  <c r="C56" i="9"/>
  <c r="I35" i="9"/>
  <c r="G45" i="9"/>
  <c r="F27" i="10" s="1"/>
  <c r="M87" i="8"/>
  <c r="C59" i="9"/>
  <c r="H68" i="9"/>
  <c r="N94" i="8"/>
  <c r="D27" i="9"/>
  <c r="B69" i="9"/>
  <c r="H58" i="9"/>
  <c r="M95" i="8"/>
  <c r="I43" i="9"/>
  <c r="H63" i="9"/>
  <c r="D19" i="9"/>
  <c r="B60" i="9"/>
  <c r="H71" i="9"/>
  <c r="C60" i="9"/>
  <c r="M96" i="8"/>
  <c r="I44" i="9"/>
  <c r="N39" i="8"/>
  <c r="I19" i="9"/>
  <c r="M42" i="8"/>
  <c r="D39" i="9"/>
  <c r="D26" i="9"/>
  <c r="B57" i="9"/>
  <c r="D16" i="9"/>
  <c r="D20" i="9"/>
  <c r="B61" i="9"/>
  <c r="H61" i="9"/>
  <c r="I14" i="9"/>
  <c r="I28" i="9"/>
  <c r="I17" i="9"/>
  <c r="C65" i="9"/>
  <c r="I18" i="9"/>
  <c r="M88" i="8"/>
  <c r="I36" i="9"/>
  <c r="J109" i="4"/>
  <c r="J117" i="4"/>
  <c r="J125" i="4"/>
  <c r="J124" i="4"/>
  <c r="J120" i="4"/>
  <c r="J8" i="4"/>
  <c r="J112" i="4"/>
  <c r="J78" i="4"/>
  <c r="J9" i="4"/>
  <c r="J67" i="4"/>
  <c r="J86" i="4"/>
  <c r="J113" i="4"/>
  <c r="J88" i="4"/>
  <c r="J99" i="4"/>
  <c r="J100" i="4"/>
  <c r="J121" i="4"/>
  <c r="J77" i="4"/>
  <c r="J79" i="4"/>
  <c r="J98" i="4"/>
  <c r="K21" i="10"/>
  <c r="H75" i="4"/>
  <c r="H25" i="10"/>
  <c r="G55" i="10"/>
  <c r="H136" i="4"/>
  <c r="H96" i="4"/>
  <c r="K42" i="10"/>
  <c r="G53" i="10"/>
  <c r="H29" i="4"/>
  <c r="H89" i="4"/>
  <c r="K12" i="10"/>
  <c r="K14" i="10"/>
  <c r="K23" i="10"/>
  <c r="H87" i="4"/>
  <c r="H111" i="4"/>
  <c r="K44" i="10"/>
  <c r="K24" i="10"/>
  <c r="G46" i="10"/>
  <c r="H43" i="10"/>
  <c r="H31" i="4"/>
  <c r="J31" i="4" s="1"/>
  <c r="H32" i="4"/>
  <c r="J32" i="4" s="1"/>
  <c r="J10" i="10"/>
  <c r="D10" i="10"/>
  <c r="J24" i="10"/>
  <c r="D24" i="10"/>
  <c r="I25" i="4"/>
  <c r="B60" i="10"/>
  <c r="D38" i="10"/>
  <c r="J38" i="10"/>
  <c r="I37" i="4"/>
  <c r="E37" i="16"/>
  <c r="F55" i="10"/>
  <c r="H33" i="10"/>
  <c r="D23" i="10"/>
  <c r="J23" i="10"/>
  <c r="H34" i="4"/>
  <c r="H134" i="4"/>
  <c r="J14" i="10"/>
  <c r="D14" i="10"/>
  <c r="I87" i="4"/>
  <c r="J11" i="10"/>
  <c r="L11" i="10" s="1"/>
  <c r="D11" i="10"/>
  <c r="K32" i="10"/>
  <c r="C54" i="10"/>
  <c r="K15" i="10"/>
  <c r="H41" i="10"/>
  <c r="F46" i="10"/>
  <c r="D42" i="10"/>
  <c r="J42" i="10"/>
  <c r="C52" i="10"/>
  <c r="C35" i="10"/>
  <c r="K30" i="10"/>
  <c r="H23" i="10"/>
  <c r="K25" i="10"/>
  <c r="D33" i="10"/>
  <c r="B55" i="10"/>
  <c r="J33" i="10"/>
  <c r="D45" i="10"/>
  <c r="J45" i="10"/>
  <c r="L45" i="10" s="1"/>
  <c r="J16" i="10"/>
  <c r="L16" i="10" s="1"/>
  <c r="D16" i="10"/>
  <c r="I75" i="4"/>
  <c r="I137" i="4"/>
  <c r="D22" i="10"/>
  <c r="J22" i="10"/>
  <c r="G54" i="10"/>
  <c r="J31" i="10"/>
  <c r="B53" i="10"/>
  <c r="D31" i="10"/>
  <c r="J15" i="10"/>
  <c r="D15" i="10"/>
  <c r="I96" i="4"/>
  <c r="H20" i="10"/>
  <c r="K22" i="10"/>
  <c r="K10" i="10"/>
  <c r="D44" i="10"/>
  <c r="J44" i="10"/>
  <c r="I111" i="4"/>
  <c r="C55" i="10"/>
  <c r="K33" i="10"/>
  <c r="J13" i="10"/>
  <c r="D13" i="10"/>
  <c r="K13" i="10"/>
  <c r="H35" i="4"/>
  <c r="C56" i="10"/>
  <c r="K56" i="10" s="1"/>
  <c r="K34" i="10"/>
  <c r="I119" i="4"/>
  <c r="F35" i="10"/>
  <c r="F52" i="10"/>
  <c r="H30" i="10"/>
  <c r="I135" i="4"/>
  <c r="I29" i="4"/>
  <c r="H31" i="10"/>
  <c r="F53" i="10"/>
  <c r="I89" i="4"/>
  <c r="J32" i="10"/>
  <c r="D32" i="10"/>
  <c r="B54" i="10"/>
  <c r="I66" i="4"/>
  <c r="J20" i="10"/>
  <c r="D20" i="10"/>
  <c r="B56" i="10"/>
  <c r="J34" i="10"/>
  <c r="H66" i="4"/>
  <c r="H32" i="10"/>
  <c r="F54" i="10"/>
  <c r="I22" i="4"/>
  <c r="K41" i="10"/>
  <c r="C46" i="10"/>
  <c r="H119" i="4"/>
  <c r="H137" i="4"/>
  <c r="I136" i="4"/>
  <c r="H68" i="4"/>
  <c r="I68" i="4"/>
  <c r="K43" i="10"/>
  <c r="I10" i="4"/>
  <c r="H135" i="4"/>
  <c r="H12" i="4"/>
  <c r="J26" i="10"/>
  <c r="L26" i="10" s="1"/>
  <c r="D26" i="10"/>
  <c r="I34" i="4"/>
  <c r="H9" i="10"/>
  <c r="J9" i="10"/>
  <c r="L9" i="10" s="1"/>
  <c r="J49" i="10"/>
  <c r="L49" i="10" s="1"/>
  <c r="D49" i="10"/>
  <c r="D21" i="10"/>
  <c r="J21" i="10"/>
  <c r="I39" i="4"/>
  <c r="I36" i="4"/>
  <c r="E36" i="16"/>
  <c r="B35" i="10"/>
  <c r="J30" i="10"/>
  <c r="B52" i="10"/>
  <c r="D30" i="10"/>
  <c r="I7" i="4"/>
  <c r="K60" i="10"/>
  <c r="K38" i="10"/>
  <c r="H13" i="10"/>
  <c r="G35" i="10"/>
  <c r="G52" i="10"/>
  <c r="I35" i="4"/>
  <c r="D12" i="10"/>
  <c r="J12" i="10"/>
  <c r="I12" i="4"/>
  <c r="D43" i="10"/>
  <c r="J43" i="10"/>
  <c r="I134" i="4"/>
  <c r="I11" i="4"/>
  <c r="K20" i="10"/>
  <c r="D25" i="10"/>
  <c r="J25" i="10"/>
  <c r="D41" i="10"/>
  <c r="J41" i="10"/>
  <c r="B46" i="10"/>
  <c r="K31" i="10"/>
  <c r="C53" i="10"/>
  <c r="L40" i="9"/>
  <c r="J30" i="9" l="1"/>
  <c r="J22" i="9"/>
  <c r="J14" i="9"/>
  <c r="J29" i="9"/>
  <c r="J21" i="9"/>
  <c r="J23" i="9"/>
  <c r="J28" i="9"/>
  <c r="J20" i="9"/>
  <c r="J13" i="9"/>
  <c r="J24" i="9"/>
  <c r="J15" i="9"/>
  <c r="J27" i="9"/>
  <c r="J19" i="9"/>
  <c r="J12" i="9"/>
  <c r="J17" i="9"/>
  <c r="J16" i="9"/>
  <c r="J26" i="9"/>
  <c r="J18" i="9"/>
  <c r="J11" i="9"/>
  <c r="J25" i="9"/>
  <c r="J31" i="9"/>
  <c r="B74" i="9"/>
  <c r="H74" i="9"/>
  <c r="J73" i="9"/>
  <c r="B17" i="10"/>
  <c r="N35" i="9"/>
  <c r="M28" i="9"/>
  <c r="M37" i="9"/>
  <c r="L16" i="9"/>
  <c r="N18" i="9"/>
  <c r="M7" i="72" l="1"/>
  <c r="M7" i="74"/>
  <c r="M10" i="72"/>
  <c r="J40" i="9"/>
  <c r="E35" i="9"/>
  <c r="O19" i="9"/>
  <c r="O25" i="9"/>
  <c r="N26" i="9"/>
  <c r="O28" i="9"/>
  <c r="L42" i="9"/>
  <c r="M9" i="9"/>
  <c r="O31" i="9"/>
  <c r="O16" i="9"/>
  <c r="N17" i="9"/>
  <c r="O40" i="9"/>
  <c r="N36" i="9"/>
  <c r="L11" i="9"/>
  <c r="L29" i="9"/>
  <c r="O30" i="9"/>
  <c r="N40" i="9"/>
  <c r="L41" i="9"/>
  <c r="L23" i="9"/>
  <c r="N41" i="9"/>
  <c r="N23" i="9"/>
  <c r="O24" i="9"/>
  <c r="M43" i="9"/>
  <c r="L9" i="9"/>
  <c r="O36" i="9"/>
  <c r="N13" i="9"/>
  <c r="O43" i="9"/>
  <c r="N38" i="9"/>
  <c r="N24" i="9"/>
  <c r="L35" i="9"/>
  <c r="N16" i="9"/>
  <c r="M12" i="9"/>
  <c r="O27" i="9"/>
  <c r="M10" i="9"/>
  <c r="O35" i="9"/>
  <c r="M42" i="9"/>
  <c r="M18" i="9"/>
  <c r="O21" i="9"/>
  <c r="M11" i="9"/>
  <c r="O38" i="9"/>
  <c r="M13" i="9"/>
  <c r="L25" i="9"/>
  <c r="N44" i="9"/>
  <c r="L20" i="9"/>
  <c r="M44" i="9"/>
  <c r="M23" i="9"/>
  <c r="L10" i="9"/>
  <c r="L27" i="9"/>
  <c r="N27" i="9"/>
  <c r="O15" i="9"/>
  <c r="M26" i="9"/>
  <c r="N43" i="9"/>
  <c r="O42" i="9"/>
  <c r="M36" i="9"/>
  <c r="M15" i="9"/>
  <c r="M24" i="9"/>
  <c r="L37" i="9"/>
  <c r="O20" i="9"/>
  <c r="M20" i="9"/>
  <c r="N25" i="9"/>
  <c r="L15" i="9"/>
  <c r="M40" i="9"/>
  <c r="N39" i="9"/>
  <c r="M38" i="9"/>
  <c r="L43" i="9"/>
  <c r="M21" i="9"/>
  <c r="O29" i="9"/>
  <c r="O17" i="9"/>
  <c r="O44" i="9"/>
  <c r="N9" i="9"/>
  <c r="O39" i="9"/>
  <c r="M22" i="9"/>
  <c r="N21" i="9"/>
  <c r="N30" i="9"/>
  <c r="L24" i="9"/>
  <c r="N11" i="9"/>
  <c r="L44" i="9"/>
  <c r="N28" i="9"/>
  <c r="O23" i="9"/>
  <c r="M30" i="9"/>
  <c r="M19" i="9"/>
  <c r="M39" i="9"/>
  <c r="L39" i="9"/>
  <c r="N22" i="9"/>
  <c r="N31" i="9"/>
  <c r="M31" i="9"/>
  <c r="L36" i="9"/>
  <c r="O37" i="9"/>
  <c r="N10" i="9"/>
  <c r="L21" i="9"/>
  <c r="M16" i="9"/>
  <c r="L22" i="9"/>
  <c r="N42" i="9"/>
  <c r="L28" i="9"/>
  <c r="O10" i="9"/>
  <c r="O11" i="9"/>
  <c r="L12" i="9"/>
  <c r="N15" i="9"/>
  <c r="M29" i="9"/>
  <c r="M27" i="9"/>
  <c r="M41" i="9"/>
  <c r="L38" i="9"/>
  <c r="L19" i="9"/>
  <c r="O12" i="9"/>
  <c r="O26" i="9"/>
  <c r="M25" i="9"/>
  <c r="L13" i="9"/>
  <c r="O22" i="9"/>
  <c r="M35" i="9"/>
  <c r="O13" i="9"/>
  <c r="N19" i="9"/>
  <c r="L30" i="9"/>
  <c r="N37" i="9"/>
  <c r="M17" i="9"/>
  <c r="O41" i="9"/>
  <c r="L17" i="9"/>
  <c r="L26" i="9"/>
  <c r="O18" i="9"/>
  <c r="N29" i="9"/>
  <c r="N12" i="9"/>
  <c r="O9" i="9"/>
  <c r="J25" i="4" l="1"/>
  <c r="M33" i="16"/>
  <c r="M35" i="37"/>
  <c r="M35" i="18"/>
  <c r="M22" i="37"/>
  <c r="M22" i="18"/>
  <c r="M29" i="37"/>
  <c r="M29" i="18"/>
  <c r="M135" i="37"/>
  <c r="M37" i="37"/>
  <c r="M66" i="37"/>
  <c r="M66" i="18"/>
  <c r="M111" i="37"/>
  <c r="M111" i="18"/>
  <c r="M10" i="37"/>
  <c r="M10" i="18"/>
  <c r="M136" i="37"/>
  <c r="M75" i="37"/>
  <c r="M134" i="37"/>
  <c r="M36" i="37"/>
  <c r="M12" i="37"/>
  <c r="M12" i="18"/>
  <c r="M89" i="37"/>
  <c r="M89" i="18"/>
  <c r="M87" i="37"/>
  <c r="M87" i="18"/>
  <c r="M25" i="37"/>
  <c r="M25" i="18"/>
  <c r="M11" i="37"/>
  <c r="M11" i="18"/>
  <c r="M7" i="37"/>
  <c r="M7" i="18"/>
  <c r="M34" i="37"/>
  <c r="M34" i="18"/>
  <c r="M119" i="37"/>
  <c r="M119" i="18"/>
  <c r="M68" i="37"/>
  <c r="M68" i="18"/>
  <c r="M96" i="37"/>
  <c r="L24" i="10"/>
  <c r="L14" i="10"/>
  <c r="J39" i="4"/>
  <c r="J75" i="4"/>
  <c r="J96" i="4"/>
  <c r="L15" i="10"/>
  <c r="L52" i="9"/>
  <c r="M45" i="9"/>
  <c r="M70" i="9"/>
  <c r="O69" i="9"/>
  <c r="L56" i="9"/>
  <c r="M52" i="9"/>
  <c r="M58" i="9"/>
  <c r="O58" i="9"/>
  <c r="N63" i="9"/>
  <c r="O72" i="9"/>
  <c r="O57" i="9"/>
  <c r="M63" i="9"/>
  <c r="N58" i="9"/>
  <c r="N55" i="9"/>
  <c r="O71" i="9"/>
  <c r="M69" i="9"/>
  <c r="L66" i="9"/>
  <c r="L60" i="9"/>
  <c r="L65" i="9"/>
  <c r="M51" i="9"/>
  <c r="L71" i="9"/>
  <c r="M49" i="9"/>
  <c r="M32" i="9"/>
  <c r="O56" i="9"/>
  <c r="L45" i="9"/>
  <c r="L55" i="9"/>
  <c r="O68" i="9"/>
  <c r="L50" i="9"/>
  <c r="N61" i="9"/>
  <c r="M72" i="9"/>
  <c r="N49" i="9"/>
  <c r="N32" i="9"/>
  <c r="M64" i="9"/>
  <c r="O45" i="9"/>
  <c r="N57" i="9"/>
  <c r="O52" i="9"/>
  <c r="O50" i="9"/>
  <c r="L63" i="9"/>
  <c r="M61" i="9"/>
  <c r="N68" i="9"/>
  <c r="N72" i="9"/>
  <c r="M65" i="9"/>
  <c r="O65" i="9"/>
  <c r="N70" i="9"/>
  <c r="O62" i="9"/>
  <c r="L64" i="9"/>
  <c r="L70" i="9"/>
  <c r="L59" i="9"/>
  <c r="N66" i="9"/>
  <c r="N56" i="9"/>
  <c r="L68" i="9"/>
  <c r="O63" i="9"/>
  <c r="O51" i="9"/>
  <c r="O70" i="9"/>
  <c r="L62" i="9"/>
  <c r="O66" i="9"/>
  <c r="N52" i="9"/>
  <c r="L51" i="9"/>
  <c r="N50" i="9"/>
  <c r="M71" i="9"/>
  <c r="N65" i="9"/>
  <c r="M56" i="9"/>
  <c r="M68" i="9"/>
  <c r="O49" i="9"/>
  <c r="O32" i="9"/>
  <c r="M60" i="9"/>
  <c r="M62" i="9"/>
  <c r="L61" i="9"/>
  <c r="M50" i="9"/>
  <c r="N71" i="9"/>
  <c r="O61" i="9"/>
  <c r="N53" i="9"/>
  <c r="O59" i="9"/>
  <c r="M59" i="9"/>
  <c r="L69" i="9"/>
  <c r="M55" i="9"/>
  <c r="M57" i="9"/>
  <c r="N45" i="9"/>
  <c r="N64" i="9"/>
  <c r="N59" i="9"/>
  <c r="M53" i="9"/>
  <c r="N51" i="9"/>
  <c r="N62" i="9"/>
  <c r="L32" i="9"/>
  <c r="L49" i="9"/>
  <c r="M66" i="9"/>
  <c r="L57" i="9"/>
  <c r="O60" i="9"/>
  <c r="O55" i="9"/>
  <c r="O53" i="9"/>
  <c r="N69" i="9"/>
  <c r="O64" i="9"/>
  <c r="L53" i="9"/>
  <c r="L42" i="10"/>
  <c r="J11" i="4"/>
  <c r="M11" i="13"/>
  <c r="M11" i="33"/>
  <c r="M11" i="23"/>
  <c r="M11" i="29"/>
  <c r="M11" i="35"/>
  <c r="M11" i="16"/>
  <c r="M27" i="16"/>
  <c r="J10" i="4"/>
  <c r="M10" i="19"/>
  <c r="M10" i="20"/>
  <c r="M10" i="25"/>
  <c r="M10" i="23"/>
  <c r="M10" i="22"/>
  <c r="M10" i="13"/>
  <c r="M10" i="24"/>
  <c r="M10" i="35"/>
  <c r="M10" i="51"/>
  <c r="M10" i="41"/>
  <c r="M10" i="16"/>
  <c r="M10" i="29"/>
  <c r="M10" i="33"/>
  <c r="M68" i="20"/>
  <c r="M68" i="13"/>
  <c r="M68" i="27"/>
  <c r="M68" i="23"/>
  <c r="M68" i="29"/>
  <c r="M68" i="33"/>
  <c r="M136" i="26"/>
  <c r="M136" i="34"/>
  <c r="M119" i="23"/>
  <c r="M119" i="27"/>
  <c r="M119" i="13"/>
  <c r="M119" i="35"/>
  <c r="M119" i="29"/>
  <c r="M119" i="33"/>
  <c r="M111" i="23"/>
  <c r="M111" i="20"/>
  <c r="M111" i="27"/>
  <c r="M111" i="35"/>
  <c r="M111" i="29"/>
  <c r="M111" i="13"/>
  <c r="M111" i="33"/>
  <c r="J7" i="4"/>
  <c r="M7" i="19"/>
  <c r="M7" i="13"/>
  <c r="M7" i="23"/>
  <c r="M7" i="22"/>
  <c r="M7" i="25"/>
  <c r="M7" i="20"/>
  <c r="M7" i="24"/>
  <c r="M7" i="29"/>
  <c r="M7" i="41"/>
  <c r="M7" i="16"/>
  <c r="M7" i="51"/>
  <c r="M7" i="35"/>
  <c r="M7" i="33"/>
  <c r="J22" i="4"/>
  <c r="M22" i="20"/>
  <c r="M22" i="13"/>
  <c r="M22" i="24"/>
  <c r="M22" i="51"/>
  <c r="M22" i="23"/>
  <c r="M22" i="29"/>
  <c r="M22" i="35"/>
  <c r="M22" i="33"/>
  <c r="M22" i="16"/>
  <c r="M29" i="23"/>
  <c r="M29" i="13"/>
  <c r="M29" i="29"/>
  <c r="M29" i="51"/>
  <c r="M29" i="35"/>
  <c r="M29" i="24"/>
  <c r="M29" i="16"/>
  <c r="M29" i="20"/>
  <c r="M29" i="33"/>
  <c r="M137" i="26"/>
  <c r="M137" i="34"/>
  <c r="M87" i="13"/>
  <c r="M87" i="20"/>
  <c r="M87" i="23"/>
  <c r="M87" i="27"/>
  <c r="M87" i="33"/>
  <c r="M87" i="29"/>
  <c r="M87" i="35"/>
  <c r="J9" i="9"/>
  <c r="M35" i="13"/>
  <c r="M35" i="23"/>
  <c r="M35" i="29"/>
  <c r="M35" i="35"/>
  <c r="M35" i="33"/>
  <c r="M35" i="16"/>
  <c r="M39" i="16"/>
  <c r="M39" i="13"/>
  <c r="M34" i="13"/>
  <c r="M34" i="23"/>
  <c r="M34" i="29"/>
  <c r="M34" i="35"/>
  <c r="M34" i="16"/>
  <c r="M34" i="33"/>
  <c r="M38" i="16"/>
  <c r="M66" i="13"/>
  <c r="M66" i="20"/>
  <c r="M66" i="27"/>
  <c r="M66" i="33"/>
  <c r="M66" i="23"/>
  <c r="M66" i="29"/>
  <c r="M89" i="20"/>
  <c r="M89" i="13"/>
  <c r="M89" i="23"/>
  <c r="M89" i="27"/>
  <c r="M89" i="29"/>
  <c r="M89" i="35"/>
  <c r="M89" i="33"/>
  <c r="M96" i="33"/>
  <c r="M75" i="33"/>
  <c r="J37" i="4"/>
  <c r="M37" i="13"/>
  <c r="M37" i="16"/>
  <c r="I70" i="9"/>
  <c r="M134" i="26"/>
  <c r="M134" i="34"/>
  <c r="M12" i="13"/>
  <c r="M12" i="23"/>
  <c r="M12" i="29"/>
  <c r="M12" i="35"/>
  <c r="M12" i="16"/>
  <c r="M12" i="33"/>
  <c r="J36" i="4"/>
  <c r="M36" i="13"/>
  <c r="M36" i="16"/>
  <c r="L21" i="10"/>
  <c r="H53" i="10"/>
  <c r="M135" i="26"/>
  <c r="M135" i="34"/>
  <c r="M25" i="23"/>
  <c r="M25" i="13"/>
  <c r="M25" i="20"/>
  <c r="M25" i="29"/>
  <c r="M25" i="16"/>
  <c r="M25" i="33"/>
  <c r="L31" i="10"/>
  <c r="L22" i="10"/>
  <c r="L12" i="10"/>
  <c r="L10" i="10"/>
  <c r="I68" i="9"/>
  <c r="I65" i="9"/>
  <c r="I51" i="9"/>
  <c r="I58" i="9"/>
  <c r="I55" i="9"/>
  <c r="I32" i="9"/>
  <c r="I50" i="9"/>
  <c r="D68" i="9"/>
  <c r="D45" i="9"/>
  <c r="D50" i="9"/>
  <c r="G17" i="10"/>
  <c r="E39" i="9"/>
  <c r="E42" i="9"/>
  <c r="E37" i="9"/>
  <c r="E38" i="9"/>
  <c r="E44" i="9"/>
  <c r="E43" i="9"/>
  <c r="E41" i="9"/>
  <c r="F17" i="10"/>
  <c r="J17" i="10" s="1"/>
  <c r="E36" i="9"/>
  <c r="E40" i="9"/>
  <c r="B27" i="10"/>
  <c r="J27" i="10" s="1"/>
  <c r="J35" i="9"/>
  <c r="J41" i="9"/>
  <c r="G27" i="10"/>
  <c r="H27" i="10" s="1"/>
  <c r="J54" i="9"/>
  <c r="C27" i="10"/>
  <c r="J10" i="9"/>
  <c r="J42" i="9"/>
  <c r="J43" i="9"/>
  <c r="J37" i="9"/>
  <c r="J38" i="9"/>
  <c r="J36" i="9"/>
  <c r="I45" i="9"/>
  <c r="J39" i="9"/>
  <c r="J44" i="9"/>
  <c r="J119" i="4"/>
  <c r="J137" i="4"/>
  <c r="J135" i="4"/>
  <c r="J111" i="4"/>
  <c r="J12" i="4"/>
  <c r="J66" i="4"/>
  <c r="J35" i="4"/>
  <c r="J134" i="4"/>
  <c r="J34" i="4"/>
  <c r="J136" i="4"/>
  <c r="J68" i="4"/>
  <c r="J89" i="4"/>
  <c r="J87" i="4"/>
  <c r="J29" i="4"/>
  <c r="K53" i="10"/>
  <c r="K55" i="10"/>
  <c r="L44" i="10"/>
  <c r="L23" i="10"/>
  <c r="H55" i="10"/>
  <c r="L30" i="10"/>
  <c r="G57" i="10"/>
  <c r="L32" i="10"/>
  <c r="H54" i="10"/>
  <c r="L43" i="10"/>
  <c r="K46" i="10"/>
  <c r="H46" i="10"/>
  <c r="L41" i="10"/>
  <c r="L13" i="10"/>
  <c r="L25" i="10"/>
  <c r="H30" i="4"/>
  <c r="J30" i="4" s="1"/>
  <c r="K54" i="10"/>
  <c r="L38" i="10"/>
  <c r="D46" i="10"/>
  <c r="J46" i="10"/>
  <c r="D52" i="10"/>
  <c r="J52" i="10"/>
  <c r="B57" i="10"/>
  <c r="J54" i="10"/>
  <c r="D54" i="10"/>
  <c r="F57" i="10"/>
  <c r="H52" i="10"/>
  <c r="L33" i="10"/>
  <c r="K35" i="10"/>
  <c r="L20" i="10"/>
  <c r="H35" i="10"/>
  <c r="J53" i="10"/>
  <c r="D53" i="10"/>
  <c r="D55" i="10"/>
  <c r="J55" i="10"/>
  <c r="K52" i="10"/>
  <c r="C57" i="10"/>
  <c r="J60" i="10"/>
  <c r="L60" i="10" s="1"/>
  <c r="D60" i="10"/>
  <c r="J35" i="10"/>
  <c r="D35" i="10"/>
  <c r="D56" i="10"/>
  <c r="J56" i="10"/>
  <c r="L56" i="10" s="1"/>
  <c r="L18" i="9"/>
  <c r="L31" i="9"/>
  <c r="N20" i="9"/>
  <c r="N60" i="9" l="1"/>
  <c r="L58" i="9"/>
  <c r="L72" i="9"/>
  <c r="J72" i="9"/>
  <c r="I72" i="9" s="1"/>
  <c r="J67" i="9"/>
  <c r="L55" i="10"/>
  <c r="M74" i="9"/>
  <c r="O74" i="9"/>
  <c r="L74" i="9"/>
  <c r="N74" i="9"/>
  <c r="L53" i="10"/>
  <c r="J45" i="9"/>
  <c r="J32" i="9"/>
  <c r="I74" i="9"/>
  <c r="E45" i="9"/>
  <c r="H17" i="10"/>
  <c r="J58" i="9"/>
  <c r="J57" i="9"/>
  <c r="I57" i="9" s="1"/>
  <c r="D27" i="10"/>
  <c r="K27" i="10"/>
  <c r="L27" i="10" s="1"/>
  <c r="J68" i="9"/>
  <c r="J61" i="9"/>
  <c r="I61" i="9" s="1"/>
  <c r="J53" i="9"/>
  <c r="I53" i="9" s="1"/>
  <c r="J62" i="9"/>
  <c r="I62" i="9" s="1"/>
  <c r="J64" i="9"/>
  <c r="I64" i="9" s="1"/>
  <c r="J52" i="9"/>
  <c r="I52" i="9" s="1"/>
  <c r="J59" i="9"/>
  <c r="I59" i="9" s="1"/>
  <c r="J65" i="9"/>
  <c r="J60" i="9"/>
  <c r="I60" i="9" s="1"/>
  <c r="J66" i="9"/>
  <c r="I66" i="9" s="1"/>
  <c r="J55" i="9"/>
  <c r="J51" i="9"/>
  <c r="J71" i="9"/>
  <c r="I71" i="9" s="1"/>
  <c r="J50" i="9"/>
  <c r="J63" i="9"/>
  <c r="I63" i="9" s="1"/>
  <c r="J56" i="9"/>
  <c r="I56" i="9" s="1"/>
  <c r="J69" i="9"/>
  <c r="I69" i="9" s="1"/>
  <c r="J70" i="9"/>
  <c r="K57" i="10"/>
  <c r="H57" i="10"/>
  <c r="L46" i="10"/>
  <c r="L35" i="10"/>
  <c r="L54" i="10"/>
  <c r="J57" i="10"/>
  <c r="D57" i="10"/>
  <c r="L52" i="10"/>
  <c r="J74" i="9" l="1"/>
  <c r="L57" i="10"/>
  <c r="C32" i="9" l="1"/>
  <c r="N31" i="8"/>
  <c r="C73" i="9"/>
  <c r="E26" i="9" l="1"/>
  <c r="D32" i="9"/>
  <c r="E24" i="9"/>
  <c r="E18" i="9"/>
  <c r="E14" i="9"/>
  <c r="E10" i="9"/>
  <c r="E22" i="9"/>
  <c r="E29" i="9"/>
  <c r="E15" i="9"/>
  <c r="E11" i="9"/>
  <c r="E9" i="9"/>
  <c r="E25" i="9"/>
  <c r="E13" i="9"/>
  <c r="C17" i="10"/>
  <c r="K17" i="10" s="1"/>
  <c r="L17" i="10" s="1"/>
  <c r="E27" i="9"/>
  <c r="E31" i="9"/>
  <c r="E19" i="9"/>
  <c r="E23" i="9"/>
  <c r="E17" i="9"/>
  <c r="E12" i="9"/>
  <c r="E28" i="9"/>
  <c r="E30" i="9"/>
  <c r="E16" i="9"/>
  <c r="E20" i="9"/>
  <c r="E21" i="9"/>
  <c r="E73" i="9"/>
  <c r="C74" i="9"/>
  <c r="D74" i="9" s="1"/>
  <c r="D17" i="10" l="1"/>
  <c r="E32" i="9"/>
  <c r="E54" i="9"/>
  <c r="E64" i="9"/>
  <c r="D64" i="9" s="1"/>
  <c r="E51" i="9"/>
  <c r="D51" i="9" s="1"/>
  <c r="E59" i="9"/>
  <c r="D59" i="9" s="1"/>
  <c r="E66" i="9"/>
  <c r="D66" i="9" s="1"/>
  <c r="E69" i="9"/>
  <c r="D69" i="9" s="1"/>
  <c r="E57" i="9"/>
  <c r="D57" i="9" s="1"/>
  <c r="E61" i="9"/>
  <c r="D61" i="9" s="1"/>
  <c r="E62" i="9"/>
  <c r="D62" i="9" s="1"/>
  <c r="E53" i="9"/>
  <c r="D53" i="9" s="1"/>
  <c r="E63" i="9"/>
  <c r="D63" i="9" s="1"/>
  <c r="E52" i="9"/>
  <c r="D52" i="9" s="1"/>
  <c r="E58" i="9"/>
  <c r="D58" i="9" s="1"/>
  <c r="E50" i="9"/>
  <c r="E70" i="9"/>
  <c r="D70" i="9" s="1"/>
  <c r="E67" i="9"/>
  <c r="E55" i="9"/>
  <c r="D55" i="9" s="1"/>
  <c r="E72" i="9"/>
  <c r="D72" i="9" s="1"/>
  <c r="E60" i="9"/>
  <c r="D60" i="9" s="1"/>
  <c r="E71" i="9"/>
  <c r="D71" i="9" s="1"/>
  <c r="E56" i="9"/>
  <c r="D56" i="9" s="1"/>
  <c r="E65" i="9"/>
  <c r="D65" i="9" s="1"/>
  <c r="E68" i="9"/>
  <c r="E74" i="9"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Spørring - Data" description="Tilkobling til spørringen Data i arbeidsboken." type="5" refreshedVersion="6" background="1" refreshOnLoad="1">
    <dbPr connection="Provider=Microsoft.Mashup.OleDb.1;Data Source=$Workbook$;Location=Data;Extended Properties=&quot;&quot;" command="SELECT * FROM [Data]"/>
  </connection>
</connections>
</file>

<file path=xl/sharedStrings.xml><?xml version="1.0" encoding="utf-8"?>
<sst xmlns="http://schemas.openxmlformats.org/spreadsheetml/2006/main" count="6353" uniqueCount="507">
  <si>
    <t>Produkter uten investeringsvalg</t>
  </si>
  <si>
    <t>Produkter med investeringsvalg</t>
  </si>
  <si>
    <t>Totalt</t>
  </si>
  <si>
    <t>Endring</t>
  </si>
  <si>
    <t>i %</t>
  </si>
  <si>
    <t xml:space="preserve">                     </t>
  </si>
  <si>
    <t xml:space="preserve">      Gjeldsgruppeliv</t>
  </si>
  <si>
    <t xml:space="preserve">      Foreningsgruppeliv</t>
  </si>
  <si>
    <t xml:space="preserve">      Andre grupper</t>
  </si>
  <si>
    <t xml:space="preserve">   Ytelsesbasert</t>
  </si>
  <si>
    <t xml:space="preserve">   Innskuddsbasert</t>
  </si>
  <si>
    <t xml:space="preserve">      herav kapitaliseringsprodukt IPA+IPS</t>
  </si>
  <si>
    <t xml:space="preserve">        Inv.valg foretak</t>
  </si>
  <si>
    <t xml:space="preserve">        Inv.valg kontohaver</t>
  </si>
  <si>
    <t xml:space="preserve">    Til pensjonskasser</t>
  </si>
  <si>
    <t xml:space="preserve">    Fra pensjonskasser</t>
  </si>
  <si>
    <t>Noter til tabellene</t>
  </si>
  <si>
    <t>Gruppeliv bedrift tilsvarer tjenestegruppeliv.</t>
  </si>
  <si>
    <t>Gruppeliv privat består av foreningsgruppeliv, gjeldsgruppeliv og annet.</t>
  </si>
  <si>
    <t xml:space="preserve">Engangsbetalt alderspensjon er innskuddsbasert pensjon med dødelighetsarv. </t>
  </si>
  <si>
    <t>LOF/LOI betyr lov om foretakspensjon og lov om innskuddspensjon.</t>
  </si>
  <si>
    <t>Overførte reserver fra andre tilsvarer post 1.3 i resultatregnskapet samt overførte tilleggsavsetninger som tilsvarer post 6.6 i  resultatregnskapet.</t>
  </si>
  <si>
    <t>Flytting av en gruppelivsordning fra andre eller til andre måles i brutto årlig premie (ikke brutto forfalt premie).</t>
  </si>
  <si>
    <r>
      <t xml:space="preserve">Brutto forfalt premie </t>
    </r>
    <r>
      <rPr>
        <b/>
        <vertAlign val="superscript"/>
        <sz val="10"/>
        <rFont val="Times New Roman"/>
        <family val="1"/>
      </rPr>
      <t>1</t>
    </r>
  </si>
  <si>
    <r>
      <t xml:space="preserve">    Herav brutto risikopremie uførekapital </t>
    </r>
    <r>
      <rPr>
        <vertAlign val="superscript"/>
        <sz val="10"/>
        <rFont val="Times New Roman"/>
        <family val="1"/>
      </rPr>
      <t>2</t>
    </r>
  </si>
  <si>
    <r>
      <t xml:space="preserve">    Herav brutto risikopremie død </t>
    </r>
    <r>
      <rPr>
        <vertAlign val="superscript"/>
        <sz val="10"/>
        <rFont val="Times New Roman"/>
        <family val="1"/>
      </rPr>
      <t>2</t>
    </r>
  </si>
  <si>
    <t xml:space="preserve">   Etter tjenestepensjonsloven</t>
  </si>
  <si>
    <t>Tabell 5: Kommunale ordninger</t>
  </si>
  <si>
    <t>Tabell 1 : Individuell kapitalforsikring*</t>
  </si>
  <si>
    <t>Markeds-</t>
  </si>
  <si>
    <t>andel</t>
  </si>
  <si>
    <t>INNHOLDSFORTEGNELSE</t>
  </si>
  <si>
    <t>FIGURER</t>
  </si>
  <si>
    <t>Figur 1</t>
  </si>
  <si>
    <t>Brutto forfalt premie livprodukter - produkter uten investeringsvalg</t>
  </si>
  <si>
    <t>Figur 2</t>
  </si>
  <si>
    <t>Brutto forfalt premie livprodukter - produkter med investeringsvalg</t>
  </si>
  <si>
    <t>Figur 3</t>
  </si>
  <si>
    <t>Figur 4</t>
  </si>
  <si>
    <t>Figur 5</t>
  </si>
  <si>
    <t>Forsikringsforpliktelser livprodukter - produkter uten investeringsvalg</t>
  </si>
  <si>
    <t>Figur 6</t>
  </si>
  <si>
    <t>Forsikringsforpliktelser livprodukter - produkter med investeringsvalg</t>
  </si>
  <si>
    <t>Netto tilflytting livprodukter - produkter uten investeringsvalg</t>
  </si>
  <si>
    <t>Netto tilflytting livprodukter - produkter med investeringsvalg</t>
  </si>
  <si>
    <t>TABELLER</t>
  </si>
  <si>
    <t>MARKEDSDEL</t>
  </si>
  <si>
    <t>Tabell 1.1</t>
  </si>
  <si>
    <t>Hovedtall - produkter uten  og med investeringsvalg</t>
  </si>
  <si>
    <t>Tabell 1.2</t>
  </si>
  <si>
    <t>Hovedtall - fordelt på bransjer</t>
  </si>
  <si>
    <t>NOTER OG KOMMENTARER</t>
  </si>
  <si>
    <t>Tilbake</t>
  </si>
  <si>
    <t xml:space="preserve">Brutto forfalt premie livprodukter </t>
  </si>
  <si>
    <t>Danica Pensjon</t>
  </si>
  <si>
    <t>DNB Liv</t>
  </si>
  <si>
    <t>Eika Forsikring</t>
  </si>
  <si>
    <t>Frende Livsfors</t>
  </si>
  <si>
    <t>Frende Skade</t>
  </si>
  <si>
    <t>Gjensidige Fors</t>
  </si>
  <si>
    <t>Gjensidige Pensj</t>
  </si>
  <si>
    <t>Handelsb Liv</t>
  </si>
  <si>
    <t>If Skadefors</t>
  </si>
  <si>
    <t>KLP</t>
  </si>
  <si>
    <t>KLP Skadef</t>
  </si>
  <si>
    <t>Nordea Liv</t>
  </si>
  <si>
    <t>OPF</t>
  </si>
  <si>
    <t>SpareBank 1</t>
  </si>
  <si>
    <t xml:space="preserve">Storebrand </t>
  </si>
  <si>
    <t>Telenor Fors</t>
  </si>
  <si>
    <t>Tryg Fors</t>
  </si>
  <si>
    <t>SHB Liv</t>
  </si>
  <si>
    <t>Storebrand</t>
  </si>
  <si>
    <t>Forsikringsforpliktelser i livsforsikring</t>
  </si>
  <si>
    <t xml:space="preserve">Netto tilflytting </t>
  </si>
  <si>
    <t>Netto tilflytting</t>
  </si>
  <si>
    <t>Markedsdel, endelig år</t>
  </si>
  <si>
    <t>Tabell 1.1 Hovedtall</t>
  </si>
  <si>
    <t>Produkter med og uten investeringsvalg</t>
  </si>
  <si>
    <r>
      <t>Brutto forfalt premie</t>
    </r>
    <r>
      <rPr>
        <sz val="14"/>
        <rFont val="Times New Roman"/>
        <family val="1"/>
      </rPr>
      <t xml:space="preserve"> </t>
    </r>
    <r>
      <rPr>
        <vertAlign val="superscript"/>
        <sz val="14"/>
        <rFont val="Times New Roman"/>
        <family val="1"/>
      </rPr>
      <t>1)</t>
    </r>
  </si>
  <si>
    <t>%-</t>
  </si>
  <si>
    <t>Beløp i 1000  kroner</t>
  </si>
  <si>
    <t>endring</t>
  </si>
  <si>
    <t>Danica Pensjonsforsikring</t>
  </si>
  <si>
    <t>DNB Livsforsikring</t>
  </si>
  <si>
    <t>Eika Forsikring AS</t>
  </si>
  <si>
    <t>Frende Livsforsikring</t>
  </si>
  <si>
    <t>Frende Skadeforsikring</t>
  </si>
  <si>
    <t>Gjensidige Forsikring</t>
  </si>
  <si>
    <t>Gjensidige Pensjon</t>
  </si>
  <si>
    <t>Handelsbanken Liv</t>
  </si>
  <si>
    <t>If Skadeforsikring NUF</t>
  </si>
  <si>
    <t>KLP Skadeforsikring AS</t>
  </si>
  <si>
    <t>Oslo Pensjonsforsikring</t>
  </si>
  <si>
    <t>Storebrand Livsforsikring</t>
  </si>
  <si>
    <t>Telenor Forsikring</t>
  </si>
  <si>
    <t>Tryg Forsikring</t>
  </si>
  <si>
    <t>Totalt uten investeringsvalg</t>
  </si>
  <si>
    <t>Totalt med investeringsvalg</t>
  </si>
  <si>
    <t>Alle produkter</t>
  </si>
  <si>
    <t>Noter : Se "Noter og kommentarer"</t>
  </si>
  <si>
    <t>Tabell 1.2 Hovedtall</t>
  </si>
  <si>
    <t>Fordelt på bransjer</t>
  </si>
  <si>
    <t>Totalt alle produkter</t>
  </si>
  <si>
    <t>%</t>
  </si>
  <si>
    <t>Beløp i 1000 kr.</t>
  </si>
  <si>
    <r>
      <t xml:space="preserve">Brutto forfalt premie </t>
    </r>
    <r>
      <rPr>
        <vertAlign val="superscript"/>
        <sz val="14"/>
        <rFont val="Times New Roman"/>
        <family val="1"/>
      </rPr>
      <t>1)</t>
    </r>
  </si>
  <si>
    <t xml:space="preserve">   Individuell kapitalforsikring</t>
  </si>
  <si>
    <t xml:space="preserve">   Individuell pensjonsforsikring</t>
  </si>
  <si>
    <t xml:space="preserve">   Gruppeliv</t>
  </si>
  <si>
    <t xml:space="preserve">   Privat kollektiv pensjon</t>
  </si>
  <si>
    <t xml:space="preserve">     - herav innskuddsbasert *</t>
  </si>
  <si>
    <t xml:space="preserve">     - herav etter tjenestepensjonsloven</t>
  </si>
  <si>
    <t xml:space="preserve">   Foreningskollektiv</t>
  </si>
  <si>
    <t>Totalt brutto forfalt premie</t>
  </si>
  <si>
    <r>
      <t xml:space="preserve">     - herav innskuddsbasert </t>
    </r>
    <r>
      <rPr>
        <vertAlign val="superscript"/>
        <sz val="14"/>
        <rFont val="Times New Roman"/>
        <family val="1"/>
      </rPr>
      <t>*</t>
    </r>
  </si>
  <si>
    <t>Totalt forsikringsforpliktelser</t>
  </si>
  <si>
    <t>Totalt overførte reserver fra andre</t>
  </si>
  <si>
    <t>Totalt overførte reserver til andre</t>
  </si>
  <si>
    <t>Totalt netto overførte reserver fra andre</t>
  </si>
  <si>
    <t xml:space="preserve">* "Innskuddsbasert" er summen av "Engangsbetalt" og "Innskuddspensjon". </t>
  </si>
  <si>
    <t>** Bokført verdi, se tabell 6 i statistikken.</t>
  </si>
  <si>
    <t>Eika Gruppen AS</t>
  </si>
  <si>
    <t>Frende Livsforsikring AS</t>
  </si>
  <si>
    <t>Frende Skadeforsikring AS</t>
  </si>
  <si>
    <t>Gjensidige Forsikring ASA</t>
  </si>
  <si>
    <t>Gjensidige Pensjon og Sparing</t>
  </si>
  <si>
    <t>If Skadeforsikring nuf</t>
  </si>
  <si>
    <t>Livsforsikringsselskapet Nordea Liv Norge AS</t>
  </si>
  <si>
    <t>Telenor Forsikring AS</t>
  </si>
  <si>
    <t>SpareBank 1 Forsikring AS</t>
  </si>
  <si>
    <t>Storebrand ASA</t>
  </si>
  <si>
    <t>KLP Skadeforsikring</t>
  </si>
  <si>
    <t>Selskap</t>
  </si>
  <si>
    <t>Flytting fra andre</t>
  </si>
  <si>
    <t>Flytting til andre</t>
  </si>
  <si>
    <t>Q8</t>
  </si>
  <si>
    <t>Q9</t>
  </si>
  <si>
    <t>Q10</t>
  </si>
  <si>
    <t>Q14</t>
  </si>
  <si>
    <t>Q15</t>
  </si>
  <si>
    <t>Q16</t>
  </si>
  <si>
    <t>Q7</t>
  </si>
  <si>
    <t>R7</t>
  </si>
  <si>
    <t>R8</t>
  </si>
  <si>
    <t>R9</t>
  </si>
  <si>
    <t>R10</t>
  </si>
  <si>
    <t>R14</t>
  </si>
  <si>
    <t>R15</t>
  </si>
  <si>
    <t>R16</t>
  </si>
  <si>
    <t>Q11</t>
  </si>
  <si>
    <t>Q17</t>
  </si>
  <si>
    <t>Q18</t>
  </si>
  <si>
    <t>R17</t>
  </si>
  <si>
    <t>R18</t>
  </si>
  <si>
    <t>R11</t>
  </si>
  <si>
    <t>Tabell 1.3 Hovedtall</t>
  </si>
  <si>
    <t>Aktivaposter (aggregert)</t>
  </si>
  <si>
    <t>i mill. kr</t>
  </si>
  <si>
    <t>prosentvis andel</t>
  </si>
  <si>
    <t>Selskapsporteføljen</t>
  </si>
  <si>
    <t xml:space="preserve">   Aksjer</t>
  </si>
  <si>
    <t xml:space="preserve">   Obligasjoner</t>
  </si>
  <si>
    <t xml:space="preserve">   Eiendom</t>
  </si>
  <si>
    <t xml:space="preserve">   Datterforetak m.m.</t>
  </si>
  <si>
    <t xml:space="preserve">   Utlån</t>
  </si>
  <si>
    <t xml:space="preserve">   Annet</t>
  </si>
  <si>
    <t>Kollektivporteføljen</t>
  </si>
  <si>
    <t>Investeringsvalgporteføljen</t>
  </si>
  <si>
    <t>Tallene er hentet fra tabell 6 Balanse.</t>
  </si>
  <si>
    <t>Regnskapsdel, endelig år</t>
  </si>
  <si>
    <t>Tabell 6</t>
  </si>
  <si>
    <t>Balanse</t>
  </si>
  <si>
    <t>Danica</t>
  </si>
  <si>
    <t>DNB</t>
  </si>
  <si>
    <t>Frende</t>
  </si>
  <si>
    <t>Gjensidige</t>
  </si>
  <si>
    <t xml:space="preserve"> </t>
  </si>
  <si>
    <t>Oslo</t>
  </si>
  <si>
    <t>Pensjonsforsikring</t>
  </si>
  <si>
    <t>Livsforsikring</t>
  </si>
  <si>
    <t>Pensjon</t>
  </si>
  <si>
    <r>
      <t>norske livselskaper</t>
    </r>
    <r>
      <rPr>
        <b/>
        <vertAlign val="superscript"/>
        <sz val="14"/>
        <rFont val="Times New Roman"/>
        <family val="1"/>
      </rPr>
      <t xml:space="preserve"> </t>
    </r>
  </si>
  <si>
    <r>
      <t>alle livselskaper</t>
    </r>
    <r>
      <rPr>
        <b/>
        <vertAlign val="superscript"/>
        <sz val="14"/>
        <rFont val="Times New Roman"/>
        <family val="1"/>
      </rPr>
      <t xml:space="preserve"> </t>
    </r>
  </si>
  <si>
    <t>Beløp i millioner kroner</t>
  </si>
  <si>
    <t>EIENDELER</t>
  </si>
  <si>
    <t>EIENDELER I SELSKAPSPORTEFØLJEN</t>
  </si>
  <si>
    <t>2. Investeringer i selskapsporteføljen</t>
  </si>
  <si>
    <t xml:space="preserve">    2.1 Bygninger og andre faste eiendommer</t>
  </si>
  <si>
    <t xml:space="preserve">    2.2 Datterforetak, tilknyttede foretak og felleskontrollerte foretak</t>
  </si>
  <si>
    <t xml:space="preserve">    2.3 Finansielle eiendeler som måles til amortisert kost</t>
  </si>
  <si>
    <t xml:space="preserve">         2.3.1 Investeringer som holdes til forfall</t>
  </si>
  <si>
    <t xml:space="preserve">            - Obligasjoner</t>
  </si>
  <si>
    <t xml:space="preserve">         2.3.2 Utlån og fordringer</t>
  </si>
  <si>
    <t xml:space="preserve">    2.4 Finansielle eiendeler som måles til virkelig verdi</t>
  </si>
  <si>
    <t xml:space="preserve">         2.4.1 Aksjer og andeler (inkl. aksjer og andeler målt til kost)</t>
  </si>
  <si>
    <t xml:space="preserve">         2.4.2 Obligasjoner og andre verdipapirer med fast avkastning</t>
  </si>
  <si>
    <t xml:space="preserve">         2.4.3 Utlån og fordringer</t>
  </si>
  <si>
    <t xml:space="preserve">         2.4.4 Finansielle derivater</t>
  </si>
  <si>
    <t xml:space="preserve">         2.4.5 Andre finansielle eiendeler</t>
  </si>
  <si>
    <t xml:space="preserve">    2.5 Gjenforsikringsdepoter</t>
  </si>
  <si>
    <t xml:space="preserve">    Sum investeringer i selskapsporteføljen</t>
  </si>
  <si>
    <t>Annet - postene 1, 3, 4 og 5</t>
  </si>
  <si>
    <t>Sum eiendeler i selskapsporteføljen</t>
  </si>
  <si>
    <t>EIENDELER I KUNDEPORTEFØLJENE</t>
  </si>
  <si>
    <t>6. Investeringer i kollektivporteføljen</t>
  </si>
  <si>
    <t xml:space="preserve">    6.1 Bygninger og andre faste eiendommer</t>
  </si>
  <si>
    <t xml:space="preserve">    6.2 Datterforetak, tilknyttede foretak og felleskontrollerte foretak</t>
  </si>
  <si>
    <t xml:space="preserve">    6.3 Finansielle eiendeler som måles til amortisert kost</t>
  </si>
  <si>
    <t xml:space="preserve">         6.3.1 Investeringer som holdes til forfall</t>
  </si>
  <si>
    <t xml:space="preserve">         6.3.2 Utlån og fordringer</t>
  </si>
  <si>
    <t xml:space="preserve">    6.4 Finansielle eiendeler som måles til virkelig verdi</t>
  </si>
  <si>
    <t xml:space="preserve">         6.4.1 Aksjer og andeler (inkl. aksjer og andeler målt til kost)</t>
  </si>
  <si>
    <t xml:space="preserve">         6.4.2 Obligasjoner og andre verdipapirer med fast avkastning</t>
  </si>
  <si>
    <t xml:space="preserve">         6.4.3 Utlån og fordringer</t>
  </si>
  <si>
    <t xml:space="preserve">         6.4.4 Finansielle derivater</t>
  </si>
  <si>
    <t xml:space="preserve">         6.4.5 Andre finansielle eiendeler</t>
  </si>
  <si>
    <t xml:space="preserve">    Sum investeringer i kollektivporteføljen</t>
  </si>
  <si>
    <t>8. Investeringer i investeringsvalgporteføljen</t>
  </si>
  <si>
    <t xml:space="preserve">    8.1 Bygninger og andre faste eiendommer</t>
  </si>
  <si>
    <t xml:space="preserve">    8.2 Datterforetak, tilknyttede foretak og felleskontrollerte foretak</t>
  </si>
  <si>
    <t xml:space="preserve">    8.3 Finansielle eiendeler som måles til amortisert kost</t>
  </si>
  <si>
    <t xml:space="preserve">         8.3.1 Investeringer som holdes til forfall</t>
  </si>
  <si>
    <t xml:space="preserve">         8.3.2 Utlån og fordringer</t>
  </si>
  <si>
    <t xml:space="preserve">    8.4 Finansielle eiendeler som måles til virkelig verdi</t>
  </si>
  <si>
    <t xml:space="preserve">         8.4.1 Aksjer og andeler (inkl. aksjer og andeler målt til kost)</t>
  </si>
  <si>
    <t xml:space="preserve">         8.4.2 Obligasjoner og andre verdipapirer med fast avkastning</t>
  </si>
  <si>
    <t xml:space="preserve">         8.4.3 Utlån og fordringer</t>
  </si>
  <si>
    <t xml:space="preserve">         8.4.4 Finansielle derivater</t>
  </si>
  <si>
    <t xml:space="preserve">         8.4.5 Andre finansielle eiendeler</t>
  </si>
  <si>
    <t xml:space="preserve">    Sum investeringer i investeringsvalgsporteføljen</t>
  </si>
  <si>
    <t>Sum eiendeler i kundeporteføljene</t>
  </si>
  <si>
    <t>SUM EIENDELER</t>
  </si>
  <si>
    <t>EGENKAPITAL OG FORPLIKTELSER</t>
  </si>
  <si>
    <t>10. Innskutt egenkapital</t>
  </si>
  <si>
    <t>11. Opptjent egenkapital</t>
  </si>
  <si>
    <t xml:space="preserve">    11.1 Risikoutjevningsfond</t>
  </si>
  <si>
    <t>12. Ansvarlig lånekapital mv.</t>
  </si>
  <si>
    <t>13. Forsikringsforpliktelser i livsforsikring - KF</t>
  </si>
  <si>
    <t xml:space="preserve">    13.2 Tilleggsavsetninger</t>
  </si>
  <si>
    <t xml:space="preserve">    13.3 Kursreguleringsfond</t>
  </si>
  <si>
    <t xml:space="preserve">    Ufordelte overskuddsmidler til forsikringskontraktene</t>
  </si>
  <si>
    <t>Sum forsikringsforpliktelser i livsforsikring - KF</t>
  </si>
  <si>
    <t>14. Forsikringsforpliktelser i livsforsikring - SI</t>
  </si>
  <si>
    <t>Sum forsikringsforpliktelser i livsforsikring - SI</t>
  </si>
  <si>
    <t>15. Avsetninger for forpliktelser</t>
  </si>
  <si>
    <t>16. Premiedepot fra gjenforsikringsselskaper</t>
  </si>
  <si>
    <t>17. Forpliktelser</t>
  </si>
  <si>
    <t>18. Påløpte kostnader og mottatte ikke opptjente inntekter</t>
  </si>
  <si>
    <t>SUM EGENKAPTAL OG FORPLIKTELSER</t>
  </si>
  <si>
    <t>Noter: Se "Noter og kommentarer"</t>
  </si>
  <si>
    <t>KF=Kontraktsfastsatte forpliktelser</t>
  </si>
  <si>
    <t>SI=Særskilt investeringsportefølje</t>
  </si>
  <si>
    <t>REGNSKAPSDEL</t>
  </si>
  <si>
    <t>Tabell 4</t>
  </si>
  <si>
    <t>Resultatregnskap - alle produkter</t>
  </si>
  <si>
    <t>Tabell 5.1</t>
  </si>
  <si>
    <t>Resultatanalyse - Individuell kapital og individuell pensjon - alle produkter</t>
  </si>
  <si>
    <t>Tabell 5.2</t>
  </si>
  <si>
    <t>Resultatanalyse - Kollektiv pensjon - alle produkter</t>
  </si>
  <si>
    <t>Tabell 5.3</t>
  </si>
  <si>
    <t>Resultatanalyse - Gruppeliv, ulykke o.a. og total - alle produkter</t>
  </si>
  <si>
    <t>Balanse - alle produkter</t>
  </si>
  <si>
    <t>Tabell 7a</t>
  </si>
  <si>
    <t>Tabell 7b</t>
  </si>
  <si>
    <t>Tabell 8</t>
  </si>
  <si>
    <t>Diverse nøkkeltall - produkter uten investeringsvalg</t>
  </si>
  <si>
    <t>Totalt - alle produkter</t>
  </si>
  <si>
    <t>Tabell 2: Individuell  pensjonsforsikring, herunder foreningskollektiv</t>
  </si>
  <si>
    <t>Tabell 3: Gruppelivsforsikring</t>
  </si>
  <si>
    <t>Tabell 4: Privat kollektiv pensjonsforsikring, herunder fripoliser, pensjonskapitalbevis og pensjonsbevis</t>
  </si>
  <si>
    <t>* Brutto risiokopremie for invidiuell uførepensjon fremkommer i tabell 2.</t>
  </si>
  <si>
    <r>
      <t xml:space="preserve">Brutto risikopremie for individuell uførepensjon </t>
    </r>
    <r>
      <rPr>
        <vertAlign val="superscript"/>
        <sz val="10"/>
        <rFont val="Times New Roman"/>
        <family val="1"/>
      </rPr>
      <t>3</t>
    </r>
  </si>
  <si>
    <t>Brutto risikopremie rapporteres for produkter både med og uten sparing. Risikopremie for tilknyttede dekninger, som kritisk sykdom, ulykke m.m. skal ikke tas med. For Brutto risikopremie for individuell uførepensjon, se note 3.</t>
  </si>
  <si>
    <t xml:space="preserve">Risikopremie for individuell uførepensjon blir i noen selskap regnskapsført under Individuell kapital, mens den for de fleste regnskapsføres under Individuell pensjon. Brutto risikopremie for uførepensjon er derfor ikke en heravpost for verken Individuell kapital eller Individuell pensjon, men gjelder som en heravpost samlet for disse. </t>
  </si>
  <si>
    <t xml:space="preserve">Forsikringsforpliktelser i livsforsikring tilsvarer post 13 i balansen, ekskl. post 13.3 Kursreguleringsfond for produkter uten investeringsvalg og post 14 i balansen for produkter med investeringsvalg. Gjenforsikringsandel skal ikke tas hensyn til i markedsdelen. </t>
  </si>
  <si>
    <t>Herav fripoliser med investeringsvalg betraktes som innskuddsbasert.</t>
  </si>
  <si>
    <t>Innskuddspensjon er innskuddsbasert pensjon uten dødelighetsarv.</t>
  </si>
  <si>
    <t>Herav fripoliser, herav pensjonskapitalbevis og herav pensjonsbevis omfatter også fortsettelsesforsikringer. Herav-postene er uttrekk fra hovedpostene i tabellen Privat kollektiv pensjonsforsikring, uansett om det er Innenfor LOF/LOI eller Utenfor LOF/LOI - Livrenter.</t>
  </si>
  <si>
    <t>Gjelder ikke ordninger etter lov om tjenestepensjon</t>
  </si>
  <si>
    <r>
      <t xml:space="preserve">Brutto forfalt premie - Foreningskollektiv </t>
    </r>
    <r>
      <rPr>
        <b/>
        <vertAlign val="superscript"/>
        <sz val="10"/>
        <rFont val="Times New Roman"/>
        <family val="1"/>
      </rPr>
      <t>1</t>
    </r>
  </si>
  <si>
    <t>Regnskapsdel, endelig kvartal</t>
  </si>
  <si>
    <t>Resultatregnskap</t>
  </si>
  <si>
    <t xml:space="preserve">Totalt </t>
  </si>
  <si>
    <t>norske livselskaper</t>
  </si>
  <si>
    <t>alle livselskaper</t>
  </si>
  <si>
    <t xml:space="preserve">Beløp i millioner kroner </t>
  </si>
  <si>
    <t>TEKNISK REGNSKAP FOR LIVSFORSIKRING</t>
  </si>
  <si>
    <t>1. Premieinntekter f.e.r.</t>
  </si>
  <si>
    <t xml:space="preserve">    1.1 Forfalt premier, brutto</t>
  </si>
  <si>
    <t xml:space="preserve">    1.2 - Avgitte gjenforsikringspremier</t>
  </si>
  <si>
    <t xml:space="preserve">    1.3 Overføring av premiereserve fra andre selskap/kasser</t>
  </si>
  <si>
    <t xml:space="preserve">    Sum premieinntekter f.e.r.</t>
  </si>
  <si>
    <t>2. Netto inntekter fra investeringer i kollektivporteføljen</t>
  </si>
  <si>
    <t>3. Netto inntekter fra investeringer i investeringsvalgporteføljen</t>
  </si>
  <si>
    <t>4. Andre forsikringsrelaterte inntekter</t>
  </si>
  <si>
    <t>5. Erstatninger</t>
  </si>
  <si>
    <t xml:space="preserve">    5.1 Utbetalte erstatninger</t>
  </si>
  <si>
    <t>Sum erstatninger f.e.r.</t>
  </si>
  <si>
    <t>6. Resultatførte endringer i forsikringsforpliktelser - KF</t>
  </si>
  <si>
    <t xml:space="preserve">    6.1 Endring i premiereserve</t>
  </si>
  <si>
    <t xml:space="preserve">    6.2 Endring i tilleggsavsetninger</t>
  </si>
  <si>
    <t xml:space="preserve">    6.3 Endring i kursreguleringsfond</t>
  </si>
  <si>
    <t xml:space="preserve">    6.4 Endring i premie-, innskudds- og pensjonistenes overskuddsfond</t>
  </si>
  <si>
    <t xml:space="preserve">    6.5 Endring i tekniske avsetninger for skadeforsikringsvirksomhet</t>
  </si>
  <si>
    <t xml:space="preserve">    6.6 Overføring av tilleggsavsetninger fra andre fors.selskap/pensj.kasser</t>
  </si>
  <si>
    <t>Sum resultatførte endringer i forsikringsforpliktelser - KF</t>
  </si>
  <si>
    <t>7. Resultatførte endringer i forsikringsforpliktelser - SI</t>
  </si>
  <si>
    <t>8. Midler tilordnet forsikringskontrakter -KF</t>
  </si>
  <si>
    <t>9. Forsikringsrelaterte driftskostnader</t>
  </si>
  <si>
    <t>10. Andre forsikringsrelaterte kostnader</t>
  </si>
  <si>
    <t>11.Resultat av teknisk regnskap</t>
  </si>
  <si>
    <t>IKKE-TEKNISK REGNSKAP FOR LIVSFORSIKRING</t>
  </si>
  <si>
    <t>12. Netto inntekter fra investeringer i selskapsporteføljen</t>
  </si>
  <si>
    <t>13. Andre inntekter</t>
  </si>
  <si>
    <t>14. Forvaltningskostnader og andre kostnader knyttet til selskapsporteføljen</t>
  </si>
  <si>
    <t>15. Resultat av ikke-teknisk regnskap</t>
  </si>
  <si>
    <t>16. Resultat før skattekostnad</t>
  </si>
  <si>
    <t>17. Skattekostnader</t>
  </si>
  <si>
    <t>18. Resultat før andre resultatkomponenter</t>
  </si>
  <si>
    <t>19. Andre resultatkomponenter</t>
  </si>
  <si>
    <t>20. TOTALRESULTAT</t>
  </si>
  <si>
    <t>Overføringer og disponeringer</t>
  </si>
  <si>
    <t xml:space="preserve">    Overføringer</t>
  </si>
  <si>
    <t xml:space="preserve">        Mottatt konsernbidrag</t>
  </si>
  <si>
    <t xml:space="preserve">        Overført fra annen egenkapital</t>
  </si>
  <si>
    <t xml:space="preserve">    Sum overføringer</t>
  </si>
  <si>
    <t xml:space="preserve">    Disponeringer</t>
  </si>
  <si>
    <t xml:space="preserve">        Utbytte</t>
  </si>
  <si>
    <t xml:space="preserve">        Avgitt konsernbidrag</t>
  </si>
  <si>
    <t xml:space="preserve">        Overført til annen egenkapital</t>
  </si>
  <si>
    <t xml:space="preserve">    Sum disponeringer</t>
  </si>
  <si>
    <t>Sum overføringer og disponeringer</t>
  </si>
  <si>
    <t>Diverse nøkkeltall</t>
  </si>
  <si>
    <t>7. Gjenforsikringsandel av forsikringsforpliktelser i kollektivporteføljen</t>
  </si>
  <si>
    <t>9. Gjenforsikringsandel av forsikringsforpliktelser i investeringsvalgporteføljen</t>
  </si>
  <si>
    <t xml:space="preserve">Med kommunal kollektiv pensjon menes kollektive pensjonsordninger som definert i lov om forsikringsvirksomhet § 4-1 og § 4-2.   </t>
  </si>
  <si>
    <t>Tabell 1.3</t>
  </si>
  <si>
    <t>Hovedtall - aktivaposter</t>
  </si>
  <si>
    <t>Skjema total MA</t>
  </si>
  <si>
    <t>Tall pr. selskap - alle produkter</t>
  </si>
  <si>
    <t>Selskapsnavn</t>
  </si>
  <si>
    <t>Kursreguleringsfond</t>
  </si>
  <si>
    <t xml:space="preserve">   Etter tjenestepensjonsloven - Uførepensjon</t>
  </si>
  <si>
    <t xml:space="preserve">   Etter tjenestepensjonsloven - Alderspensjon</t>
  </si>
  <si>
    <t xml:space="preserve">  Etter tjenestepensjonsloven - Uførepensjon</t>
  </si>
  <si>
    <t xml:space="preserve">  Etter tjenestepensjonsloven - Alderspensjon</t>
  </si>
  <si>
    <t>Brutto forfalt premie tilsvarer post 1.1 i resultatregnskapet, jf. forskrift til årsregnskap for livsforsikringsfortak.</t>
  </si>
  <si>
    <t>Overførte reserver til andre tilsvarer post 5.2 i resultatregnskapet.</t>
  </si>
  <si>
    <r>
      <t xml:space="preserve">   Kommunal kollektiv pensjon </t>
    </r>
    <r>
      <rPr>
        <vertAlign val="superscript"/>
        <sz val="14"/>
        <rFont val="Times New Roman"/>
        <family val="1"/>
      </rPr>
      <t>15)</t>
    </r>
  </si>
  <si>
    <r>
      <t xml:space="preserve">Forsikringsforpliktelser </t>
    </r>
    <r>
      <rPr>
        <vertAlign val="superscript"/>
        <sz val="14"/>
        <rFont val="Times New Roman"/>
        <family val="1"/>
      </rPr>
      <t>4)</t>
    </r>
  </si>
  <si>
    <r>
      <t xml:space="preserve">Overførte reserver fra andre </t>
    </r>
    <r>
      <rPr>
        <vertAlign val="superscript"/>
        <sz val="14"/>
        <rFont val="Times New Roman"/>
        <family val="1"/>
      </rPr>
      <t>5)</t>
    </r>
  </si>
  <si>
    <r>
      <t xml:space="preserve">Flytting fra andre </t>
    </r>
    <r>
      <rPr>
        <vertAlign val="superscript"/>
        <sz val="14"/>
        <rFont val="Times New Roman"/>
        <family val="1"/>
      </rPr>
      <t>9)</t>
    </r>
  </si>
  <si>
    <r>
      <t xml:space="preserve">Overførte reserver til andre </t>
    </r>
    <r>
      <rPr>
        <vertAlign val="superscript"/>
        <sz val="14"/>
        <rFont val="Times New Roman"/>
        <family val="1"/>
      </rPr>
      <t>6)</t>
    </r>
  </si>
  <si>
    <r>
      <t xml:space="preserve">Flytting til andre </t>
    </r>
    <r>
      <rPr>
        <vertAlign val="superscript"/>
        <sz val="14"/>
        <rFont val="Times New Roman"/>
        <family val="1"/>
      </rPr>
      <t>9)</t>
    </r>
  </si>
  <si>
    <r>
      <t xml:space="preserve">Netto overførte reserver fra andre </t>
    </r>
    <r>
      <rPr>
        <b/>
        <vertAlign val="superscript"/>
        <sz val="14"/>
        <rFont val="Times New Roman"/>
        <family val="1"/>
      </rPr>
      <t>9)</t>
    </r>
  </si>
  <si>
    <r>
      <t xml:space="preserve">Netto flytting fra andre </t>
    </r>
    <r>
      <rPr>
        <vertAlign val="superscript"/>
        <sz val="14"/>
        <rFont val="Times New Roman"/>
        <family val="1"/>
      </rPr>
      <t>9)</t>
    </r>
  </si>
  <si>
    <t>Livrenter, IPA og IPS er individuelle pensjonsspareavtaler etter skattereglene (kun i årsstatistikken / 4.kvartal). IPS forsikring etablert før 1.11.2017 defineres som IPS forsikring 2008, etter lov om individuell pensjonsordning vedtatt i 2008. Nye ordningen for skattefavorisert individuell pensjonssparing fra 1. november 2017 defineres som IPS forsikring.</t>
  </si>
  <si>
    <t>Figur 1  Brutto forfalt premie livprodukter  -  produkter uten investeringsvalg pr. 31.12.</t>
  </si>
  <si>
    <t>Figur 2  Brutto forfalt premie livprodukter  -  produkter med investeringsvalg pr. 31.12.</t>
  </si>
  <si>
    <t>31.12.</t>
  </si>
  <si>
    <t xml:space="preserve">    13.5 Andre tekniske avsetninger for skadeforsikringsvirksomheten</t>
  </si>
  <si>
    <t xml:space="preserve">    5.2 Overføring av premieres., tilleggsavsetn. til andre selskap/kasser</t>
  </si>
  <si>
    <t xml:space="preserve">Resultatanalyse - Individuell kapital og </t>
  </si>
  <si>
    <t>individuell pensjon</t>
  </si>
  <si>
    <t>Individuell kapital - gml. overskuddsmodell</t>
  </si>
  <si>
    <t>Avkastningresultat før fra/til tilleggsreserver</t>
  </si>
  <si>
    <t>Fra/til tilleggsreserver</t>
  </si>
  <si>
    <t>Administrasjonsresultat</t>
  </si>
  <si>
    <t>Fortjenesteelement for risiko</t>
  </si>
  <si>
    <t>Vederlag for rentegaranti</t>
  </si>
  <si>
    <t>Risikoresultat</t>
  </si>
  <si>
    <t xml:space="preserve">   -Herav til risikoutjevningsfond</t>
  </si>
  <si>
    <t>Annet</t>
  </si>
  <si>
    <t>Resultat til fordeling</t>
  </si>
  <si>
    <t>Herav kundetildeling</t>
  </si>
  <si>
    <t>Herav til selskap</t>
  </si>
  <si>
    <t>Individuell kapital - ny overskuddsmodell</t>
  </si>
  <si>
    <t>Individuell kapital - u. rett til andel overskudd</t>
  </si>
  <si>
    <t>Individuell kapital - med investeringsvalg</t>
  </si>
  <si>
    <t>Individuell pensjon - gml. overskuddsmodell</t>
  </si>
  <si>
    <t>Individuell pensjon - ny overskuddsmodell</t>
  </si>
  <si>
    <t>Individuell pensjon - u. rett til andel overskudd</t>
  </si>
  <si>
    <t>Individuell pensjon - med investeringsvalg</t>
  </si>
  <si>
    <t xml:space="preserve">Resultatanalyse - Kollektiv pensjon, </t>
  </si>
  <si>
    <t>privat og kommunal</t>
  </si>
  <si>
    <t>Privat - ytelsesbasert uten investeringsvalg</t>
  </si>
  <si>
    <t>Privat - ytelsesbasert med investeringsvalg</t>
  </si>
  <si>
    <t>Privat - innskuddsbasert uten investeringsvalg</t>
  </si>
  <si>
    <t>Privat - innskuddsbasert med investeringsvalg</t>
  </si>
  <si>
    <t>Privat - etter tjenestepensjonsloven uten investeringsvalg</t>
  </si>
  <si>
    <t>Privat - etter tjenestepensjonsloven med investeringsvalg</t>
  </si>
  <si>
    <t>Fripoliser (modifisert overskuddsdeling)</t>
  </si>
  <si>
    <t>Privat - u. rett til andel overskudd</t>
  </si>
  <si>
    <t>Pensjonsbevis med garanti</t>
  </si>
  <si>
    <t>Kommunal - ytelsesbaserte uten investeringsvalg</t>
  </si>
  <si>
    <t>Kommunal - ytelsesbaserte med investeringsvalg</t>
  </si>
  <si>
    <t xml:space="preserve">Resultatanalyse - Gruppeliv, ulykke o.a. </t>
  </si>
  <si>
    <t>skadebransjer og total</t>
  </si>
  <si>
    <t>Gruppeliv</t>
  </si>
  <si>
    <t>Ulykkesforsikring og andre skadebransjer</t>
  </si>
  <si>
    <t>Total</t>
  </si>
  <si>
    <t>Tabell 7.a</t>
  </si>
  <si>
    <t>Spesifikasjon av post 13. Forsikringsforpliktelser - KF</t>
  </si>
  <si>
    <t>Produkter uten</t>
  </si>
  <si>
    <t>Totalt produkter</t>
  </si>
  <si>
    <t>investeringsvalg</t>
  </si>
  <si>
    <t>uten investeringsvalg</t>
  </si>
  <si>
    <t>13. Forsikringsmessige avsetninger</t>
  </si>
  <si>
    <t>13.1 Premiereserve brutto</t>
  </si>
  <si>
    <t xml:space="preserve">         Individuell kapital</t>
  </si>
  <si>
    <t xml:space="preserve">         - Herav med gammel overskuddsmodell</t>
  </si>
  <si>
    <t xml:space="preserve">         - Herav med modifisert/ny overskuddsmodell</t>
  </si>
  <si>
    <t xml:space="preserve">         Individuell pensjon</t>
  </si>
  <si>
    <t xml:space="preserve">         Gruppeliv</t>
  </si>
  <si>
    <r>
      <t xml:space="preserve">         Privat kollektiv pensjon </t>
    </r>
    <r>
      <rPr>
        <vertAlign val="superscript"/>
        <sz val="14"/>
        <rFont val="Times New Roman"/>
        <family val="1"/>
      </rPr>
      <t>24)</t>
    </r>
  </si>
  <si>
    <t xml:space="preserve">         - Herav fripoliser med modifisert/ny overskuddsmodell</t>
  </si>
  <si>
    <r>
      <t xml:space="preserve">         Kommunal kollektiv pensjon </t>
    </r>
    <r>
      <rPr>
        <vertAlign val="superscript"/>
        <sz val="14"/>
        <rFont val="Times New Roman"/>
        <family val="1"/>
      </rPr>
      <t>25)</t>
    </r>
    <r>
      <rPr>
        <sz val="14"/>
        <rFont val="Times New Roman"/>
        <family val="1"/>
      </rPr>
      <t xml:space="preserve">            </t>
    </r>
  </si>
  <si>
    <t xml:space="preserve">         Ulykke/andre</t>
  </si>
  <si>
    <t xml:space="preserve">        Premiereserve for egen regning</t>
  </si>
  <si>
    <t xml:space="preserve">13.2 Tilleggsavsetninger </t>
  </si>
  <si>
    <t>13.3 Kursreguleringsfond</t>
  </si>
  <si>
    <t>13.4 Premie-, innskudds- og pensjonistenes overskuddsfond</t>
  </si>
  <si>
    <t>13.5 Andre tekniske avsetninger for skadeforsikringsvirksomheten</t>
  </si>
  <si>
    <t>Sum avsetning til forsikringsforpliktelser - KF</t>
  </si>
  <si>
    <t xml:space="preserve">         Annet (post 13.3 og 13.5)</t>
  </si>
  <si>
    <t>Tabell 7.b</t>
  </si>
  <si>
    <t>Produkter med</t>
  </si>
  <si>
    <t>med investeringsvalg</t>
  </si>
  <si>
    <t>alle produkter KF + SI</t>
  </si>
  <si>
    <t>14. Forsikringsmessige avsetninger</t>
  </si>
  <si>
    <t>14.1 Premiereserve brutto</t>
  </si>
  <si>
    <t>14.2 Supplerende avsetninger</t>
  </si>
  <si>
    <t>14.3 Tilleggsavsetninger</t>
  </si>
  <si>
    <t>14.4 Premie-, innskudds- og pensjonistenes overskuddsfond</t>
  </si>
  <si>
    <t>Sum avsetning til forsikringsforpliktelser - SI</t>
  </si>
  <si>
    <r>
      <t>Soliditetskapital</t>
    </r>
    <r>
      <rPr>
        <sz val="14"/>
        <rFont val="Times New Roman"/>
        <family val="1"/>
      </rPr>
      <t xml:space="preserve"> (%)</t>
    </r>
  </si>
  <si>
    <r>
      <t xml:space="preserve">Mer/mindre-verdier </t>
    </r>
    <r>
      <rPr>
        <vertAlign val="superscript"/>
        <sz val="14"/>
        <rFont val="Times New Roman"/>
        <family val="1"/>
      </rPr>
      <t>20)</t>
    </r>
  </si>
  <si>
    <t>Avkastningstall</t>
  </si>
  <si>
    <r>
      <t xml:space="preserve">Kapitalavkastning I </t>
    </r>
    <r>
      <rPr>
        <b/>
        <sz val="14"/>
        <rFont val="Times New Roman"/>
        <family val="1"/>
      </rPr>
      <t>(%)</t>
    </r>
  </si>
  <si>
    <t>Gammel overskuddsmodell</t>
  </si>
  <si>
    <t>Modifisert/ny overskuddsmodell</t>
  </si>
  <si>
    <r>
      <t xml:space="preserve">Kapitalavkastning II </t>
    </r>
    <r>
      <rPr>
        <b/>
        <sz val="14"/>
        <rFont val="Times New Roman"/>
        <family val="1"/>
      </rPr>
      <t xml:space="preserve"> (%)</t>
    </r>
  </si>
  <si>
    <t>Protector Forsikring</t>
  </si>
  <si>
    <r>
      <t xml:space="preserve">Forsikringsforpliktelser </t>
    </r>
    <r>
      <rPr>
        <b/>
        <vertAlign val="superscript"/>
        <sz val="10"/>
        <rFont val="Times New Roman"/>
        <family val="1"/>
      </rPr>
      <t>4</t>
    </r>
  </si>
  <si>
    <r>
      <t xml:space="preserve">Overførte reserver fra andre </t>
    </r>
    <r>
      <rPr>
        <b/>
        <vertAlign val="superscript"/>
        <sz val="10"/>
        <rFont val="Times New Roman"/>
        <family val="1"/>
      </rPr>
      <t>5</t>
    </r>
  </si>
  <si>
    <r>
      <t>Overførte reserver til andre</t>
    </r>
    <r>
      <rPr>
        <b/>
        <vertAlign val="superscript"/>
        <sz val="10"/>
        <rFont val="Times New Roman"/>
        <family val="1"/>
      </rPr>
      <t xml:space="preserve"> 6</t>
    </r>
  </si>
  <si>
    <r>
      <t xml:space="preserve">    Livrenter </t>
    </r>
    <r>
      <rPr>
        <vertAlign val="superscript"/>
        <sz val="10"/>
        <rFont val="Times New Roman"/>
        <family val="1"/>
      </rPr>
      <t>10</t>
    </r>
  </si>
  <si>
    <r>
      <t xml:space="preserve">    IPA </t>
    </r>
    <r>
      <rPr>
        <vertAlign val="superscript"/>
        <sz val="10"/>
        <rFont val="Times New Roman"/>
        <family val="1"/>
      </rPr>
      <t>10</t>
    </r>
  </si>
  <si>
    <r>
      <t xml:space="preserve">    IPS 2008 </t>
    </r>
    <r>
      <rPr>
        <vertAlign val="superscript"/>
        <sz val="10"/>
        <rFont val="Times New Roman"/>
        <family val="1"/>
      </rPr>
      <t>10</t>
    </r>
  </si>
  <si>
    <r>
      <t xml:space="preserve">    IPS </t>
    </r>
    <r>
      <rPr>
        <vertAlign val="superscript"/>
        <sz val="10"/>
        <rFont val="Times New Roman"/>
        <family val="1"/>
      </rPr>
      <t>10</t>
    </r>
  </si>
  <si>
    <r>
      <t xml:space="preserve">Forsikringsforpliktelser </t>
    </r>
    <r>
      <rPr>
        <b/>
        <vertAlign val="superscript"/>
        <sz val="10"/>
        <rFont val="Times New Roman"/>
        <family val="1"/>
      </rPr>
      <t>6</t>
    </r>
  </si>
  <si>
    <r>
      <t xml:space="preserve">Forsikringsforpliktelser  - Foreningskollektiv </t>
    </r>
    <r>
      <rPr>
        <b/>
        <vertAlign val="superscript"/>
        <sz val="10"/>
        <rFont val="Times New Roman"/>
        <family val="1"/>
      </rPr>
      <t>4</t>
    </r>
  </si>
  <si>
    <r>
      <t xml:space="preserve">Overførte reserver fra andre - Foreningskollektiv </t>
    </r>
    <r>
      <rPr>
        <b/>
        <vertAlign val="superscript"/>
        <sz val="10"/>
        <rFont val="Times New Roman"/>
        <family val="1"/>
      </rPr>
      <t>5</t>
    </r>
  </si>
  <si>
    <r>
      <t xml:space="preserve">Overførte reserver til andre - Foreningskollektiv </t>
    </r>
    <r>
      <rPr>
        <b/>
        <vertAlign val="superscript"/>
        <sz val="10"/>
        <rFont val="Times New Roman"/>
        <family val="1"/>
      </rPr>
      <t>6</t>
    </r>
  </si>
  <si>
    <r>
      <t xml:space="preserve">    Bedrift </t>
    </r>
    <r>
      <rPr>
        <vertAlign val="superscript"/>
        <sz val="10"/>
        <rFont val="Times New Roman"/>
        <family val="1"/>
      </rPr>
      <t>7</t>
    </r>
  </si>
  <si>
    <r>
      <t xml:space="preserve">    Privat </t>
    </r>
    <r>
      <rPr>
        <vertAlign val="superscript"/>
        <sz val="10"/>
        <rFont val="Times New Roman"/>
        <family val="1"/>
      </rPr>
      <t>8</t>
    </r>
  </si>
  <si>
    <r>
      <t xml:space="preserve">Flytting fra andre </t>
    </r>
    <r>
      <rPr>
        <b/>
        <vertAlign val="superscript"/>
        <sz val="10"/>
        <rFont val="Times New Roman"/>
        <family val="1"/>
      </rPr>
      <t>9</t>
    </r>
  </si>
  <si>
    <r>
      <t xml:space="preserve">Flytting til andre </t>
    </r>
    <r>
      <rPr>
        <b/>
        <vertAlign val="superscript"/>
        <sz val="10"/>
        <rFont val="Times New Roman"/>
        <family val="1"/>
      </rPr>
      <t>9</t>
    </r>
  </si>
  <si>
    <r>
      <t xml:space="preserve">      Engangsbetalt </t>
    </r>
    <r>
      <rPr>
        <vertAlign val="superscript"/>
        <sz val="10"/>
        <rFont val="Times New Roman"/>
        <family val="1"/>
      </rPr>
      <t>11</t>
    </r>
  </si>
  <si>
    <r>
      <t xml:space="preserve">      Innskuddspensjon </t>
    </r>
    <r>
      <rPr>
        <vertAlign val="superscript"/>
        <sz val="10"/>
        <rFont val="Times New Roman"/>
        <family val="1"/>
      </rPr>
      <t>12</t>
    </r>
  </si>
  <si>
    <r>
      <t xml:space="preserve">  Innenfor LOF/LOI </t>
    </r>
    <r>
      <rPr>
        <vertAlign val="superscript"/>
        <sz val="10"/>
        <rFont val="Times New Roman"/>
        <family val="1"/>
      </rPr>
      <t>13</t>
    </r>
  </si>
  <si>
    <r>
      <t xml:space="preserve">  Utenfor LOF/LOI - Livrenter </t>
    </r>
    <r>
      <rPr>
        <vertAlign val="superscript"/>
        <sz val="10"/>
        <rFont val="Times New Roman"/>
        <family val="1"/>
      </rPr>
      <t>13,17</t>
    </r>
  </si>
  <si>
    <r>
      <t xml:space="preserve">  Herav fripoliser </t>
    </r>
    <r>
      <rPr>
        <vertAlign val="superscript"/>
        <sz val="10"/>
        <rFont val="Times New Roman"/>
        <family val="1"/>
      </rPr>
      <t>14,16</t>
    </r>
  </si>
  <si>
    <r>
      <t xml:space="preserve">  Herav pensjonskapitalbevis </t>
    </r>
    <r>
      <rPr>
        <vertAlign val="superscript"/>
        <sz val="10"/>
        <rFont val="Times New Roman"/>
        <family val="1"/>
      </rPr>
      <t>14</t>
    </r>
  </si>
  <si>
    <r>
      <t xml:space="preserve">  Herav pensjonsbevis</t>
    </r>
    <r>
      <rPr>
        <vertAlign val="superscript"/>
        <sz val="10"/>
        <rFont val="Times New Roman"/>
        <family val="1"/>
      </rPr>
      <t>14</t>
    </r>
  </si>
  <si>
    <r>
      <t xml:space="preserve">   Herav fripoliser </t>
    </r>
    <r>
      <rPr>
        <vertAlign val="superscript"/>
        <sz val="10"/>
        <rFont val="Times New Roman"/>
        <family val="1"/>
      </rPr>
      <t>14,16</t>
    </r>
  </si>
  <si>
    <r>
      <t xml:space="preserve">   Herav pensjonskapitalbevis </t>
    </r>
    <r>
      <rPr>
        <vertAlign val="superscript"/>
        <sz val="10"/>
        <rFont val="Times New Roman"/>
        <family val="1"/>
      </rPr>
      <t>14</t>
    </r>
  </si>
  <si>
    <r>
      <t xml:space="preserve">Brutto forfalt premie </t>
    </r>
    <r>
      <rPr>
        <b/>
        <vertAlign val="superscript"/>
        <sz val="10"/>
        <rFont val="Times New Roman"/>
        <family val="1"/>
      </rPr>
      <t>1, 15</t>
    </r>
  </si>
  <si>
    <r>
      <t xml:space="preserve">Forsikringsforpliktelser </t>
    </r>
    <r>
      <rPr>
        <b/>
        <vertAlign val="superscript"/>
        <sz val="10"/>
        <rFont val="Times New Roman"/>
        <family val="1"/>
      </rPr>
      <t>4, 15</t>
    </r>
  </si>
  <si>
    <r>
      <t xml:space="preserve">Overførte reserver fra andre </t>
    </r>
    <r>
      <rPr>
        <b/>
        <vertAlign val="superscript"/>
        <sz val="10"/>
        <rFont val="Times New Roman"/>
        <family val="1"/>
      </rPr>
      <t>5, 15</t>
    </r>
  </si>
  <si>
    <r>
      <t>Overførte reserver til andre</t>
    </r>
    <r>
      <rPr>
        <b/>
        <vertAlign val="superscript"/>
        <sz val="10"/>
        <rFont val="Times New Roman"/>
        <family val="1"/>
      </rPr>
      <t xml:space="preserve"> 6, 15</t>
    </r>
  </si>
  <si>
    <r>
      <t xml:space="preserve">  Herav fripoliser </t>
    </r>
    <r>
      <rPr>
        <vertAlign val="superscript"/>
        <sz val="10"/>
        <rFont val="Times New Roman"/>
        <family val="1"/>
      </rPr>
      <t>14</t>
    </r>
  </si>
  <si>
    <r>
      <t xml:space="preserve">Forsikringsforpliktelser </t>
    </r>
    <r>
      <rPr>
        <b/>
        <vertAlign val="superscript"/>
        <sz val="10"/>
        <rFont val="Times New Roman"/>
        <family val="1"/>
      </rPr>
      <t>5, 15</t>
    </r>
  </si>
  <si>
    <r>
      <t>Forsikringsforpliktelser</t>
    </r>
    <r>
      <rPr>
        <sz val="14"/>
        <rFont val="Times New Roman"/>
        <family val="1"/>
      </rPr>
      <t xml:space="preserve"> </t>
    </r>
    <r>
      <rPr>
        <vertAlign val="superscript"/>
        <sz val="14"/>
        <rFont val="Times New Roman"/>
        <family val="1"/>
      </rPr>
      <t>4)</t>
    </r>
  </si>
  <si>
    <t>Protector Fors</t>
  </si>
  <si>
    <t>Figur 3  Forsikringsforpliktelser i livsforsikring  -  produkter uten investeringsvalg pr. 31.12.</t>
  </si>
  <si>
    <t>Figur 4  Forsikringsforpliktelser i livsforsikring -  produkter med investeringsvalg pr. 31.12.</t>
  </si>
  <si>
    <t>Figur 5  Netto tilflytting livprodukter  -  produkter uten investeringsvalg pr. 31.12.</t>
  </si>
  <si>
    <t>Figur 6  Netto tilflytting livprodukter  -  produkter med investeringsvalg pr. 31.12.</t>
  </si>
  <si>
    <t xml:space="preserve">    13.1 Premiereserve mv.</t>
  </si>
  <si>
    <t xml:space="preserve">    13.4 Premiefond, innskuddsfond og fond for regulering av pensjoner mv.</t>
  </si>
  <si>
    <t xml:space="preserve">    14.1 Premiekapital mv.</t>
  </si>
  <si>
    <t xml:space="preserve">    14.2 Tilleggsavsetninger</t>
  </si>
  <si>
    <t xml:space="preserve">    14.3 Premiefond, innskuddsfond og fond for regulering av pensjoner mv.</t>
  </si>
  <si>
    <t>Fremtind Livsforsikring</t>
  </si>
  <si>
    <t>WaterCircle Forsikring</t>
  </si>
  <si>
    <t>Fremtind</t>
  </si>
  <si>
    <t>Fremtind Livsfors</t>
  </si>
  <si>
    <t>Landkreditt Fors.</t>
  </si>
  <si>
    <t>Insr</t>
  </si>
  <si>
    <t>Landkreditt Forsikring</t>
  </si>
  <si>
    <t>WaterCircles Fors.</t>
  </si>
  <si>
    <t>WaterCicles Fors.</t>
  </si>
  <si>
    <t>DNB Bedriftspensjon</t>
  </si>
  <si>
    <t>WaterCircles Forsikring</t>
  </si>
  <si>
    <t>DNB Bedriftsp</t>
  </si>
  <si>
    <t>Landkreditt Fors</t>
  </si>
  <si>
    <t>Bedriftspensjon</t>
  </si>
  <si>
    <t>Spesifikasjon av post 13 - forsikringsforpliktelser - produkter uten investeringsvalg</t>
  </si>
  <si>
    <t>Spesifikasjon post 14 forsikringsforpliktelser - produkter med investeringsvalg</t>
  </si>
  <si>
    <t>Inrs</t>
  </si>
  <si>
    <t>31.12.2019</t>
  </si>
  <si>
    <t>31.12.2020</t>
  </si>
  <si>
    <t>Spesifikasjon av post 14. Forsikringsforpliktelser -SI</t>
  </si>
  <si>
    <t>Frende Skadefors</t>
  </si>
  <si>
    <t>Gjennomsnitt 2016 - 2020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</si>
</sst>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 #,##0.00_ ;_ * \-#,##0.00_ ;_ * &quot;-&quot;??_ ;_ @_ "/>
    <numFmt numFmtId="165" formatCode="#,##0.0"/>
    <numFmt numFmtId="166" formatCode="_ * #,##0_ ;_ * \-#,##0_ ;_ * &quot;-&quot;??_ ;_ @_ "/>
    <numFmt numFmtId="167" formatCode="dd/mm/yy;@"/>
    <numFmt numFmtId="168" formatCode="0;\-0;;@"/>
    <numFmt numFmtId="169" formatCode="0.0"/>
    <numFmt numFmtId="170" formatCode="#,##0_ ;\-#,##0\ "/>
    <numFmt numFmtId="171" formatCode="_ * #,##0_ ;_ * \-#,##0_ ;_ * &quot;&quot;??_ ;_ @_ "/>
    <numFmt numFmtId="172" formatCode="_ * #,##0.0_ ;_ * \-#,##0.0_ ;_ * &quot;&quot;??_ ;_ @_ "/>
    <numFmt numFmtId="173" formatCode="#,##0.000"/>
    <numFmt numFmtId="174" formatCode="#,##0.0000"/>
    <numFmt numFmtId="175" formatCode="#,##0.00000"/>
  </numFmts>
  <fonts count="7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0"/>
      <color rgb="FFFF0000"/>
      <name val="Times New Roman"/>
      <family val="1"/>
    </font>
    <font>
      <sz val="10"/>
      <name val="Arial"/>
      <family val="2"/>
    </font>
    <font>
      <b/>
      <vertAlign val="superscript"/>
      <sz val="10"/>
      <name val="Times New Roman"/>
      <family val="1"/>
    </font>
    <font>
      <sz val="12"/>
      <color rgb="FFFF0000"/>
      <name val="Times New Roman"/>
      <family val="1"/>
    </font>
    <font>
      <sz val="10"/>
      <color theme="1"/>
      <name val="Times New Roman"/>
      <family val="1"/>
    </font>
    <font>
      <i/>
      <sz val="10"/>
      <name val="Times New Roman"/>
      <family val="1"/>
    </font>
    <font>
      <vertAlign val="superscript"/>
      <sz val="10"/>
      <name val="Times New Roman"/>
      <family val="1"/>
    </font>
    <font>
      <sz val="10"/>
      <name val="Arial"/>
      <family val="2"/>
    </font>
    <font>
      <sz val="10"/>
      <color indexed="23"/>
      <name val="Arial"/>
      <family val="2"/>
    </font>
    <font>
      <sz val="18"/>
      <color indexed="23"/>
      <name val="Times New Roman"/>
      <family val="1"/>
    </font>
    <font>
      <b/>
      <sz val="28"/>
      <color rgb="FF3B6E8F"/>
      <name val="Cambria"/>
      <family val="1"/>
      <scheme val="major"/>
    </font>
    <font>
      <b/>
      <sz val="26"/>
      <color rgb="FF3B6E8F"/>
      <name val="Cambria"/>
      <family val="1"/>
      <scheme val="major"/>
    </font>
    <font>
      <sz val="14"/>
      <name val="Times New Roman"/>
      <family val="1"/>
    </font>
    <font>
      <sz val="12"/>
      <name val="Arial"/>
      <family val="2"/>
    </font>
    <font>
      <sz val="20"/>
      <color theme="1"/>
      <name val="Calibri"/>
      <family val="2"/>
      <scheme val="minor"/>
    </font>
    <font>
      <sz val="14"/>
      <color theme="1"/>
      <name val="Calibri"/>
      <family val="2"/>
      <scheme val="minor"/>
    </font>
    <font>
      <b/>
      <sz val="28"/>
      <color rgb="FF54758C"/>
      <name val="Arial"/>
      <family val="2"/>
    </font>
    <font>
      <sz val="26"/>
      <color rgb="FF54758C"/>
      <name val="Arial"/>
      <family val="2"/>
    </font>
    <font>
      <sz val="14"/>
      <name val="Arial"/>
      <family val="2"/>
    </font>
    <font>
      <sz val="14"/>
      <color indexed="23"/>
      <name val="Times New Roman"/>
      <family val="1"/>
    </font>
    <font>
      <sz val="20"/>
      <name val="Arial"/>
      <family val="2"/>
    </font>
    <font>
      <sz val="18"/>
      <name val="Times New Roman"/>
      <family val="1"/>
    </font>
    <font>
      <sz val="18"/>
      <name val="Arial"/>
      <family val="2"/>
    </font>
    <font>
      <b/>
      <sz val="16"/>
      <name val="Times New Roman"/>
      <family val="1"/>
    </font>
    <font>
      <sz val="16"/>
      <name val="Times New Roman"/>
      <family val="1"/>
    </font>
    <font>
      <u/>
      <sz val="10"/>
      <color indexed="12"/>
      <name val="Arial"/>
      <family val="2"/>
    </font>
    <font>
      <sz val="20"/>
      <name val="Times New Roman"/>
      <family val="1"/>
    </font>
    <font>
      <b/>
      <sz val="14"/>
      <name val="Times New Roman"/>
      <family val="1"/>
    </font>
    <font>
      <sz val="14"/>
      <color rgb="FFFF0000"/>
      <name val="Times New Roman"/>
      <family val="1"/>
    </font>
    <font>
      <vertAlign val="superscript"/>
      <sz val="14"/>
      <name val="Times New Roman"/>
      <family val="1"/>
    </font>
    <font>
      <b/>
      <i/>
      <sz val="12"/>
      <color indexed="63"/>
      <name val="Times New Roman"/>
      <family val="1"/>
    </font>
    <font>
      <b/>
      <sz val="10"/>
      <name val="Arial"/>
      <family val="2"/>
    </font>
    <font>
      <b/>
      <i/>
      <sz val="12"/>
      <name val="Times New Roman"/>
      <family val="1"/>
    </font>
    <font>
      <sz val="14"/>
      <color theme="1"/>
      <name val="Times New Roman"/>
      <family val="1"/>
    </font>
    <font>
      <sz val="14"/>
      <color rgb="FFFF0000"/>
      <name val="Arial"/>
      <family val="2"/>
    </font>
    <font>
      <b/>
      <sz val="14"/>
      <name val="Arial"/>
      <family val="2"/>
    </font>
    <font>
      <b/>
      <vertAlign val="superscript"/>
      <sz val="14"/>
      <name val="Times New Roman"/>
      <family val="1"/>
    </font>
    <font>
      <sz val="11"/>
      <name val="Calibri"/>
      <family val="2"/>
      <scheme val="minor"/>
    </font>
    <font>
      <b/>
      <sz val="10"/>
      <color rgb="FFFF0000"/>
      <name val="Times New Roman"/>
      <family val="1"/>
    </font>
    <font>
      <b/>
      <sz val="16"/>
      <color indexed="10"/>
      <name val="Times New Roman"/>
      <family val="1"/>
    </font>
    <font>
      <b/>
      <sz val="14"/>
      <color indexed="8"/>
      <name val="Times New Roman"/>
      <family val="1"/>
    </font>
    <font>
      <b/>
      <sz val="10"/>
      <color indexed="8"/>
      <name val="Times New Roman"/>
      <family val="1"/>
    </font>
    <font>
      <b/>
      <sz val="14"/>
      <color indexed="63"/>
      <name val="Times New Roman"/>
      <family val="1"/>
    </font>
    <font>
      <sz val="14"/>
      <color indexed="10"/>
      <name val="Times New Roman"/>
      <family val="1"/>
    </font>
    <font>
      <b/>
      <sz val="14"/>
      <color indexed="10"/>
      <name val="Times New Roman"/>
      <family val="1"/>
    </font>
    <font>
      <sz val="12"/>
      <color indexed="10"/>
      <name val="Times New Roman"/>
      <family val="1"/>
    </font>
    <font>
      <sz val="20"/>
      <color rgb="FFFF0000"/>
      <name val="Times New Roman"/>
      <family val="1"/>
    </font>
    <font>
      <sz val="20"/>
      <color rgb="FFFF0000"/>
      <name val="Arial"/>
      <family val="2"/>
    </font>
    <font>
      <sz val="16"/>
      <color theme="1"/>
      <name val="Times New Roman"/>
      <family val="1"/>
    </font>
    <font>
      <b/>
      <sz val="10"/>
      <color theme="1"/>
      <name val="Times New Roman"/>
      <family val="1"/>
    </font>
    <font>
      <sz val="12"/>
      <color theme="1"/>
      <name val="Times New Roman"/>
      <family val="1"/>
    </font>
    <font>
      <b/>
      <sz val="14"/>
      <color rgb="FFFF0000"/>
      <name val="Times New Roman"/>
      <family val="1"/>
    </font>
    <font>
      <u/>
      <sz val="12"/>
      <name val="Times New Roman"/>
      <family val="1"/>
    </font>
    <font>
      <b/>
      <sz val="12"/>
      <color rgb="FFFF0000"/>
      <name val="Times New Roman"/>
      <family val="1"/>
    </font>
    <font>
      <sz val="10"/>
      <color theme="0"/>
      <name val="Times New Roman"/>
      <family val="1"/>
    </font>
    <font>
      <b/>
      <i/>
      <sz val="10"/>
      <name val="Times New Roman"/>
      <family val="1"/>
    </font>
    <font>
      <b/>
      <sz val="14"/>
      <color theme="1"/>
      <name val="Times New Roman"/>
      <family val="1"/>
    </font>
    <font>
      <sz val="10"/>
      <color indexed="10"/>
      <name val="Arial"/>
      <family val="2"/>
    </font>
    <font>
      <b/>
      <sz val="10"/>
      <color rgb="FFFF0000"/>
      <name val="Arial"/>
      <family val="2"/>
    </font>
    <font>
      <sz val="10"/>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FFCC"/>
      </patternFill>
    </fill>
    <fill>
      <patternFill patternType="solid">
        <fgColor theme="7" tint="0.59999389629810485"/>
        <bgColor indexed="65"/>
      </patternFill>
    </fill>
    <fill>
      <patternFill patternType="solid">
        <fgColor theme="5" tint="0.79998168889431442"/>
        <bgColor indexed="65"/>
      </patternFill>
    </fill>
    <fill>
      <patternFill patternType="solid">
        <fgColor theme="2"/>
        <bgColor indexed="64"/>
      </patternFill>
    </fill>
    <fill>
      <patternFill patternType="solid">
        <fgColor indexed="9"/>
        <bgColor indexed="9"/>
      </patternFill>
    </fill>
  </fills>
  <borders count="17">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853">
    <xf numFmtId="0" fontId="0" fillId="0" borderId="0"/>
    <xf numFmtId="0" fontId="20" fillId="0" borderId="0"/>
    <xf numFmtId="164" fontId="26" fillId="0" borderId="0" applyFont="0" applyFill="0" applyBorder="0" applyAlignment="0" applyProtection="0"/>
    <xf numFmtId="0" fontId="44" fillId="0" borderId="0" applyNumberFormat="0" applyFill="0" applyBorder="0" applyAlignment="0" applyProtection="0">
      <alignment vertical="top"/>
      <protection locked="0"/>
    </xf>
    <xf numFmtId="0" fontId="13" fillId="0" borderId="0"/>
    <xf numFmtId="0" fontId="20" fillId="0" borderId="0"/>
    <xf numFmtId="0" fontId="12" fillId="0" borderId="0"/>
    <xf numFmtId="0" fontId="20" fillId="0" borderId="0"/>
    <xf numFmtId="0" fontId="11" fillId="0" borderId="0"/>
    <xf numFmtId="0" fontId="20" fillId="0" borderId="0"/>
    <xf numFmtId="0" fontId="26" fillId="0" borderId="0"/>
    <xf numFmtId="0" fontId="11"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 fillId="0" borderId="0" applyFont="0" applyFill="0" applyBorder="0" applyAlignment="0" applyProtection="0"/>
    <xf numFmtId="164" fontId="20" fillId="0" borderId="0" applyFont="0" applyFill="0" applyBorder="0" applyAlignment="0" applyProtection="0"/>
    <xf numFmtId="0" fontId="11" fillId="0" borderId="0"/>
    <xf numFmtId="0" fontId="20" fillId="0" borderId="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6" borderId="0" applyNumberFormat="0" applyBorder="0" applyAlignment="0" applyProtection="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6" borderId="0" applyNumberFormat="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5" borderId="16" applyNumberFormat="0" applyFont="0" applyAlignment="0" applyProtection="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164" fontId="26" fillId="0" borderId="0" applyFont="0" applyFill="0" applyBorder="0" applyAlignment="0" applyProtection="0"/>
    <xf numFmtId="0" fontId="11"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3" fillId="0" borderId="0"/>
    <xf numFmtId="0" fontId="3"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3" fillId="0" borderId="0" applyFont="0" applyFill="0" applyBorder="0" applyAlignment="0" applyProtection="0"/>
    <xf numFmtId="164" fontId="20" fillId="0" borderId="0" applyFont="0" applyFill="0" applyBorder="0" applyAlignment="0" applyProtection="0"/>
    <xf numFmtId="0" fontId="3" fillId="0" borderId="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2" fillId="7" borderId="0" applyNumberFormat="0" applyBorder="0" applyAlignment="0" applyProtection="0"/>
    <xf numFmtId="0" fontId="15" fillId="0" borderId="0"/>
    <xf numFmtId="171" fontId="16" fillId="0" borderId="7" applyFont="0" applyFill="0" applyBorder="0" applyAlignment="0" applyProtection="0">
      <alignment horizontal="right"/>
    </xf>
    <xf numFmtId="164" fontId="20" fillId="0" borderId="0" applyFont="0" applyFill="0" applyBorder="0" applyAlignment="0" applyProtection="0"/>
    <xf numFmtId="0" fontId="15" fillId="0" borderId="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78" fillId="0" borderId="0" applyFont="0" applyFill="0" applyBorder="0" applyAlignment="0" applyProtection="0"/>
  </cellStyleXfs>
  <cellXfs count="1071">
    <xf numFmtId="0" fontId="0" fillId="0" borderId="0" xfId="0"/>
    <xf numFmtId="0" fontId="18" fillId="0" borderId="0" xfId="1" applyFont="1"/>
    <xf numFmtId="0" fontId="24" fillId="0" borderId="0" xfId="1" applyFont="1"/>
    <xf numFmtId="0" fontId="18" fillId="0" borderId="0" xfId="1" applyFont="1" applyFill="1"/>
    <xf numFmtId="0" fontId="18" fillId="0" borderId="0" xfId="1" applyFont="1" applyBorder="1"/>
    <xf numFmtId="49" fontId="18" fillId="0" borderId="0" xfId="1" applyNumberFormat="1" applyFont="1" applyFill="1" applyBorder="1" applyAlignment="1">
      <alignment horizontal="center"/>
    </xf>
    <xf numFmtId="165" fontId="18" fillId="0" borderId="0" xfId="1" applyNumberFormat="1" applyFont="1" applyFill="1" applyBorder="1"/>
    <xf numFmtId="0" fontId="18" fillId="0" borderId="0" xfId="1" applyFont="1" applyFill="1" applyBorder="1"/>
    <xf numFmtId="0" fontId="18" fillId="0" borderId="0" xfId="1" applyFont="1" applyFill="1" applyAlignment="1">
      <alignment horizontal="left"/>
    </xf>
    <xf numFmtId="165" fontId="16" fillId="3" borderId="5" xfId="1" applyNumberFormat="1" applyFont="1" applyFill="1" applyBorder="1" applyAlignment="1">
      <alignment horizontal="right"/>
    </xf>
    <xf numFmtId="0" fontId="18" fillId="0" borderId="6" xfId="1" applyFont="1" applyBorder="1"/>
    <xf numFmtId="165" fontId="16" fillId="3" borderId="2" xfId="1" applyNumberFormat="1" applyFont="1" applyFill="1" applyBorder="1" applyAlignment="1">
      <alignment horizontal="right"/>
    </xf>
    <xf numFmtId="0" fontId="16" fillId="0" borderId="4" xfId="1" applyFont="1" applyBorder="1"/>
    <xf numFmtId="0" fontId="16" fillId="0" borderId="3" xfId="1" applyFont="1" applyBorder="1"/>
    <xf numFmtId="0" fontId="16" fillId="0" borderId="7" xfId="1" applyFont="1" applyBorder="1"/>
    <xf numFmtId="0" fontId="16" fillId="0" borderId="6" xfId="1" applyFont="1" applyBorder="1" applyAlignment="1">
      <alignment horizontal="center"/>
    </xf>
    <xf numFmtId="0" fontId="16" fillId="0" borderId="11" xfId="1" applyFont="1" applyBorder="1" applyAlignment="1">
      <alignment horizontal="center"/>
    </xf>
    <xf numFmtId="0" fontId="16" fillId="0" borderId="5" xfId="1" applyFont="1" applyBorder="1" applyAlignment="1">
      <alignment horizontal="center"/>
    </xf>
    <xf numFmtId="0" fontId="16" fillId="0" borderId="11" xfId="1" applyFont="1" applyBorder="1"/>
    <xf numFmtId="0" fontId="16" fillId="0" borderId="7" xfId="1" applyFont="1" applyBorder="1" applyAlignment="1">
      <alignment horizontal="center"/>
    </xf>
    <xf numFmtId="14" fontId="17" fillId="0" borderId="4" xfId="1" applyNumberFormat="1" applyFont="1" applyBorder="1" applyAlignment="1">
      <alignment horizontal="center"/>
    </xf>
    <xf numFmtId="0" fontId="18" fillId="0" borderId="3" xfId="1" applyFont="1" applyBorder="1"/>
    <xf numFmtId="165" fontId="18" fillId="3" borderId="6" xfId="1" applyNumberFormat="1" applyFont="1" applyFill="1" applyBorder="1" applyAlignment="1">
      <alignment horizontal="right"/>
    </xf>
    <xf numFmtId="165" fontId="18" fillId="3" borderId="3" xfId="1" applyNumberFormat="1" applyFont="1" applyFill="1" applyBorder="1" applyAlignment="1">
      <alignment horizontal="right"/>
    </xf>
    <xf numFmtId="165" fontId="16" fillId="3" borderId="3" xfId="1" applyNumberFormat="1" applyFont="1" applyFill="1" applyBorder="1" applyAlignment="1">
      <alignment horizontal="right"/>
    </xf>
    <xf numFmtId="165" fontId="18" fillId="0" borderId="0" xfId="1" applyNumberFormat="1" applyFont="1" applyBorder="1"/>
    <xf numFmtId="3" fontId="18" fillId="0" borderId="0" xfId="1" applyNumberFormat="1" applyFont="1" applyBorder="1"/>
    <xf numFmtId="165" fontId="18" fillId="3" borderId="2" xfId="1" applyNumberFormat="1" applyFont="1" applyFill="1" applyBorder="1" applyAlignment="1">
      <alignment horizontal="right"/>
    </xf>
    <xf numFmtId="0" fontId="15" fillId="0" borderId="0" xfId="1" applyFont="1"/>
    <xf numFmtId="0" fontId="22" fillId="0" borderId="0" xfId="1" applyFont="1"/>
    <xf numFmtId="0" fontId="15" fillId="0" borderId="0" xfId="1" applyFont="1" applyFill="1"/>
    <xf numFmtId="0" fontId="15" fillId="0" borderId="0" xfId="1" applyFont="1" applyFill="1" applyBorder="1"/>
    <xf numFmtId="165" fontId="16" fillId="0" borderId="0" xfId="1" applyNumberFormat="1" applyFont="1" applyFill="1" applyBorder="1" applyAlignment="1">
      <alignment horizontal="right"/>
    </xf>
    <xf numFmtId="3" fontId="18" fillId="0" borderId="0" xfId="1" applyNumberFormat="1" applyFont="1" applyFill="1" applyBorder="1" applyAlignment="1">
      <alignment horizontal="center"/>
    </xf>
    <xf numFmtId="165" fontId="18" fillId="0" borderId="0" xfId="1" applyNumberFormat="1" applyFont="1" applyFill="1" applyBorder="1" applyAlignment="1">
      <alignment horizontal="right"/>
    </xf>
    <xf numFmtId="49" fontId="18" fillId="0" borderId="0" xfId="1" applyNumberFormat="1" applyFont="1" applyFill="1" applyBorder="1" applyAlignment="1">
      <alignment horizontal="right"/>
    </xf>
    <xf numFmtId="165" fontId="16" fillId="3" borderId="6" xfId="1" applyNumberFormat="1" applyFont="1" applyFill="1" applyBorder="1" applyAlignment="1">
      <alignment horizontal="right"/>
    </xf>
    <xf numFmtId="3" fontId="18" fillId="0" borderId="0" xfId="1" quotePrefix="1" applyNumberFormat="1" applyFont="1" applyFill="1" applyBorder="1" applyAlignment="1">
      <alignment horizontal="center"/>
    </xf>
    <xf numFmtId="0" fontId="18" fillId="0" borderId="3" xfId="1" applyFont="1" applyFill="1" applyBorder="1"/>
    <xf numFmtId="0" fontId="16" fillId="0" borderId="3" xfId="1" applyFont="1" applyFill="1" applyBorder="1"/>
    <xf numFmtId="0" fontId="16" fillId="0" borderId="0" xfId="1" applyFont="1" applyFill="1" applyBorder="1" applyAlignment="1">
      <alignment horizontal="center"/>
    </xf>
    <xf numFmtId="0" fontId="16" fillId="0" borderId="6" xfId="1" applyFont="1" applyBorder="1"/>
    <xf numFmtId="14" fontId="17" fillId="0" borderId="0" xfId="1" applyNumberFormat="1" applyFont="1" applyFill="1" applyBorder="1" applyAlignment="1">
      <alignment horizontal="center"/>
    </xf>
    <xf numFmtId="0" fontId="16" fillId="0" borderId="0" xfId="1" applyFont="1"/>
    <xf numFmtId="3" fontId="18" fillId="0" borderId="3" xfId="1" applyNumberFormat="1" applyFont="1" applyFill="1" applyBorder="1" applyAlignment="1">
      <alignment horizontal="right"/>
    </xf>
    <xf numFmtId="3" fontId="18" fillId="0" borderId="6" xfId="1" applyNumberFormat="1" applyFont="1" applyFill="1" applyBorder="1" applyAlignment="1">
      <alignment horizontal="right"/>
    </xf>
    <xf numFmtId="0" fontId="18" fillId="0" borderId="6" xfId="1" applyFont="1" applyFill="1" applyBorder="1"/>
    <xf numFmtId="0" fontId="16" fillId="0" borderId="0" xfId="1" applyFont="1" applyBorder="1"/>
    <xf numFmtId="3" fontId="19" fillId="0" borderId="0" xfId="1" applyNumberFormat="1" applyFont="1" applyFill="1" applyBorder="1" applyAlignment="1">
      <alignment horizontal="right"/>
    </xf>
    <xf numFmtId="0" fontId="18" fillId="0" borderId="4" xfId="1" applyFont="1" applyFill="1" applyBorder="1"/>
    <xf numFmtId="0" fontId="18" fillId="0" borderId="0" xfId="1" applyFont="1" applyFill="1" applyAlignment="1">
      <alignment horizontal="right"/>
    </xf>
    <xf numFmtId="0" fontId="20" fillId="0" borderId="0" xfId="1"/>
    <xf numFmtId="0" fontId="27" fillId="0" borderId="0" xfId="1" applyFont="1"/>
    <xf numFmtId="0" fontId="0" fillId="0" borderId="0" xfId="1" applyFont="1"/>
    <xf numFmtId="0" fontId="28" fillId="0" borderId="0" xfId="1" applyFont="1" applyAlignment="1">
      <alignment horizontal="right"/>
    </xf>
    <xf numFmtId="0" fontId="29" fillId="0" borderId="0" xfId="1" applyFont="1" applyAlignment="1">
      <alignment horizontal="left"/>
    </xf>
    <xf numFmtId="0" fontId="30" fillId="0" borderId="0" xfId="1" applyFont="1" applyAlignment="1">
      <alignment horizontal="left"/>
    </xf>
    <xf numFmtId="0" fontId="31" fillId="0" borderId="0" xfId="1" applyFont="1" applyAlignment="1">
      <alignment horizontal="left"/>
    </xf>
    <xf numFmtId="0" fontId="32" fillId="0" borderId="0" xfId="1" applyFont="1" applyAlignment="1">
      <alignment horizontal="right"/>
    </xf>
    <xf numFmtId="0" fontId="20" fillId="0" borderId="0" xfId="1" applyAlignment="1">
      <alignment horizontal="right"/>
    </xf>
    <xf numFmtId="0" fontId="33" fillId="0" borderId="0" xfId="1" applyFont="1" applyAlignment="1">
      <alignment horizontal="left"/>
    </xf>
    <xf numFmtId="14" fontId="34" fillId="0" borderId="0" xfId="1" applyNumberFormat="1" applyFont="1" applyAlignment="1">
      <alignment horizontal="left"/>
    </xf>
    <xf numFmtId="0" fontId="34" fillId="0" borderId="0" xfId="1" applyFont="1" applyAlignment="1">
      <alignment horizontal="left"/>
    </xf>
    <xf numFmtId="0" fontId="35" fillId="0" borderId="0" xfId="1" applyFont="1" applyAlignment="1">
      <alignment vertical="center"/>
    </xf>
    <xf numFmtId="0" fontId="36" fillId="0" borderId="0" xfId="1" applyFont="1" applyAlignment="1">
      <alignment vertical="center"/>
    </xf>
    <xf numFmtId="0" fontId="37" fillId="0" borderId="0" xfId="1" applyFont="1"/>
    <xf numFmtId="14" fontId="38" fillId="0" borderId="0" xfId="1" applyNumberFormat="1" applyFont="1"/>
    <xf numFmtId="0" fontId="39" fillId="0" borderId="0" xfId="0" applyFont="1"/>
    <xf numFmtId="0" fontId="40" fillId="0" borderId="0" xfId="0" applyFont="1"/>
    <xf numFmtId="0" fontId="41" fillId="0" borderId="0" xfId="0" applyFont="1"/>
    <xf numFmtId="0" fontId="43" fillId="0" borderId="0" xfId="0" applyFont="1"/>
    <xf numFmtId="0" fontId="43" fillId="0" borderId="0" xfId="3" applyFont="1" applyAlignment="1" applyProtection="1"/>
    <xf numFmtId="0" fontId="45" fillId="0" borderId="0" xfId="0" applyFont="1"/>
    <xf numFmtId="0" fontId="18" fillId="0" borderId="0" xfId="3" applyFont="1" applyFill="1" applyAlignment="1" applyProtection="1"/>
    <xf numFmtId="0" fontId="31" fillId="0" borderId="0" xfId="0" applyFont="1"/>
    <xf numFmtId="0" fontId="46" fillId="0" borderId="0" xfId="0" applyFont="1"/>
    <xf numFmtId="0" fontId="47" fillId="0" borderId="0" xfId="0" applyFont="1"/>
    <xf numFmtId="3" fontId="31" fillId="0" borderId="0" xfId="0" applyNumberFormat="1" applyFont="1"/>
    <xf numFmtId="3" fontId="31" fillId="0" borderId="0" xfId="0" applyNumberFormat="1" applyFont="1" applyFill="1"/>
    <xf numFmtId="0" fontId="31" fillId="0" borderId="0" xfId="0" applyFont="1" applyFill="1"/>
    <xf numFmtId="0" fontId="42" fillId="0" borderId="0" xfId="0" applyFont="1"/>
    <xf numFmtId="0" fontId="37" fillId="0" borderId="0" xfId="0" applyFont="1"/>
    <xf numFmtId="14" fontId="14" fillId="0" borderId="13" xfId="0" applyNumberFormat="1" applyFont="1" applyFill="1" applyBorder="1" applyAlignment="1">
      <alignment horizontal="left"/>
    </xf>
    <xf numFmtId="0" fontId="31" fillId="0" borderId="10" xfId="0" applyFont="1" applyBorder="1"/>
    <xf numFmtId="0" fontId="31" fillId="0" borderId="8" xfId="0" applyFont="1" applyBorder="1"/>
    <xf numFmtId="0" fontId="31" fillId="0" borderId="9" xfId="0" applyFont="1" applyBorder="1"/>
    <xf numFmtId="0" fontId="31" fillId="0" borderId="3" xfId="0" applyFont="1" applyBorder="1"/>
    <xf numFmtId="0" fontId="18" fillId="0" borderId="0" xfId="0" applyFont="1"/>
    <xf numFmtId="3" fontId="46" fillId="0" borderId="7" xfId="0" applyNumberFormat="1" applyFont="1" applyFill="1" applyBorder="1"/>
    <xf numFmtId="0" fontId="46" fillId="0" borderId="0" xfId="0" applyFont="1" applyBorder="1" applyAlignment="1">
      <alignment horizontal="center"/>
    </xf>
    <xf numFmtId="0" fontId="46" fillId="0" borderId="3" xfId="0" applyFont="1" applyBorder="1" applyAlignment="1">
      <alignment horizontal="center"/>
    </xf>
    <xf numFmtId="3" fontId="46" fillId="0" borderId="3" xfId="0" applyNumberFormat="1" applyFont="1" applyFill="1" applyBorder="1"/>
    <xf numFmtId="0" fontId="16" fillId="0" borderId="4" xfId="0" applyFont="1" applyBorder="1" applyAlignment="1">
      <alignment horizontal="center"/>
    </xf>
    <xf numFmtId="0" fontId="16" fillId="0" borderId="1" xfId="0" applyFont="1" applyBorder="1" applyAlignment="1">
      <alignment horizontal="center"/>
    </xf>
    <xf numFmtId="0" fontId="16" fillId="0" borderId="7" xfId="0" applyFont="1" applyBorder="1" applyAlignment="1">
      <alignment horizontal="center"/>
    </xf>
    <xf numFmtId="0" fontId="16" fillId="0" borderId="3" xfId="0" applyFont="1" applyBorder="1" applyAlignment="1">
      <alignment horizontal="center"/>
    </xf>
    <xf numFmtId="3" fontId="49" fillId="4" borderId="6" xfId="0" applyNumberFormat="1" applyFont="1" applyFill="1" applyBorder="1"/>
    <xf numFmtId="0" fontId="14" fillId="0" borderId="11" xfId="0" applyFont="1" applyBorder="1" applyAlignment="1">
      <alignment horizontal="center"/>
    </xf>
    <xf numFmtId="0" fontId="16" fillId="0" borderId="11" xfId="0" applyFont="1" applyBorder="1" applyAlignment="1">
      <alignment horizontal="center"/>
    </xf>
    <xf numFmtId="0" fontId="16" fillId="0" borderId="6" xfId="0" applyFont="1" applyBorder="1" applyAlignment="1">
      <alignment horizontal="center"/>
    </xf>
    <xf numFmtId="0" fontId="16" fillId="0" borderId="0" xfId="0" applyFont="1" applyBorder="1" applyAlignment="1">
      <alignment horizontal="center"/>
    </xf>
    <xf numFmtId="0" fontId="46" fillId="0" borderId="3" xfId="0" applyFont="1" applyBorder="1"/>
    <xf numFmtId="0" fontId="31" fillId="0" borderId="1" xfId="0" applyFont="1" applyBorder="1"/>
    <xf numFmtId="3" fontId="31" fillId="0" borderId="4" xfId="0" applyNumberFormat="1" applyFont="1" applyBorder="1"/>
    <xf numFmtId="3" fontId="31" fillId="0" borderId="4" xfId="0" applyNumberFormat="1" applyFont="1" applyBorder="1" applyAlignment="1">
      <alignment horizontal="right"/>
    </xf>
    <xf numFmtId="3" fontId="31" fillId="0" borderId="4" xfId="0" applyNumberFormat="1" applyFont="1" applyFill="1" applyBorder="1"/>
    <xf numFmtId="3" fontId="31" fillId="0" borderId="4" xfId="0" applyNumberFormat="1" applyFont="1" applyFill="1" applyBorder="1" applyAlignment="1">
      <alignment horizontal="right"/>
    </xf>
    <xf numFmtId="0" fontId="31" fillId="0" borderId="3" xfId="0" applyFont="1" applyFill="1" applyBorder="1"/>
    <xf numFmtId="0" fontId="31" fillId="0" borderId="4" xfId="0" applyFont="1" applyFill="1" applyBorder="1"/>
    <xf numFmtId="3" fontId="46" fillId="0" borderId="4" xfId="0" applyNumberFormat="1" applyFont="1" applyBorder="1"/>
    <xf numFmtId="3" fontId="46" fillId="0" borderId="4" xfId="0" applyNumberFormat="1" applyFont="1" applyBorder="1" applyAlignment="1">
      <alignment horizontal="right"/>
    </xf>
    <xf numFmtId="0" fontId="16" fillId="0" borderId="0" xfId="0" applyFont="1"/>
    <xf numFmtId="0" fontId="31" fillId="0" borderId="0" xfId="0" applyFont="1" applyBorder="1"/>
    <xf numFmtId="0" fontId="46" fillId="0" borderId="6" xfId="0" applyFont="1" applyBorder="1"/>
    <xf numFmtId="3" fontId="46" fillId="0" borderId="11" xfId="0" applyNumberFormat="1" applyFont="1" applyBorder="1"/>
    <xf numFmtId="3" fontId="46" fillId="0" borderId="11" xfId="0" applyNumberFormat="1" applyFont="1" applyBorder="1" applyAlignment="1">
      <alignment horizontal="right"/>
    </xf>
    <xf numFmtId="0" fontId="31" fillId="0" borderId="0" xfId="0" applyFont="1" applyAlignment="1">
      <alignment horizontal="left"/>
    </xf>
    <xf numFmtId="0" fontId="46" fillId="0" borderId="0" xfId="0" applyFont="1" applyAlignment="1">
      <alignment horizontal="left"/>
    </xf>
    <xf numFmtId="0" fontId="31" fillId="0" borderId="14" xfId="0" applyFont="1" applyBorder="1"/>
    <xf numFmtId="0" fontId="31" fillId="0" borderId="15" xfId="0" applyFont="1" applyBorder="1"/>
    <xf numFmtId="167" fontId="46" fillId="0" borderId="7" xfId="0" applyNumberFormat="1" applyFont="1" applyBorder="1" applyAlignment="1">
      <alignment horizontal="left"/>
    </xf>
    <xf numFmtId="0" fontId="46" fillId="0" borderId="2" xfId="0" applyFont="1" applyBorder="1" applyAlignment="1">
      <alignment horizontal="center"/>
    </xf>
    <xf numFmtId="167" fontId="46" fillId="0" borderId="3" xfId="0" applyNumberFormat="1" applyFont="1" applyBorder="1" applyAlignment="1">
      <alignment horizontal="left"/>
    </xf>
    <xf numFmtId="0" fontId="46" fillId="0" borderId="4" xfId="0" applyFont="1" applyBorder="1" applyAlignment="1">
      <alignment horizontal="center"/>
    </xf>
    <xf numFmtId="0" fontId="46" fillId="0" borderId="1" xfId="0" applyFont="1" applyBorder="1" applyAlignment="1">
      <alignment horizontal="center"/>
    </xf>
    <xf numFmtId="0" fontId="16" fillId="0" borderId="2" xfId="0" applyFont="1" applyBorder="1" applyAlignment="1">
      <alignment horizontal="center"/>
    </xf>
    <xf numFmtId="167" fontId="51" fillId="0" borderId="6" xfId="0" applyNumberFormat="1" applyFont="1" applyBorder="1" applyAlignment="1">
      <alignment horizontal="left"/>
    </xf>
    <xf numFmtId="0" fontId="14" fillId="0" borderId="6" xfId="0" applyFont="1" applyBorder="1" applyAlignment="1">
      <alignment horizontal="center"/>
    </xf>
    <xf numFmtId="0" fontId="16" fillId="0" borderId="12" xfId="0" applyFont="1" applyBorder="1" applyAlignment="1">
      <alignment horizontal="center"/>
    </xf>
    <xf numFmtId="3" fontId="31" fillId="0" borderId="1" xfId="0" applyNumberFormat="1" applyFont="1" applyBorder="1"/>
    <xf numFmtId="3" fontId="31" fillId="0" borderId="2" xfId="0" applyNumberFormat="1" applyFont="1" applyBorder="1"/>
    <xf numFmtId="3" fontId="52" fillId="0" borderId="4" xfId="0" applyNumberFormat="1" applyFont="1" applyFill="1" applyBorder="1" applyAlignment="1">
      <alignment horizontal="right"/>
    </xf>
    <xf numFmtId="0" fontId="47" fillId="0" borderId="0" xfId="0" applyFont="1" applyFill="1"/>
    <xf numFmtId="0" fontId="53" fillId="0" borderId="0" xfId="0" applyFont="1" applyFill="1"/>
    <xf numFmtId="3" fontId="54" fillId="0" borderId="0" xfId="0" applyNumberFormat="1" applyFont="1"/>
    <xf numFmtId="0" fontId="54" fillId="0" borderId="0" xfId="0" applyFont="1"/>
    <xf numFmtId="0" fontId="54" fillId="0" borderId="0" xfId="0" applyFont="1" applyFill="1"/>
    <xf numFmtId="0" fontId="46" fillId="0" borderId="4" xfId="0" applyFont="1" applyBorder="1"/>
    <xf numFmtId="3" fontId="46" fillId="0" borderId="0" xfId="0" applyNumberFormat="1" applyFont="1" applyBorder="1" applyAlignment="1">
      <alignment horizontal="right"/>
    </xf>
    <xf numFmtId="3" fontId="31" fillId="0" borderId="0" xfId="0" applyNumberFormat="1" applyFont="1" applyBorder="1"/>
    <xf numFmtId="3" fontId="16" fillId="0" borderId="4" xfId="1" applyNumberFormat="1" applyFont="1" applyBorder="1"/>
    <xf numFmtId="0" fontId="0" fillId="0" borderId="0" xfId="0"/>
    <xf numFmtId="3" fontId="15" fillId="0" borderId="0" xfId="1" applyNumberFormat="1" applyFont="1" applyFill="1" applyBorder="1"/>
    <xf numFmtId="3" fontId="16" fillId="0" borderId="0" xfId="1" applyNumberFormat="1" applyFont="1"/>
    <xf numFmtId="3" fontId="16" fillId="0" borderId="1" xfId="1" applyNumberFormat="1" applyFont="1" applyBorder="1"/>
    <xf numFmtId="3" fontId="18" fillId="0" borderId="0" xfId="1" applyNumberFormat="1" applyFont="1" applyFill="1" applyBorder="1" applyAlignment="1">
      <alignment horizontal="right"/>
    </xf>
    <xf numFmtId="3" fontId="18" fillId="0" borderId="0" xfId="1" applyNumberFormat="1" applyFont="1" applyFill="1" applyBorder="1"/>
    <xf numFmtId="3" fontId="14" fillId="0" borderId="0" xfId="1" applyNumberFormat="1" applyFont="1"/>
    <xf numFmtId="3" fontId="18" fillId="0" borderId="0" xfId="1" applyNumberFormat="1" applyFont="1" applyFill="1"/>
    <xf numFmtId="3" fontId="18" fillId="0" borderId="0" xfId="1" applyNumberFormat="1" applyFont="1"/>
    <xf numFmtId="3" fontId="16" fillId="0" borderId="5" xfId="1" applyNumberFormat="1" applyFont="1" applyBorder="1" applyAlignment="1">
      <alignment horizontal="center"/>
    </xf>
    <xf numFmtId="3" fontId="22" fillId="0" borderId="0" xfId="1" applyNumberFormat="1" applyFont="1"/>
    <xf numFmtId="3" fontId="17" fillId="0" borderId="4" xfId="1" applyNumberFormat="1" applyFont="1" applyBorder="1" applyAlignment="1">
      <alignment horizontal="center"/>
    </xf>
    <xf numFmtId="3" fontId="18" fillId="0" borderId="4" xfId="1" applyNumberFormat="1" applyFont="1" applyFill="1" applyBorder="1"/>
    <xf numFmtId="3" fontId="15" fillId="0" borderId="0" xfId="1" applyNumberFormat="1" applyFont="1" applyFill="1"/>
    <xf numFmtId="3" fontId="18" fillId="0" borderId="0" xfId="1" applyNumberFormat="1" applyFont="1" applyAlignment="1">
      <alignment horizontal="left"/>
    </xf>
    <xf numFmtId="3" fontId="16" fillId="0" borderId="6" xfId="1" applyNumberFormat="1" applyFont="1" applyBorder="1" applyAlignment="1">
      <alignment horizontal="center"/>
    </xf>
    <xf numFmtId="3" fontId="15" fillId="0" borderId="0" xfId="1" applyNumberFormat="1" applyFont="1"/>
    <xf numFmtId="3" fontId="16" fillId="0" borderId="3" xfId="1" applyNumberFormat="1" applyFont="1" applyBorder="1"/>
    <xf numFmtId="3" fontId="16" fillId="0" borderId="0" xfId="1" applyNumberFormat="1" applyFont="1" applyFill="1" applyBorder="1" applyAlignment="1">
      <alignment horizontal="right"/>
    </xf>
    <xf numFmtId="3" fontId="16" fillId="3" borderId="2" xfId="1" applyNumberFormat="1" applyFont="1" applyFill="1" applyBorder="1" applyAlignment="1">
      <alignment horizontal="right"/>
    </xf>
    <xf numFmtId="3" fontId="16" fillId="0" borderId="11" xfId="1" applyNumberFormat="1" applyFont="1" applyBorder="1" applyAlignment="1">
      <alignment horizontal="center"/>
    </xf>
    <xf numFmtId="3" fontId="16" fillId="0" borderId="7" xfId="1" applyNumberFormat="1" applyFont="1" applyBorder="1" applyAlignment="1">
      <alignment horizontal="center"/>
    </xf>
    <xf numFmtId="3" fontId="14" fillId="0" borderId="12" xfId="1" applyNumberFormat="1" applyFont="1" applyBorder="1"/>
    <xf numFmtId="3" fontId="18" fillId="0" borderId="0" xfId="1" applyNumberFormat="1" applyFont="1" applyFill="1" applyAlignment="1">
      <alignment horizontal="left"/>
    </xf>
    <xf numFmtId="3" fontId="14" fillId="0" borderId="0" xfId="1" applyNumberFormat="1" applyFont="1" applyBorder="1"/>
    <xf numFmtId="3" fontId="18" fillId="3" borderId="3" xfId="1" applyNumberFormat="1" applyFont="1" applyFill="1" applyBorder="1" applyAlignment="1">
      <alignment horizontal="right"/>
    </xf>
    <xf numFmtId="3" fontId="18" fillId="3" borderId="6" xfId="1" applyNumberFormat="1" applyFont="1" applyFill="1" applyBorder="1" applyAlignment="1">
      <alignment horizontal="right"/>
    </xf>
    <xf numFmtId="3" fontId="16" fillId="0" borderId="0" xfId="1" applyNumberFormat="1" applyFont="1" applyBorder="1"/>
    <xf numFmtId="3" fontId="16" fillId="3" borderId="6" xfId="1" applyNumberFormat="1" applyFont="1" applyFill="1" applyBorder="1" applyAlignment="1">
      <alignment horizontal="right"/>
    </xf>
    <xf numFmtId="3" fontId="16" fillId="3" borderId="5" xfId="1" applyNumberFormat="1" applyFont="1" applyFill="1" applyBorder="1" applyAlignment="1">
      <alignment horizontal="right"/>
    </xf>
    <xf numFmtId="3" fontId="16" fillId="3" borderId="3" xfId="1" applyNumberFormat="1" applyFont="1" applyFill="1" applyBorder="1" applyAlignment="1">
      <alignment horizontal="right"/>
    </xf>
    <xf numFmtId="3" fontId="18" fillId="0" borderId="10" xfId="1" applyNumberFormat="1" applyFont="1" applyBorder="1" applyAlignment="1">
      <alignment horizontal="left"/>
    </xf>
    <xf numFmtId="3" fontId="16" fillId="0" borderId="0" xfId="1" applyNumberFormat="1" applyFont="1" applyFill="1" applyBorder="1" applyAlignment="1">
      <alignment horizontal="center"/>
    </xf>
    <xf numFmtId="3" fontId="17" fillId="0" borderId="0" xfId="1" applyNumberFormat="1" applyFont="1" applyFill="1" applyBorder="1" applyAlignment="1">
      <alignment horizontal="center"/>
    </xf>
    <xf numFmtId="3" fontId="18" fillId="3" borderId="2" xfId="1" applyNumberFormat="1" applyFont="1" applyFill="1" applyBorder="1" applyAlignment="1">
      <alignment horizontal="right"/>
    </xf>
    <xf numFmtId="3" fontId="31" fillId="0" borderId="3" xfId="0" applyNumberFormat="1" applyFont="1" applyBorder="1"/>
    <xf numFmtId="3" fontId="31" fillId="0" borderId="3" xfId="0" applyNumberFormat="1" applyFont="1" applyFill="1" applyBorder="1"/>
    <xf numFmtId="3" fontId="46" fillId="0" borderId="3" xfId="0" applyNumberFormat="1" applyFont="1" applyBorder="1"/>
    <xf numFmtId="3" fontId="46" fillId="0" borderId="0" xfId="0" applyNumberFormat="1" applyFont="1" applyBorder="1"/>
    <xf numFmtId="3" fontId="31" fillId="0" borderId="4" xfId="2" applyNumberFormat="1" applyFont="1" applyBorder="1"/>
    <xf numFmtId="3" fontId="46" fillId="0" borderId="6" xfId="0" applyNumberFormat="1" applyFont="1" applyBorder="1"/>
    <xf numFmtId="3" fontId="31" fillId="0" borderId="0" xfId="0" applyNumberFormat="1" applyFont="1" applyBorder="1" applyAlignment="1">
      <alignment horizontal="right"/>
    </xf>
    <xf numFmtId="3" fontId="52" fillId="0" borderId="0" xfId="0" applyNumberFormat="1" applyFont="1" applyFill="1" applyBorder="1" applyAlignment="1">
      <alignment horizontal="right"/>
    </xf>
    <xf numFmtId="0" fontId="14" fillId="0" borderId="4" xfId="0" applyFont="1" applyBorder="1" applyAlignment="1">
      <alignment horizontal="center"/>
    </xf>
    <xf numFmtId="0" fontId="14" fillId="0" borderId="3" xfId="0" applyFont="1" applyBorder="1" applyAlignment="1">
      <alignment horizontal="center"/>
    </xf>
    <xf numFmtId="0" fontId="31" fillId="0" borderId="0" xfId="0" applyFont="1" applyFill="1" applyBorder="1"/>
    <xf numFmtId="3" fontId="18" fillId="2" borderId="3" xfId="1" applyNumberFormat="1" applyFont="1" applyFill="1" applyBorder="1" applyAlignment="1">
      <alignment horizontal="right"/>
    </xf>
    <xf numFmtId="0" fontId="18" fillId="0" borderId="0" xfId="0" applyFont="1" applyFill="1" applyBorder="1"/>
    <xf numFmtId="3" fontId="23" fillId="0" borderId="4" xfId="1" applyNumberFormat="1" applyFont="1" applyFill="1" applyBorder="1" applyAlignment="1">
      <alignment horizontal="right"/>
    </xf>
    <xf numFmtId="3" fontId="23" fillId="0" borderId="3" xfId="1" applyNumberFormat="1" applyFont="1" applyFill="1" applyBorder="1" applyAlignment="1">
      <alignment horizontal="right"/>
    </xf>
    <xf numFmtId="3" fontId="18" fillId="0" borderId="4" xfId="1" quotePrefix="1" applyNumberFormat="1" applyFont="1" applyFill="1" applyBorder="1" applyAlignment="1">
      <alignment horizontal="right"/>
    </xf>
    <xf numFmtId="167" fontId="46" fillId="0" borderId="4" xfId="0" applyNumberFormat="1" applyFont="1" applyBorder="1" applyAlignment="1">
      <alignment horizontal="left"/>
    </xf>
    <xf numFmtId="0" fontId="31" fillId="0" borderId="4" xfId="0" applyFont="1" applyBorder="1"/>
    <xf numFmtId="0" fontId="52" fillId="0" borderId="4" xfId="0" applyFont="1" applyFill="1" applyBorder="1"/>
    <xf numFmtId="0" fontId="46" fillId="0" borderId="11" xfId="0" applyFont="1" applyBorder="1"/>
    <xf numFmtId="3" fontId="31" fillId="0" borderId="3" xfId="0" applyNumberFormat="1" applyFont="1" applyBorder="1" applyAlignment="1">
      <alignment horizontal="right"/>
    </xf>
    <xf numFmtId="3" fontId="52" fillId="0" borderId="3" xfId="0" applyNumberFormat="1" applyFont="1" applyFill="1" applyBorder="1" applyAlignment="1">
      <alignment horizontal="right"/>
    </xf>
    <xf numFmtId="3" fontId="46" fillId="0" borderId="3" xfId="0" applyNumberFormat="1" applyFont="1" applyBorder="1" applyAlignment="1">
      <alignment horizontal="right"/>
    </xf>
    <xf numFmtId="3" fontId="46" fillId="0" borderId="6" xfId="0" applyNumberFormat="1" applyFont="1" applyBorder="1" applyAlignment="1">
      <alignment horizontal="right"/>
    </xf>
    <xf numFmtId="0" fontId="37" fillId="0" borderId="4" xfId="0" applyFont="1" applyBorder="1" applyAlignment="1">
      <alignment horizontal="right"/>
    </xf>
    <xf numFmtId="3" fontId="31" fillId="0" borderId="7" xfId="0" applyNumberFormat="1" applyFont="1" applyBorder="1" applyAlignment="1">
      <alignment horizontal="right"/>
    </xf>
    <xf numFmtId="3" fontId="31" fillId="0" borderId="14" xfId="0" applyNumberFormat="1" applyFont="1" applyBorder="1" applyAlignment="1">
      <alignment horizontal="right"/>
    </xf>
    <xf numFmtId="0" fontId="37" fillId="0" borderId="3" xfId="0" applyFont="1" applyBorder="1" applyAlignment="1">
      <alignment horizontal="right"/>
    </xf>
    <xf numFmtId="3" fontId="31" fillId="0" borderId="6" xfId="0" applyNumberFormat="1" applyFont="1" applyBorder="1" applyAlignment="1">
      <alignment horizontal="right"/>
    </xf>
    <xf numFmtId="3" fontId="16" fillId="0" borderId="0" xfId="0" applyNumberFormat="1" applyFont="1"/>
    <xf numFmtId="3" fontId="16" fillId="0" borderId="4" xfId="1" applyNumberFormat="1" applyFont="1" applyBorder="1" applyAlignment="1">
      <alignment horizontal="center"/>
    </xf>
    <xf numFmtId="3" fontId="18" fillId="0" borderId="0" xfId="0" applyNumberFormat="1" applyFont="1" applyBorder="1"/>
    <xf numFmtId="3" fontId="18" fillId="0" borderId="0" xfId="0" applyNumberFormat="1" applyFont="1"/>
    <xf numFmtId="3" fontId="16" fillId="0" borderId="0" xfId="0" applyNumberFormat="1" applyFont="1" applyBorder="1"/>
    <xf numFmtId="3" fontId="18" fillId="0" borderId="0" xfId="0" applyNumberFormat="1" applyFont="1" applyFill="1" applyBorder="1"/>
    <xf numFmtId="0" fontId="18" fillId="8" borderId="1" xfId="0" applyFont="1" applyFill="1" applyBorder="1"/>
    <xf numFmtId="0" fontId="18" fillId="8" borderId="15" xfId="0" applyFont="1" applyFill="1" applyBorder="1"/>
    <xf numFmtId="0" fontId="18" fillId="8" borderId="14" xfId="0" applyFont="1" applyFill="1" applyBorder="1"/>
    <xf numFmtId="0" fontId="16" fillId="8" borderId="1" xfId="0" applyFont="1" applyFill="1" applyBorder="1" applyAlignment="1">
      <alignment horizontal="center"/>
    </xf>
    <xf numFmtId="0" fontId="16" fillId="8" borderId="15" xfId="0" applyFont="1" applyFill="1" applyBorder="1" applyAlignment="1">
      <alignment horizontal="center"/>
    </xf>
    <xf numFmtId="0" fontId="16" fillId="8" borderId="14" xfId="0" applyFont="1" applyFill="1" applyBorder="1" applyAlignment="1">
      <alignment horizontal="center"/>
    </xf>
    <xf numFmtId="0" fontId="16" fillId="8" borderId="11" xfId="0" applyFont="1" applyFill="1" applyBorder="1" applyAlignment="1">
      <alignment horizontal="center"/>
    </xf>
    <xf numFmtId="0" fontId="16" fillId="8" borderId="5" xfId="0" applyFont="1" applyFill="1" applyBorder="1" applyAlignment="1">
      <alignment horizontal="center"/>
    </xf>
    <xf numFmtId="0" fontId="16" fillId="8" borderId="12" xfId="0" applyFont="1" applyFill="1" applyBorder="1" applyAlignment="1">
      <alignment horizontal="center"/>
    </xf>
    <xf numFmtId="0" fontId="16" fillId="8" borderId="3" xfId="0" applyFont="1" applyFill="1" applyBorder="1"/>
    <xf numFmtId="3" fontId="18" fillId="8" borderId="2" xfId="0" applyNumberFormat="1" applyFont="1" applyFill="1" applyBorder="1"/>
    <xf numFmtId="3" fontId="18" fillId="8" borderId="7" xfId="0" applyNumberFormat="1" applyFont="1" applyFill="1" applyBorder="1"/>
    <xf numFmtId="3" fontId="18" fillId="8" borderId="3" xfId="0" applyNumberFormat="1" applyFont="1" applyFill="1" applyBorder="1"/>
    <xf numFmtId="0" fontId="16" fillId="8" borderId="3" xfId="0" applyFont="1" applyFill="1" applyBorder="1" applyAlignment="1">
      <alignment horizontal="center"/>
    </xf>
    <xf numFmtId="0" fontId="16" fillId="8" borderId="2" xfId="0" applyFont="1" applyFill="1" applyBorder="1" applyAlignment="1">
      <alignment horizontal="center"/>
    </xf>
    <xf numFmtId="0" fontId="18" fillId="8" borderId="2" xfId="0" applyFont="1" applyFill="1" applyBorder="1"/>
    <xf numFmtId="0" fontId="18" fillId="8" borderId="3" xfId="0" applyFont="1" applyFill="1" applyBorder="1"/>
    <xf numFmtId="3" fontId="18" fillId="8" borderId="2" xfId="2" applyNumberFormat="1" applyFont="1" applyFill="1" applyBorder="1"/>
    <xf numFmtId="3" fontId="16" fillId="8" borderId="6" xfId="0" applyNumberFormat="1" applyFont="1" applyFill="1" applyBorder="1"/>
    <xf numFmtId="3" fontId="16" fillId="8" borderId="5" xfId="0" applyNumberFormat="1" applyFont="1" applyFill="1" applyBorder="1"/>
    <xf numFmtId="3" fontId="31" fillId="0" borderId="2" xfId="0" quotePrefix="1" applyNumberFormat="1" applyFont="1" applyBorder="1" applyAlignment="1">
      <alignment horizontal="right"/>
    </xf>
    <xf numFmtId="0" fontId="37" fillId="0" borderId="1" xfId="0" applyFont="1" applyBorder="1" applyAlignment="1">
      <alignment horizontal="right"/>
    </xf>
    <xf numFmtId="3" fontId="31" fillId="0" borderId="3" xfId="0" quotePrefix="1" applyNumberFormat="1" applyFont="1" applyBorder="1" applyAlignment="1">
      <alignment horizontal="right"/>
    </xf>
    <xf numFmtId="3" fontId="18" fillId="0" borderId="2" xfId="1" applyNumberFormat="1" applyFont="1" applyFill="1" applyBorder="1" applyAlignment="1">
      <alignment horizontal="right"/>
    </xf>
    <xf numFmtId="3" fontId="18" fillId="2" borderId="2" xfId="1" applyNumberFormat="1" applyFont="1" applyFill="1" applyBorder="1" applyAlignment="1">
      <alignment horizontal="right"/>
    </xf>
    <xf numFmtId="3" fontId="16" fillId="0" borderId="3" xfId="1" applyNumberFormat="1" applyFont="1" applyFill="1" applyBorder="1" applyAlignment="1">
      <alignment horizontal="right"/>
    </xf>
    <xf numFmtId="3" fontId="18" fillId="0" borderId="2" xfId="1" quotePrefix="1" applyNumberFormat="1" applyFont="1" applyFill="1" applyBorder="1" applyAlignment="1">
      <alignment horizontal="right"/>
    </xf>
    <xf numFmtId="3" fontId="18" fillId="0" borderId="6" xfId="1" quotePrefix="1" applyNumberFormat="1" applyFont="1" applyFill="1" applyBorder="1" applyAlignment="1">
      <alignment horizontal="right"/>
    </xf>
    <xf numFmtId="3" fontId="18" fillId="0" borderId="5" xfId="1" quotePrefix="1" applyNumberFormat="1" applyFont="1" applyFill="1" applyBorder="1" applyAlignment="1">
      <alignment horizontal="right"/>
    </xf>
    <xf numFmtId="3" fontId="18" fillId="3" borderId="0" xfId="1" applyNumberFormat="1" applyFont="1" applyFill="1" applyBorder="1" applyAlignment="1">
      <alignment horizontal="right"/>
    </xf>
    <xf numFmtId="165" fontId="56" fillId="7" borderId="3" xfId="844" applyNumberFormat="1" applyFont="1" applyBorder="1" applyAlignment="1">
      <alignment horizontal="right"/>
    </xf>
    <xf numFmtId="3" fontId="46" fillId="0" borderId="2" xfId="0" applyNumberFormat="1" applyFont="1" applyBorder="1"/>
    <xf numFmtId="3" fontId="14" fillId="0" borderId="9" xfId="1" applyNumberFormat="1" applyFont="1" applyBorder="1" applyAlignment="1">
      <alignment horizontal="center"/>
    </xf>
    <xf numFmtId="3" fontId="17" fillId="0" borderId="6" xfId="1" applyNumberFormat="1" applyFont="1" applyBorder="1" applyAlignment="1">
      <alignment horizontal="center"/>
    </xf>
    <xf numFmtId="3" fontId="16" fillId="0" borderId="3" xfId="1" applyNumberFormat="1" applyFont="1" applyBorder="1" applyAlignment="1">
      <alignment horizontal="center"/>
    </xf>
    <xf numFmtId="3" fontId="16" fillId="0" borderId="2" xfId="1" applyNumberFormat="1" applyFont="1" applyBorder="1" applyAlignment="1">
      <alignment horizontal="center"/>
    </xf>
    <xf numFmtId="3" fontId="14" fillId="0" borderId="1" xfId="1" applyNumberFormat="1" applyFont="1" applyBorder="1"/>
    <xf numFmtId="0" fontId="18" fillId="0" borderId="6" xfId="0" applyFont="1" applyBorder="1"/>
    <xf numFmtId="0" fontId="16" fillId="0" borderId="3" xfId="1" applyFont="1" applyBorder="1" applyAlignment="1">
      <alignment horizontal="center"/>
    </xf>
    <xf numFmtId="0" fontId="16" fillId="0" borderId="15" xfId="1" applyFont="1" applyBorder="1" applyAlignment="1">
      <alignment horizontal="center"/>
    </xf>
    <xf numFmtId="14" fontId="17" fillId="0" borderId="1" xfId="1" applyNumberFormat="1" applyFont="1" applyBorder="1" applyAlignment="1">
      <alignment horizontal="center"/>
    </xf>
    <xf numFmtId="14" fontId="17" fillId="0" borderId="7" xfId="1" applyNumberFormat="1" applyFont="1" applyBorder="1" applyAlignment="1">
      <alignment horizontal="center"/>
    </xf>
    <xf numFmtId="14" fontId="17" fillId="0" borderId="15" xfId="1" applyNumberFormat="1" applyFont="1" applyBorder="1" applyAlignment="1">
      <alignment horizontal="center"/>
    </xf>
    <xf numFmtId="0" fontId="18" fillId="0" borderId="5" xfId="1" applyFont="1" applyFill="1" applyBorder="1"/>
    <xf numFmtId="0" fontId="18" fillId="0" borderId="9" xfId="1" applyFont="1" applyFill="1" applyBorder="1"/>
    <xf numFmtId="168" fontId="18" fillId="0" borderId="0" xfId="1" applyNumberFormat="1" applyFont="1" applyFill="1" applyBorder="1" applyAlignment="1">
      <alignment horizontal="center"/>
    </xf>
    <xf numFmtId="168" fontId="18" fillId="3" borderId="3" xfId="1" applyNumberFormat="1" applyFont="1" applyFill="1" applyBorder="1" applyAlignment="1">
      <alignment horizontal="right"/>
    </xf>
    <xf numFmtId="168" fontId="18" fillId="3" borderId="6" xfId="1" applyNumberFormat="1" applyFont="1" applyFill="1" applyBorder="1" applyAlignment="1">
      <alignment horizontal="right"/>
    </xf>
    <xf numFmtId="0" fontId="46" fillId="0" borderId="0" xfId="0" applyFont="1" applyBorder="1"/>
    <xf numFmtId="0" fontId="46" fillId="0" borderId="7" xfId="0" applyFont="1" applyBorder="1"/>
    <xf numFmtId="14" fontId="14" fillId="0" borderId="6" xfId="0" applyNumberFormat="1" applyFont="1" applyFill="1" applyBorder="1" applyAlignment="1">
      <alignment horizontal="left"/>
    </xf>
    <xf numFmtId="14" fontId="14" fillId="0" borderId="3" xfId="0" applyNumberFormat="1" applyFont="1" applyFill="1" applyBorder="1" applyAlignment="1">
      <alignment horizontal="center"/>
    </xf>
    <xf numFmtId="167" fontId="16" fillId="0" borderId="4" xfId="0" applyNumberFormat="1" applyFont="1" applyBorder="1" applyAlignment="1">
      <alignment horizontal="center"/>
    </xf>
    <xf numFmtId="167" fontId="16" fillId="0" borderId="11" xfId="0" applyNumberFormat="1" applyFont="1" applyBorder="1" applyAlignment="1">
      <alignment horizontal="center"/>
    </xf>
    <xf numFmtId="0" fontId="16" fillId="0" borderId="5" xfId="0" applyFont="1" applyBorder="1" applyAlignment="1">
      <alignment horizontal="center"/>
    </xf>
    <xf numFmtId="165" fontId="46" fillId="0" borderId="4" xfId="0" applyNumberFormat="1" applyFont="1" applyBorder="1" applyAlignment="1">
      <alignment horizontal="right"/>
    </xf>
    <xf numFmtId="165" fontId="46" fillId="0" borderId="3" xfId="0" applyNumberFormat="1" applyFont="1" applyBorder="1" applyAlignment="1">
      <alignment horizontal="right"/>
    </xf>
    <xf numFmtId="165" fontId="31" fillId="0" borderId="4" xfId="0" applyNumberFormat="1" applyFont="1" applyBorder="1" applyAlignment="1">
      <alignment horizontal="right"/>
    </xf>
    <xf numFmtId="165" fontId="31" fillId="0" borderId="3" xfId="0" applyNumberFormat="1" applyFont="1" applyBorder="1" applyAlignment="1">
      <alignment horizontal="right"/>
    </xf>
    <xf numFmtId="165" fontId="31" fillId="0" borderId="4" xfId="0" applyNumberFormat="1" applyFont="1" applyFill="1" applyBorder="1" applyAlignment="1">
      <alignment horizontal="right"/>
    </xf>
    <xf numFmtId="0" fontId="31" fillId="0" borderId="11" xfId="0" applyFont="1" applyBorder="1"/>
    <xf numFmtId="3" fontId="31" fillId="0" borderId="11" xfId="0" applyNumberFormat="1" applyFont="1" applyBorder="1"/>
    <xf numFmtId="165" fontId="31" fillId="0" borderId="11" xfId="0" applyNumberFormat="1" applyFont="1" applyBorder="1" applyAlignment="1">
      <alignment horizontal="right"/>
    </xf>
    <xf numFmtId="165" fontId="31" fillId="0" borderId="6" xfId="0" applyNumberFormat="1" applyFont="1" applyBorder="1" applyAlignment="1">
      <alignment horizontal="right"/>
    </xf>
    <xf numFmtId="3" fontId="46" fillId="0" borderId="3" xfId="0" applyNumberFormat="1" applyFont="1" applyFill="1" applyBorder="1" applyAlignment="1">
      <alignment horizontal="right"/>
    </xf>
    <xf numFmtId="0" fontId="67" fillId="0" borderId="0" xfId="3" applyFont="1" applyAlignment="1" applyProtection="1"/>
    <xf numFmtId="0" fontId="42" fillId="0" borderId="0" xfId="0" applyFont="1" applyFill="1" applyAlignment="1">
      <alignment horizontal="center"/>
    </xf>
    <xf numFmtId="3" fontId="16" fillId="0" borderId="6" xfId="1" applyNumberFormat="1" applyFont="1" applyFill="1" applyBorder="1" applyAlignment="1">
      <alignment horizontal="right"/>
    </xf>
    <xf numFmtId="3" fontId="68" fillId="0" borderId="4" xfId="1" applyNumberFormat="1" applyFont="1" applyFill="1" applyBorder="1" applyAlignment="1">
      <alignment horizontal="right"/>
    </xf>
    <xf numFmtId="3" fontId="68" fillId="0" borderId="3" xfId="1" applyNumberFormat="1" applyFont="1" applyFill="1" applyBorder="1" applyAlignment="1">
      <alignment horizontal="right"/>
    </xf>
    <xf numFmtId="3" fontId="68" fillId="0" borderId="11" xfId="1" applyNumberFormat="1" applyFont="1" applyFill="1" applyBorder="1" applyAlignment="1">
      <alignment horizontal="right"/>
    </xf>
    <xf numFmtId="3" fontId="68" fillId="0" borderId="6" xfId="1" applyNumberFormat="1" applyFont="1" applyFill="1" applyBorder="1" applyAlignment="1">
      <alignment horizontal="right"/>
    </xf>
    <xf numFmtId="3" fontId="18" fillId="0" borderId="3" xfId="2" applyNumberFormat="1" applyFont="1" applyFill="1" applyBorder="1" applyAlignment="1">
      <alignment horizontal="right"/>
    </xf>
    <xf numFmtId="3" fontId="18" fillId="0" borderId="4" xfId="2" applyNumberFormat="1" applyFont="1" applyFill="1" applyBorder="1" applyAlignment="1">
      <alignment horizontal="right"/>
    </xf>
    <xf numFmtId="3" fontId="18" fillId="0" borderId="6" xfId="2" applyNumberFormat="1" applyFont="1" applyFill="1" applyBorder="1" applyAlignment="1">
      <alignment horizontal="right"/>
    </xf>
    <xf numFmtId="3" fontId="18" fillId="0" borderId="11" xfId="2" applyNumberFormat="1" applyFont="1" applyFill="1" applyBorder="1" applyAlignment="1">
      <alignment horizontal="right"/>
    </xf>
    <xf numFmtId="3" fontId="18" fillId="2" borderId="3" xfId="2" applyNumberFormat="1" applyFont="1" applyFill="1" applyBorder="1" applyAlignment="1">
      <alignment horizontal="right"/>
    </xf>
    <xf numFmtId="3" fontId="18" fillId="2" borderId="4" xfId="2" applyNumberFormat="1" applyFont="1" applyFill="1" applyBorder="1" applyAlignment="1">
      <alignment horizontal="right"/>
    </xf>
    <xf numFmtId="3" fontId="18" fillId="0" borderId="4" xfId="1" applyNumberFormat="1" applyFont="1" applyFill="1" applyBorder="1" applyAlignment="1">
      <alignment horizontal="right"/>
    </xf>
    <xf numFmtId="3" fontId="18" fillId="0" borderId="11" xfId="1" applyNumberFormat="1" applyFont="1" applyFill="1" applyBorder="1" applyAlignment="1">
      <alignment horizontal="right"/>
    </xf>
    <xf numFmtId="3" fontId="18" fillId="2" borderId="0" xfId="1" applyNumberFormat="1" applyFont="1" applyFill="1" applyBorder="1" applyAlignment="1">
      <alignment horizontal="right"/>
    </xf>
    <xf numFmtId="3" fontId="18" fillId="0" borderId="3" xfId="2" applyNumberFormat="1" applyFont="1" applyBorder="1" applyAlignment="1">
      <alignment horizontal="right"/>
    </xf>
    <xf numFmtId="3" fontId="18" fillId="0" borderId="4" xfId="2" applyNumberFormat="1" applyFont="1" applyBorder="1" applyAlignment="1">
      <alignment horizontal="right"/>
    </xf>
    <xf numFmtId="3" fontId="23" fillId="0" borderId="2" xfId="1" applyNumberFormat="1" applyFont="1" applyFill="1" applyBorder="1" applyAlignment="1">
      <alignment horizontal="right"/>
    </xf>
    <xf numFmtId="3" fontId="23" fillId="0" borderId="0" xfId="1" applyNumberFormat="1" applyFont="1" applyFill="1" applyBorder="1" applyAlignment="1">
      <alignment horizontal="right"/>
    </xf>
    <xf numFmtId="3" fontId="19" fillId="2" borderId="2" xfId="1" applyNumberFormat="1" applyFont="1" applyFill="1" applyBorder="1" applyAlignment="1">
      <alignment horizontal="right"/>
    </xf>
    <xf numFmtId="3" fontId="19" fillId="2" borderId="0" xfId="1" applyNumberFormat="1" applyFont="1" applyFill="1" applyBorder="1" applyAlignment="1">
      <alignment horizontal="right"/>
    </xf>
    <xf numFmtId="3" fontId="18" fillId="0" borderId="3" xfId="2" applyNumberFormat="1" applyFont="1" applyBorder="1" applyAlignment="1">
      <alignment horizontal="left"/>
    </xf>
    <xf numFmtId="0" fontId="14" fillId="0" borderId="0" xfId="1" applyFont="1" applyBorder="1" applyAlignment="1">
      <alignment horizontal="center"/>
    </xf>
    <xf numFmtId="0" fontId="14" fillId="0" borderId="0" xfId="1" applyFont="1" applyFill="1" applyBorder="1" applyAlignment="1">
      <alignment horizontal="center"/>
    </xf>
    <xf numFmtId="3" fontId="14" fillId="0" borderId="0"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2" xfId="1" applyNumberFormat="1" applyFont="1" applyBorder="1" applyAlignment="1">
      <alignment horizontal="center"/>
    </xf>
    <xf numFmtId="3" fontId="16" fillId="0" borderId="9" xfId="1" applyNumberFormat="1" applyFont="1" applyBorder="1" applyAlignment="1">
      <alignment horizontal="center"/>
    </xf>
    <xf numFmtId="3" fontId="16" fillId="0" borderId="1" xfId="1" applyNumberFormat="1" applyFont="1" applyBorder="1" applyAlignment="1">
      <alignment horizontal="center"/>
    </xf>
    <xf numFmtId="3" fontId="16" fillId="0" borderId="7" xfId="2" applyNumberFormat="1" applyFont="1" applyFill="1" applyBorder="1" applyAlignment="1">
      <alignment horizontal="right"/>
    </xf>
    <xf numFmtId="3" fontId="16" fillId="0" borderId="1" xfId="2" applyNumberFormat="1" applyFont="1" applyFill="1" applyBorder="1" applyAlignment="1">
      <alignment horizontal="right"/>
    </xf>
    <xf numFmtId="3" fontId="16" fillId="0" borderId="2" xfId="1" applyNumberFormat="1" applyFont="1" applyFill="1" applyBorder="1" applyAlignment="1">
      <alignment horizontal="right"/>
    </xf>
    <xf numFmtId="3" fontId="16" fillId="0" borderId="4" xfId="1" applyNumberFormat="1" applyFont="1" applyFill="1" applyBorder="1" applyAlignment="1">
      <alignment horizontal="right"/>
    </xf>
    <xf numFmtId="3" fontId="16" fillId="0" borderId="3" xfId="2" applyNumberFormat="1" applyFont="1" applyFill="1" applyBorder="1" applyAlignment="1">
      <alignment horizontal="right"/>
    </xf>
    <xf numFmtId="3" fontId="16" fillId="0" borderId="4" xfId="2" applyNumberFormat="1" applyFont="1" applyFill="1" applyBorder="1" applyAlignment="1">
      <alignment horizontal="right"/>
    </xf>
    <xf numFmtId="3" fontId="16" fillId="0" borderId="6" xfId="2" applyNumberFormat="1" applyFont="1" applyFill="1" applyBorder="1" applyAlignment="1">
      <alignment horizontal="right"/>
    </xf>
    <xf numFmtId="3" fontId="16" fillId="0" borderId="11" xfId="2" applyNumberFormat="1" applyFont="1" applyFill="1" applyBorder="1" applyAlignment="1">
      <alignment horizontal="right"/>
    </xf>
    <xf numFmtId="3" fontId="16" fillId="0" borderId="5" xfId="1" applyNumberFormat="1" applyFont="1" applyFill="1" applyBorder="1" applyAlignment="1">
      <alignment horizontal="right"/>
    </xf>
    <xf numFmtId="3" fontId="16" fillId="0" borderId="11" xfId="1" applyNumberFormat="1" applyFont="1" applyFill="1" applyBorder="1" applyAlignment="1">
      <alignment horizontal="right"/>
    </xf>
    <xf numFmtId="3" fontId="16" fillId="0" borderId="7" xfId="1" applyNumberFormat="1" applyFont="1" applyFill="1" applyBorder="1" applyAlignment="1">
      <alignment horizontal="right"/>
    </xf>
    <xf numFmtId="3" fontId="16" fillId="0" borderId="1" xfId="1" applyNumberFormat="1" applyFont="1" applyFill="1" applyBorder="1" applyAlignment="1">
      <alignment horizontal="right"/>
    </xf>
    <xf numFmtId="3" fontId="16" fillId="0" borderId="15" xfId="1" applyNumberFormat="1" applyFont="1" applyFill="1" applyBorder="1" applyAlignment="1">
      <alignment horizontal="right"/>
    </xf>
    <xf numFmtId="3" fontId="16" fillId="2" borderId="2" xfId="1" applyNumberFormat="1" applyFont="1" applyFill="1" applyBorder="1" applyAlignment="1">
      <alignment horizontal="right"/>
    </xf>
    <xf numFmtId="3" fontId="16" fillId="2" borderId="0" xfId="1" applyNumberFormat="1" applyFont="1" applyFill="1" applyBorder="1" applyAlignment="1">
      <alignment horizontal="right"/>
    </xf>
    <xf numFmtId="3" fontId="16" fillId="2" borderId="4" xfId="1" applyNumberFormat="1" applyFont="1" applyFill="1" applyBorder="1" applyAlignment="1">
      <alignment horizontal="right"/>
    </xf>
    <xf numFmtId="3" fontId="16" fillId="2" borderId="5" xfId="1" applyNumberFormat="1" applyFont="1" applyFill="1" applyBorder="1" applyAlignment="1">
      <alignment horizontal="right"/>
    </xf>
    <xf numFmtId="3" fontId="16" fillId="2" borderId="11" xfId="1" applyNumberFormat="1" applyFont="1" applyFill="1" applyBorder="1" applyAlignment="1">
      <alignment horizontal="right"/>
    </xf>
    <xf numFmtId="3" fontId="16" fillId="2" borderId="3" xfId="1" applyNumberFormat="1" applyFont="1" applyFill="1" applyBorder="1" applyAlignment="1">
      <alignment horizontal="right"/>
    </xf>
    <xf numFmtId="3" fontId="16" fillId="2" borderId="2" xfId="1" quotePrefix="1" applyNumberFormat="1" applyFont="1" applyFill="1" applyBorder="1" applyAlignment="1">
      <alignment horizontal="right"/>
    </xf>
    <xf numFmtId="3" fontId="16" fillId="2" borderId="6" xfId="1" applyNumberFormat="1" applyFont="1" applyFill="1" applyBorder="1" applyAlignment="1">
      <alignment horizontal="right"/>
    </xf>
    <xf numFmtId="14" fontId="17" fillId="0" borderId="10" xfId="1" applyNumberFormat="1" applyFont="1" applyBorder="1" applyAlignment="1"/>
    <xf numFmtId="0" fontId="0" fillId="0" borderId="8" xfId="0" applyBorder="1" applyAlignment="1"/>
    <xf numFmtId="3" fontId="16" fillId="0" borderId="2" xfId="1" quotePrefix="1" applyNumberFormat="1" applyFont="1" applyFill="1" applyBorder="1" applyAlignment="1">
      <alignment horizontal="right"/>
    </xf>
    <xf numFmtId="0" fontId="57" fillId="0" borderId="0" xfId="1" applyFont="1" applyFill="1"/>
    <xf numFmtId="0" fontId="15" fillId="0" borderId="0" xfId="1" applyFont="1" applyFill="1" applyAlignment="1">
      <alignment horizontal="right" vertical="top"/>
    </xf>
    <xf numFmtId="0" fontId="15" fillId="0" borderId="0" xfId="1" applyFont="1" applyAlignment="1">
      <alignment vertical="top" wrapText="1"/>
    </xf>
    <xf numFmtId="0" fontId="15" fillId="0" borderId="0" xfId="1" applyFont="1" applyFill="1" applyAlignment="1">
      <alignment horizontal="right"/>
    </xf>
    <xf numFmtId="0" fontId="15" fillId="0" borderId="0" xfId="1" applyFont="1" applyFill="1" applyAlignment="1">
      <alignment vertical="top" wrapText="1"/>
    </xf>
    <xf numFmtId="0" fontId="24" fillId="0" borderId="0" xfId="1" applyFont="1" applyFill="1"/>
    <xf numFmtId="0" fontId="15" fillId="0" borderId="0" xfId="1" applyFont="1" applyFill="1" applyAlignment="1">
      <alignment wrapText="1"/>
    </xf>
    <xf numFmtId="0" fontId="14" fillId="0" borderId="0" xfId="1" applyFont="1" applyFill="1" applyAlignment="1">
      <alignment horizontal="left"/>
    </xf>
    <xf numFmtId="3" fontId="31" fillId="4" borderId="3" xfId="0" applyNumberFormat="1" applyFont="1" applyFill="1" applyBorder="1" applyAlignment="1" applyProtection="1">
      <alignment horizontal="right"/>
      <protection locked="0"/>
    </xf>
    <xf numFmtId="0" fontId="69" fillId="0" borderId="0" xfId="0" applyFont="1" applyAlignment="1">
      <alignment horizontal="left" vertical="center" readingOrder="1"/>
    </xf>
    <xf numFmtId="0" fontId="18" fillId="0" borderId="0" xfId="1" applyFont="1" applyFill="1" applyBorder="1" applyAlignment="1">
      <alignment horizontal="left"/>
    </xf>
    <xf numFmtId="0" fontId="71" fillId="0" borderId="0" xfId="1" applyFont="1" applyFill="1" applyAlignment="1">
      <alignment horizontal="left"/>
    </xf>
    <xf numFmtId="0" fontId="19" fillId="0" borderId="0" xfId="1" applyFont="1" applyFill="1"/>
    <xf numFmtId="0" fontId="65" fillId="0" borderId="0" xfId="0" applyFont="1" applyFill="1"/>
    <xf numFmtId="0" fontId="66" fillId="0" borderId="0" xfId="0" applyFont="1" applyFill="1"/>
    <xf numFmtId="0" fontId="43" fillId="0" borderId="0" xfId="0" applyFont="1" applyFill="1"/>
    <xf numFmtId="0" fontId="41" fillId="0" borderId="0" xfId="0" applyFont="1" applyFill="1"/>
    <xf numFmtId="0" fontId="39" fillId="0" borderId="0" xfId="0" applyFont="1" applyFill="1"/>
    <xf numFmtId="0" fontId="43" fillId="0" borderId="0" xfId="3" applyFont="1" applyFill="1" applyAlignment="1" applyProtection="1"/>
    <xf numFmtId="3" fontId="16" fillId="3" borderId="7" xfId="1" applyNumberFormat="1" applyFont="1" applyFill="1" applyBorder="1" applyAlignment="1">
      <alignment horizontal="right"/>
    </xf>
    <xf numFmtId="0" fontId="73" fillId="0" borderId="0" xfId="1" applyFont="1" applyBorder="1" applyAlignment="1">
      <alignment horizontal="left"/>
    </xf>
    <xf numFmtId="3" fontId="68" fillId="0" borderId="2" xfId="1" applyNumberFormat="1" applyFont="1" applyFill="1" applyBorder="1" applyAlignment="1">
      <alignment horizontal="right"/>
    </xf>
    <xf numFmtId="3" fontId="60" fillId="0" borderId="2" xfId="1" applyNumberFormat="1" applyFont="1" applyFill="1" applyBorder="1" applyAlignment="1">
      <alignment horizontal="right"/>
    </xf>
    <xf numFmtId="0" fontId="72" fillId="0" borderId="0" xfId="0" applyFont="1" applyFill="1" applyAlignment="1">
      <alignment horizontal="left" vertical="center" readingOrder="1"/>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4" xfId="1" applyNumberFormat="1" applyFont="1" applyFill="1" applyBorder="1" applyAlignment="1">
      <alignment horizontal="center"/>
    </xf>
    <xf numFmtId="171" fontId="16" fillId="0" borderId="7" xfId="846" applyFont="1" applyFill="1" applyBorder="1" applyAlignment="1">
      <alignment horizontal="right"/>
    </xf>
    <xf numFmtId="171" fontId="16" fillId="0" borderId="1" xfId="846" applyFont="1" applyFill="1" applyBorder="1" applyAlignment="1">
      <alignment horizontal="right"/>
    </xf>
    <xf numFmtId="171" fontId="18" fillId="0" borderId="3" xfId="846" applyFont="1" applyBorder="1" applyAlignment="1">
      <alignment horizontal="right"/>
    </xf>
    <xf numFmtId="171" fontId="18" fillId="0" borderId="3" xfId="846" applyFont="1" applyFill="1" applyBorder="1" applyAlignment="1">
      <alignment horizontal="right"/>
    </xf>
    <xf numFmtId="171" fontId="18" fillId="0" borderId="4" xfId="846" applyFont="1" applyFill="1" applyBorder="1" applyAlignment="1">
      <alignment horizontal="right"/>
    </xf>
    <xf numFmtId="171" fontId="16" fillId="0" borderId="3" xfId="846" applyFont="1" applyFill="1" applyBorder="1" applyAlignment="1">
      <alignment horizontal="right"/>
    </xf>
    <xf numFmtId="171" fontId="16" fillId="0" borderId="4" xfId="846" applyFont="1" applyFill="1" applyBorder="1" applyAlignment="1">
      <alignment horizontal="right"/>
    </xf>
    <xf numFmtId="171" fontId="16" fillId="0" borderId="6" xfId="846" applyFont="1" applyFill="1" applyBorder="1" applyAlignment="1">
      <alignment horizontal="right"/>
    </xf>
    <xf numFmtId="171" fontId="16" fillId="0" borderId="11" xfId="846" applyFont="1" applyFill="1" applyBorder="1" applyAlignment="1">
      <alignment horizontal="right"/>
    </xf>
    <xf numFmtId="171" fontId="18" fillId="3" borderId="7" xfId="846" applyFont="1" applyFill="1" applyBorder="1" applyAlignment="1">
      <alignment horizontal="right"/>
    </xf>
    <xf numFmtId="171" fontId="18" fillId="3" borderId="2" xfId="846" applyFont="1" applyFill="1" applyBorder="1" applyAlignment="1">
      <alignment horizontal="right"/>
    </xf>
    <xf numFmtId="171" fontId="16" fillId="0" borderId="2" xfId="846" applyFont="1" applyFill="1" applyBorder="1" applyAlignment="1">
      <alignment horizontal="right"/>
    </xf>
    <xf numFmtId="171" fontId="18" fillId="3" borderId="3" xfId="846" applyFont="1" applyFill="1" applyBorder="1" applyAlignment="1">
      <alignment horizontal="right"/>
    </xf>
    <xf numFmtId="171" fontId="18" fillId="2" borderId="3" xfId="846" applyFont="1" applyFill="1" applyBorder="1" applyAlignment="1">
      <alignment horizontal="right"/>
    </xf>
    <xf numFmtId="171" fontId="18" fillId="2" borderId="4" xfId="846" applyFont="1" applyFill="1" applyBorder="1" applyAlignment="1">
      <alignment horizontal="right"/>
    </xf>
    <xf numFmtId="171" fontId="18" fillId="0" borderId="2" xfId="846" applyFont="1" applyFill="1" applyBorder="1" applyAlignment="1">
      <alignment horizontal="right"/>
    </xf>
    <xf numFmtId="171" fontId="18" fillId="3" borderId="6" xfId="846" applyFont="1" applyFill="1" applyBorder="1" applyAlignment="1">
      <alignment horizontal="right"/>
    </xf>
    <xf numFmtId="171" fontId="16" fillId="0" borderId="5" xfId="846" applyFont="1" applyFill="1" applyBorder="1" applyAlignment="1">
      <alignment horizontal="right"/>
    </xf>
    <xf numFmtId="171" fontId="16" fillId="0" borderId="15" xfId="846" applyFont="1" applyFill="1" applyBorder="1" applyAlignment="1">
      <alignment horizontal="right"/>
    </xf>
    <xf numFmtId="171" fontId="16" fillId="2" borderId="2" xfId="846" applyFont="1" applyFill="1" applyBorder="1" applyAlignment="1">
      <alignment horizontal="right"/>
    </xf>
    <xf numFmtId="171" fontId="16" fillId="2" borderId="0" xfId="846" applyFont="1" applyFill="1" applyBorder="1" applyAlignment="1">
      <alignment horizontal="right"/>
    </xf>
    <xf numFmtId="171" fontId="16" fillId="2" borderId="4" xfId="846" applyFont="1" applyFill="1" applyBorder="1" applyAlignment="1">
      <alignment horizontal="right"/>
    </xf>
    <xf numFmtId="171" fontId="16" fillId="2" borderId="5" xfId="846" applyFont="1" applyFill="1" applyBorder="1" applyAlignment="1">
      <alignment horizontal="right"/>
    </xf>
    <xf numFmtId="171" fontId="16" fillId="2" borderId="11" xfId="846" applyFont="1" applyFill="1" applyBorder="1" applyAlignment="1">
      <alignment horizontal="right"/>
    </xf>
    <xf numFmtId="171" fontId="18" fillId="0" borderId="4" xfId="846" applyFont="1" applyBorder="1" applyAlignment="1">
      <alignment horizontal="right"/>
    </xf>
    <xf numFmtId="171" fontId="18" fillId="0" borderId="6" xfId="846" applyFont="1" applyFill="1" applyBorder="1" applyAlignment="1">
      <alignment horizontal="right"/>
    </xf>
    <xf numFmtId="171" fontId="18" fillId="0" borderId="11" xfId="846" applyFont="1" applyFill="1" applyBorder="1" applyAlignment="1">
      <alignment horizontal="right"/>
    </xf>
    <xf numFmtId="171" fontId="68" fillId="0" borderId="2" xfId="846" applyFont="1" applyFill="1" applyBorder="1" applyAlignment="1">
      <alignment horizontal="right"/>
    </xf>
    <xf numFmtId="171" fontId="18" fillId="0" borderId="0" xfId="846" applyFont="1" applyFill="1" applyBorder="1" applyAlignment="1">
      <alignment horizontal="right"/>
    </xf>
    <xf numFmtId="171" fontId="23" fillId="0" borderId="2" xfId="846" applyFont="1" applyFill="1" applyBorder="1" applyAlignment="1">
      <alignment horizontal="right"/>
    </xf>
    <xf numFmtId="171" fontId="23" fillId="0" borderId="0" xfId="846" applyFont="1" applyFill="1" applyBorder="1" applyAlignment="1">
      <alignment horizontal="right"/>
    </xf>
    <xf numFmtId="171" fontId="19" fillId="2" borderId="2" xfId="846" applyFont="1" applyFill="1" applyBorder="1" applyAlignment="1">
      <alignment horizontal="right"/>
    </xf>
    <xf numFmtId="171" fontId="19" fillId="2" borderId="0" xfId="846" applyFont="1" applyFill="1" applyBorder="1" applyAlignment="1">
      <alignment horizontal="right"/>
    </xf>
    <xf numFmtId="171" fontId="18" fillId="2" borderId="2" xfId="846" applyFont="1" applyFill="1" applyBorder="1" applyAlignment="1">
      <alignment horizontal="right"/>
    </xf>
    <xf numFmtId="171" fontId="18" fillId="2" borderId="0" xfId="846" applyFont="1" applyFill="1" applyBorder="1" applyAlignment="1">
      <alignment horizontal="right"/>
    </xf>
    <xf numFmtId="171" fontId="16" fillId="0" borderId="0" xfId="846" applyFont="1" applyFill="1" applyBorder="1" applyAlignment="1">
      <alignment horizontal="right"/>
    </xf>
    <xf numFmtId="171" fontId="18" fillId="3" borderId="5" xfId="846" applyFont="1" applyFill="1" applyBorder="1" applyAlignment="1">
      <alignment horizontal="right"/>
    </xf>
    <xf numFmtId="171" fontId="18" fillId="3" borderId="0" xfId="846" applyFont="1" applyFill="1" applyBorder="1" applyAlignment="1">
      <alignment horizontal="right"/>
    </xf>
    <xf numFmtId="171" fontId="18" fillId="3" borderId="1" xfId="846" applyFont="1" applyFill="1" applyBorder="1" applyAlignment="1">
      <alignment horizontal="right"/>
    </xf>
    <xf numFmtId="171" fontId="18" fillId="3" borderId="4" xfId="846" applyFont="1" applyFill="1" applyBorder="1" applyAlignment="1">
      <alignment horizontal="right"/>
    </xf>
    <xf numFmtId="171" fontId="18" fillId="3" borderId="11" xfId="846" applyFont="1" applyFill="1" applyBorder="1" applyAlignment="1">
      <alignment horizontal="right"/>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6" fillId="0" borderId="9" xfId="1" applyNumberFormat="1" applyFont="1" applyBorder="1" applyAlignment="1">
      <alignment horizontal="center"/>
    </xf>
    <xf numFmtId="165" fontId="31" fillId="0" borderId="3" xfId="0" applyNumberFormat="1" applyFont="1" applyBorder="1"/>
    <xf numFmtId="165" fontId="46" fillId="0" borderId="3" xfId="0" applyNumberFormat="1" applyFont="1" applyBorder="1"/>
    <xf numFmtId="165" fontId="31" fillId="0" borderId="3" xfId="0" applyNumberFormat="1" applyFont="1" applyFill="1" applyBorder="1"/>
    <xf numFmtId="165" fontId="46" fillId="0" borderId="6" xfId="0" applyNumberFormat="1" applyFont="1" applyBorder="1"/>
    <xf numFmtId="172" fontId="18" fillId="3" borderId="2" xfId="846" applyNumberFormat="1" applyFont="1" applyFill="1" applyBorder="1" applyAlignment="1">
      <alignment horizontal="right"/>
    </xf>
    <xf numFmtId="172" fontId="18" fillId="3" borderId="3" xfId="846" applyNumberFormat="1" applyFont="1" applyFill="1" applyBorder="1" applyAlignment="1">
      <alignment horizontal="right"/>
    </xf>
    <xf numFmtId="172" fontId="18" fillId="3" borderId="6" xfId="846" applyNumberFormat="1" applyFont="1" applyFill="1" applyBorder="1" applyAlignment="1">
      <alignment horizontal="right"/>
    </xf>
    <xf numFmtId="165" fontId="16" fillId="0" borderId="6" xfId="1" applyNumberFormat="1" applyFont="1" applyBorder="1" applyAlignment="1">
      <alignment horizontal="center"/>
    </xf>
    <xf numFmtId="165" fontId="18" fillId="3" borderId="0" xfId="1" applyNumberFormat="1" applyFont="1" applyFill="1" applyBorder="1" applyAlignment="1">
      <alignment horizontal="right"/>
    </xf>
    <xf numFmtId="165" fontId="18" fillId="3" borderId="5" xfId="1" applyNumberFormat="1" applyFont="1" applyFill="1" applyBorder="1" applyAlignment="1">
      <alignment horizontal="right"/>
    </xf>
    <xf numFmtId="0" fontId="18" fillId="0" borderId="4" xfId="1" applyFont="1" applyBorder="1"/>
    <xf numFmtId="0" fontId="16" fillId="0" borderId="0" xfId="1" applyFont="1" applyFill="1"/>
    <xf numFmtId="49" fontId="16" fillId="0" borderId="0" xfId="1" applyNumberFormat="1" applyFont="1" applyFill="1" applyBorder="1" applyAlignment="1">
      <alignment horizontal="right"/>
    </xf>
    <xf numFmtId="49" fontId="16" fillId="0" borderId="0" xfId="1" applyNumberFormat="1" applyFont="1" applyFill="1" applyBorder="1" applyAlignment="1">
      <alignment horizontal="center"/>
    </xf>
    <xf numFmtId="3" fontId="16" fillId="0" borderId="0" xfId="1" quotePrefix="1" applyNumberFormat="1" applyFont="1" applyFill="1" applyBorder="1" applyAlignment="1">
      <alignment horizontal="center"/>
    </xf>
    <xf numFmtId="171" fontId="16" fillId="3" borderId="7" xfId="846" applyFont="1" applyFill="1" applyBorder="1" applyAlignment="1">
      <alignment horizontal="right"/>
    </xf>
    <xf numFmtId="172" fontId="16" fillId="3" borderId="2" xfId="846" applyNumberFormat="1" applyFont="1" applyFill="1" applyBorder="1" applyAlignment="1">
      <alignment horizontal="right"/>
    </xf>
    <xf numFmtId="3" fontId="16" fillId="0" borderId="0" xfId="1" applyNumberFormat="1" applyFont="1" applyFill="1"/>
    <xf numFmtId="168" fontId="16" fillId="3" borderId="7" xfId="1" applyNumberFormat="1" applyFont="1" applyFill="1" applyBorder="1" applyAlignment="1">
      <alignment horizontal="right"/>
    </xf>
    <xf numFmtId="168" fontId="16" fillId="3" borderId="3" xfId="1" applyNumberFormat="1" applyFont="1" applyFill="1" applyBorder="1" applyAlignment="1">
      <alignment horizontal="right"/>
    </xf>
    <xf numFmtId="168" fontId="16" fillId="3" borderId="6" xfId="1" applyNumberFormat="1" applyFont="1" applyFill="1" applyBorder="1" applyAlignment="1">
      <alignment horizontal="right"/>
    </xf>
    <xf numFmtId="3" fontId="16" fillId="3" borderId="0" xfId="1" applyNumberFormat="1" applyFont="1" applyFill="1" applyBorder="1" applyAlignment="1">
      <alignment horizontal="right"/>
    </xf>
    <xf numFmtId="3" fontId="16" fillId="3" borderId="1" xfId="1" applyNumberFormat="1" applyFont="1" applyFill="1" applyBorder="1" applyAlignment="1">
      <alignment horizontal="right"/>
    </xf>
    <xf numFmtId="3" fontId="16" fillId="3" borderId="4" xfId="1" applyNumberFormat="1" applyFont="1" applyFill="1" applyBorder="1" applyAlignment="1">
      <alignment horizontal="right"/>
    </xf>
    <xf numFmtId="3" fontId="16" fillId="3" borderId="11" xfId="1" applyNumberFormat="1" applyFont="1" applyFill="1" applyBorder="1" applyAlignment="1">
      <alignment horizontal="right"/>
    </xf>
    <xf numFmtId="165" fontId="16" fillId="3" borderId="0" xfId="1" applyNumberFormat="1" applyFont="1" applyFill="1" applyBorder="1" applyAlignment="1">
      <alignment horizontal="right"/>
    </xf>
    <xf numFmtId="0" fontId="14" fillId="0" borderId="0" xfId="1" applyFont="1" applyBorder="1" applyAlignment="1">
      <alignment horizontal="center"/>
    </xf>
    <xf numFmtId="3" fontId="61" fillId="4" borderId="3" xfId="0" applyNumberFormat="1" applyFont="1" applyFill="1" applyBorder="1" applyAlignment="1" applyProtection="1">
      <alignment horizontal="right"/>
      <protection locked="0"/>
    </xf>
    <xf numFmtId="3" fontId="31" fillId="4" borderId="4" xfId="0" applyNumberFormat="1" applyFont="1" applyFill="1" applyBorder="1" applyAlignment="1" applyProtection="1">
      <alignment horizontal="right"/>
      <protection locked="0"/>
    </xf>
    <xf numFmtId="3" fontId="31" fillId="4" borderId="4" xfId="847" applyNumberFormat="1" applyFont="1" applyFill="1" applyBorder="1" applyAlignment="1" applyProtection="1">
      <alignment horizontal="right"/>
      <protection locked="0"/>
    </xf>
    <xf numFmtId="3" fontId="31" fillId="4" borderId="4" xfId="0" applyNumberFormat="1" applyFont="1" applyFill="1" applyBorder="1" applyAlignment="1" applyProtection="1">
      <alignment horizontal="right"/>
    </xf>
    <xf numFmtId="3" fontId="46" fillId="4" borderId="3" xfId="0" applyNumberFormat="1" applyFont="1" applyFill="1" applyBorder="1" applyAlignment="1" applyProtection="1">
      <alignment horizontal="right"/>
      <protection locked="0"/>
    </xf>
    <xf numFmtId="3" fontId="46" fillId="0" borderId="3" xfId="0" applyNumberFormat="1" applyFont="1" applyBorder="1" applyAlignment="1" applyProtection="1">
      <alignment horizontal="right"/>
      <protection locked="0"/>
    </xf>
    <xf numFmtId="3" fontId="46" fillId="0" borderId="3" xfId="0" applyNumberFormat="1" applyFont="1" applyFill="1" applyBorder="1" applyAlignment="1" applyProtection="1">
      <alignment horizontal="right"/>
      <protection locked="0"/>
    </xf>
    <xf numFmtId="3" fontId="31" fillId="0" borderId="4" xfId="7" applyNumberFormat="1" applyFont="1" applyFill="1" applyBorder="1" applyAlignment="1" applyProtection="1">
      <alignment horizontal="right"/>
    </xf>
    <xf numFmtId="3" fontId="31" fillId="0" borderId="4" xfId="0" applyNumberFormat="1" applyFont="1" applyFill="1" applyBorder="1" applyAlignment="1" applyProtection="1">
      <alignment horizontal="right"/>
      <protection locked="0"/>
    </xf>
    <xf numFmtId="3" fontId="31" fillId="0" borderId="3" xfId="0" applyNumberFormat="1" applyFont="1" applyFill="1" applyBorder="1" applyAlignment="1" applyProtection="1">
      <alignment horizontal="right"/>
      <protection locked="0"/>
    </xf>
    <xf numFmtId="3" fontId="31" fillId="0" borderId="4" xfId="0" applyNumberFormat="1" applyFont="1" applyFill="1" applyBorder="1" applyAlignment="1" applyProtection="1">
      <alignment horizontal="right"/>
    </xf>
    <xf numFmtId="3" fontId="31" fillId="0" borderId="3" xfId="845" applyNumberFormat="1" applyFont="1" applyFill="1" applyBorder="1" applyAlignment="1" applyProtection="1">
      <alignment horizontal="right"/>
      <protection locked="0"/>
    </xf>
    <xf numFmtId="3" fontId="31" fillId="0" borderId="3" xfId="0" applyNumberFormat="1" applyFont="1" applyBorder="1" applyAlignment="1" applyProtection="1">
      <alignment horizontal="right"/>
      <protection locked="0"/>
    </xf>
    <xf numFmtId="3" fontId="31" fillId="4" borderId="3" xfId="845" applyNumberFormat="1" applyFont="1" applyFill="1" applyBorder="1" applyAlignment="1" applyProtection="1">
      <alignment horizontal="right"/>
      <protection locked="0"/>
    </xf>
    <xf numFmtId="3" fontId="46" fillId="4" borderId="4" xfId="0" applyNumberFormat="1" applyFont="1" applyFill="1" applyBorder="1" applyAlignment="1" applyProtection="1">
      <alignment horizontal="right"/>
      <protection locked="0"/>
    </xf>
    <xf numFmtId="3" fontId="46" fillId="4" borderId="4" xfId="0" applyNumberFormat="1" applyFont="1" applyFill="1" applyBorder="1" applyAlignment="1" applyProtection="1">
      <alignment horizontal="right"/>
    </xf>
    <xf numFmtId="3" fontId="46" fillId="4" borderId="3" xfId="845" applyNumberFormat="1" applyFont="1" applyFill="1" applyBorder="1" applyAlignment="1" applyProtection="1">
      <alignment horizontal="right"/>
      <protection locked="0"/>
    </xf>
    <xf numFmtId="3" fontId="46" fillId="0" borderId="4" xfId="0" applyNumberFormat="1" applyFont="1" applyFill="1" applyBorder="1" applyAlignment="1" applyProtection="1">
      <alignment horizontal="right"/>
    </xf>
    <xf numFmtId="3" fontId="46" fillId="0" borderId="6" xfId="0" applyNumberFormat="1" applyFont="1" applyBorder="1" applyAlignment="1" applyProtection="1">
      <alignment horizontal="right"/>
      <protection locked="0"/>
    </xf>
    <xf numFmtId="3" fontId="46" fillId="4" borderId="6" xfId="0" applyNumberFormat="1" applyFont="1" applyFill="1" applyBorder="1" applyAlignment="1" applyProtection="1">
      <alignment horizontal="right"/>
      <protection locked="0"/>
    </xf>
    <xf numFmtId="3" fontId="46" fillId="4" borderId="6" xfId="845" applyNumberFormat="1" applyFont="1" applyFill="1" applyBorder="1" applyAlignment="1" applyProtection="1">
      <alignment horizontal="right"/>
      <protection locked="0"/>
    </xf>
    <xf numFmtId="3" fontId="51" fillId="4" borderId="11" xfId="0" applyNumberFormat="1" applyFont="1" applyFill="1" applyBorder="1" applyProtection="1">
      <protection locked="0"/>
    </xf>
    <xf numFmtId="169" fontId="16" fillId="0" borderId="6" xfId="0" applyNumberFormat="1" applyFont="1" applyFill="1" applyBorder="1" applyAlignment="1" applyProtection="1">
      <alignment horizontal="center"/>
      <protection locked="0"/>
    </xf>
    <xf numFmtId="3" fontId="61" fillId="4" borderId="4" xfId="0" applyNumberFormat="1" applyFont="1" applyFill="1" applyBorder="1" applyProtection="1">
      <protection locked="0"/>
    </xf>
    <xf numFmtId="0" fontId="46" fillId="0" borderId="4" xfId="0" applyFont="1" applyFill="1" applyBorder="1" applyProtection="1">
      <protection locked="0"/>
    </xf>
    <xf numFmtId="3" fontId="46" fillId="4" borderId="4" xfId="0" applyNumberFormat="1" applyFont="1" applyFill="1" applyBorder="1" applyProtection="1">
      <protection locked="0"/>
    </xf>
    <xf numFmtId="0" fontId="31" fillId="0" borderId="4" xfId="0" applyFont="1" applyFill="1" applyBorder="1" applyProtection="1">
      <protection locked="0"/>
    </xf>
    <xf numFmtId="0" fontId="31" fillId="0" borderId="3" xfId="0" applyFont="1" applyFill="1" applyBorder="1" applyProtection="1">
      <protection locked="0"/>
    </xf>
    <xf numFmtId="0" fontId="20" fillId="0" borderId="3" xfId="0" applyFont="1" applyFill="1" applyBorder="1" applyProtection="1">
      <protection locked="0"/>
    </xf>
    <xf numFmtId="0" fontId="46" fillId="0" borderId="11" xfId="0" applyFont="1" applyFill="1" applyBorder="1" applyProtection="1">
      <protection locked="0"/>
    </xf>
    <xf numFmtId="0" fontId="31" fillId="0" borderId="0" xfId="0" applyFont="1" applyProtection="1">
      <protection locked="0"/>
    </xf>
    <xf numFmtId="0" fontId="0" fillId="0" borderId="0" xfId="0" applyProtection="1">
      <protection locked="0"/>
    </xf>
    <xf numFmtId="0" fontId="20" fillId="0" borderId="0" xfId="0" applyFont="1" applyProtection="1">
      <protection locked="0"/>
    </xf>
    <xf numFmtId="3" fontId="31" fillId="0" borderId="0" xfId="0" applyNumberFormat="1" applyFont="1" applyBorder="1" applyProtection="1">
      <protection locked="0"/>
    </xf>
    <xf numFmtId="0" fontId="62" fillId="0" borderId="0" xfId="0" applyFont="1" applyProtection="1">
      <protection locked="0"/>
    </xf>
    <xf numFmtId="3" fontId="63" fillId="0" borderId="0" xfId="0" applyNumberFormat="1" applyFont="1" applyBorder="1" applyProtection="1">
      <protection locked="0"/>
    </xf>
    <xf numFmtId="0" fontId="42" fillId="0" borderId="0" xfId="0" applyFont="1" applyProtection="1">
      <protection locked="0"/>
    </xf>
    <xf numFmtId="0" fontId="18" fillId="0" borderId="0" xfId="3" applyFont="1" applyFill="1" applyAlignment="1" applyProtection="1">
      <protection locked="0"/>
    </xf>
    <xf numFmtId="0" fontId="58" fillId="0" borderId="0" xfId="0" applyFont="1" applyProtection="1">
      <protection locked="0"/>
    </xf>
    <xf numFmtId="165" fontId="0" fillId="0" borderId="0" xfId="0" applyNumberFormat="1" applyProtection="1">
      <protection locked="0"/>
    </xf>
    <xf numFmtId="3" fontId="59" fillId="4" borderId="12" xfId="0" applyNumberFormat="1" applyFont="1" applyFill="1" applyBorder="1" applyProtection="1">
      <protection locked="0"/>
    </xf>
    <xf numFmtId="3" fontId="60" fillId="4" borderId="0" xfId="0" applyNumberFormat="1" applyFont="1" applyFill="1" applyBorder="1" applyProtection="1">
      <protection locked="0"/>
    </xf>
    <xf numFmtId="165" fontId="0" fillId="0" borderId="0" xfId="0" applyNumberFormat="1" applyBorder="1" applyProtection="1">
      <protection locked="0"/>
    </xf>
    <xf numFmtId="14" fontId="14" fillId="0" borderId="7" xfId="0" applyNumberFormat="1" applyFont="1" applyFill="1" applyBorder="1" applyAlignment="1" applyProtection="1">
      <alignment horizontal="left"/>
      <protection locked="0"/>
    </xf>
    <xf numFmtId="3" fontId="14" fillId="0" borderId="8" xfId="0" quotePrefix="1" applyNumberFormat="1" applyFont="1" applyFill="1" applyBorder="1" applyProtection="1">
      <protection locked="0"/>
    </xf>
    <xf numFmtId="3" fontId="14" fillId="0" borderId="9" xfId="0" quotePrefix="1" applyNumberFormat="1" applyFont="1" applyFill="1" applyBorder="1" applyProtection="1">
      <protection locked="0"/>
    </xf>
    <xf numFmtId="3" fontId="14" fillId="0" borderId="10" xfId="0" quotePrefix="1" applyNumberFormat="1" applyFont="1" applyFill="1" applyBorder="1" applyProtection="1">
      <protection locked="0"/>
    </xf>
    <xf numFmtId="0" fontId="18" fillId="0" borderId="8" xfId="0" applyFont="1" applyBorder="1" applyProtection="1">
      <protection locked="0"/>
    </xf>
    <xf numFmtId="0" fontId="18" fillId="0" borderId="10" xfId="0" applyFont="1" applyBorder="1" applyProtection="1">
      <protection locked="0"/>
    </xf>
    <xf numFmtId="0" fontId="18" fillId="0" borderId="9" xfId="0" applyFont="1" applyBorder="1" applyProtection="1">
      <protection locked="0"/>
    </xf>
    <xf numFmtId="165" fontId="18" fillId="4" borderId="0" xfId="0" applyNumberFormat="1" applyFont="1" applyFill="1" applyBorder="1" applyProtection="1">
      <protection locked="0"/>
    </xf>
    <xf numFmtId="0" fontId="18" fillId="4" borderId="0" xfId="0" applyFont="1" applyFill="1" applyBorder="1" applyProtection="1">
      <protection locked="0"/>
    </xf>
    <xf numFmtId="3" fontId="46" fillId="0" borderId="1" xfId="0" applyNumberFormat="1" applyFont="1" applyFill="1" applyBorder="1" applyProtection="1">
      <protection locked="0"/>
    </xf>
    <xf numFmtId="0" fontId="0" fillId="0" borderId="0" xfId="0" applyBorder="1" applyProtection="1">
      <protection locked="0"/>
    </xf>
    <xf numFmtId="0" fontId="46" fillId="4" borderId="0" xfId="0" applyNumberFormat="1" applyFont="1" applyFill="1" applyBorder="1" applyAlignment="1" applyProtection="1">
      <alignment horizontal="center"/>
      <protection locked="0"/>
    </xf>
    <xf numFmtId="3" fontId="46" fillId="0" borderId="4" xfId="0" applyNumberFormat="1" applyFont="1" applyFill="1" applyBorder="1" applyProtection="1">
      <protection locked="0"/>
    </xf>
    <xf numFmtId="0" fontId="16" fillId="0" borderId="7" xfId="0" applyNumberFormat="1" applyFont="1" applyFill="1" applyBorder="1" applyAlignment="1" applyProtection="1">
      <alignment horizontal="center"/>
      <protection locked="0"/>
    </xf>
    <xf numFmtId="169" fontId="14" fillId="4" borderId="0" xfId="0" applyNumberFormat="1" applyFont="1" applyFill="1" applyBorder="1" applyAlignment="1" applyProtection="1">
      <alignment horizontal="center"/>
      <protection locked="0"/>
    </xf>
    <xf numFmtId="0" fontId="14" fillId="4" borderId="0" xfId="0" applyNumberFormat="1" applyFont="1" applyFill="1" applyBorder="1" applyAlignment="1" applyProtection="1">
      <alignment horizontal="center"/>
      <protection locked="0"/>
    </xf>
    <xf numFmtId="0" fontId="20" fillId="0" borderId="0" xfId="0" applyFont="1" applyBorder="1" applyProtection="1">
      <protection locked="0"/>
    </xf>
    <xf numFmtId="0" fontId="20" fillId="0" borderId="0" xfId="0" applyFont="1" applyFill="1" applyBorder="1" applyProtection="1">
      <protection locked="0"/>
    </xf>
    <xf numFmtId="0" fontId="20" fillId="0" borderId="0" xfId="0" applyFont="1" applyFill="1" applyProtection="1">
      <protection locked="0"/>
    </xf>
    <xf numFmtId="3" fontId="20" fillId="0" borderId="0" xfId="0" applyNumberFormat="1" applyFont="1" applyFill="1" applyProtection="1">
      <protection locked="0"/>
    </xf>
    <xf numFmtId="3" fontId="20" fillId="0" borderId="0" xfId="0" applyNumberFormat="1" applyFont="1" applyProtection="1">
      <protection locked="0"/>
    </xf>
    <xf numFmtId="3" fontId="20" fillId="0" borderId="0" xfId="0" applyNumberFormat="1" applyFont="1" applyBorder="1" applyProtection="1">
      <protection locked="0"/>
    </xf>
    <xf numFmtId="0" fontId="50" fillId="0" borderId="0" xfId="0" applyFont="1" applyBorder="1" applyProtection="1">
      <protection locked="0"/>
    </xf>
    <xf numFmtId="3" fontId="50" fillId="0" borderId="0" xfId="0" applyNumberFormat="1" applyFont="1" applyProtection="1">
      <protection locked="0"/>
    </xf>
    <xf numFmtId="0" fontId="50" fillId="0" borderId="0" xfId="0" applyFont="1" applyProtection="1">
      <protection locked="0"/>
    </xf>
    <xf numFmtId="0" fontId="62" fillId="0" borderId="0" xfId="0" applyFont="1" applyBorder="1" applyProtection="1">
      <protection locked="0"/>
    </xf>
    <xf numFmtId="0" fontId="15" fillId="0" borderId="0" xfId="0" applyFont="1" applyProtection="1">
      <protection locked="0"/>
    </xf>
    <xf numFmtId="0" fontId="64" fillId="0" borderId="0" xfId="0" applyFont="1" applyProtection="1">
      <protection locked="0"/>
    </xf>
    <xf numFmtId="0" fontId="42" fillId="0" borderId="0" xfId="1" applyFont="1" applyProtection="1">
      <protection locked="0"/>
    </xf>
    <xf numFmtId="0" fontId="58" fillId="0" borderId="0" xfId="1" applyFont="1" applyProtection="1">
      <protection locked="0"/>
    </xf>
    <xf numFmtId="0" fontId="20" fillId="0" borderId="0" xfId="1" applyProtection="1">
      <protection locked="0"/>
    </xf>
    <xf numFmtId="0" fontId="20" fillId="0" borderId="0" xfId="1" applyFont="1" applyProtection="1">
      <protection locked="0"/>
    </xf>
    <xf numFmtId="3" fontId="46" fillId="4" borderId="0" xfId="1" applyNumberFormat="1" applyFont="1" applyFill="1" applyProtection="1">
      <protection locked="0"/>
    </xf>
    <xf numFmtId="3" fontId="16" fillId="4" borderId="0" xfId="1" applyNumberFormat="1" applyFont="1" applyFill="1" applyProtection="1">
      <protection locked="0"/>
    </xf>
    <xf numFmtId="14" fontId="14" fillId="0" borderId="7" xfId="1" applyNumberFormat="1" applyFont="1" applyFill="1" applyBorder="1" applyAlignment="1" applyProtection="1">
      <alignment horizontal="left"/>
      <protection locked="0"/>
    </xf>
    <xf numFmtId="3" fontId="14" fillId="0" borderId="8" xfId="1" quotePrefix="1" applyNumberFormat="1" applyFont="1" applyFill="1" applyBorder="1" applyAlignment="1" applyProtection="1">
      <alignment horizontal="center"/>
      <protection locked="0"/>
    </xf>
    <xf numFmtId="3" fontId="14" fillId="0" borderId="9" xfId="1" quotePrefix="1" applyNumberFormat="1" applyFont="1" applyFill="1" applyBorder="1" applyAlignment="1" applyProtection="1">
      <alignment horizontal="center"/>
      <protection locked="0"/>
    </xf>
    <xf numFmtId="3" fontId="14" fillId="0" borderId="10" xfId="1" quotePrefix="1" applyNumberFormat="1" applyFont="1" applyFill="1" applyBorder="1" applyAlignment="1" applyProtection="1">
      <alignment horizontal="center"/>
      <protection locked="0"/>
    </xf>
    <xf numFmtId="0" fontId="18" fillId="0" borderId="8" xfId="1" applyFont="1" applyBorder="1" applyProtection="1">
      <protection locked="0"/>
    </xf>
    <xf numFmtId="0" fontId="18" fillId="0" borderId="10" xfId="1" applyFont="1" applyBorder="1" applyProtection="1">
      <protection locked="0"/>
    </xf>
    <xf numFmtId="0" fontId="18" fillId="0" borderId="9" xfId="1" applyFont="1" applyBorder="1" applyProtection="1">
      <protection locked="0"/>
    </xf>
    <xf numFmtId="0" fontId="18" fillId="4" borderId="10" xfId="1" applyFont="1" applyFill="1" applyBorder="1" applyProtection="1">
      <protection locked="0"/>
    </xf>
    <xf numFmtId="0" fontId="18" fillId="4" borderId="8" xfId="1" applyFont="1" applyFill="1" applyBorder="1" applyProtection="1">
      <protection locked="0"/>
    </xf>
    <xf numFmtId="0" fontId="18" fillId="4" borderId="9" xfId="1" applyFont="1" applyFill="1" applyBorder="1" applyProtection="1">
      <protection locked="0"/>
    </xf>
    <xf numFmtId="0" fontId="20" fillId="0" borderId="9" xfId="1" applyFont="1" applyBorder="1" applyProtection="1">
      <protection locked="0"/>
    </xf>
    <xf numFmtId="3" fontId="46" fillId="0" borderId="1" xfId="1" applyNumberFormat="1" applyFont="1" applyFill="1" applyBorder="1" applyProtection="1">
      <protection locked="0"/>
    </xf>
    <xf numFmtId="3" fontId="46" fillId="0" borderId="4" xfId="1" applyNumberFormat="1" applyFont="1" applyFill="1" applyBorder="1" applyProtection="1">
      <protection locked="0"/>
    </xf>
    <xf numFmtId="0" fontId="16" fillId="0" borderId="7" xfId="1" applyNumberFormat="1" applyFont="1" applyFill="1" applyBorder="1" applyAlignment="1" applyProtection="1">
      <alignment horizontal="center"/>
      <protection locked="0"/>
    </xf>
    <xf numFmtId="3" fontId="51" fillId="4" borderId="6" xfId="1" applyNumberFormat="1" applyFont="1" applyFill="1" applyBorder="1" applyProtection="1">
      <protection locked="0"/>
    </xf>
    <xf numFmtId="169" fontId="16" fillId="0" borderId="6" xfId="1" applyNumberFormat="1" applyFont="1" applyFill="1" applyBorder="1" applyAlignment="1" applyProtection="1">
      <alignment horizontal="center"/>
      <protection locked="0"/>
    </xf>
    <xf numFmtId="3" fontId="31" fillId="4" borderId="1" xfId="1" applyNumberFormat="1" applyFont="1" applyFill="1" applyBorder="1" applyAlignment="1" applyProtection="1">
      <alignment horizontal="right"/>
      <protection locked="0"/>
    </xf>
    <xf numFmtId="3" fontId="31" fillId="4" borderId="7" xfId="1" applyNumberFormat="1" applyFont="1" applyFill="1" applyBorder="1" applyAlignment="1" applyProtection="1">
      <alignment horizontal="right"/>
      <protection locked="0"/>
    </xf>
    <xf numFmtId="3" fontId="31" fillId="4" borderId="1" xfId="15" applyNumberFormat="1" applyFont="1" applyFill="1" applyBorder="1" applyAlignment="1" applyProtection="1">
      <alignment horizontal="right"/>
      <protection locked="0"/>
    </xf>
    <xf numFmtId="0" fontId="31" fillId="4" borderId="7" xfId="1" applyFont="1" applyFill="1" applyBorder="1" applyAlignment="1" applyProtection="1">
      <alignment horizontal="right"/>
      <protection locked="0"/>
    </xf>
    <xf numFmtId="0" fontId="31" fillId="0" borderId="4" xfId="1" applyFont="1" applyFill="1" applyBorder="1" applyProtection="1">
      <protection locked="0"/>
    </xf>
    <xf numFmtId="3" fontId="31" fillId="4" borderId="4" xfId="1" applyNumberFormat="1" applyFont="1" applyFill="1" applyBorder="1" applyAlignment="1" applyProtection="1">
      <alignment horizontal="right"/>
      <protection locked="0"/>
    </xf>
    <xf numFmtId="3" fontId="31" fillId="4" borderId="3" xfId="1" applyNumberFormat="1" applyFont="1" applyFill="1" applyBorder="1" applyAlignment="1" applyProtection="1">
      <alignment horizontal="right"/>
      <protection locked="0"/>
    </xf>
    <xf numFmtId="3" fontId="31" fillId="4" borderId="4" xfId="15" applyNumberFormat="1" applyFont="1" applyFill="1" applyBorder="1" applyAlignment="1" applyProtection="1">
      <alignment horizontal="right"/>
      <protection locked="0"/>
    </xf>
    <xf numFmtId="3" fontId="31" fillId="4" borderId="3" xfId="1" applyNumberFormat="1" applyFont="1" applyFill="1" applyBorder="1" applyAlignment="1" applyProtection="1">
      <alignment horizontal="right"/>
    </xf>
    <xf numFmtId="0" fontId="31" fillId="4" borderId="3" xfId="1" applyFont="1" applyFill="1" applyBorder="1" applyAlignment="1" applyProtection="1">
      <alignment horizontal="right"/>
      <protection locked="0"/>
    </xf>
    <xf numFmtId="3" fontId="31" fillId="0" borderId="3" xfId="1" applyNumberFormat="1" applyFont="1" applyFill="1" applyBorder="1" applyAlignment="1" applyProtection="1">
      <alignment horizontal="right"/>
      <protection locked="0"/>
    </xf>
    <xf numFmtId="0" fontId="31" fillId="0" borderId="3" xfId="1" applyFont="1" applyBorder="1" applyAlignment="1" applyProtection="1">
      <alignment horizontal="right"/>
      <protection locked="0"/>
    </xf>
    <xf numFmtId="166" fontId="31" fillId="0" borderId="3" xfId="847" applyNumberFormat="1" applyFont="1" applyBorder="1" applyAlignment="1" applyProtection="1">
      <alignment horizontal="right"/>
      <protection locked="0"/>
    </xf>
    <xf numFmtId="3" fontId="31" fillId="9" borderId="3" xfId="1" applyNumberFormat="1" applyFont="1" applyFill="1" applyBorder="1" applyAlignment="1" applyProtection="1">
      <alignment horizontal="right"/>
      <protection locked="0"/>
    </xf>
    <xf numFmtId="170" fontId="31" fillId="0" borderId="3" xfId="847" applyNumberFormat="1" applyFont="1" applyBorder="1" applyAlignment="1" applyProtection="1">
      <alignment horizontal="right"/>
      <protection locked="0"/>
    </xf>
    <xf numFmtId="0" fontId="31" fillId="0" borderId="3" xfId="1" applyFont="1" applyFill="1" applyBorder="1" applyAlignment="1" applyProtection="1">
      <alignment horizontal="right"/>
      <protection locked="0"/>
    </xf>
    <xf numFmtId="166" fontId="31" fillId="4" borderId="4" xfId="847" applyNumberFormat="1" applyFont="1" applyFill="1" applyBorder="1" applyAlignment="1" applyProtection="1">
      <alignment horizontal="right"/>
      <protection locked="0"/>
    </xf>
    <xf numFmtId="166" fontId="31" fillId="4" borderId="3" xfId="847" applyNumberFormat="1" applyFont="1" applyFill="1" applyBorder="1" applyAlignment="1" applyProtection="1">
      <alignment horizontal="right"/>
      <protection locked="0"/>
    </xf>
    <xf numFmtId="0" fontId="20" fillId="0" borderId="0" xfId="1" applyFont="1" applyFill="1" applyProtection="1">
      <protection locked="0"/>
    </xf>
    <xf numFmtId="0" fontId="46" fillId="0" borderId="11" xfId="1" applyFont="1" applyFill="1" applyBorder="1" applyProtection="1">
      <protection locked="0"/>
    </xf>
    <xf numFmtId="3" fontId="46" fillId="4" borderId="6" xfId="1" applyNumberFormat="1" applyFont="1" applyFill="1" applyBorder="1" applyAlignment="1" applyProtection="1">
      <alignment horizontal="right"/>
      <protection locked="0"/>
    </xf>
    <xf numFmtId="0" fontId="50" fillId="0" borderId="0" xfId="1" applyFont="1" applyProtection="1">
      <protection locked="0"/>
    </xf>
    <xf numFmtId="0" fontId="46" fillId="0" borderId="4" xfId="1" applyFont="1" applyFill="1" applyBorder="1" applyProtection="1">
      <protection locked="0"/>
    </xf>
    <xf numFmtId="3" fontId="46" fillId="4" borderId="4" xfId="15" applyNumberFormat="1" applyFont="1" applyFill="1" applyBorder="1" applyAlignment="1" applyProtection="1">
      <alignment horizontal="right"/>
      <protection locked="0"/>
    </xf>
    <xf numFmtId="3" fontId="46" fillId="4" borderId="3" xfId="1" applyNumberFormat="1" applyFont="1" applyFill="1" applyBorder="1" applyAlignment="1" applyProtection="1">
      <alignment horizontal="right"/>
      <protection locked="0"/>
    </xf>
    <xf numFmtId="3" fontId="46" fillId="4" borderId="7" xfId="1" applyNumberFormat="1" applyFont="1" applyFill="1" applyBorder="1" applyAlignment="1" applyProtection="1">
      <alignment horizontal="right"/>
      <protection locked="0"/>
    </xf>
    <xf numFmtId="0" fontId="46" fillId="4" borderId="7" xfId="1" applyFont="1" applyFill="1" applyBorder="1" applyAlignment="1" applyProtection="1">
      <alignment horizontal="right"/>
      <protection locked="0"/>
    </xf>
    <xf numFmtId="0" fontId="46" fillId="4" borderId="15" xfId="1" applyFont="1" applyFill="1" applyBorder="1" applyAlignment="1" applyProtection="1">
      <alignment horizontal="right"/>
      <protection locked="0"/>
    </xf>
    <xf numFmtId="0" fontId="50" fillId="0" borderId="7" xfId="1" applyFont="1" applyBorder="1" applyAlignment="1" applyProtection="1">
      <alignment horizontal="right"/>
      <protection locked="0"/>
    </xf>
    <xf numFmtId="0" fontId="46" fillId="4" borderId="3" xfId="1" applyFont="1" applyFill="1" applyBorder="1" applyAlignment="1" applyProtection="1">
      <alignment horizontal="right"/>
      <protection locked="0"/>
    </xf>
    <xf numFmtId="0" fontId="46" fillId="4" borderId="2" xfId="1" applyFont="1" applyFill="1" applyBorder="1" applyAlignment="1" applyProtection="1">
      <alignment horizontal="right"/>
      <protection locked="0"/>
    </xf>
    <xf numFmtId="0" fontId="50" fillId="0" borderId="3" xfId="1" applyFont="1" applyBorder="1" applyAlignment="1" applyProtection="1">
      <alignment horizontal="right"/>
      <protection locked="0"/>
    </xf>
    <xf numFmtId="0" fontId="31" fillId="4" borderId="2" xfId="1" applyFont="1" applyFill="1" applyBorder="1" applyAlignment="1" applyProtection="1">
      <alignment horizontal="right"/>
      <protection locked="0"/>
    </xf>
    <xf numFmtId="0" fontId="31" fillId="0" borderId="0" xfId="1" applyFont="1" applyProtection="1">
      <protection locked="0"/>
    </xf>
    <xf numFmtId="3" fontId="31" fillId="4" borderId="2" xfId="1" applyNumberFormat="1" applyFont="1" applyFill="1" applyBorder="1" applyAlignment="1" applyProtection="1">
      <alignment horizontal="right"/>
      <protection locked="0"/>
    </xf>
    <xf numFmtId="3" fontId="46" fillId="4" borderId="2" xfId="1" applyNumberFormat="1" applyFont="1" applyFill="1" applyBorder="1" applyAlignment="1" applyProtection="1">
      <alignment horizontal="right"/>
      <protection locked="0"/>
    </xf>
    <xf numFmtId="0" fontId="46" fillId="0" borderId="0" xfId="1" applyFont="1" applyProtection="1">
      <protection locked="0"/>
    </xf>
    <xf numFmtId="3" fontId="46" fillId="4" borderId="11" xfId="15" applyNumberFormat="1" applyFont="1" applyFill="1" applyBorder="1" applyAlignment="1" applyProtection="1">
      <alignment horizontal="right"/>
      <protection locked="0"/>
    </xf>
    <xf numFmtId="0" fontId="46" fillId="4" borderId="6" xfId="1" applyFont="1" applyFill="1" applyBorder="1" applyAlignment="1" applyProtection="1">
      <alignment horizontal="right"/>
      <protection locked="0"/>
    </xf>
    <xf numFmtId="0" fontId="46" fillId="4" borderId="5" xfId="1" applyFont="1" applyFill="1" applyBorder="1" applyAlignment="1" applyProtection="1">
      <alignment horizontal="right"/>
      <protection locked="0"/>
    </xf>
    <xf numFmtId="0" fontId="46" fillId="0" borderId="6" xfId="1" applyFont="1" applyBorder="1" applyAlignment="1" applyProtection="1">
      <alignment horizontal="right"/>
      <protection locked="0"/>
    </xf>
    <xf numFmtId="0" fontId="46" fillId="0" borderId="7" xfId="1" applyFont="1" applyFill="1" applyBorder="1" applyProtection="1">
      <protection locked="0"/>
    </xf>
    <xf numFmtId="3" fontId="46" fillId="4" borderId="1" xfId="14" applyNumberFormat="1" applyFont="1" applyFill="1" applyBorder="1" applyAlignment="1" applyProtection="1">
      <alignment horizontal="right"/>
      <protection locked="0"/>
    </xf>
    <xf numFmtId="3" fontId="46" fillId="4" borderId="1" xfId="1" applyNumberFormat="1" applyFont="1" applyFill="1" applyBorder="1" applyAlignment="1" applyProtection="1">
      <alignment horizontal="right"/>
      <protection locked="0"/>
    </xf>
    <xf numFmtId="0" fontId="31" fillId="0" borderId="3" xfId="1" applyFont="1" applyFill="1" applyBorder="1" applyProtection="1">
      <protection locked="0"/>
    </xf>
    <xf numFmtId="0" fontId="46" fillId="0" borderId="0" xfId="1" applyFont="1" applyFill="1" applyProtection="1">
      <protection locked="0"/>
    </xf>
    <xf numFmtId="0" fontId="31" fillId="0" borderId="0" xfId="1" applyFont="1" applyFill="1" applyProtection="1">
      <protection locked="0"/>
    </xf>
    <xf numFmtId="0" fontId="62" fillId="0" borderId="0" xfId="1" applyFont="1" applyBorder="1" applyProtection="1">
      <protection locked="0"/>
    </xf>
    <xf numFmtId="0" fontId="62" fillId="0" borderId="0" xfId="1" applyFont="1" applyProtection="1">
      <protection locked="0"/>
    </xf>
    <xf numFmtId="0" fontId="20" fillId="0" borderId="0" xfId="1" applyBorder="1" applyProtection="1">
      <protection locked="0"/>
    </xf>
    <xf numFmtId="0" fontId="42" fillId="0" borderId="0" xfId="7" applyFont="1" applyFill="1" applyProtection="1">
      <protection locked="0"/>
    </xf>
    <xf numFmtId="0" fontId="31" fillId="0" borderId="0" xfId="7" applyFont="1" applyFill="1" applyProtection="1">
      <protection locked="0"/>
    </xf>
    <xf numFmtId="0" fontId="20" fillId="0" borderId="0" xfId="7" applyFont="1" applyFill="1" applyProtection="1">
      <protection locked="0"/>
    </xf>
    <xf numFmtId="0" fontId="42" fillId="0" borderId="0" xfId="7" applyFont="1" applyFill="1" applyBorder="1" applyProtection="1">
      <protection locked="0"/>
    </xf>
    <xf numFmtId="0" fontId="46" fillId="0" borderId="0" xfId="7" applyFont="1" applyFill="1" applyBorder="1" applyProtection="1">
      <protection locked="0"/>
    </xf>
    <xf numFmtId="0" fontId="46" fillId="0" borderId="12" xfId="7" applyFont="1" applyFill="1" applyBorder="1" applyProtection="1">
      <protection locked="0"/>
    </xf>
    <xf numFmtId="14" fontId="14" fillId="0" borderId="3" xfId="7" applyNumberFormat="1" applyFont="1" applyFill="1" applyBorder="1" applyAlignment="1" applyProtection="1">
      <alignment horizontal="left"/>
      <protection locked="0"/>
    </xf>
    <xf numFmtId="0" fontId="18" fillId="0" borderId="8" xfId="7" applyFont="1" applyFill="1" applyBorder="1" applyProtection="1">
      <protection locked="0"/>
    </xf>
    <xf numFmtId="0" fontId="18" fillId="0" borderId="9" xfId="7" applyFont="1" applyFill="1" applyBorder="1" applyProtection="1">
      <protection locked="0"/>
    </xf>
    <xf numFmtId="0" fontId="18" fillId="0" borderId="10" xfId="7" applyFont="1" applyFill="1" applyBorder="1" applyProtection="1">
      <protection locked="0"/>
    </xf>
    <xf numFmtId="3" fontId="46" fillId="0" borderId="1" xfId="7" applyNumberFormat="1" applyFont="1" applyFill="1" applyBorder="1" applyProtection="1">
      <protection locked="0"/>
    </xf>
    <xf numFmtId="3" fontId="46" fillId="0" borderId="4" xfId="7" applyNumberFormat="1" applyFont="1" applyFill="1" applyBorder="1" applyProtection="1">
      <protection locked="0"/>
    </xf>
    <xf numFmtId="0" fontId="16" fillId="0" borderId="1" xfId="7" applyNumberFormat="1" applyFont="1" applyFill="1" applyBorder="1" applyAlignment="1" applyProtection="1">
      <alignment horizontal="center"/>
      <protection locked="0"/>
    </xf>
    <xf numFmtId="0" fontId="16" fillId="0" borderId="7" xfId="7" applyNumberFormat="1" applyFont="1" applyFill="1" applyBorder="1" applyAlignment="1" applyProtection="1">
      <alignment horizontal="center"/>
      <protection locked="0"/>
    </xf>
    <xf numFmtId="3" fontId="51" fillId="0" borderId="11" xfId="7" applyNumberFormat="1" applyFont="1" applyFill="1" applyBorder="1" applyProtection="1">
      <protection locked="0"/>
    </xf>
    <xf numFmtId="0" fontId="14" fillId="0" borderId="6" xfId="7" applyFont="1" applyFill="1" applyBorder="1" applyAlignment="1" applyProtection="1">
      <alignment horizontal="center"/>
      <protection locked="0"/>
    </xf>
    <xf numFmtId="169" fontId="16" fillId="0" borderId="6" xfId="7" applyNumberFormat="1" applyFont="1" applyFill="1" applyBorder="1" applyAlignment="1" applyProtection="1">
      <alignment horizontal="center"/>
      <protection locked="0"/>
    </xf>
    <xf numFmtId="3" fontId="51" fillId="0" borderId="7" xfId="7" applyNumberFormat="1" applyFont="1" applyFill="1" applyBorder="1" applyProtection="1">
      <protection locked="0"/>
    </xf>
    <xf numFmtId="0" fontId="14" fillId="0" borderId="4" xfId="7" applyFont="1" applyFill="1" applyBorder="1" applyAlignment="1" applyProtection="1">
      <alignment horizontal="center"/>
    </xf>
    <xf numFmtId="169" fontId="16" fillId="0" borderId="4" xfId="7" applyNumberFormat="1" applyFont="1" applyFill="1" applyBorder="1" applyAlignment="1" applyProtection="1">
      <alignment horizontal="center"/>
      <protection locked="0"/>
    </xf>
    <xf numFmtId="169" fontId="16" fillId="0" borderId="3" xfId="7" applyNumberFormat="1" applyFont="1" applyFill="1" applyBorder="1" applyAlignment="1" applyProtection="1">
      <alignment horizontal="center"/>
      <protection locked="0"/>
    </xf>
    <xf numFmtId="0" fontId="14" fillId="0" borderId="4" xfId="7" applyFont="1" applyFill="1" applyBorder="1" applyAlignment="1" applyProtection="1">
      <alignment horizontal="center"/>
      <protection locked="0"/>
    </xf>
    <xf numFmtId="0" fontId="46" fillId="0" borderId="3" xfId="7" applyFont="1" applyFill="1" applyBorder="1" applyProtection="1">
      <protection locked="0"/>
    </xf>
    <xf numFmtId="3" fontId="46" fillId="0" borderId="4" xfId="7" applyNumberFormat="1" applyFont="1" applyFill="1" applyBorder="1" applyAlignment="1" applyProtection="1">
      <alignment horizontal="right"/>
    </xf>
    <xf numFmtId="169" fontId="46" fillId="0" borderId="4" xfId="7" applyNumberFormat="1" applyFont="1" applyFill="1" applyBorder="1" applyAlignment="1" applyProtection="1">
      <alignment horizontal="right"/>
      <protection locked="0"/>
    </xf>
    <xf numFmtId="169" fontId="46" fillId="0" borderId="3" xfId="7" applyNumberFormat="1" applyFont="1" applyFill="1" applyBorder="1" applyAlignment="1" applyProtection="1">
      <alignment horizontal="right"/>
      <protection locked="0"/>
    </xf>
    <xf numFmtId="1" fontId="46" fillId="0" borderId="3" xfId="7" applyNumberFormat="1" applyFont="1" applyFill="1" applyBorder="1" applyAlignment="1" applyProtection="1">
      <alignment horizontal="right"/>
      <protection locked="0"/>
    </xf>
    <xf numFmtId="0" fontId="46" fillId="0" borderId="4" xfId="7" applyNumberFormat="1" applyFont="1" applyFill="1" applyBorder="1" applyAlignment="1" applyProtection="1">
      <alignment horizontal="right"/>
      <protection locked="0"/>
    </xf>
    <xf numFmtId="0" fontId="31" fillId="0" borderId="3" xfId="7" applyFont="1" applyFill="1" applyBorder="1" applyProtection="1">
      <protection locked="0"/>
    </xf>
    <xf numFmtId="3" fontId="31" fillId="0" borderId="4" xfId="1" applyNumberFormat="1" applyFont="1" applyFill="1" applyBorder="1" applyAlignment="1" applyProtection="1">
      <alignment horizontal="right"/>
      <protection locked="0"/>
    </xf>
    <xf numFmtId="169" fontId="31" fillId="0" borderId="4" xfId="7" applyNumberFormat="1" applyFont="1" applyFill="1" applyBorder="1" applyAlignment="1" applyProtection="1">
      <alignment horizontal="right"/>
      <protection locked="0"/>
    </xf>
    <xf numFmtId="1" fontId="31" fillId="0" borderId="3" xfId="7" applyNumberFormat="1" applyFont="1" applyFill="1" applyBorder="1" applyAlignment="1" applyProtection="1">
      <alignment horizontal="right"/>
      <protection locked="0"/>
    </xf>
    <xf numFmtId="169" fontId="31" fillId="0" borderId="3" xfId="7" applyNumberFormat="1" applyFont="1" applyFill="1" applyBorder="1" applyAlignment="1" applyProtection="1">
      <alignment horizontal="right"/>
      <protection locked="0"/>
    </xf>
    <xf numFmtId="1" fontId="31" fillId="0" borderId="4" xfId="7" applyNumberFormat="1" applyFont="1" applyFill="1" applyBorder="1" applyAlignment="1" applyProtection="1">
      <alignment horizontal="right"/>
      <protection locked="0"/>
    </xf>
    <xf numFmtId="1" fontId="46" fillId="0" borderId="4" xfId="7" applyNumberFormat="1" applyFont="1" applyFill="1" applyBorder="1" applyAlignment="1" applyProtection="1">
      <alignment horizontal="right"/>
      <protection locked="0"/>
    </xf>
    <xf numFmtId="0" fontId="46" fillId="0" borderId="0" xfId="7" applyFont="1" applyFill="1" applyProtection="1">
      <protection locked="0"/>
    </xf>
    <xf numFmtId="3" fontId="31" fillId="0" borderId="4" xfId="7" applyNumberFormat="1" applyFont="1" applyFill="1" applyBorder="1" applyAlignment="1" applyProtection="1">
      <alignment horizontal="right"/>
      <protection locked="0"/>
    </xf>
    <xf numFmtId="3" fontId="31" fillId="0" borderId="3" xfId="7" applyNumberFormat="1" applyFont="1" applyFill="1" applyBorder="1" applyAlignment="1" applyProtection="1">
      <alignment horizontal="right"/>
      <protection locked="0"/>
    </xf>
    <xf numFmtId="3" fontId="46" fillId="0" borderId="4" xfId="7" applyNumberFormat="1" applyFont="1" applyFill="1" applyBorder="1" applyAlignment="1" applyProtection="1">
      <alignment horizontal="right"/>
      <protection locked="0"/>
    </xf>
    <xf numFmtId="3" fontId="46" fillId="0" borderId="3" xfId="7" applyNumberFormat="1" applyFont="1" applyFill="1" applyBorder="1" applyAlignment="1" applyProtection="1">
      <alignment horizontal="right"/>
      <protection locked="0"/>
    </xf>
    <xf numFmtId="0" fontId="31" fillId="0" borderId="6" xfId="7" applyFont="1" applyFill="1" applyBorder="1" applyProtection="1">
      <protection locked="0"/>
    </xf>
    <xf numFmtId="3" fontId="31" fillId="0" borderId="11" xfId="7" applyNumberFormat="1" applyFont="1" applyFill="1" applyBorder="1" applyAlignment="1" applyProtection="1">
      <alignment horizontal="right"/>
    </xf>
    <xf numFmtId="3" fontId="31" fillId="0" borderId="11" xfId="7" applyNumberFormat="1" applyFont="1" applyFill="1" applyBorder="1" applyAlignment="1" applyProtection="1">
      <alignment horizontal="right"/>
      <protection locked="0"/>
    </xf>
    <xf numFmtId="1" fontId="31" fillId="0" borderId="6" xfId="7" applyNumberFormat="1" applyFont="1" applyFill="1" applyBorder="1" applyAlignment="1" applyProtection="1">
      <alignment horizontal="right"/>
      <protection locked="0"/>
    </xf>
    <xf numFmtId="3" fontId="31" fillId="0" borderId="6" xfId="7" applyNumberFormat="1" applyFont="1" applyFill="1" applyBorder="1" applyAlignment="1" applyProtection="1">
      <alignment horizontal="right"/>
      <protection locked="0"/>
    </xf>
    <xf numFmtId="0" fontId="31" fillId="0" borderId="7" xfId="7" applyFont="1" applyFill="1" applyBorder="1" applyProtection="1">
      <protection locked="0"/>
    </xf>
    <xf numFmtId="3" fontId="31" fillId="0" borderId="1" xfId="7" applyNumberFormat="1" applyFont="1" applyFill="1" applyBorder="1" applyAlignment="1" applyProtection="1">
      <alignment horizontal="right"/>
    </xf>
    <xf numFmtId="3" fontId="31" fillId="0" borderId="1" xfId="7" applyNumberFormat="1" applyFont="1" applyFill="1" applyBorder="1" applyAlignment="1" applyProtection="1">
      <alignment horizontal="right"/>
      <protection locked="0"/>
    </xf>
    <xf numFmtId="1" fontId="31" fillId="0" borderId="7" xfId="7" applyNumberFormat="1" applyFont="1" applyFill="1" applyBorder="1" applyAlignment="1" applyProtection="1">
      <alignment horizontal="right"/>
      <protection locked="0"/>
    </xf>
    <xf numFmtId="3" fontId="31" fillId="0" borderId="7" xfId="7" applyNumberFormat="1" applyFont="1" applyFill="1" applyBorder="1" applyAlignment="1" applyProtection="1">
      <alignment horizontal="right"/>
      <protection locked="0"/>
    </xf>
    <xf numFmtId="0" fontId="31" fillId="0" borderId="4" xfId="7" applyFont="1" applyFill="1" applyBorder="1" applyAlignment="1" applyProtection="1">
      <alignment horizontal="right"/>
      <protection locked="0"/>
    </xf>
    <xf numFmtId="0" fontId="31" fillId="0" borderId="3" xfId="7" applyFont="1" applyFill="1" applyBorder="1" applyAlignment="1" applyProtection="1">
      <alignment horizontal="right"/>
      <protection locked="0"/>
    </xf>
    <xf numFmtId="3" fontId="46" fillId="0" borderId="4" xfId="1" applyNumberFormat="1" applyFont="1" applyFill="1" applyBorder="1" applyAlignment="1" applyProtection="1">
      <alignment horizontal="right"/>
    </xf>
    <xf numFmtId="0" fontId="47" fillId="0" borderId="0" xfId="7" applyFont="1" applyFill="1" applyProtection="1">
      <protection locked="0"/>
    </xf>
    <xf numFmtId="0" fontId="47" fillId="0" borderId="0" xfId="7" applyFont="1" applyFill="1" applyProtection="1"/>
    <xf numFmtId="0" fontId="47" fillId="0" borderId="0" xfId="1" applyFont="1" applyFill="1" applyProtection="1">
      <protection locked="0"/>
    </xf>
    <xf numFmtId="0" fontId="31" fillId="0" borderId="0" xfId="848" applyFont="1" applyFill="1" applyProtection="1">
      <protection locked="0"/>
    </xf>
    <xf numFmtId="0" fontId="15" fillId="0" borderId="0" xfId="848" applyFill="1" applyProtection="1">
      <protection locked="0"/>
    </xf>
    <xf numFmtId="0" fontId="42" fillId="0" borderId="0" xfId="848" applyFont="1" applyFill="1" applyBorder="1" applyProtection="1">
      <protection locked="0"/>
    </xf>
    <xf numFmtId="0" fontId="46" fillId="0" borderId="0" xfId="848" applyFont="1" applyFill="1" applyBorder="1" applyProtection="1">
      <protection locked="0"/>
    </xf>
    <xf numFmtId="0" fontId="46" fillId="0" borderId="12" xfId="848" applyFont="1" applyFill="1" applyBorder="1" applyProtection="1">
      <protection locked="0"/>
    </xf>
    <xf numFmtId="0" fontId="31" fillId="0" borderId="0" xfId="848" applyFont="1" applyFill="1" applyBorder="1" applyProtection="1">
      <protection locked="0"/>
    </xf>
    <xf numFmtId="14" fontId="14" fillId="0" borderId="3" xfId="848" applyNumberFormat="1" applyFont="1" applyFill="1" applyBorder="1" applyAlignment="1" applyProtection="1">
      <alignment horizontal="left"/>
      <protection locked="0"/>
    </xf>
    <xf numFmtId="0" fontId="18" fillId="0" borderId="8" xfId="848" applyFont="1" applyFill="1" applyBorder="1" applyProtection="1">
      <protection locked="0"/>
    </xf>
    <xf numFmtId="0" fontId="18" fillId="0" borderId="9" xfId="848" applyFont="1" applyFill="1" applyBorder="1" applyProtection="1">
      <protection locked="0"/>
    </xf>
    <xf numFmtId="0" fontId="18" fillId="0" borderId="10" xfId="848" applyFont="1" applyFill="1" applyBorder="1" applyProtection="1">
      <protection locked="0"/>
    </xf>
    <xf numFmtId="3" fontId="46" fillId="0" borderId="1" xfId="848" applyNumberFormat="1" applyFont="1" applyFill="1" applyBorder="1" applyProtection="1">
      <protection locked="0"/>
    </xf>
    <xf numFmtId="3" fontId="46" fillId="0" borderId="4" xfId="848" applyNumberFormat="1" applyFont="1" applyFill="1" applyBorder="1" applyProtection="1">
      <protection locked="0"/>
    </xf>
    <xf numFmtId="3" fontId="51" fillId="0" borderId="11" xfId="848" applyNumberFormat="1" applyFont="1" applyFill="1" applyBorder="1" applyProtection="1">
      <protection locked="0"/>
    </xf>
    <xf numFmtId="3" fontId="74" fillId="0" borderId="7" xfId="848" applyNumberFormat="1" applyFont="1" applyFill="1" applyBorder="1" applyProtection="1">
      <protection locked="0"/>
    </xf>
    <xf numFmtId="169" fontId="16" fillId="0" borderId="4" xfId="848" applyNumberFormat="1" applyFont="1" applyFill="1" applyBorder="1" applyAlignment="1" applyProtection="1">
      <alignment horizontal="right"/>
      <protection locked="0"/>
    </xf>
    <xf numFmtId="169" fontId="16" fillId="0" borderId="3" xfId="848" applyNumberFormat="1" applyFont="1" applyFill="1" applyBorder="1" applyAlignment="1" applyProtection="1">
      <alignment horizontal="right"/>
      <protection locked="0"/>
    </xf>
    <xf numFmtId="0" fontId="16" fillId="0" borderId="4" xfId="7" applyNumberFormat="1" applyFont="1" applyFill="1" applyBorder="1" applyAlignment="1" applyProtection="1">
      <alignment horizontal="right"/>
    </xf>
    <xf numFmtId="169" fontId="16" fillId="0" borderId="7" xfId="848" applyNumberFormat="1" applyFont="1" applyFill="1" applyBorder="1" applyAlignment="1" applyProtection="1">
      <alignment horizontal="right"/>
      <protection locked="0"/>
    </xf>
    <xf numFmtId="1" fontId="16" fillId="0" borderId="3" xfId="848" applyNumberFormat="1" applyFont="1" applyFill="1" applyBorder="1" applyAlignment="1" applyProtection="1">
      <alignment horizontal="right"/>
      <protection locked="0"/>
    </xf>
    <xf numFmtId="0" fontId="16" fillId="0" borderId="4" xfId="7" applyNumberFormat="1" applyFont="1" applyFill="1" applyBorder="1" applyAlignment="1" applyProtection="1">
      <alignment horizontal="right"/>
      <protection locked="0"/>
    </xf>
    <xf numFmtId="3" fontId="46" fillId="0" borderId="4" xfId="848" applyNumberFormat="1" applyFont="1" applyFill="1" applyBorder="1" applyAlignment="1" applyProtection="1">
      <alignment horizontal="right"/>
      <protection locked="0"/>
    </xf>
    <xf numFmtId="3" fontId="46" fillId="0" borderId="3" xfId="848" applyNumberFormat="1" applyFont="1" applyFill="1" applyBorder="1" applyAlignment="1" applyProtection="1">
      <alignment horizontal="right"/>
      <protection locked="0"/>
    </xf>
    <xf numFmtId="3" fontId="31" fillId="0" borderId="4" xfId="848" applyNumberFormat="1" applyFont="1" applyFill="1" applyBorder="1" applyAlignment="1" applyProtection="1">
      <alignment horizontal="right"/>
      <protection locked="0"/>
    </xf>
    <xf numFmtId="3" fontId="31" fillId="0" borderId="3" xfId="848" applyNumberFormat="1" applyFont="1" applyFill="1" applyBorder="1" applyAlignment="1" applyProtection="1">
      <alignment horizontal="right"/>
      <protection locked="0"/>
    </xf>
    <xf numFmtId="0" fontId="15" fillId="0" borderId="0" xfId="848" applyFont="1" applyFill="1" applyProtection="1">
      <protection locked="0"/>
    </xf>
    <xf numFmtId="0" fontId="46" fillId="0" borderId="0" xfId="848" applyNumberFormat="1" applyFont="1" applyFill="1" applyBorder="1" applyProtection="1">
      <protection locked="0"/>
    </xf>
    <xf numFmtId="0" fontId="46" fillId="0" borderId="0" xfId="848" applyFont="1" applyFill="1" applyProtection="1">
      <protection locked="0"/>
    </xf>
    <xf numFmtId="0" fontId="14" fillId="0" borderId="0" xfId="848" applyFont="1" applyFill="1" applyProtection="1">
      <protection locked="0"/>
    </xf>
    <xf numFmtId="3" fontId="31" fillId="0" borderId="4" xfId="848" applyNumberFormat="1" applyFont="1" applyFill="1" applyBorder="1" applyAlignment="1" applyProtection="1">
      <alignment horizontal="right"/>
    </xf>
    <xf numFmtId="3" fontId="46" fillId="0" borderId="4" xfId="848" applyNumberFormat="1" applyFont="1" applyFill="1" applyBorder="1" applyAlignment="1" applyProtection="1">
      <alignment horizontal="right"/>
    </xf>
    <xf numFmtId="0" fontId="75" fillId="0" borderId="3" xfId="7" applyFont="1" applyFill="1" applyBorder="1" applyProtection="1">
      <protection locked="0"/>
    </xf>
    <xf numFmtId="0" fontId="52" fillId="0" borderId="3" xfId="7" applyFont="1" applyFill="1" applyBorder="1" applyProtection="1">
      <protection locked="0"/>
    </xf>
    <xf numFmtId="0" fontId="47" fillId="0" borderId="0" xfId="848" applyFont="1" applyFill="1" applyBorder="1" applyProtection="1">
      <protection locked="0"/>
    </xf>
    <xf numFmtId="0" fontId="47" fillId="0" borderId="0" xfId="848" applyFont="1" applyFill="1" applyProtection="1">
      <protection locked="0"/>
    </xf>
    <xf numFmtId="0" fontId="22" fillId="0" borderId="0" xfId="848" applyFont="1" applyFill="1" applyProtection="1">
      <protection locked="0"/>
    </xf>
    <xf numFmtId="0" fontId="70" fillId="0" borderId="0" xfId="848" applyFont="1" applyFill="1" applyBorder="1" applyProtection="1">
      <protection locked="0"/>
    </xf>
    <xf numFmtId="0" fontId="70" fillId="0" borderId="0" xfId="848" applyFont="1" applyFill="1" applyProtection="1">
      <protection locked="0"/>
    </xf>
    <xf numFmtId="0" fontId="72" fillId="0" borderId="0" xfId="848" applyFont="1" applyFill="1" applyProtection="1">
      <protection locked="0"/>
    </xf>
    <xf numFmtId="3" fontId="31" fillId="0" borderId="11" xfId="848" applyNumberFormat="1" applyFont="1" applyFill="1" applyBorder="1" applyAlignment="1" applyProtection="1">
      <alignment horizontal="right"/>
    </xf>
    <xf numFmtId="3" fontId="31" fillId="0" borderId="11" xfId="848" applyNumberFormat="1" applyFont="1" applyFill="1" applyBorder="1" applyAlignment="1" applyProtection="1">
      <alignment horizontal="right"/>
      <protection locked="0"/>
    </xf>
    <xf numFmtId="3" fontId="31" fillId="0" borderId="6" xfId="848" applyNumberFormat="1" applyFont="1" applyFill="1" applyBorder="1" applyAlignment="1" applyProtection="1">
      <alignment horizontal="right"/>
      <protection locked="0"/>
    </xf>
    <xf numFmtId="3" fontId="31" fillId="0" borderId="0" xfId="848" applyNumberFormat="1" applyFont="1" applyFill="1" applyBorder="1" applyProtection="1">
      <protection locked="0"/>
    </xf>
    <xf numFmtId="0" fontId="76" fillId="0" borderId="0" xfId="848" applyFont="1" applyFill="1" applyProtection="1">
      <protection locked="0"/>
    </xf>
    <xf numFmtId="0" fontId="62" fillId="0" borderId="0" xfId="848" applyFont="1" applyFill="1" applyProtection="1">
      <protection locked="0"/>
    </xf>
    <xf numFmtId="0" fontId="62" fillId="0" borderId="0" xfId="848" applyFont="1" applyFill="1" applyBorder="1" applyProtection="1">
      <protection locked="0"/>
    </xf>
    <xf numFmtId="0" fontId="62" fillId="0" borderId="0" xfId="1" applyFont="1" applyFill="1" applyProtection="1">
      <protection locked="0"/>
    </xf>
    <xf numFmtId="0" fontId="62" fillId="0" borderId="0" xfId="1" applyFont="1" applyFill="1" applyBorder="1" applyProtection="1">
      <protection locked="0"/>
    </xf>
    <xf numFmtId="0" fontId="76" fillId="0" borderId="0" xfId="848" applyFont="1" applyFill="1" applyBorder="1" applyProtection="1">
      <protection locked="0"/>
    </xf>
    <xf numFmtId="166" fontId="15" fillId="0" borderId="0" xfId="848" applyNumberFormat="1" applyFill="1" applyProtection="1">
      <protection locked="0"/>
    </xf>
    <xf numFmtId="0" fontId="15" fillId="0" borderId="0" xfId="848" applyFill="1" applyBorder="1" applyProtection="1">
      <protection locked="0"/>
    </xf>
    <xf numFmtId="49" fontId="61" fillId="0" borderId="12" xfId="7" applyNumberFormat="1" applyFont="1" applyFill="1" applyBorder="1" applyProtection="1">
      <protection locked="0"/>
    </xf>
    <xf numFmtId="14" fontId="14" fillId="0" borderId="13" xfId="848" applyNumberFormat="1" applyFont="1" applyFill="1" applyBorder="1" applyAlignment="1" applyProtection="1">
      <alignment horizontal="left"/>
      <protection locked="0"/>
    </xf>
    <xf numFmtId="0" fontId="14" fillId="0" borderId="6" xfId="7" applyFont="1" applyFill="1" applyBorder="1" applyAlignment="1" applyProtection="1">
      <alignment horizontal="center"/>
    </xf>
    <xf numFmtId="49" fontId="46" fillId="0" borderId="3" xfId="7" applyNumberFormat="1" applyFont="1" applyFill="1" applyBorder="1" applyProtection="1">
      <protection locked="0"/>
    </xf>
    <xf numFmtId="3" fontId="16" fillId="0" borderId="4" xfId="7" applyNumberFormat="1" applyFont="1" applyFill="1" applyBorder="1" applyAlignment="1" applyProtection="1">
      <alignment horizontal="right"/>
    </xf>
    <xf numFmtId="3" fontId="16" fillId="0" borderId="4" xfId="7" applyNumberFormat="1" applyFont="1" applyFill="1" applyBorder="1" applyAlignment="1" applyProtection="1">
      <alignment horizontal="right"/>
      <protection locked="0"/>
    </xf>
    <xf numFmtId="3" fontId="16" fillId="0" borderId="4" xfId="848" applyNumberFormat="1" applyFont="1" applyFill="1" applyBorder="1" applyAlignment="1" applyProtection="1">
      <alignment horizontal="right"/>
      <protection locked="0"/>
    </xf>
    <xf numFmtId="3" fontId="16" fillId="0" borderId="3" xfId="848" applyNumberFormat="1" applyFont="1" applyFill="1" applyBorder="1" applyAlignment="1" applyProtection="1">
      <alignment horizontal="right"/>
      <protection locked="0"/>
    </xf>
    <xf numFmtId="1" fontId="31" fillId="0" borderId="0" xfId="848" applyNumberFormat="1" applyFont="1" applyFill="1" applyBorder="1" applyProtection="1">
      <protection locked="0"/>
    </xf>
    <xf numFmtId="1" fontId="46" fillId="0" borderId="0" xfId="848" applyNumberFormat="1" applyFont="1" applyFill="1" applyBorder="1" applyProtection="1">
      <protection locked="0"/>
    </xf>
    <xf numFmtId="3" fontId="31" fillId="0" borderId="6" xfId="848" applyNumberFormat="1" applyFont="1" applyFill="1" applyBorder="1" applyAlignment="1" applyProtection="1">
      <alignment horizontal="right"/>
    </xf>
    <xf numFmtId="0" fontId="31" fillId="0" borderId="0" xfId="848" applyNumberFormat="1" applyFont="1" applyFill="1" applyBorder="1" applyProtection="1">
      <protection locked="0"/>
    </xf>
    <xf numFmtId="0" fontId="20" fillId="0" borderId="0" xfId="848" applyFont="1" applyFill="1" applyProtection="1">
      <protection locked="0"/>
    </xf>
    <xf numFmtId="0" fontId="42" fillId="0" borderId="0" xfId="1" applyFont="1" applyFill="1" applyProtection="1">
      <protection locked="0"/>
    </xf>
    <xf numFmtId="0" fontId="20" fillId="0" borderId="0" xfId="1" applyFill="1" applyProtection="1">
      <protection locked="0"/>
    </xf>
    <xf numFmtId="165" fontId="20" fillId="0" borderId="0" xfId="1" applyNumberFormat="1" applyFill="1" applyProtection="1">
      <protection locked="0"/>
    </xf>
    <xf numFmtId="0" fontId="61" fillId="0" borderId="12" xfId="1" applyFont="1" applyFill="1" applyBorder="1" applyProtection="1">
      <protection locked="0"/>
    </xf>
    <xf numFmtId="165" fontId="20" fillId="0" borderId="0" xfId="1" applyNumberFormat="1" applyFill="1" applyBorder="1" applyProtection="1">
      <protection locked="0"/>
    </xf>
    <xf numFmtId="14" fontId="14" fillId="0" borderId="4" xfId="1" applyNumberFormat="1" applyFont="1" applyFill="1" applyBorder="1" applyAlignment="1" applyProtection="1">
      <alignment horizontal="left"/>
      <protection locked="0"/>
    </xf>
    <xf numFmtId="0" fontId="18" fillId="0" borderId="10" xfId="1" applyFont="1" applyFill="1" applyBorder="1" applyProtection="1">
      <protection locked="0"/>
    </xf>
    <xf numFmtId="0" fontId="18" fillId="0" borderId="8" xfId="1" applyFont="1" applyFill="1" applyBorder="1" applyProtection="1">
      <protection locked="0"/>
    </xf>
    <xf numFmtId="0" fontId="18" fillId="0" borderId="9" xfId="1" applyFont="1" applyFill="1" applyBorder="1" applyProtection="1">
      <protection locked="0"/>
    </xf>
    <xf numFmtId="165" fontId="18" fillId="0" borderId="0" xfId="1" applyNumberFormat="1" applyFont="1" applyFill="1" applyBorder="1" applyProtection="1">
      <protection locked="0"/>
    </xf>
    <xf numFmtId="0" fontId="18" fillId="0" borderId="0" xfId="1" applyFont="1" applyFill="1" applyBorder="1" applyProtection="1">
      <protection locked="0"/>
    </xf>
    <xf numFmtId="0" fontId="20" fillId="0" borderId="0" xfId="1" applyFill="1" applyBorder="1" applyProtection="1">
      <protection locked="0"/>
    </xf>
    <xf numFmtId="0" fontId="46" fillId="0" borderId="0" xfId="1" applyNumberFormat="1" applyFont="1" applyFill="1" applyBorder="1" applyAlignment="1" applyProtection="1">
      <alignment horizontal="center"/>
      <protection locked="0"/>
    </xf>
    <xf numFmtId="0" fontId="16" fillId="0" borderId="1" xfId="1" applyNumberFormat="1" applyFont="1" applyFill="1" applyBorder="1" applyAlignment="1" applyProtection="1">
      <alignment horizontal="center"/>
      <protection locked="0"/>
    </xf>
    <xf numFmtId="3" fontId="51" fillId="0" borderId="11" xfId="1" applyNumberFormat="1" applyFont="1" applyFill="1" applyBorder="1" applyProtection="1">
      <protection locked="0"/>
    </xf>
    <xf numFmtId="0" fontId="14" fillId="0" borderId="6" xfId="1" applyFont="1" applyFill="1" applyBorder="1" applyAlignment="1" applyProtection="1">
      <alignment horizontal="center"/>
      <protection locked="0"/>
    </xf>
    <xf numFmtId="169" fontId="14" fillId="0" borderId="0" xfId="1" applyNumberFormat="1" applyFont="1" applyFill="1" applyBorder="1" applyAlignment="1" applyProtection="1">
      <alignment horizontal="center"/>
      <protection locked="0"/>
    </xf>
    <xf numFmtId="0" fontId="14" fillId="0" borderId="0" xfId="1" applyNumberFormat="1" applyFont="1" applyFill="1" applyBorder="1" applyAlignment="1" applyProtection="1">
      <alignment horizontal="center"/>
      <protection locked="0"/>
    </xf>
    <xf numFmtId="3" fontId="31" fillId="0" borderId="4" xfId="1" applyNumberFormat="1" applyFont="1" applyFill="1" applyBorder="1" applyAlignment="1" applyProtection="1">
      <alignment horizontal="right"/>
    </xf>
    <xf numFmtId="3" fontId="31" fillId="0" borderId="7" xfId="1" applyNumberFormat="1" applyFont="1" applyFill="1" applyBorder="1" applyAlignment="1" applyProtection="1">
      <alignment horizontal="right"/>
      <protection locked="0"/>
    </xf>
    <xf numFmtId="0" fontId="20" fillId="0" borderId="0" xfId="1" applyFont="1" applyFill="1" applyBorder="1" applyProtection="1">
      <protection locked="0"/>
    </xf>
    <xf numFmtId="3" fontId="31" fillId="0" borderId="2" xfId="1" applyNumberFormat="1" applyFont="1" applyFill="1" applyBorder="1" applyAlignment="1" applyProtection="1">
      <alignment horizontal="right"/>
      <protection locked="0"/>
    </xf>
    <xf numFmtId="49" fontId="46" fillId="0" borderId="4" xfId="1" applyNumberFormat="1" applyFont="1" applyFill="1" applyBorder="1" applyProtection="1">
      <protection locked="0"/>
    </xf>
    <xf numFmtId="3" fontId="46" fillId="0" borderId="3" xfId="1" applyNumberFormat="1" applyFont="1" applyFill="1" applyBorder="1" applyAlignment="1" applyProtection="1">
      <alignment horizontal="right"/>
      <protection locked="0"/>
    </xf>
    <xf numFmtId="3" fontId="46" fillId="0" borderId="2" xfId="1" applyNumberFormat="1" applyFont="1" applyFill="1" applyBorder="1" applyAlignment="1" applyProtection="1">
      <alignment horizontal="right"/>
      <protection locked="0"/>
    </xf>
    <xf numFmtId="0" fontId="46" fillId="0" borderId="0" xfId="7" applyNumberFormat="1" applyFont="1" applyFill="1" applyProtection="1">
      <protection locked="0"/>
    </xf>
    <xf numFmtId="0" fontId="50" fillId="0" borderId="0" xfId="1" applyFont="1" applyFill="1" applyBorder="1" applyProtection="1">
      <protection locked="0"/>
    </xf>
    <xf numFmtId="0" fontId="50" fillId="0" borderId="0" xfId="1" applyFont="1" applyFill="1" applyProtection="1">
      <protection locked="0"/>
    </xf>
    <xf numFmtId="0" fontId="31" fillId="0" borderId="11" xfId="1" applyFont="1" applyFill="1" applyBorder="1" applyProtection="1">
      <protection locked="0"/>
    </xf>
    <xf numFmtId="3" fontId="31" fillId="0" borderId="6" xfId="1" applyNumberFormat="1" applyFont="1" applyFill="1" applyBorder="1" applyAlignment="1" applyProtection="1">
      <alignment horizontal="right"/>
      <protection locked="0"/>
    </xf>
    <xf numFmtId="3" fontId="31" fillId="0" borderId="6" xfId="1" applyNumberFormat="1" applyFont="1" applyFill="1" applyBorder="1" applyAlignment="1" applyProtection="1">
      <alignment horizontal="right"/>
    </xf>
    <xf numFmtId="3" fontId="31" fillId="0" borderId="0" xfId="1" applyNumberFormat="1" applyFont="1" applyFill="1" applyBorder="1" applyAlignment="1" applyProtection="1">
      <alignment horizontal="right"/>
      <protection locked="0"/>
    </xf>
    <xf numFmtId="0" fontId="15" fillId="0" borderId="0" xfId="845" applyFill="1" applyProtection="1">
      <protection locked="0"/>
    </xf>
    <xf numFmtId="0" fontId="42" fillId="0" borderId="0" xfId="845" applyFont="1" applyFill="1" applyProtection="1">
      <protection locked="0"/>
    </xf>
    <xf numFmtId="0" fontId="46" fillId="0" borderId="0" xfId="1" applyFont="1" applyFill="1" applyBorder="1" applyProtection="1">
      <protection locked="0"/>
    </xf>
    <xf numFmtId="0" fontId="15" fillId="0" borderId="0" xfId="845" applyFill="1" applyBorder="1" applyProtection="1">
      <protection locked="0"/>
    </xf>
    <xf numFmtId="14" fontId="14" fillId="0" borderId="13" xfId="845" applyNumberFormat="1" applyFont="1" applyFill="1" applyBorder="1" applyAlignment="1" applyProtection="1">
      <alignment horizontal="left"/>
      <protection locked="0"/>
    </xf>
    <xf numFmtId="0" fontId="18" fillId="0" borderId="10" xfId="845" applyFont="1" applyFill="1" applyBorder="1" applyProtection="1">
      <protection locked="0"/>
    </xf>
    <xf numFmtId="0" fontId="18" fillId="0" borderId="8" xfId="845" applyFont="1" applyFill="1" applyBorder="1" applyProtection="1">
      <protection locked="0"/>
    </xf>
    <xf numFmtId="0" fontId="18" fillId="0" borderId="9" xfId="845" applyFont="1" applyFill="1" applyBorder="1" applyProtection="1">
      <protection locked="0"/>
    </xf>
    <xf numFmtId="3" fontId="46" fillId="0" borderId="1" xfId="845" applyNumberFormat="1" applyFont="1" applyFill="1" applyBorder="1" applyProtection="1">
      <protection locked="0"/>
    </xf>
    <xf numFmtId="3" fontId="46" fillId="0" borderId="4" xfId="845" applyNumberFormat="1" applyFont="1" applyFill="1" applyBorder="1" applyProtection="1">
      <protection locked="0"/>
    </xf>
    <xf numFmtId="3" fontId="51" fillId="0" borderId="11" xfId="845" applyNumberFormat="1" applyFont="1" applyFill="1" applyBorder="1" applyProtection="1">
      <protection locked="0"/>
    </xf>
    <xf numFmtId="0" fontId="46" fillId="0" borderId="4" xfId="845" applyFont="1" applyFill="1" applyBorder="1" applyProtection="1">
      <protection locked="0"/>
    </xf>
    <xf numFmtId="3" fontId="31" fillId="0" borderId="3" xfId="845" applyNumberFormat="1" applyFont="1" applyFill="1" applyBorder="1" applyAlignment="1" applyProtection="1">
      <alignment horizontal="right"/>
    </xf>
    <xf numFmtId="3" fontId="31" fillId="0" borderId="4" xfId="845" applyNumberFormat="1" applyFont="1" applyFill="1" applyBorder="1" applyAlignment="1" applyProtection="1">
      <alignment horizontal="right"/>
    </xf>
    <xf numFmtId="3" fontId="31" fillId="0" borderId="4" xfId="845" applyNumberFormat="1" applyFont="1" applyFill="1" applyBorder="1" applyAlignment="1" applyProtection="1">
      <alignment horizontal="right"/>
      <protection locked="0"/>
    </xf>
    <xf numFmtId="0" fontId="31" fillId="0" borderId="3" xfId="845" applyFont="1" applyFill="1" applyBorder="1" applyAlignment="1" applyProtection="1">
      <alignment horizontal="right"/>
      <protection locked="0"/>
    </xf>
    <xf numFmtId="0" fontId="15" fillId="0" borderId="0" xfId="845" applyFont="1" applyFill="1" applyBorder="1" applyProtection="1">
      <protection locked="0"/>
    </xf>
    <xf numFmtId="0" fontId="15" fillId="0" borderId="0" xfId="845" applyFont="1" applyFill="1" applyProtection="1">
      <protection locked="0"/>
    </xf>
    <xf numFmtId="3" fontId="46" fillId="0" borderId="3" xfId="845" applyNumberFormat="1" applyFont="1" applyFill="1" applyBorder="1" applyAlignment="1" applyProtection="1">
      <alignment horizontal="right"/>
    </xf>
    <xf numFmtId="3" fontId="46" fillId="0" borderId="3" xfId="845" applyNumberFormat="1" applyFont="1" applyFill="1" applyBorder="1" applyAlignment="1" applyProtection="1">
      <alignment horizontal="right"/>
      <protection locked="0"/>
    </xf>
    <xf numFmtId="3" fontId="46" fillId="0" borderId="4" xfId="845" applyNumberFormat="1" applyFont="1" applyFill="1" applyBorder="1" applyAlignment="1" applyProtection="1">
      <alignment horizontal="right"/>
    </xf>
    <xf numFmtId="3" fontId="46" fillId="0" borderId="4" xfId="845" applyNumberFormat="1" applyFont="1" applyFill="1" applyBorder="1" applyAlignment="1" applyProtection="1">
      <alignment horizontal="right"/>
      <protection locked="0"/>
    </xf>
    <xf numFmtId="0" fontId="46" fillId="0" borderId="3" xfId="845" applyFont="1" applyFill="1" applyBorder="1" applyAlignment="1" applyProtection="1">
      <alignment horizontal="right"/>
      <protection locked="0"/>
    </xf>
    <xf numFmtId="0" fontId="46" fillId="0" borderId="0" xfId="845" applyFont="1" applyFill="1" applyBorder="1" applyProtection="1">
      <protection locked="0"/>
    </xf>
    <xf numFmtId="0" fontId="46" fillId="0" borderId="0" xfId="845" applyFont="1" applyFill="1" applyProtection="1">
      <protection locked="0"/>
    </xf>
    <xf numFmtId="1" fontId="46" fillId="0" borderId="3" xfId="845" applyNumberFormat="1" applyFont="1" applyFill="1" applyBorder="1" applyAlignment="1" applyProtection="1">
      <alignment horizontal="right"/>
      <protection locked="0"/>
    </xf>
    <xf numFmtId="3" fontId="46" fillId="2" borderId="3" xfId="845" applyNumberFormat="1" applyFont="1" applyFill="1" applyBorder="1" applyAlignment="1" applyProtection="1">
      <alignment horizontal="right"/>
      <protection locked="0"/>
    </xf>
    <xf numFmtId="1" fontId="31" fillId="0" borderId="3" xfId="845" applyNumberFormat="1" applyFont="1" applyFill="1" applyBorder="1" applyAlignment="1" applyProtection="1">
      <alignment horizontal="right"/>
      <protection locked="0"/>
    </xf>
    <xf numFmtId="3" fontId="31" fillId="2" borderId="3" xfId="845" applyNumberFormat="1" applyFont="1" applyFill="1" applyBorder="1" applyAlignment="1" applyProtection="1">
      <alignment horizontal="right"/>
      <protection locked="0"/>
    </xf>
    <xf numFmtId="0" fontId="31" fillId="0" borderId="0" xfId="845" applyFont="1" applyFill="1" applyBorder="1" applyProtection="1">
      <protection locked="0"/>
    </xf>
    <xf numFmtId="0" fontId="31" fillId="0" borderId="0" xfId="845" applyFont="1" applyFill="1" applyProtection="1">
      <protection locked="0"/>
    </xf>
    <xf numFmtId="49" fontId="46" fillId="0" borderId="3" xfId="1" applyNumberFormat="1" applyFont="1" applyFill="1" applyBorder="1" applyProtection="1">
      <protection locked="0"/>
    </xf>
    <xf numFmtId="3" fontId="31" fillId="2" borderId="3" xfId="845" applyNumberFormat="1" applyFont="1" applyFill="1" applyBorder="1" applyAlignment="1" applyProtection="1">
      <alignment horizontal="right"/>
    </xf>
    <xf numFmtId="3" fontId="31" fillId="0" borderId="6" xfId="845" applyNumberFormat="1" applyFont="1" applyFill="1" applyBorder="1" applyAlignment="1" applyProtection="1">
      <alignment horizontal="right"/>
    </xf>
    <xf numFmtId="3" fontId="31" fillId="0" borderId="6" xfId="845" applyNumberFormat="1" applyFont="1" applyFill="1" applyBorder="1" applyAlignment="1" applyProtection="1">
      <alignment horizontal="right"/>
      <protection locked="0"/>
    </xf>
    <xf numFmtId="0" fontId="62" fillId="0" borderId="0" xfId="845" applyFont="1" applyFill="1" applyProtection="1">
      <protection locked="0"/>
    </xf>
    <xf numFmtId="0" fontId="62" fillId="0" borderId="0" xfId="845" applyFont="1" applyFill="1" applyProtection="1"/>
    <xf numFmtId="0" fontId="37" fillId="0" borderId="0" xfId="1" applyFont="1" applyFill="1" applyProtection="1">
      <protection locked="0"/>
    </xf>
    <xf numFmtId="0" fontId="62" fillId="0" borderId="0" xfId="845" applyFont="1" applyFill="1" applyBorder="1" applyProtection="1">
      <protection locked="0"/>
    </xf>
    <xf numFmtId="0" fontId="37" fillId="0" borderId="0" xfId="1" applyFont="1" applyFill="1" applyBorder="1" applyProtection="1">
      <protection locked="0"/>
    </xf>
    <xf numFmtId="165" fontId="20" fillId="0" borderId="0" xfId="1" applyNumberFormat="1" applyProtection="1">
      <protection locked="0"/>
    </xf>
    <xf numFmtId="3" fontId="59" fillId="4" borderId="0" xfId="1" applyNumberFormat="1" applyFont="1" applyFill="1" applyProtection="1">
      <protection locked="0"/>
    </xf>
    <xf numFmtId="165" fontId="20" fillId="0" borderId="0" xfId="1" applyNumberFormat="1" applyBorder="1" applyProtection="1">
      <protection locked="0"/>
    </xf>
    <xf numFmtId="0" fontId="70" fillId="0" borderId="8" xfId="1" applyFont="1" applyBorder="1" applyAlignment="1" applyProtection="1">
      <alignment horizontal="center"/>
      <protection locked="0"/>
    </xf>
    <xf numFmtId="165" fontId="18" fillId="4" borderId="0" xfId="1" applyNumberFormat="1" applyFont="1" applyFill="1" applyBorder="1" applyProtection="1">
      <protection locked="0"/>
    </xf>
    <xf numFmtId="0" fontId="18" fillId="4" borderId="0" xfId="1" applyFont="1" applyFill="1" applyBorder="1" applyProtection="1">
      <protection locked="0"/>
    </xf>
    <xf numFmtId="0" fontId="46" fillId="4" borderId="0" xfId="1" applyNumberFormat="1" applyFont="1" applyFill="1" applyBorder="1" applyAlignment="1" applyProtection="1">
      <alignment horizontal="center"/>
      <protection locked="0"/>
    </xf>
    <xf numFmtId="3" fontId="51" fillId="4" borderId="11" xfId="1" applyNumberFormat="1" applyFont="1" applyFill="1" applyBorder="1" applyProtection="1">
      <protection locked="0"/>
    </xf>
    <xf numFmtId="169" fontId="14" fillId="4" borderId="0" xfId="1" applyNumberFormat="1" applyFont="1" applyFill="1" applyBorder="1" applyAlignment="1" applyProtection="1">
      <alignment horizontal="center"/>
      <protection locked="0"/>
    </xf>
    <xf numFmtId="0" fontId="14" fillId="4" borderId="0" xfId="1" applyNumberFormat="1" applyFont="1" applyFill="1" applyBorder="1" applyAlignment="1" applyProtection="1">
      <alignment horizontal="center"/>
      <protection locked="0"/>
    </xf>
    <xf numFmtId="0" fontId="46" fillId="0" borderId="3" xfId="1" applyFont="1" applyBorder="1" applyProtection="1">
      <protection locked="0"/>
    </xf>
    <xf numFmtId="4" fontId="31" fillId="4" borderId="3" xfId="1" applyNumberFormat="1" applyFont="1" applyFill="1" applyBorder="1" applyAlignment="1" applyProtection="1">
      <alignment horizontal="right"/>
    </xf>
    <xf numFmtId="4" fontId="31" fillId="4" borderId="3" xfId="1" applyNumberFormat="1" applyFont="1" applyFill="1" applyBorder="1" applyAlignment="1" applyProtection="1">
      <alignment horizontal="right"/>
      <protection locked="0"/>
    </xf>
    <xf numFmtId="4" fontId="31" fillId="4" borderId="7" xfId="1" applyNumberFormat="1" applyFont="1" applyFill="1" applyBorder="1" applyAlignment="1" applyProtection="1">
      <alignment horizontal="right"/>
      <protection locked="0"/>
    </xf>
    <xf numFmtId="0" fontId="37" fillId="0" borderId="0" xfId="1" applyFont="1" applyBorder="1" applyProtection="1">
      <protection locked="0"/>
    </xf>
    <xf numFmtId="0" fontId="37" fillId="0" borderId="0" xfId="1" applyFont="1" applyProtection="1">
      <protection locked="0"/>
    </xf>
    <xf numFmtId="4" fontId="31" fillId="0" borderId="3" xfId="1" applyNumberFormat="1" applyFont="1" applyFill="1" applyBorder="1" applyAlignment="1" applyProtection="1">
      <alignment horizontal="right"/>
    </xf>
    <xf numFmtId="4" fontId="31" fillId="0" borderId="3" xfId="1" applyNumberFormat="1" applyFont="1" applyFill="1" applyBorder="1" applyAlignment="1" applyProtection="1">
      <alignment horizontal="right"/>
      <protection locked="0"/>
    </xf>
    <xf numFmtId="0" fontId="54" fillId="0" borderId="0" xfId="1" applyFont="1" applyBorder="1" applyProtection="1">
      <protection locked="0"/>
    </xf>
    <xf numFmtId="0" fontId="54" fillId="0" borderId="0" xfId="1" applyFont="1" applyProtection="1">
      <protection locked="0"/>
    </xf>
    <xf numFmtId="3" fontId="31" fillId="4" borderId="6" xfId="1" applyNumberFormat="1" applyFont="1" applyFill="1" applyBorder="1" applyAlignment="1" applyProtection="1">
      <alignment horizontal="right"/>
    </xf>
    <xf numFmtId="3" fontId="31" fillId="4" borderId="6" xfId="1" applyNumberFormat="1" applyFont="1" applyFill="1" applyBorder="1" applyAlignment="1" applyProtection="1">
      <alignment horizontal="right"/>
      <protection locked="0"/>
    </xf>
    <xf numFmtId="4" fontId="31" fillId="0" borderId="2" xfId="1" applyNumberFormat="1" applyFont="1" applyFill="1" applyBorder="1" applyAlignment="1" applyProtection="1">
      <alignment horizontal="right"/>
      <protection locked="0"/>
    </xf>
    <xf numFmtId="4" fontId="31" fillId="0" borderId="4" xfId="1" applyNumberFormat="1" applyFont="1" applyFill="1" applyBorder="1" applyAlignment="1" applyProtection="1">
      <alignment horizontal="right"/>
      <protection locked="0"/>
    </xf>
    <xf numFmtId="4" fontId="46" fillId="0" borderId="3" xfId="1" applyNumberFormat="1" applyFont="1" applyFill="1" applyBorder="1" applyAlignment="1" applyProtection="1">
      <alignment horizontal="right"/>
      <protection locked="0"/>
    </xf>
    <xf numFmtId="4" fontId="46" fillId="0" borderId="2" xfId="1" applyNumberFormat="1" applyFont="1" applyFill="1" applyBorder="1" applyAlignment="1" applyProtection="1">
      <alignment horizontal="right"/>
      <protection locked="0"/>
    </xf>
    <xf numFmtId="4" fontId="31" fillId="0" borderId="2" xfId="1" applyNumberFormat="1" applyFont="1" applyFill="1" applyBorder="1" applyAlignment="1" applyProtection="1">
      <alignment horizontal="right"/>
    </xf>
    <xf numFmtId="4" fontId="31" fillId="0" borderId="0" xfId="1" applyNumberFormat="1" applyFont="1" applyFill="1" applyBorder="1" applyAlignment="1" applyProtection="1">
      <alignment horizontal="right"/>
      <protection locked="0"/>
    </xf>
    <xf numFmtId="4" fontId="31" fillId="0" borderId="0" xfId="1" applyNumberFormat="1" applyFont="1" applyFill="1" applyBorder="1" applyAlignment="1" applyProtection="1">
      <alignment horizontal="right"/>
    </xf>
    <xf numFmtId="4" fontId="31" fillId="0" borderId="4" xfId="1" applyNumberFormat="1" applyFont="1" applyFill="1" applyBorder="1" applyAlignment="1" applyProtection="1">
      <alignment horizontal="right"/>
    </xf>
    <xf numFmtId="4" fontId="31" fillId="0" borderId="6" xfId="1" applyNumberFormat="1" applyFont="1" applyFill="1" applyBorder="1" applyAlignment="1" applyProtection="1">
      <alignment horizontal="right"/>
      <protection locked="0"/>
    </xf>
    <xf numFmtId="4" fontId="31" fillId="0" borderId="6" xfId="1" applyNumberFormat="1" applyFont="1" applyFill="1" applyBorder="1" applyAlignment="1" applyProtection="1">
      <alignment horizontal="right"/>
    </xf>
    <xf numFmtId="4" fontId="31" fillId="0" borderId="5" xfId="1" applyNumberFormat="1" applyFont="1" applyFill="1" applyBorder="1" applyAlignment="1" applyProtection="1">
      <alignment horizontal="right"/>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Fill="1" applyBorder="1" applyAlignment="1">
      <alignment horizontal="center"/>
    </xf>
    <xf numFmtId="0" fontId="18" fillId="0" borderId="6" xfId="0" applyFont="1" applyFill="1" applyBorder="1"/>
    <xf numFmtId="3" fontId="18" fillId="0" borderId="3" xfId="847" applyNumberFormat="1" applyFont="1" applyBorder="1" applyAlignment="1">
      <alignment horizontal="left"/>
    </xf>
    <xf numFmtId="0" fontId="16" fillId="0" borderId="6" xfId="1" applyFont="1" applyFill="1" applyBorder="1"/>
    <xf numFmtId="3" fontId="18" fillId="0" borderId="3" xfId="847" applyNumberFormat="1" applyFont="1" applyFill="1" applyBorder="1" applyAlignment="1">
      <alignment horizontal="left"/>
    </xf>
    <xf numFmtId="0" fontId="16" fillId="0" borderId="4" xfId="1" applyFont="1" applyFill="1" applyBorder="1"/>
    <xf numFmtId="0" fontId="16" fillId="0" borderId="11" xfId="1" applyFont="1" applyFill="1" applyBorder="1"/>
    <xf numFmtId="3" fontId="31" fillId="4" borderId="1" xfId="0" applyNumberFormat="1" applyFont="1" applyFill="1" applyBorder="1" applyAlignment="1" applyProtection="1">
      <alignment horizontal="right"/>
      <protection locked="0"/>
    </xf>
    <xf numFmtId="0" fontId="31" fillId="0" borderId="3" xfId="0" applyFont="1" applyBorder="1" applyAlignment="1" applyProtection="1">
      <alignment horizontal="right"/>
      <protection locked="0"/>
    </xf>
    <xf numFmtId="3" fontId="31" fillId="4" borderId="7" xfId="0" applyNumberFormat="1" applyFont="1" applyFill="1" applyBorder="1" applyAlignment="1" applyProtection="1">
      <alignment horizontal="right"/>
      <protection locked="0"/>
    </xf>
    <xf numFmtId="1" fontId="31" fillId="0" borderId="3" xfId="0" applyNumberFormat="1" applyFont="1" applyBorder="1" applyAlignment="1" applyProtection="1">
      <alignment horizontal="right"/>
      <protection locked="0"/>
    </xf>
    <xf numFmtId="3" fontId="31" fillId="0" borderId="3" xfId="7" applyNumberFormat="1" applyFont="1" applyFill="1" applyBorder="1" applyAlignment="1" applyProtection="1">
      <alignment horizontal="right"/>
    </xf>
    <xf numFmtId="3" fontId="46" fillId="0" borderId="3" xfId="7" applyNumberFormat="1" applyFont="1" applyFill="1" applyBorder="1" applyAlignment="1" applyProtection="1">
      <alignment horizontal="right"/>
    </xf>
    <xf numFmtId="3" fontId="31" fillId="0" borderId="6" xfId="7" applyNumberFormat="1" applyFont="1" applyFill="1" applyBorder="1" applyAlignment="1" applyProtection="1">
      <alignment horizontal="right"/>
    </xf>
    <xf numFmtId="3" fontId="31" fillId="0" borderId="3" xfId="848" applyNumberFormat="1" applyFont="1" applyFill="1" applyBorder="1" applyAlignment="1" applyProtection="1">
      <alignment horizontal="right"/>
    </xf>
    <xf numFmtId="3" fontId="46" fillId="0" borderId="3" xfId="848" applyNumberFormat="1" applyFont="1" applyFill="1" applyBorder="1" applyAlignment="1" applyProtection="1">
      <alignment horizontal="right"/>
    </xf>
    <xf numFmtId="0" fontId="46" fillId="0" borderId="4" xfId="7" applyFont="1" applyFill="1" applyBorder="1" applyProtection="1">
      <protection locked="0"/>
    </xf>
    <xf numFmtId="0" fontId="46" fillId="0" borderId="4" xfId="7" applyFont="1" applyFill="1" applyBorder="1" applyAlignment="1" applyProtection="1">
      <alignment horizontal="center"/>
      <protection locked="0"/>
    </xf>
    <xf numFmtId="0" fontId="31" fillId="0" borderId="4" xfId="7" applyFont="1" applyFill="1" applyBorder="1" applyAlignment="1" applyProtection="1">
      <alignment horizontal="center"/>
      <protection locked="0"/>
    </xf>
    <xf numFmtId="0" fontId="31" fillId="0" borderId="4" xfId="7" applyFont="1" applyFill="1" applyBorder="1" applyAlignment="1" applyProtection="1">
      <alignment horizontal="left"/>
      <protection locked="0"/>
    </xf>
    <xf numFmtId="0" fontId="31" fillId="0" borderId="0" xfId="7" applyFont="1" applyProtection="1">
      <protection locked="0"/>
    </xf>
    <xf numFmtId="4" fontId="31" fillId="4" borderId="4" xfId="7" applyNumberFormat="1" applyFont="1" applyFill="1" applyBorder="1" applyAlignment="1" applyProtection="1">
      <alignment horizontal="right"/>
      <protection locked="0"/>
    </xf>
    <xf numFmtId="3" fontId="31" fillId="4" borderId="4" xfId="7" applyNumberFormat="1" applyFont="1" applyFill="1" applyBorder="1" applyAlignment="1" applyProtection="1">
      <alignment horizontal="right"/>
      <protection locked="0"/>
    </xf>
    <xf numFmtId="3" fontId="31" fillId="4" borderId="11" xfId="7" applyNumberFormat="1" applyFont="1" applyFill="1" applyBorder="1" applyAlignment="1" applyProtection="1">
      <alignment horizontal="right"/>
      <protection locked="0"/>
    </xf>
    <xf numFmtId="0" fontId="52" fillId="0" borderId="6" xfId="1" applyFont="1" applyFill="1" applyBorder="1" applyProtection="1">
      <protection locked="0"/>
    </xf>
    <xf numFmtId="4" fontId="31" fillId="4" borderId="3" xfId="0" applyNumberFormat="1" applyFont="1" applyFill="1" applyBorder="1" applyAlignment="1" applyProtection="1">
      <alignment horizontal="right"/>
      <protection locked="0"/>
    </xf>
    <xf numFmtId="4" fontId="31" fillId="4" borderId="2" xfId="7" applyNumberFormat="1" applyFont="1" applyFill="1" applyBorder="1" applyAlignment="1" applyProtection="1">
      <alignment horizontal="right"/>
    </xf>
    <xf numFmtId="3" fontId="31" fillId="4" borderId="2" xfId="7" applyNumberFormat="1" applyFont="1" applyFill="1" applyBorder="1" applyAlignment="1" applyProtection="1">
      <alignment horizontal="right"/>
    </xf>
    <xf numFmtId="3" fontId="31" fillId="4" borderId="5" xfId="7" applyNumberFormat="1" applyFont="1" applyFill="1" applyBorder="1" applyAlignment="1" applyProtection="1">
      <alignment horizontal="right"/>
    </xf>
    <xf numFmtId="171" fontId="16" fillId="0" borderId="3" xfId="846" applyFont="1" applyBorder="1" applyAlignment="1">
      <alignment horizontal="right"/>
    </xf>
    <xf numFmtId="3" fontId="46" fillId="0" borderId="6" xfId="0" applyNumberFormat="1" applyFont="1" applyFill="1" applyBorder="1" applyAlignment="1" applyProtection="1">
      <alignment horizontal="right"/>
    </xf>
    <xf numFmtId="1" fontId="14" fillId="0" borderId="11" xfId="1" applyNumberFormat="1" applyFont="1" applyFill="1" applyBorder="1" applyAlignment="1">
      <alignment horizontal="center"/>
    </xf>
    <xf numFmtId="3" fontId="14" fillId="0" borderId="0" xfId="1" applyNumberFormat="1" applyFont="1" applyFill="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2" xfId="1" applyNumberFormat="1" applyFont="1" applyFill="1" applyBorder="1"/>
    <xf numFmtId="3" fontId="15" fillId="0" borderId="0" xfId="1" applyNumberFormat="1" applyFont="1" applyFill="1" applyBorder="1" applyAlignment="1">
      <alignment horizontal="center"/>
    </xf>
    <xf numFmtId="3" fontId="31" fillId="4" borderId="1" xfId="0" applyNumberFormat="1" applyFont="1" applyFill="1" applyBorder="1" applyAlignment="1">
      <alignment horizontal="right"/>
    </xf>
    <xf numFmtId="3" fontId="31" fillId="4" borderId="4" xfId="0" applyNumberFormat="1" applyFont="1" applyFill="1" applyBorder="1" applyAlignment="1">
      <alignment horizontal="right"/>
    </xf>
    <xf numFmtId="3" fontId="31" fillId="4" borderId="3" xfId="0" applyNumberFormat="1" applyFont="1" applyFill="1" applyBorder="1" applyAlignment="1">
      <alignment horizontal="right"/>
    </xf>
    <xf numFmtId="3" fontId="31" fillId="0" borderId="4" xfId="0" applyNumberFormat="1" applyFont="1" applyBorder="1" applyAlignment="1" applyProtection="1">
      <alignment horizontal="right"/>
      <protection locked="0"/>
    </xf>
    <xf numFmtId="4" fontId="31" fillId="4" borderId="3" xfId="7" applyNumberFormat="1" applyFont="1" applyFill="1" applyBorder="1" applyAlignment="1">
      <alignment horizontal="right"/>
    </xf>
    <xf numFmtId="4" fontId="31" fillId="4" borderId="4" xfId="7" applyNumberFormat="1" applyFont="1" applyFill="1" applyBorder="1" applyAlignment="1">
      <alignment horizontal="right"/>
    </xf>
    <xf numFmtId="3" fontId="31" fillId="4" borderId="3" xfId="7" applyNumberFormat="1" applyFont="1" applyFill="1" applyBorder="1" applyAlignment="1">
      <alignment horizontal="right"/>
    </xf>
    <xf numFmtId="3" fontId="31" fillId="4" borderId="4" xfId="7" applyNumberFormat="1" applyFont="1" applyFill="1" applyBorder="1" applyAlignment="1">
      <alignment horizontal="right"/>
    </xf>
    <xf numFmtId="3" fontId="31" fillId="4" borderId="6" xfId="7" applyNumberFormat="1" applyFont="1" applyFill="1" applyBorder="1" applyAlignment="1">
      <alignment horizontal="right"/>
    </xf>
    <xf numFmtId="3" fontId="31" fillId="0" borderId="11" xfId="7" applyNumberFormat="1" applyFont="1" applyBorder="1" applyAlignment="1">
      <alignment horizontal="right"/>
    </xf>
    <xf numFmtId="3" fontId="31" fillId="4" borderId="11" xfId="7" applyNumberFormat="1" applyFont="1" applyFill="1" applyBorder="1" applyAlignment="1">
      <alignment horizontal="right"/>
    </xf>
    <xf numFmtId="0" fontId="31" fillId="0" borderId="3" xfId="0" applyFont="1" applyBorder="1" applyAlignment="1">
      <alignment horizontal="right"/>
    </xf>
    <xf numFmtId="0" fontId="14" fillId="0" borderId="6" xfId="0" applyFont="1" applyBorder="1" applyAlignment="1" applyProtection="1">
      <alignment horizontal="center"/>
      <protection locked="0"/>
    </xf>
    <xf numFmtId="0" fontId="14" fillId="0" borderId="11" xfId="0" applyFont="1" applyBorder="1" applyAlignment="1" applyProtection="1">
      <alignment horizontal="center"/>
      <protection locked="0"/>
    </xf>
    <xf numFmtId="0" fontId="14" fillId="0" borderId="6" xfId="0" applyFont="1" applyFill="1" applyBorder="1" applyAlignment="1" applyProtection="1">
      <alignment horizontal="center"/>
      <protection locked="0"/>
    </xf>
    <xf numFmtId="3" fontId="31" fillId="4" borderId="0" xfId="0" applyNumberFormat="1" applyFont="1" applyFill="1" applyAlignment="1">
      <alignment horizontal="right"/>
    </xf>
    <xf numFmtId="3" fontId="31" fillId="4" borderId="0" xfId="0" applyNumberFormat="1" applyFont="1" applyFill="1" applyAlignment="1" applyProtection="1">
      <alignment horizontal="right"/>
      <protection locked="0"/>
    </xf>
    <xf numFmtId="3" fontId="61" fillId="4" borderId="3" xfId="0" applyNumberFormat="1" applyFont="1" applyFill="1" applyBorder="1" applyAlignment="1">
      <alignment horizontal="right"/>
    </xf>
    <xf numFmtId="3" fontId="46" fillId="4" borderId="3" xfId="0" applyNumberFormat="1" applyFont="1" applyFill="1" applyBorder="1" applyAlignment="1">
      <alignment horizontal="right"/>
    </xf>
    <xf numFmtId="3" fontId="31" fillId="4" borderId="7" xfId="0" applyNumberFormat="1" applyFont="1" applyFill="1" applyBorder="1" applyAlignment="1">
      <alignment horizontal="right"/>
    </xf>
    <xf numFmtId="1" fontId="31" fillId="0" borderId="3" xfId="0" applyNumberFormat="1" applyFont="1" applyBorder="1" applyAlignment="1">
      <alignment horizontal="right"/>
    </xf>
    <xf numFmtId="3" fontId="46" fillId="4" borderId="4" xfId="15" applyNumberFormat="1" applyFont="1" applyFill="1" applyBorder="1" applyAlignment="1" applyProtection="1">
      <alignment horizontal="right"/>
    </xf>
    <xf numFmtId="3" fontId="31" fillId="4" borderId="4" xfId="15" applyNumberFormat="1" applyFont="1" applyFill="1" applyBorder="1" applyAlignment="1" applyProtection="1">
      <alignment horizontal="right"/>
    </xf>
    <xf numFmtId="3" fontId="46" fillId="4" borderId="11" xfId="15" applyNumberFormat="1" applyFont="1" applyFill="1" applyBorder="1" applyAlignment="1" applyProtection="1">
      <alignment horizontal="right"/>
    </xf>
    <xf numFmtId="166" fontId="31" fillId="0" borderId="3" xfId="847" applyNumberFormat="1" applyFont="1" applyBorder="1" applyAlignment="1" applyProtection="1">
      <alignment horizontal="right"/>
    </xf>
    <xf numFmtId="166" fontId="31" fillId="4" borderId="4" xfId="847" applyNumberFormat="1" applyFont="1" applyFill="1" applyBorder="1" applyAlignment="1" applyProtection="1">
      <alignment horizontal="right"/>
    </xf>
    <xf numFmtId="166" fontId="31" fillId="4" borderId="3" xfId="847" applyNumberFormat="1" applyFont="1" applyFill="1" applyBorder="1" applyAlignment="1" applyProtection="1">
      <alignment horizontal="right"/>
    </xf>
    <xf numFmtId="170" fontId="31" fillId="0" borderId="3" xfId="847" applyNumberFormat="1" applyFont="1" applyBorder="1" applyAlignment="1" applyProtection="1">
      <alignment horizontal="right"/>
    </xf>
    <xf numFmtId="4" fontId="31" fillId="4" borderId="3" xfId="7" applyNumberFormat="1" applyFont="1" applyFill="1" applyBorder="1" applyAlignment="1" applyProtection="1">
      <alignment horizontal="right"/>
      <protection locked="0"/>
    </xf>
    <xf numFmtId="3" fontId="31" fillId="4" borderId="3" xfId="7" applyNumberFormat="1" applyFont="1" applyFill="1" applyBorder="1" applyAlignment="1" applyProtection="1">
      <alignment horizontal="right"/>
      <protection locked="0"/>
    </xf>
    <xf numFmtId="3" fontId="31" fillId="4" borderId="6" xfId="7" applyNumberFormat="1" applyFont="1" applyFill="1" applyBorder="1" applyAlignment="1" applyProtection="1">
      <alignment horizontal="right"/>
      <protection locked="0"/>
    </xf>
    <xf numFmtId="3" fontId="31" fillId="4" borderId="1" xfId="15" applyNumberFormat="1" applyFont="1" applyFill="1" applyBorder="1" applyAlignment="1" applyProtection="1">
      <alignment horizontal="right"/>
    </xf>
    <xf numFmtId="3" fontId="31" fillId="4" borderId="4" xfId="847" applyNumberFormat="1" applyFont="1" applyFill="1" applyBorder="1" applyAlignment="1" applyProtection="1">
      <alignment horizontal="right"/>
    </xf>
    <xf numFmtId="3" fontId="31" fillId="0" borderId="4" xfId="847" applyNumberFormat="1" applyFont="1" applyFill="1" applyBorder="1" applyAlignment="1" applyProtection="1">
      <alignment horizontal="right"/>
      <protection locked="0"/>
    </xf>
    <xf numFmtId="0" fontId="57" fillId="0" borderId="0" xfId="0" applyFont="1" applyFill="1"/>
    <xf numFmtId="0" fontId="46" fillId="0" borderId="1" xfId="1" applyNumberFormat="1" applyFont="1" applyFill="1" applyBorder="1" applyAlignment="1" applyProtection="1">
      <alignment horizontal="center"/>
      <protection locked="0"/>
    </xf>
    <xf numFmtId="0" fontId="46" fillId="0" borderId="14" xfId="1" applyNumberFormat="1" applyFont="1" applyFill="1" applyBorder="1" applyAlignment="1" applyProtection="1">
      <alignment horizontal="center"/>
      <protection locked="0"/>
    </xf>
    <xf numFmtId="0" fontId="46" fillId="0" borderId="15" xfId="1" applyNumberFormat="1" applyFont="1" applyFill="1" applyBorder="1" applyAlignment="1" applyProtection="1">
      <alignment horizontal="center"/>
      <protection locked="0"/>
    </xf>
    <xf numFmtId="0" fontId="46" fillId="0" borderId="1" xfId="7" applyNumberFormat="1" applyFont="1" applyFill="1" applyBorder="1" applyAlignment="1" applyProtection="1">
      <alignment horizontal="center"/>
      <protection locked="0"/>
    </xf>
    <xf numFmtId="0" fontId="46" fillId="0" borderId="14" xfId="7" applyNumberFormat="1" applyFont="1" applyFill="1" applyBorder="1" applyAlignment="1" applyProtection="1">
      <alignment horizontal="center"/>
      <protection locked="0"/>
    </xf>
    <xf numFmtId="0" fontId="46" fillId="0" borderId="15" xfId="7" applyNumberFormat="1" applyFont="1" applyFill="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3" fontId="46" fillId="4" borderId="1" xfId="15" applyNumberFormat="1" applyFont="1" applyFill="1" applyBorder="1" applyAlignment="1" applyProtection="1">
      <alignment horizontal="right"/>
    </xf>
    <xf numFmtId="3" fontId="31" fillId="0" borderId="3" xfId="0" applyNumberFormat="1" applyFont="1" applyBorder="1" applyProtection="1">
      <protection locked="0"/>
    </xf>
    <xf numFmtId="3" fontId="31" fillId="0" borderId="6" xfId="0" applyNumberFormat="1" applyFont="1" applyBorder="1"/>
    <xf numFmtId="3" fontId="31" fillId="0" borderId="6" xfId="0" applyNumberFormat="1" applyFont="1" applyBorder="1" applyProtection="1">
      <protection locked="0"/>
    </xf>
    <xf numFmtId="0" fontId="14" fillId="0" borderId="4" xfId="7" applyFont="1" applyBorder="1" applyAlignment="1">
      <alignment horizontal="center"/>
    </xf>
    <xf numFmtId="0" fontId="14" fillId="0" borderId="4" xfId="7" applyFont="1" applyBorder="1" applyAlignment="1" applyProtection="1">
      <alignment horizontal="center"/>
      <protection locked="0"/>
    </xf>
    <xf numFmtId="3" fontId="46" fillId="0" borderId="4" xfId="7" applyNumberFormat="1" applyFont="1" applyBorder="1" applyAlignment="1">
      <alignment horizontal="right"/>
    </xf>
    <xf numFmtId="3" fontId="46" fillId="0" borderId="4" xfId="7" applyNumberFormat="1" applyFont="1" applyBorder="1" applyAlignment="1" applyProtection="1">
      <alignment horizontal="right"/>
      <protection locked="0"/>
    </xf>
    <xf numFmtId="3" fontId="31" fillId="0" borderId="4" xfId="7" applyNumberFormat="1" applyFont="1" applyBorder="1" applyAlignment="1">
      <alignment horizontal="right"/>
    </xf>
    <xf numFmtId="3" fontId="31" fillId="0" borderId="4" xfId="7" applyNumberFormat="1" applyFont="1" applyBorder="1" applyAlignment="1" applyProtection="1">
      <alignment horizontal="right"/>
      <protection locked="0"/>
    </xf>
    <xf numFmtId="3" fontId="31" fillId="0" borderId="11" xfId="7" applyNumberFormat="1" applyFont="1" applyBorder="1" applyAlignment="1" applyProtection="1">
      <alignment horizontal="right"/>
      <protection locked="0"/>
    </xf>
    <xf numFmtId="3" fontId="31" fillId="0" borderId="1" xfId="7" applyNumberFormat="1" applyFont="1" applyBorder="1" applyAlignment="1">
      <alignment horizontal="right"/>
    </xf>
    <xf numFmtId="3" fontId="31" fillId="0" borderId="1" xfId="7" applyNumberFormat="1" applyFont="1" applyBorder="1" applyAlignment="1" applyProtection="1">
      <alignment horizontal="right"/>
      <protection locked="0"/>
    </xf>
    <xf numFmtId="0" fontId="16" fillId="0" borderId="4" xfId="7" applyFont="1" applyBorder="1" applyAlignment="1">
      <alignment horizontal="right"/>
    </xf>
    <xf numFmtId="0" fontId="16" fillId="0" borderId="4" xfId="7" applyFont="1" applyBorder="1" applyAlignment="1" applyProtection="1">
      <alignment horizontal="right"/>
      <protection locked="0"/>
    </xf>
    <xf numFmtId="3" fontId="31" fillId="0" borderId="4" xfId="848" applyNumberFormat="1" applyFont="1" applyBorder="1" applyAlignment="1">
      <alignment horizontal="right"/>
    </xf>
    <xf numFmtId="3" fontId="31" fillId="0" borderId="4" xfId="848" applyNumberFormat="1" applyFont="1" applyBorder="1" applyAlignment="1" applyProtection="1">
      <alignment horizontal="right"/>
      <protection locked="0"/>
    </xf>
    <xf numFmtId="3" fontId="46" fillId="0" borderId="4" xfId="848" applyNumberFormat="1" applyFont="1" applyBorder="1" applyAlignment="1">
      <alignment horizontal="right"/>
    </xf>
    <xf numFmtId="3" fontId="46" fillId="0" borderId="4" xfId="848" applyNumberFormat="1" applyFont="1" applyBorder="1" applyAlignment="1" applyProtection="1">
      <alignment horizontal="right"/>
      <protection locked="0"/>
    </xf>
    <xf numFmtId="3" fontId="31" fillId="0" borderId="11" xfId="848" applyNumberFormat="1" applyFont="1" applyBorder="1" applyAlignment="1">
      <alignment horizontal="right"/>
    </xf>
    <xf numFmtId="3" fontId="31" fillId="0" borderId="11" xfId="848" applyNumberFormat="1" applyFont="1" applyBorder="1" applyAlignment="1" applyProtection="1">
      <alignment horizontal="right"/>
      <protection locked="0"/>
    </xf>
    <xf numFmtId="3" fontId="16" fillId="0" borderId="4" xfId="7" applyNumberFormat="1" applyFont="1" applyBorder="1" applyAlignment="1">
      <alignment horizontal="right"/>
    </xf>
    <xf numFmtId="3" fontId="16" fillId="0" borderId="4" xfId="7" applyNumberFormat="1" applyFont="1" applyBorder="1" applyAlignment="1" applyProtection="1">
      <alignment horizontal="right"/>
      <protection locked="0"/>
    </xf>
    <xf numFmtId="3" fontId="31" fillId="0" borderId="6" xfId="848" applyNumberFormat="1" applyFont="1" applyBorder="1" applyAlignment="1">
      <alignment horizontal="right"/>
    </xf>
    <xf numFmtId="3" fontId="31" fillId="0" borderId="6" xfId="848" applyNumberFormat="1" applyFont="1" applyBorder="1" applyAlignment="1" applyProtection="1">
      <alignment horizontal="right"/>
      <protection locked="0"/>
    </xf>
    <xf numFmtId="3" fontId="31" fillId="0" borderId="3" xfId="7" applyNumberFormat="1" applyFont="1" applyBorder="1" applyAlignment="1">
      <alignment horizontal="right"/>
    </xf>
    <xf numFmtId="3" fontId="31" fillId="0" borderId="3" xfId="7" applyNumberFormat="1" applyFont="1" applyBorder="1" applyAlignment="1" applyProtection="1">
      <alignment horizontal="right"/>
      <protection locked="0"/>
    </xf>
    <xf numFmtId="3" fontId="46" fillId="0" borderId="3" xfId="7" applyNumberFormat="1" applyFont="1" applyBorder="1" applyAlignment="1">
      <alignment horizontal="right"/>
    </xf>
    <xf numFmtId="3" fontId="46" fillId="0" borderId="3" xfId="7" applyNumberFormat="1" applyFont="1" applyBorder="1" applyAlignment="1" applyProtection="1">
      <alignment horizontal="right"/>
      <protection locked="0"/>
    </xf>
    <xf numFmtId="3" fontId="31" fillId="0" borderId="6" xfId="7" applyNumberFormat="1" applyFont="1" applyBorder="1" applyAlignment="1">
      <alignment horizontal="right"/>
    </xf>
    <xf numFmtId="3" fontId="31" fillId="0" borderId="6" xfId="7" applyNumberFormat="1" applyFont="1" applyBorder="1" applyAlignment="1" applyProtection="1">
      <alignment horizontal="right"/>
      <protection locked="0"/>
    </xf>
    <xf numFmtId="3" fontId="31" fillId="0" borderId="3" xfId="848" applyNumberFormat="1" applyFont="1" applyBorder="1" applyAlignment="1">
      <alignment horizontal="right"/>
    </xf>
    <xf numFmtId="3" fontId="31" fillId="0" borderId="3" xfId="848" applyNumberFormat="1" applyFont="1" applyBorder="1" applyAlignment="1" applyProtection="1">
      <alignment horizontal="right"/>
      <protection locked="0"/>
    </xf>
    <xf numFmtId="3" fontId="46" fillId="0" borderId="3" xfId="848" applyNumberFormat="1" applyFont="1" applyBorder="1" applyAlignment="1">
      <alignment horizontal="right"/>
    </xf>
    <xf numFmtId="3" fontId="46" fillId="0" borderId="3" xfId="848" applyNumberFormat="1" applyFont="1" applyBorder="1" applyAlignment="1" applyProtection="1">
      <alignment horizontal="right"/>
      <protection locked="0"/>
    </xf>
    <xf numFmtId="4" fontId="31" fillId="0" borderId="4" xfId="7" applyNumberFormat="1" applyFont="1" applyBorder="1" applyAlignment="1">
      <alignment horizontal="right"/>
    </xf>
    <xf numFmtId="4" fontId="31" fillId="0" borderId="3" xfId="7" applyNumberFormat="1" applyFont="1" applyBorder="1" applyAlignment="1">
      <alignment horizontal="right"/>
    </xf>
    <xf numFmtId="4" fontId="31" fillId="0" borderId="4" xfId="7" applyNumberFormat="1" applyFont="1" applyBorder="1" applyAlignment="1" applyProtection="1">
      <alignment horizontal="right"/>
      <protection locked="0"/>
    </xf>
    <xf numFmtId="4" fontId="46" fillId="0" borderId="3" xfId="7" applyNumberFormat="1" applyFont="1" applyBorder="1" applyAlignment="1" applyProtection="1">
      <alignment horizontal="right"/>
      <protection locked="0"/>
    </xf>
    <xf numFmtId="4" fontId="31" fillId="0" borderId="3" xfId="7" applyNumberFormat="1" applyFont="1" applyBorder="1" applyAlignment="1" applyProtection="1">
      <alignment horizontal="right"/>
      <protection locked="0"/>
    </xf>
    <xf numFmtId="4" fontId="31" fillId="0" borderId="6" xfId="7" applyNumberFormat="1" applyFont="1" applyBorder="1" applyAlignment="1" applyProtection="1">
      <alignment horizontal="right"/>
      <protection locked="0"/>
    </xf>
    <xf numFmtId="3" fontId="31" fillId="4" borderId="0" xfId="7" applyNumberFormat="1" applyFont="1" applyFill="1" applyAlignment="1" applyProtection="1">
      <alignment horizontal="right"/>
      <protection locked="0"/>
    </xf>
    <xf numFmtId="4" fontId="46" fillId="0" borderId="4" xfId="7" applyNumberFormat="1" applyFont="1" applyBorder="1" applyAlignment="1" applyProtection="1">
      <alignment horizontal="right"/>
      <protection locked="0"/>
    </xf>
    <xf numFmtId="3" fontId="31" fillId="0" borderId="7" xfId="7" applyNumberFormat="1" applyFont="1" applyBorder="1" applyAlignment="1">
      <alignment horizontal="right"/>
    </xf>
    <xf numFmtId="3" fontId="31" fillId="0" borderId="2" xfId="7" applyNumberFormat="1" applyFont="1" applyBorder="1" applyAlignment="1">
      <alignment horizontal="right"/>
    </xf>
    <xf numFmtId="4" fontId="31" fillId="4" borderId="3" xfId="0" applyNumberFormat="1" applyFont="1" applyFill="1" applyBorder="1" applyAlignment="1">
      <alignment horizontal="right"/>
    </xf>
    <xf numFmtId="4" fontId="31" fillId="0" borderId="11" xfId="7" applyNumberFormat="1" applyFont="1" applyBorder="1" applyAlignment="1" applyProtection="1">
      <alignment horizontal="right"/>
      <protection locked="0"/>
    </xf>
    <xf numFmtId="0" fontId="46" fillId="0" borderId="1" xfId="1" applyNumberFormat="1" applyFont="1" applyFill="1" applyBorder="1" applyAlignment="1" applyProtection="1">
      <alignment horizontal="center"/>
      <protection locked="0"/>
    </xf>
    <xf numFmtId="0" fontId="46" fillId="0" borderId="14" xfId="1" applyNumberFormat="1" applyFont="1" applyFill="1" applyBorder="1" applyAlignment="1" applyProtection="1">
      <alignment horizontal="center"/>
      <protection locked="0"/>
    </xf>
    <xf numFmtId="0" fontId="46" fillId="0" borderId="15" xfId="1" applyNumberFormat="1" applyFont="1" applyFill="1" applyBorder="1" applyAlignment="1" applyProtection="1">
      <alignment horizontal="center"/>
      <protection locked="0"/>
    </xf>
    <xf numFmtId="0" fontId="46" fillId="0" borderId="1" xfId="7" applyNumberFormat="1" applyFont="1" applyFill="1" applyBorder="1" applyAlignment="1" applyProtection="1">
      <alignment horizontal="center"/>
      <protection locked="0"/>
    </xf>
    <xf numFmtId="0" fontId="46" fillId="0" borderId="14" xfId="7" applyNumberFormat="1" applyFont="1" applyFill="1" applyBorder="1" applyAlignment="1" applyProtection="1">
      <alignment horizontal="center"/>
      <protection locked="0"/>
    </xf>
    <xf numFmtId="0" fontId="46" fillId="0" borderId="15" xfId="7" applyNumberFormat="1" applyFont="1" applyFill="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46" fillId="0" borderId="14" xfId="845" applyNumberFormat="1" applyFont="1" applyFill="1" applyBorder="1" applyAlignment="1" applyProtection="1">
      <alignment horizontal="center"/>
      <protection locked="0"/>
    </xf>
    <xf numFmtId="0" fontId="46" fillId="0" borderId="15" xfId="845" applyNumberFormat="1" applyFont="1" applyFill="1" applyBorder="1" applyAlignment="1" applyProtection="1">
      <alignment horizontal="center"/>
      <protection locked="0"/>
    </xf>
    <xf numFmtId="0" fontId="46" fillId="0" borderId="12" xfId="845" applyNumberFormat="1" applyFont="1" applyFill="1" applyBorder="1" applyAlignment="1" applyProtection="1">
      <alignment horizontal="center"/>
      <protection locked="0"/>
    </xf>
    <xf numFmtId="0" fontId="46" fillId="0" borderId="5" xfId="845" applyNumberFormat="1" applyFont="1" applyFill="1" applyBorder="1" applyAlignment="1" applyProtection="1">
      <alignment horizontal="center"/>
      <protection locked="0"/>
    </xf>
    <xf numFmtId="3" fontId="61" fillId="0" borderId="3" xfId="0" applyNumberFormat="1" applyFont="1" applyBorder="1" applyAlignment="1">
      <alignment horizontal="right"/>
    </xf>
    <xf numFmtId="3" fontId="31" fillId="0" borderId="3" xfId="0" applyNumberFormat="1" applyFont="1" applyFill="1" applyBorder="1" applyAlignment="1">
      <alignment horizontal="right"/>
    </xf>
    <xf numFmtId="0" fontId="46" fillId="0" borderId="1" xfId="1" applyNumberFormat="1" applyFont="1" applyFill="1" applyBorder="1" applyAlignment="1" applyProtection="1">
      <alignment horizontal="center"/>
      <protection locked="0"/>
    </xf>
    <xf numFmtId="0" fontId="46" fillId="0" borderId="14" xfId="1" applyNumberFormat="1" applyFont="1" applyFill="1" applyBorder="1" applyAlignment="1" applyProtection="1">
      <alignment horizontal="center"/>
      <protection locked="0"/>
    </xf>
    <xf numFmtId="0" fontId="46" fillId="0" borderId="15" xfId="1" applyNumberFormat="1" applyFont="1" applyFill="1" applyBorder="1" applyAlignment="1" applyProtection="1">
      <alignment horizontal="center"/>
      <protection locked="0"/>
    </xf>
    <xf numFmtId="0" fontId="46" fillId="0" borderId="1" xfId="7" applyNumberFormat="1" applyFont="1" applyFill="1" applyBorder="1" applyAlignment="1" applyProtection="1">
      <alignment horizontal="center"/>
      <protection locked="0"/>
    </xf>
    <xf numFmtId="0" fontId="46" fillId="0" borderId="14" xfId="7" applyNumberFormat="1" applyFont="1" applyFill="1" applyBorder="1" applyAlignment="1" applyProtection="1">
      <alignment horizontal="center"/>
      <protection locked="0"/>
    </xf>
    <xf numFmtId="0" fontId="46" fillId="0" borderId="15" xfId="7" applyNumberFormat="1" applyFont="1" applyFill="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3" fontId="31" fillId="0" borderId="4" xfId="847" applyNumberFormat="1" applyFont="1" applyBorder="1" applyAlignment="1" applyProtection="1">
      <alignment horizontal="right"/>
    </xf>
    <xf numFmtId="3" fontId="31" fillId="0" borderId="3" xfId="847" applyNumberFormat="1" applyFont="1" applyBorder="1" applyAlignment="1" applyProtection="1">
      <alignment horizontal="right"/>
    </xf>
    <xf numFmtId="173" fontId="31" fillId="0" borderId="3" xfId="848" applyNumberFormat="1" applyFont="1" applyBorder="1" applyAlignment="1" applyProtection="1">
      <alignment horizontal="right"/>
      <protection locked="0"/>
    </xf>
    <xf numFmtId="0" fontId="46" fillId="0" borderId="3" xfId="0" applyFont="1" applyFill="1" applyBorder="1" applyProtection="1">
      <protection locked="0"/>
    </xf>
    <xf numFmtId="0" fontId="46" fillId="0" borderId="6" xfId="0" applyFont="1" applyFill="1" applyBorder="1" applyProtection="1">
      <protection locked="0"/>
    </xf>
    <xf numFmtId="3" fontId="46" fillId="0" borderId="7" xfId="1" applyNumberFormat="1" applyFont="1" applyFill="1" applyBorder="1" applyAlignment="1" applyProtection="1">
      <alignment horizontal="right"/>
      <protection locked="0"/>
    </xf>
    <xf numFmtId="3" fontId="46" fillId="0" borderId="1" xfId="15" applyNumberFormat="1" applyFont="1" applyFill="1" applyBorder="1" applyAlignment="1" applyProtection="1">
      <alignment horizontal="right"/>
    </xf>
    <xf numFmtId="3" fontId="46" fillId="0" borderId="1" xfId="14" applyNumberFormat="1" applyFont="1" applyFill="1" applyBorder="1" applyAlignment="1" applyProtection="1">
      <alignment horizontal="right"/>
      <protection locked="0"/>
    </xf>
    <xf numFmtId="3" fontId="46" fillId="0" borderId="1" xfId="1" applyNumberFormat="1" applyFont="1" applyFill="1" applyBorder="1" applyAlignment="1" applyProtection="1">
      <alignment horizontal="right"/>
      <protection locked="0"/>
    </xf>
    <xf numFmtId="0" fontId="46" fillId="0" borderId="1" xfId="1" applyFont="1" applyFill="1" applyBorder="1" applyAlignment="1" applyProtection="1">
      <alignment horizontal="right"/>
      <protection locked="0"/>
    </xf>
    <xf numFmtId="0" fontId="46" fillId="0" borderId="7" xfId="1" applyFont="1" applyFill="1" applyBorder="1" applyAlignment="1" applyProtection="1">
      <alignment horizontal="right"/>
      <protection locked="0"/>
    </xf>
    <xf numFmtId="3" fontId="31" fillId="0" borderId="3" xfId="0" applyNumberFormat="1" applyFont="1" applyFill="1" applyBorder="1" applyProtection="1">
      <protection locked="0"/>
    </xf>
    <xf numFmtId="3" fontId="31" fillId="0" borderId="6" xfId="0" applyNumberFormat="1" applyFont="1" applyFill="1" applyBorder="1"/>
    <xf numFmtId="3" fontId="31" fillId="0" borderId="6" xfId="0" applyNumberFormat="1" applyFont="1" applyFill="1" applyBorder="1" applyProtection="1">
      <protection locked="0"/>
    </xf>
    <xf numFmtId="3" fontId="31" fillId="0" borderId="4" xfId="848" applyNumberFormat="1" applyFont="1" applyFill="1" applyBorder="1" applyAlignment="1">
      <alignment horizontal="right"/>
    </xf>
    <xf numFmtId="0" fontId="77" fillId="0" borderId="0" xfId="1" applyFont="1" applyFill="1" applyProtection="1">
      <protection locked="0"/>
    </xf>
    <xf numFmtId="0" fontId="18" fillId="0" borderId="3" xfId="0" applyFont="1" applyBorder="1"/>
    <xf numFmtId="0" fontId="31" fillId="0" borderId="6" xfId="0" applyFont="1" applyFill="1" applyBorder="1" applyProtection="1">
      <protection locked="0"/>
    </xf>
    <xf numFmtId="165" fontId="31" fillId="0" borderId="4" xfId="7" applyNumberFormat="1" applyFont="1" applyBorder="1" applyAlignment="1" applyProtection="1">
      <alignment horizontal="right"/>
      <protection locked="0"/>
    </xf>
    <xf numFmtId="165" fontId="31" fillId="0" borderId="3" xfId="7" applyNumberFormat="1" applyFont="1" applyBorder="1" applyAlignment="1" applyProtection="1">
      <alignment horizontal="right"/>
      <protection locked="0"/>
    </xf>
    <xf numFmtId="165" fontId="31" fillId="4" borderId="6" xfId="7" applyNumberFormat="1" applyFont="1" applyFill="1" applyBorder="1" applyAlignment="1" applyProtection="1">
      <alignment horizontal="right"/>
      <protection locked="0"/>
    </xf>
    <xf numFmtId="10" fontId="46" fillId="0" borderId="3" xfId="852" applyNumberFormat="1" applyFont="1" applyFill="1" applyBorder="1" applyAlignment="1" applyProtection="1">
      <alignment horizontal="right"/>
      <protection locked="0"/>
    </xf>
    <xf numFmtId="4" fontId="31" fillId="0" borderId="0" xfId="7" applyNumberFormat="1" applyFont="1" applyAlignment="1" applyProtection="1">
      <alignment horizontal="right"/>
      <protection locked="0"/>
    </xf>
    <xf numFmtId="3" fontId="18" fillId="0" borderId="8" xfId="1" applyNumberFormat="1" applyFont="1" applyFill="1" applyBorder="1"/>
    <xf numFmtId="3" fontId="16" fillId="0" borderId="6" xfId="1" applyNumberFormat="1" applyFont="1" applyFill="1" applyBorder="1"/>
    <xf numFmtId="3" fontId="16" fillId="0" borderId="11" xfId="1" applyNumberFormat="1" applyFont="1" applyFill="1" applyBorder="1"/>
    <xf numFmtId="175" fontId="20" fillId="0" borderId="0" xfId="0" applyNumberFormat="1" applyFont="1" applyProtection="1">
      <protection locked="0"/>
    </xf>
    <xf numFmtId="174" fontId="0" fillId="0" borderId="0" xfId="0" applyNumberFormat="1" applyProtection="1">
      <protection locked="0"/>
    </xf>
    <xf numFmtId="3" fontId="46" fillId="0" borderId="2" xfId="0" quotePrefix="1" applyNumberFormat="1" applyFont="1" applyBorder="1" applyAlignment="1">
      <alignment horizontal="right"/>
    </xf>
    <xf numFmtId="3" fontId="46" fillId="0" borderId="3" xfId="0" quotePrefix="1" applyNumberFormat="1" applyFont="1" applyBorder="1" applyAlignment="1">
      <alignment horizontal="right"/>
    </xf>
    <xf numFmtId="173" fontId="31" fillId="0" borderId="3" xfId="0" applyNumberFormat="1" applyFont="1" applyBorder="1" applyAlignment="1">
      <alignment horizontal="right"/>
    </xf>
    <xf numFmtId="173" fontId="31" fillId="0" borderId="3" xfId="0" applyNumberFormat="1" applyFont="1" applyBorder="1" applyAlignment="1" applyProtection="1">
      <alignment horizontal="right"/>
      <protection locked="0"/>
    </xf>
    <xf numFmtId="173" fontId="31" fillId="4" borderId="3" xfId="0" applyNumberFormat="1" applyFont="1" applyFill="1" applyBorder="1" applyAlignment="1" applyProtection="1">
      <alignment horizontal="right"/>
      <protection locked="0"/>
    </xf>
    <xf numFmtId="173" fontId="31" fillId="4" borderId="4" xfId="0" applyNumberFormat="1" applyFont="1" applyFill="1" applyBorder="1" applyAlignment="1" applyProtection="1">
      <alignment horizontal="right"/>
      <protection locked="0"/>
    </xf>
    <xf numFmtId="173" fontId="31" fillId="4" borderId="4" xfId="0" applyNumberFormat="1" applyFont="1" applyFill="1" applyBorder="1" applyAlignment="1" applyProtection="1">
      <alignment horizontal="right"/>
    </xf>
    <xf numFmtId="14" fontId="31" fillId="0" borderId="0" xfId="1" applyNumberFormat="1" applyFont="1" applyAlignment="1">
      <alignment horizontal="center"/>
    </xf>
    <xf numFmtId="0" fontId="16" fillId="8" borderId="0" xfId="0" applyFont="1" applyFill="1" applyBorder="1" applyAlignment="1">
      <alignment horizontal="center"/>
    </xf>
    <xf numFmtId="0" fontId="16" fillId="8" borderId="2" xfId="0" applyFont="1" applyFill="1" applyBorder="1" applyAlignment="1">
      <alignment horizontal="center"/>
    </xf>
    <xf numFmtId="0" fontId="46" fillId="0" borderId="12" xfId="0" applyFont="1" applyBorder="1" applyAlignment="1">
      <alignment horizontal="left"/>
    </xf>
    <xf numFmtId="0" fontId="46" fillId="0" borderId="10" xfId="0" applyFont="1" applyBorder="1" applyAlignment="1">
      <alignment horizontal="center"/>
    </xf>
    <xf numFmtId="0" fontId="46" fillId="0" borderId="8" xfId="0" applyFont="1" applyBorder="1" applyAlignment="1">
      <alignment horizontal="center"/>
    </xf>
    <xf numFmtId="0" fontId="46" fillId="0" borderId="9" xfId="0" applyFont="1" applyBorder="1" applyAlignment="1">
      <alignment horizontal="center"/>
    </xf>
    <xf numFmtId="0" fontId="16" fillId="8" borderId="4" xfId="0" applyFont="1" applyFill="1" applyBorder="1" applyAlignment="1">
      <alignment horizontal="center"/>
    </xf>
    <xf numFmtId="0" fontId="46" fillId="0" borderId="14" xfId="0" applyFont="1" applyBorder="1" applyAlignment="1">
      <alignment horizontal="center"/>
    </xf>
    <xf numFmtId="0" fontId="46" fillId="0" borderId="15" xfId="0" applyFont="1" applyBorder="1" applyAlignment="1">
      <alignment horizontal="center"/>
    </xf>
    <xf numFmtId="0" fontId="46" fillId="0" borderId="1" xfId="0" applyFont="1" applyBorder="1" applyAlignment="1">
      <alignment horizontal="center"/>
    </xf>
    <xf numFmtId="14" fontId="14" fillId="0" borderId="11" xfId="0" applyNumberFormat="1" applyFont="1" applyFill="1" applyBorder="1" applyAlignment="1">
      <alignment horizontal="center"/>
    </xf>
    <xf numFmtId="14" fontId="14" fillId="0" borderId="12" xfId="0" applyNumberFormat="1" applyFont="1" applyFill="1" applyBorder="1" applyAlignment="1">
      <alignment horizontal="center"/>
    </xf>
    <xf numFmtId="14" fontId="14" fillId="0" borderId="5" xfId="0" applyNumberFormat="1" applyFont="1" applyFill="1" applyBorder="1" applyAlignment="1">
      <alignment horizontal="center"/>
    </xf>
    <xf numFmtId="3" fontId="46" fillId="0" borderId="11" xfId="0" applyNumberFormat="1" applyFont="1" applyBorder="1" applyAlignment="1">
      <alignment horizontal="center"/>
    </xf>
    <xf numFmtId="3" fontId="46" fillId="0" borderId="12" xfId="0" applyNumberFormat="1" applyFont="1" applyBorder="1" applyAlignment="1">
      <alignment horizontal="center"/>
    </xf>
    <xf numFmtId="3" fontId="46" fillId="0" borderId="5" xfId="0" applyNumberFormat="1" applyFont="1" applyBorder="1" applyAlignment="1">
      <alignment horizontal="center"/>
    </xf>
    <xf numFmtId="0" fontId="14" fillId="0" borderId="0" xfId="1" applyFont="1" applyBorder="1" applyAlignment="1">
      <alignment horizontal="center"/>
    </xf>
    <xf numFmtId="0" fontId="16" fillId="0" borderId="10" xfId="1" applyFont="1" applyBorder="1" applyAlignment="1">
      <alignment horizontal="center"/>
    </xf>
    <xf numFmtId="0" fontId="16" fillId="0" borderId="8" xfId="1" applyFont="1" applyBorder="1" applyAlignment="1">
      <alignment horizontal="center"/>
    </xf>
    <xf numFmtId="0" fontId="16" fillId="0" borderId="9" xfId="1" applyFont="1" applyBorder="1" applyAlignment="1">
      <alignment horizontal="center"/>
    </xf>
    <xf numFmtId="0" fontId="14" fillId="0" borderId="0" xfId="1" applyFont="1" applyFill="1" applyBorder="1" applyAlignment="1">
      <alignment horizontal="center"/>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4" xfId="1" applyNumberFormat="1" applyFont="1" applyFill="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0" fontId="46" fillId="0" borderId="11" xfId="1" applyNumberFormat="1" applyFont="1" applyFill="1" applyBorder="1" applyAlignment="1" applyProtection="1">
      <alignment horizontal="center"/>
      <protection locked="0"/>
    </xf>
    <xf numFmtId="0" fontId="46" fillId="0" borderId="12" xfId="1" applyNumberFormat="1" applyFont="1" applyFill="1" applyBorder="1" applyAlignment="1" applyProtection="1">
      <alignment horizontal="center"/>
      <protection locked="0"/>
    </xf>
    <xf numFmtId="0" fontId="46" fillId="0" borderId="5" xfId="1" applyNumberFormat="1" applyFont="1" applyFill="1" applyBorder="1" applyAlignment="1" applyProtection="1">
      <alignment horizontal="center"/>
      <protection locked="0"/>
    </xf>
    <xf numFmtId="0" fontId="46" fillId="0" borderId="11" xfId="1" applyFont="1" applyFill="1" applyBorder="1" applyAlignment="1" applyProtection="1">
      <alignment horizontal="center"/>
      <protection locked="0"/>
    </xf>
    <xf numFmtId="0" fontId="46" fillId="0" borderId="12" xfId="1" applyFont="1" applyFill="1" applyBorder="1" applyAlignment="1" applyProtection="1">
      <alignment horizontal="center"/>
      <protection locked="0"/>
    </xf>
    <xf numFmtId="0" fontId="46" fillId="0" borderId="5" xfId="1" applyFont="1" applyFill="1" applyBorder="1" applyAlignment="1" applyProtection="1">
      <alignment horizontal="center"/>
      <protection locked="0"/>
    </xf>
    <xf numFmtId="0" fontId="46" fillId="0" borderId="1" xfId="1" applyNumberFormat="1" applyFont="1" applyFill="1" applyBorder="1" applyAlignment="1" applyProtection="1">
      <alignment horizontal="center"/>
      <protection locked="0"/>
    </xf>
    <xf numFmtId="0" fontId="46" fillId="0" borderId="14" xfId="1" applyNumberFormat="1" applyFont="1" applyFill="1" applyBorder="1" applyAlignment="1" applyProtection="1">
      <alignment horizontal="center"/>
      <protection locked="0"/>
    </xf>
    <xf numFmtId="0" fontId="46" fillId="0" borderId="15" xfId="1" applyNumberFormat="1" applyFont="1" applyFill="1" applyBorder="1" applyAlignment="1" applyProtection="1">
      <alignment horizontal="center"/>
      <protection locked="0"/>
    </xf>
    <xf numFmtId="0" fontId="46" fillId="0" borderId="1" xfId="1" applyFont="1" applyFill="1" applyBorder="1" applyAlignment="1" applyProtection="1">
      <alignment horizontal="center"/>
      <protection locked="0"/>
    </xf>
    <xf numFmtId="0" fontId="46" fillId="0" borderId="14" xfId="1" applyFont="1" applyFill="1" applyBorder="1" applyAlignment="1" applyProtection="1">
      <alignment horizontal="center"/>
      <protection locked="0"/>
    </xf>
    <xf numFmtId="0" fontId="46" fillId="0" borderId="15" xfId="1" applyFont="1" applyFill="1" applyBorder="1" applyAlignment="1" applyProtection="1">
      <alignment horizontal="center"/>
      <protection locked="0"/>
    </xf>
    <xf numFmtId="0" fontId="46" fillId="0" borderId="11" xfId="7" applyFont="1" applyBorder="1" applyAlignment="1" applyProtection="1">
      <alignment horizontal="center"/>
      <protection locked="0"/>
    </xf>
    <xf numFmtId="0" fontId="46" fillId="0" borderId="12" xfId="7" applyFont="1" applyBorder="1" applyAlignment="1" applyProtection="1">
      <alignment horizontal="center"/>
      <protection locked="0"/>
    </xf>
    <xf numFmtId="0" fontId="46" fillId="0" borderId="5" xfId="7" applyFont="1" applyBorder="1" applyAlignment="1" applyProtection="1">
      <alignment horizontal="center"/>
      <protection locked="0"/>
    </xf>
    <xf numFmtId="0" fontId="46" fillId="0" borderId="11" xfId="848" applyNumberFormat="1" applyFont="1" applyFill="1" applyBorder="1" applyAlignment="1" applyProtection="1">
      <alignment horizontal="center"/>
      <protection locked="0"/>
    </xf>
    <xf numFmtId="0" fontId="46" fillId="0" borderId="12" xfId="848" applyNumberFormat="1" applyFont="1" applyFill="1" applyBorder="1" applyAlignment="1" applyProtection="1">
      <alignment horizontal="center"/>
      <protection locked="0"/>
    </xf>
    <xf numFmtId="0" fontId="46" fillId="0" borderId="5" xfId="848" applyNumberFormat="1" applyFont="1" applyFill="1" applyBorder="1" applyAlignment="1" applyProtection="1">
      <alignment horizontal="center"/>
      <protection locked="0"/>
    </xf>
    <xf numFmtId="0" fontId="46" fillId="0" borderId="11" xfId="7" applyNumberFormat="1" applyFont="1" applyFill="1" applyBorder="1" applyAlignment="1" applyProtection="1">
      <alignment horizontal="center"/>
      <protection locked="0"/>
    </xf>
    <xf numFmtId="0" fontId="46" fillId="0" borderId="12" xfId="7" applyNumberFormat="1" applyFont="1" applyFill="1" applyBorder="1" applyAlignment="1" applyProtection="1">
      <alignment horizontal="center"/>
      <protection locked="0"/>
    </xf>
    <xf numFmtId="0" fontId="46" fillId="0" borderId="5" xfId="7" applyNumberFormat="1" applyFont="1" applyFill="1" applyBorder="1" applyAlignment="1" applyProtection="1">
      <alignment horizontal="center"/>
      <protection locked="0"/>
    </xf>
    <xf numFmtId="0" fontId="46" fillId="0" borderId="1" xfId="7" applyNumberFormat="1" applyFont="1" applyFill="1" applyBorder="1" applyAlignment="1" applyProtection="1">
      <alignment horizontal="center"/>
      <protection locked="0"/>
    </xf>
    <xf numFmtId="0" fontId="46" fillId="0" borderId="14" xfId="7" applyNumberFormat="1" applyFont="1" applyFill="1" applyBorder="1" applyAlignment="1" applyProtection="1">
      <alignment horizontal="center"/>
      <protection locked="0"/>
    </xf>
    <xf numFmtId="0" fontId="46" fillId="0" borderId="15" xfId="7" applyNumberFormat="1" applyFont="1" applyFill="1" applyBorder="1" applyAlignment="1" applyProtection="1">
      <alignment horizontal="center"/>
      <protection locked="0"/>
    </xf>
    <xf numFmtId="0" fontId="46" fillId="0" borderId="1" xfId="7" applyFont="1" applyBorder="1" applyAlignment="1" applyProtection="1">
      <alignment horizontal="center"/>
      <protection locked="0"/>
    </xf>
    <xf numFmtId="0" fontId="46" fillId="0" borderId="14" xfId="7" applyFont="1" applyBorder="1" applyAlignment="1" applyProtection="1">
      <alignment horizontal="center"/>
      <protection locked="0"/>
    </xf>
    <xf numFmtId="0" fontId="46" fillId="0" borderId="15" xfId="7" applyFont="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46" fillId="0" borderId="11" xfId="0" applyNumberFormat="1" applyFont="1" applyFill="1" applyBorder="1" applyAlignment="1" applyProtection="1">
      <alignment horizontal="center"/>
      <protection locked="0"/>
    </xf>
    <xf numFmtId="0" fontId="46" fillId="0" borderId="12" xfId="0" applyNumberFormat="1" applyFont="1" applyFill="1" applyBorder="1" applyAlignment="1" applyProtection="1">
      <alignment horizontal="center"/>
      <protection locked="0"/>
    </xf>
    <xf numFmtId="0" fontId="46" fillId="0" borderId="5" xfId="0" applyNumberFormat="1" applyFont="1" applyFill="1" applyBorder="1" applyAlignment="1" applyProtection="1">
      <alignment horizontal="center"/>
      <protection locked="0"/>
    </xf>
    <xf numFmtId="0" fontId="46" fillId="4" borderId="0" xfId="0" applyNumberFormat="1" applyFont="1" applyFill="1" applyBorder="1" applyAlignment="1" applyProtection="1">
      <alignment horizontal="center"/>
      <protection locked="0"/>
    </xf>
    <xf numFmtId="0" fontId="46" fillId="0" borderId="0" xfId="1" applyNumberFormat="1" applyFont="1" applyFill="1" applyBorder="1" applyAlignment="1" applyProtection="1">
      <alignment horizontal="center"/>
      <protection locked="0"/>
    </xf>
    <xf numFmtId="0" fontId="46" fillId="0" borderId="11" xfId="845" applyNumberFormat="1" applyFont="1" applyFill="1" applyBorder="1" applyAlignment="1" applyProtection="1">
      <alignment horizontal="center"/>
      <protection locked="0"/>
    </xf>
    <xf numFmtId="0" fontId="46" fillId="0" borderId="12" xfId="845" applyNumberFormat="1" applyFont="1" applyFill="1" applyBorder="1" applyAlignment="1" applyProtection="1">
      <alignment horizontal="center"/>
      <protection locked="0"/>
    </xf>
    <xf numFmtId="0" fontId="46" fillId="0" borderId="5" xfId="845" applyNumberFormat="1" applyFont="1" applyFill="1" applyBorder="1" applyAlignment="1" applyProtection="1">
      <alignment horizontal="center"/>
      <protection locked="0"/>
    </xf>
    <xf numFmtId="0" fontId="46" fillId="0" borderId="1" xfId="845" applyNumberFormat="1" applyFont="1" applyFill="1" applyBorder="1" applyAlignment="1" applyProtection="1">
      <alignment horizontal="center"/>
      <protection locked="0"/>
    </xf>
    <xf numFmtId="0" fontId="46" fillId="0" borderId="14" xfId="845" applyNumberFormat="1" applyFont="1" applyFill="1" applyBorder="1" applyAlignment="1" applyProtection="1">
      <alignment horizontal="center"/>
      <protection locked="0"/>
    </xf>
    <xf numFmtId="0" fontId="46" fillId="0" borderId="15" xfId="845" applyNumberFormat="1" applyFont="1" applyFill="1" applyBorder="1" applyAlignment="1" applyProtection="1">
      <alignment horizontal="center"/>
      <protection locked="0"/>
    </xf>
    <xf numFmtId="0" fontId="46" fillId="4" borderId="0" xfId="1" applyNumberFormat="1" applyFont="1" applyFill="1" applyBorder="1" applyAlignment="1" applyProtection="1">
      <alignment horizontal="center"/>
      <protection locked="0"/>
    </xf>
  </cellXfs>
  <cellStyles count="853">
    <cellStyle name="20 % – uthevingsfarge 2" xfId="844" builtinId="34"/>
    <cellStyle name="40% - uthevingsfarge 4 2" xfId="38" xr:uid="{00000000-0005-0000-0000-000001000000}"/>
    <cellStyle name="40% - uthevingsfarge 4 2 10" xfId="771" xr:uid="{00000000-0005-0000-0000-000002000000}"/>
    <cellStyle name="40% - uthevingsfarge 4 2 2" xfId="80" xr:uid="{00000000-0005-0000-0000-000003000000}"/>
    <cellStyle name="40% - uthevingsfarge 4 2 2 2" xfId="173" xr:uid="{00000000-0005-0000-0000-000004000000}"/>
    <cellStyle name="40% - uthevingsfarge 4 2 2 3" xfId="263" xr:uid="{00000000-0005-0000-0000-000005000000}"/>
    <cellStyle name="40% - uthevingsfarge 4 2 2 4" xfId="353" xr:uid="{00000000-0005-0000-0000-000006000000}"/>
    <cellStyle name="40% - uthevingsfarge 4 2 2 5" xfId="443" xr:uid="{00000000-0005-0000-0000-000007000000}"/>
    <cellStyle name="40% - uthevingsfarge 4 2 2 6" xfId="533" xr:uid="{00000000-0005-0000-0000-000008000000}"/>
    <cellStyle name="40% - uthevingsfarge 4 2 2 7" xfId="623" xr:uid="{00000000-0005-0000-0000-000009000000}"/>
    <cellStyle name="40% - uthevingsfarge 4 2 2 8" xfId="713" xr:uid="{00000000-0005-0000-0000-00000A000000}"/>
    <cellStyle name="40% - uthevingsfarge 4 2 2 9" xfId="810" xr:uid="{00000000-0005-0000-0000-00000B000000}"/>
    <cellStyle name="40% - uthevingsfarge 4 2 3" xfId="136" xr:uid="{00000000-0005-0000-0000-00000C000000}"/>
    <cellStyle name="40% - uthevingsfarge 4 2 4" xfId="226" xr:uid="{00000000-0005-0000-0000-00000D000000}"/>
    <cellStyle name="40% - uthevingsfarge 4 2 5" xfId="316" xr:uid="{00000000-0005-0000-0000-00000E000000}"/>
    <cellStyle name="40% - uthevingsfarge 4 2 6" xfId="406" xr:uid="{00000000-0005-0000-0000-00000F000000}"/>
    <cellStyle name="40% - uthevingsfarge 4 2 7" xfId="496" xr:uid="{00000000-0005-0000-0000-000010000000}"/>
    <cellStyle name="40% - uthevingsfarge 4 2 8" xfId="586" xr:uid="{00000000-0005-0000-0000-000011000000}"/>
    <cellStyle name="40% - uthevingsfarge 4 2 9" xfId="676" xr:uid="{00000000-0005-0000-0000-000012000000}"/>
    <cellStyle name="Hyperkobling" xfId="3" builtinId="8"/>
    <cellStyle name="Komma" xfId="2" builtinId="3"/>
    <cellStyle name="Komma 2" xfId="847" xr:uid="{00000000-0005-0000-0000-000015000000}"/>
    <cellStyle name="Komma 2 3" xfId="850" xr:uid="{0D7BB789-C0BC-4F58-B366-11FD845789ED}"/>
    <cellStyle name="Merknad 2" xfId="94" xr:uid="{00000000-0005-0000-0000-000016000000}"/>
    <cellStyle name="Normal" xfId="0" builtinId="0"/>
    <cellStyle name="Normal 10" xfId="31" xr:uid="{00000000-0005-0000-0000-000018000000}"/>
    <cellStyle name="Normal 10 10" xfId="670" xr:uid="{00000000-0005-0000-0000-000019000000}"/>
    <cellStyle name="Normal 10 11" xfId="765" xr:uid="{00000000-0005-0000-0000-00001A000000}"/>
    <cellStyle name="Normal 10 2" xfId="53" xr:uid="{00000000-0005-0000-0000-00001B000000}"/>
    <cellStyle name="Normal 10 2 10" xfId="785" xr:uid="{00000000-0005-0000-0000-00001C000000}"/>
    <cellStyle name="Normal 10 2 2" xfId="93" xr:uid="{00000000-0005-0000-0000-00001D000000}"/>
    <cellStyle name="Normal 10 2 2 10" xfId="823" xr:uid="{00000000-0005-0000-0000-00001E000000}"/>
    <cellStyle name="Normal 10 2 2 2" xfId="6" xr:uid="{00000000-0005-0000-0000-00001F000000}"/>
    <cellStyle name="Normal 10 2 2 2 2" xfId="116" xr:uid="{00000000-0005-0000-0000-000020000000}"/>
    <cellStyle name="Normal 10 2 2 3" xfId="186" xr:uid="{00000000-0005-0000-0000-000021000000}"/>
    <cellStyle name="Normal 10 2 2 4" xfId="276" xr:uid="{00000000-0005-0000-0000-000022000000}"/>
    <cellStyle name="Normal 10 2 2 5" xfId="366" xr:uid="{00000000-0005-0000-0000-000023000000}"/>
    <cellStyle name="Normal 10 2 2 6" xfId="456" xr:uid="{00000000-0005-0000-0000-000024000000}"/>
    <cellStyle name="Normal 10 2 2 7" xfId="546" xr:uid="{00000000-0005-0000-0000-000025000000}"/>
    <cellStyle name="Normal 10 2 2 8" xfId="636" xr:uid="{00000000-0005-0000-0000-000026000000}"/>
    <cellStyle name="Normal 10 2 2 9" xfId="726" xr:uid="{00000000-0005-0000-0000-000027000000}"/>
    <cellStyle name="Normal 10 2 3" xfId="149" xr:uid="{00000000-0005-0000-0000-000028000000}"/>
    <cellStyle name="Normal 10 2 4" xfId="239" xr:uid="{00000000-0005-0000-0000-000029000000}"/>
    <cellStyle name="Normal 10 2 5" xfId="329" xr:uid="{00000000-0005-0000-0000-00002A000000}"/>
    <cellStyle name="Normal 10 2 6" xfId="419" xr:uid="{00000000-0005-0000-0000-00002B000000}"/>
    <cellStyle name="Normal 10 2 7" xfId="509" xr:uid="{00000000-0005-0000-0000-00002C000000}"/>
    <cellStyle name="Normal 10 2 8" xfId="599" xr:uid="{00000000-0005-0000-0000-00002D000000}"/>
    <cellStyle name="Normal 10 2 9" xfId="689" xr:uid="{00000000-0005-0000-0000-00002E000000}"/>
    <cellStyle name="Normal 10 3" xfId="74" xr:uid="{00000000-0005-0000-0000-00002F000000}"/>
    <cellStyle name="Normal 10 3 2" xfId="167" xr:uid="{00000000-0005-0000-0000-000030000000}"/>
    <cellStyle name="Normal 10 3 3" xfId="257" xr:uid="{00000000-0005-0000-0000-000031000000}"/>
    <cellStyle name="Normal 10 3 4" xfId="347" xr:uid="{00000000-0005-0000-0000-000032000000}"/>
    <cellStyle name="Normal 10 3 5" xfId="437" xr:uid="{00000000-0005-0000-0000-000033000000}"/>
    <cellStyle name="Normal 10 3 6" xfId="527" xr:uid="{00000000-0005-0000-0000-000034000000}"/>
    <cellStyle name="Normal 10 3 7" xfId="617" xr:uid="{00000000-0005-0000-0000-000035000000}"/>
    <cellStyle name="Normal 10 3 8" xfId="707" xr:uid="{00000000-0005-0000-0000-000036000000}"/>
    <cellStyle name="Normal 10 3 9" xfId="804" xr:uid="{00000000-0005-0000-0000-000037000000}"/>
    <cellStyle name="Normal 10 4" xfId="130" xr:uid="{00000000-0005-0000-0000-000038000000}"/>
    <cellStyle name="Normal 10 5" xfId="220" xr:uid="{00000000-0005-0000-0000-000039000000}"/>
    <cellStyle name="Normal 10 6" xfId="310" xr:uid="{00000000-0005-0000-0000-00003A000000}"/>
    <cellStyle name="Normal 10 7" xfId="400" xr:uid="{00000000-0005-0000-0000-00003B000000}"/>
    <cellStyle name="Normal 10 8" xfId="490" xr:uid="{00000000-0005-0000-0000-00003C000000}"/>
    <cellStyle name="Normal 10 9" xfId="580" xr:uid="{00000000-0005-0000-0000-00003D000000}"/>
    <cellStyle name="Normal 11" xfId="35" xr:uid="{00000000-0005-0000-0000-00003E000000}"/>
    <cellStyle name="Normal 11 10" xfId="673" xr:uid="{00000000-0005-0000-0000-00003F000000}"/>
    <cellStyle name="Normal 11 11" xfId="768" xr:uid="{00000000-0005-0000-0000-000040000000}"/>
    <cellStyle name="Normal 11 2" xfId="57" xr:uid="{00000000-0005-0000-0000-000041000000}"/>
    <cellStyle name="Normal 11 2 10" xfId="788" xr:uid="{00000000-0005-0000-0000-000042000000}"/>
    <cellStyle name="Normal 11 2 2" xfId="97" xr:uid="{00000000-0005-0000-0000-000043000000}"/>
    <cellStyle name="Normal 11 2 2 2" xfId="189" xr:uid="{00000000-0005-0000-0000-000044000000}"/>
    <cellStyle name="Normal 11 2 2 3" xfId="279" xr:uid="{00000000-0005-0000-0000-000045000000}"/>
    <cellStyle name="Normal 11 2 2 4" xfId="369" xr:uid="{00000000-0005-0000-0000-000046000000}"/>
    <cellStyle name="Normal 11 2 2 5" xfId="459" xr:uid="{00000000-0005-0000-0000-000047000000}"/>
    <cellStyle name="Normal 11 2 2 6" xfId="549" xr:uid="{00000000-0005-0000-0000-000048000000}"/>
    <cellStyle name="Normal 11 2 2 7" xfId="639" xr:uid="{00000000-0005-0000-0000-000049000000}"/>
    <cellStyle name="Normal 11 2 2 8" xfId="729" xr:uid="{00000000-0005-0000-0000-00004A000000}"/>
    <cellStyle name="Normal 11 2 2 9" xfId="826" xr:uid="{00000000-0005-0000-0000-00004B000000}"/>
    <cellStyle name="Normal 11 2 3" xfId="152" xr:uid="{00000000-0005-0000-0000-00004C000000}"/>
    <cellStyle name="Normal 11 2 4" xfId="242" xr:uid="{00000000-0005-0000-0000-00004D000000}"/>
    <cellStyle name="Normal 11 2 5" xfId="332" xr:uid="{00000000-0005-0000-0000-00004E000000}"/>
    <cellStyle name="Normal 11 2 6" xfId="422" xr:uid="{00000000-0005-0000-0000-00004F000000}"/>
    <cellStyle name="Normal 11 2 7" xfId="512" xr:uid="{00000000-0005-0000-0000-000050000000}"/>
    <cellStyle name="Normal 11 2 8" xfId="602" xr:uid="{00000000-0005-0000-0000-000051000000}"/>
    <cellStyle name="Normal 11 2 9" xfId="692" xr:uid="{00000000-0005-0000-0000-000052000000}"/>
    <cellStyle name="Normal 11 3" xfId="77" xr:uid="{00000000-0005-0000-0000-000053000000}"/>
    <cellStyle name="Normal 11 3 2" xfId="170" xr:uid="{00000000-0005-0000-0000-000054000000}"/>
    <cellStyle name="Normal 11 3 3" xfId="260" xr:uid="{00000000-0005-0000-0000-000055000000}"/>
    <cellStyle name="Normal 11 3 4" xfId="350" xr:uid="{00000000-0005-0000-0000-000056000000}"/>
    <cellStyle name="Normal 11 3 5" xfId="440" xr:uid="{00000000-0005-0000-0000-000057000000}"/>
    <cellStyle name="Normal 11 3 6" xfId="530" xr:uid="{00000000-0005-0000-0000-000058000000}"/>
    <cellStyle name="Normal 11 3 7" xfId="620" xr:uid="{00000000-0005-0000-0000-000059000000}"/>
    <cellStyle name="Normal 11 3 8" xfId="710" xr:uid="{00000000-0005-0000-0000-00005A000000}"/>
    <cellStyle name="Normal 11 3 9" xfId="807" xr:uid="{00000000-0005-0000-0000-00005B000000}"/>
    <cellStyle name="Normal 11 4" xfId="133" xr:uid="{00000000-0005-0000-0000-00005C000000}"/>
    <cellStyle name="Normal 11 5" xfId="223" xr:uid="{00000000-0005-0000-0000-00005D000000}"/>
    <cellStyle name="Normal 11 6" xfId="313" xr:uid="{00000000-0005-0000-0000-00005E000000}"/>
    <cellStyle name="Normal 11 7" xfId="403" xr:uid="{00000000-0005-0000-0000-00005F000000}"/>
    <cellStyle name="Normal 11 8" xfId="493" xr:uid="{00000000-0005-0000-0000-000060000000}"/>
    <cellStyle name="Normal 11 9" xfId="583" xr:uid="{00000000-0005-0000-0000-000061000000}"/>
    <cellStyle name="Normal 12" xfId="100" xr:uid="{00000000-0005-0000-0000-000062000000}"/>
    <cellStyle name="Normal 12 2" xfId="192" xr:uid="{00000000-0005-0000-0000-000063000000}"/>
    <cellStyle name="Normal 12 3" xfId="282" xr:uid="{00000000-0005-0000-0000-000064000000}"/>
    <cellStyle name="Normal 12 4" xfId="372" xr:uid="{00000000-0005-0000-0000-000065000000}"/>
    <cellStyle name="Normal 12 5" xfId="462" xr:uid="{00000000-0005-0000-0000-000066000000}"/>
    <cellStyle name="Normal 12 6" xfId="552" xr:uid="{00000000-0005-0000-0000-000067000000}"/>
    <cellStyle name="Normal 12 7" xfId="642" xr:uid="{00000000-0005-0000-0000-000068000000}"/>
    <cellStyle name="Normal 12 8" xfId="732" xr:uid="{00000000-0005-0000-0000-000069000000}"/>
    <cellStyle name="Normal 12 9" xfId="829" xr:uid="{00000000-0005-0000-0000-00006A000000}"/>
    <cellStyle name="Normal 13" xfId="103" xr:uid="{00000000-0005-0000-0000-00006B000000}"/>
    <cellStyle name="Normal 13 2" xfId="195" xr:uid="{00000000-0005-0000-0000-00006C000000}"/>
    <cellStyle name="Normal 13 3" xfId="285" xr:uid="{00000000-0005-0000-0000-00006D000000}"/>
    <cellStyle name="Normal 13 4" xfId="375" xr:uid="{00000000-0005-0000-0000-00006E000000}"/>
    <cellStyle name="Normal 13 5" xfId="465" xr:uid="{00000000-0005-0000-0000-00006F000000}"/>
    <cellStyle name="Normal 13 6" xfId="555" xr:uid="{00000000-0005-0000-0000-000070000000}"/>
    <cellStyle name="Normal 13 7" xfId="645" xr:uid="{00000000-0005-0000-0000-000071000000}"/>
    <cellStyle name="Normal 13 8" xfId="735" xr:uid="{00000000-0005-0000-0000-000072000000}"/>
    <cellStyle name="Normal 13 9" xfId="832" xr:uid="{00000000-0005-0000-0000-000073000000}"/>
    <cellStyle name="Normal 14" xfId="106" xr:uid="{00000000-0005-0000-0000-000074000000}"/>
    <cellStyle name="Normal 14 2" xfId="198" xr:uid="{00000000-0005-0000-0000-000075000000}"/>
    <cellStyle name="Normal 14 3" xfId="288" xr:uid="{00000000-0005-0000-0000-000076000000}"/>
    <cellStyle name="Normal 14 4" xfId="378" xr:uid="{00000000-0005-0000-0000-000077000000}"/>
    <cellStyle name="Normal 14 5" xfId="468" xr:uid="{00000000-0005-0000-0000-000078000000}"/>
    <cellStyle name="Normal 14 6" xfId="558" xr:uid="{00000000-0005-0000-0000-000079000000}"/>
    <cellStyle name="Normal 14 7" xfId="648" xr:uid="{00000000-0005-0000-0000-00007A000000}"/>
    <cellStyle name="Normal 14 8" xfId="738" xr:uid="{00000000-0005-0000-0000-00007B000000}"/>
    <cellStyle name="Normal 14 9" xfId="835" xr:uid="{00000000-0005-0000-0000-00007C000000}"/>
    <cellStyle name="Normal 15" xfId="109" xr:uid="{00000000-0005-0000-0000-00007D000000}"/>
    <cellStyle name="Normal 15 2" xfId="201" xr:uid="{00000000-0005-0000-0000-00007E000000}"/>
    <cellStyle name="Normal 15 3" xfId="291" xr:uid="{00000000-0005-0000-0000-00007F000000}"/>
    <cellStyle name="Normal 15 4" xfId="381" xr:uid="{00000000-0005-0000-0000-000080000000}"/>
    <cellStyle name="Normal 15 5" xfId="471" xr:uid="{00000000-0005-0000-0000-000081000000}"/>
    <cellStyle name="Normal 15 6" xfId="561" xr:uid="{00000000-0005-0000-0000-000082000000}"/>
    <cellStyle name="Normal 15 7" xfId="651" xr:uid="{00000000-0005-0000-0000-000083000000}"/>
    <cellStyle name="Normal 15 8" xfId="741" xr:uid="{00000000-0005-0000-0000-000084000000}"/>
    <cellStyle name="Normal 15 9" xfId="838" xr:uid="{00000000-0005-0000-0000-000085000000}"/>
    <cellStyle name="Normal 16" xfId="112" xr:uid="{00000000-0005-0000-0000-000086000000}"/>
    <cellStyle name="Normal 16 2" xfId="204" xr:uid="{00000000-0005-0000-0000-000087000000}"/>
    <cellStyle name="Normal 16 3" xfId="294" xr:uid="{00000000-0005-0000-0000-000088000000}"/>
    <cellStyle name="Normal 16 4" xfId="384" xr:uid="{00000000-0005-0000-0000-000089000000}"/>
    <cellStyle name="Normal 16 5" xfId="474" xr:uid="{00000000-0005-0000-0000-00008A000000}"/>
    <cellStyle name="Normal 16 6" xfId="564" xr:uid="{00000000-0005-0000-0000-00008B000000}"/>
    <cellStyle name="Normal 16 7" xfId="654" xr:uid="{00000000-0005-0000-0000-00008C000000}"/>
    <cellStyle name="Normal 16 8" xfId="744" xr:uid="{00000000-0005-0000-0000-00008D000000}"/>
    <cellStyle name="Normal 16 9" xfId="841" xr:uid="{00000000-0005-0000-0000-00008E000000}"/>
    <cellStyle name="Normal 17" xfId="8" xr:uid="{00000000-0005-0000-0000-00008F000000}"/>
    <cellStyle name="Normal 18" xfId="10" xr:uid="{00000000-0005-0000-0000-000090000000}"/>
    <cellStyle name="Normal 19" xfId="117" xr:uid="{00000000-0005-0000-0000-000091000000}"/>
    <cellStyle name="Normal 2" xfId="1" xr:uid="{00000000-0005-0000-0000-000092000000}"/>
    <cellStyle name="Normal 2 2" xfId="7" xr:uid="{00000000-0005-0000-0000-000093000000}"/>
    <cellStyle name="Normal 2 3" xfId="20" xr:uid="{00000000-0005-0000-0000-000094000000}"/>
    <cellStyle name="Normal 2 4" xfId="39" xr:uid="{00000000-0005-0000-0000-000095000000}"/>
    <cellStyle name="Normal 2 5" xfId="60" xr:uid="{00000000-0005-0000-0000-000096000000}"/>
    <cellStyle name="Normal 20" xfId="207" xr:uid="{00000000-0005-0000-0000-000097000000}"/>
    <cellStyle name="Normal 21" xfId="297" xr:uid="{00000000-0005-0000-0000-000098000000}"/>
    <cellStyle name="Normal 22" xfId="387" xr:uid="{00000000-0005-0000-0000-000099000000}"/>
    <cellStyle name="Normal 23" xfId="477" xr:uid="{00000000-0005-0000-0000-00009A000000}"/>
    <cellStyle name="Normal 24" xfId="567" xr:uid="{00000000-0005-0000-0000-00009B000000}"/>
    <cellStyle name="Normal 25" xfId="657" xr:uid="{00000000-0005-0000-0000-00009C000000}"/>
    <cellStyle name="Normal 26" xfId="747" xr:uid="{00000000-0005-0000-0000-00009D000000}"/>
    <cellStyle name="Normal 27" xfId="851" xr:uid="{ED50C316-25E5-4ED7-8355-A3104735F1B2}"/>
    <cellStyle name="Normal 3" xfId="4" xr:uid="{00000000-0005-0000-0000-00009E000000}"/>
    <cellStyle name="Normal 3 10" xfId="104" xr:uid="{00000000-0005-0000-0000-00009F000000}"/>
    <cellStyle name="Normal 3 10 2" xfId="196" xr:uid="{00000000-0005-0000-0000-0000A0000000}"/>
    <cellStyle name="Normal 3 10 3" xfId="286" xr:uid="{00000000-0005-0000-0000-0000A1000000}"/>
    <cellStyle name="Normal 3 10 4" xfId="376" xr:uid="{00000000-0005-0000-0000-0000A2000000}"/>
    <cellStyle name="Normal 3 10 5" xfId="466" xr:uid="{00000000-0005-0000-0000-0000A3000000}"/>
    <cellStyle name="Normal 3 10 6" xfId="556" xr:uid="{00000000-0005-0000-0000-0000A4000000}"/>
    <cellStyle name="Normal 3 10 7" xfId="646" xr:uid="{00000000-0005-0000-0000-0000A5000000}"/>
    <cellStyle name="Normal 3 10 8" xfId="736" xr:uid="{00000000-0005-0000-0000-0000A6000000}"/>
    <cellStyle name="Normal 3 10 9" xfId="833" xr:uid="{00000000-0005-0000-0000-0000A7000000}"/>
    <cellStyle name="Normal 3 11" xfId="107" xr:uid="{00000000-0005-0000-0000-0000A8000000}"/>
    <cellStyle name="Normal 3 11 2" xfId="199" xr:uid="{00000000-0005-0000-0000-0000A9000000}"/>
    <cellStyle name="Normal 3 11 3" xfId="289" xr:uid="{00000000-0005-0000-0000-0000AA000000}"/>
    <cellStyle name="Normal 3 11 4" xfId="379" xr:uid="{00000000-0005-0000-0000-0000AB000000}"/>
    <cellStyle name="Normal 3 11 5" xfId="469" xr:uid="{00000000-0005-0000-0000-0000AC000000}"/>
    <cellStyle name="Normal 3 11 6" xfId="559" xr:uid="{00000000-0005-0000-0000-0000AD000000}"/>
    <cellStyle name="Normal 3 11 7" xfId="649" xr:uid="{00000000-0005-0000-0000-0000AE000000}"/>
    <cellStyle name="Normal 3 11 8" xfId="739" xr:uid="{00000000-0005-0000-0000-0000AF000000}"/>
    <cellStyle name="Normal 3 11 9" xfId="836" xr:uid="{00000000-0005-0000-0000-0000B0000000}"/>
    <cellStyle name="Normal 3 12" xfId="110" xr:uid="{00000000-0005-0000-0000-0000B1000000}"/>
    <cellStyle name="Normal 3 12 2" xfId="202" xr:uid="{00000000-0005-0000-0000-0000B2000000}"/>
    <cellStyle name="Normal 3 12 3" xfId="292" xr:uid="{00000000-0005-0000-0000-0000B3000000}"/>
    <cellStyle name="Normal 3 12 4" xfId="382" xr:uid="{00000000-0005-0000-0000-0000B4000000}"/>
    <cellStyle name="Normal 3 12 5" xfId="472" xr:uid="{00000000-0005-0000-0000-0000B5000000}"/>
    <cellStyle name="Normal 3 12 6" xfId="562" xr:uid="{00000000-0005-0000-0000-0000B6000000}"/>
    <cellStyle name="Normal 3 12 7" xfId="652" xr:uid="{00000000-0005-0000-0000-0000B7000000}"/>
    <cellStyle name="Normal 3 12 8" xfId="742" xr:uid="{00000000-0005-0000-0000-0000B8000000}"/>
    <cellStyle name="Normal 3 12 9" xfId="839" xr:uid="{00000000-0005-0000-0000-0000B9000000}"/>
    <cellStyle name="Normal 3 13" xfId="113" xr:uid="{00000000-0005-0000-0000-0000BA000000}"/>
    <cellStyle name="Normal 3 13 2" xfId="205" xr:uid="{00000000-0005-0000-0000-0000BB000000}"/>
    <cellStyle name="Normal 3 13 3" xfId="295" xr:uid="{00000000-0005-0000-0000-0000BC000000}"/>
    <cellStyle name="Normal 3 13 4" xfId="385" xr:uid="{00000000-0005-0000-0000-0000BD000000}"/>
    <cellStyle name="Normal 3 13 5" xfId="475" xr:uid="{00000000-0005-0000-0000-0000BE000000}"/>
    <cellStyle name="Normal 3 13 6" xfId="565" xr:uid="{00000000-0005-0000-0000-0000BF000000}"/>
    <cellStyle name="Normal 3 13 7" xfId="655" xr:uid="{00000000-0005-0000-0000-0000C0000000}"/>
    <cellStyle name="Normal 3 13 8" xfId="745" xr:uid="{00000000-0005-0000-0000-0000C1000000}"/>
    <cellStyle name="Normal 3 13 9" xfId="842" xr:uid="{00000000-0005-0000-0000-0000C2000000}"/>
    <cellStyle name="Normal 3 14" xfId="11" xr:uid="{00000000-0005-0000-0000-0000C3000000}"/>
    <cellStyle name="Normal 3 15" xfId="118" xr:uid="{00000000-0005-0000-0000-0000C4000000}"/>
    <cellStyle name="Normal 3 16" xfId="208" xr:uid="{00000000-0005-0000-0000-0000C5000000}"/>
    <cellStyle name="Normal 3 17" xfId="298" xr:uid="{00000000-0005-0000-0000-0000C6000000}"/>
    <cellStyle name="Normal 3 18" xfId="388" xr:uid="{00000000-0005-0000-0000-0000C7000000}"/>
    <cellStyle name="Normal 3 19" xfId="478" xr:uid="{00000000-0005-0000-0000-0000C8000000}"/>
    <cellStyle name="Normal 3 2" xfId="23" xr:uid="{00000000-0005-0000-0000-0000C9000000}"/>
    <cellStyle name="Normal 3 2 10" xfId="662" xr:uid="{00000000-0005-0000-0000-0000CA000000}"/>
    <cellStyle name="Normal 3 2 11" xfId="757" xr:uid="{00000000-0005-0000-0000-0000CB000000}"/>
    <cellStyle name="Normal 3 2 2" xfId="45" xr:uid="{00000000-0005-0000-0000-0000CC000000}"/>
    <cellStyle name="Normal 3 2 2 10" xfId="777" xr:uid="{00000000-0005-0000-0000-0000CD000000}"/>
    <cellStyle name="Normal 3 2 2 2" xfId="85" xr:uid="{00000000-0005-0000-0000-0000CE000000}"/>
    <cellStyle name="Normal 3 2 2 2 2" xfId="178" xr:uid="{00000000-0005-0000-0000-0000CF000000}"/>
    <cellStyle name="Normal 3 2 2 2 3" xfId="268" xr:uid="{00000000-0005-0000-0000-0000D0000000}"/>
    <cellStyle name="Normal 3 2 2 2 4" xfId="358" xr:uid="{00000000-0005-0000-0000-0000D1000000}"/>
    <cellStyle name="Normal 3 2 2 2 5" xfId="448" xr:uid="{00000000-0005-0000-0000-0000D2000000}"/>
    <cellStyle name="Normal 3 2 2 2 6" xfId="538" xr:uid="{00000000-0005-0000-0000-0000D3000000}"/>
    <cellStyle name="Normal 3 2 2 2 7" xfId="628" xr:uid="{00000000-0005-0000-0000-0000D4000000}"/>
    <cellStyle name="Normal 3 2 2 2 8" xfId="718" xr:uid="{00000000-0005-0000-0000-0000D5000000}"/>
    <cellStyle name="Normal 3 2 2 2 9" xfId="815" xr:uid="{00000000-0005-0000-0000-0000D6000000}"/>
    <cellStyle name="Normal 3 2 2 3" xfId="141" xr:uid="{00000000-0005-0000-0000-0000D7000000}"/>
    <cellStyle name="Normal 3 2 2 4" xfId="231" xr:uid="{00000000-0005-0000-0000-0000D8000000}"/>
    <cellStyle name="Normal 3 2 2 5" xfId="321" xr:uid="{00000000-0005-0000-0000-0000D9000000}"/>
    <cellStyle name="Normal 3 2 2 6" xfId="411" xr:uid="{00000000-0005-0000-0000-0000DA000000}"/>
    <cellStyle name="Normal 3 2 2 7" xfId="501" xr:uid="{00000000-0005-0000-0000-0000DB000000}"/>
    <cellStyle name="Normal 3 2 2 8" xfId="591" xr:uid="{00000000-0005-0000-0000-0000DC000000}"/>
    <cellStyle name="Normal 3 2 2 9" xfId="681" xr:uid="{00000000-0005-0000-0000-0000DD000000}"/>
    <cellStyle name="Normal 3 2 3" xfId="66" xr:uid="{00000000-0005-0000-0000-0000DE000000}"/>
    <cellStyle name="Normal 3 2 3 2" xfId="159" xr:uid="{00000000-0005-0000-0000-0000DF000000}"/>
    <cellStyle name="Normal 3 2 3 3" xfId="249" xr:uid="{00000000-0005-0000-0000-0000E0000000}"/>
    <cellStyle name="Normal 3 2 3 4" xfId="339" xr:uid="{00000000-0005-0000-0000-0000E1000000}"/>
    <cellStyle name="Normal 3 2 3 5" xfId="429" xr:uid="{00000000-0005-0000-0000-0000E2000000}"/>
    <cellStyle name="Normal 3 2 3 6" xfId="519" xr:uid="{00000000-0005-0000-0000-0000E3000000}"/>
    <cellStyle name="Normal 3 2 3 7" xfId="609" xr:uid="{00000000-0005-0000-0000-0000E4000000}"/>
    <cellStyle name="Normal 3 2 3 8" xfId="699" xr:uid="{00000000-0005-0000-0000-0000E5000000}"/>
    <cellStyle name="Normal 3 2 3 9" xfId="796" xr:uid="{00000000-0005-0000-0000-0000E6000000}"/>
    <cellStyle name="Normal 3 2 4" xfId="122" xr:uid="{00000000-0005-0000-0000-0000E7000000}"/>
    <cellStyle name="Normal 3 2 5" xfId="212" xr:uid="{00000000-0005-0000-0000-0000E8000000}"/>
    <cellStyle name="Normal 3 2 6" xfId="302" xr:uid="{00000000-0005-0000-0000-0000E9000000}"/>
    <cellStyle name="Normal 3 2 7" xfId="392" xr:uid="{00000000-0005-0000-0000-0000EA000000}"/>
    <cellStyle name="Normal 3 2 8" xfId="482" xr:uid="{00000000-0005-0000-0000-0000EB000000}"/>
    <cellStyle name="Normal 3 2 9" xfId="572" xr:uid="{00000000-0005-0000-0000-0000EC000000}"/>
    <cellStyle name="Normal 3 20" xfId="568" xr:uid="{00000000-0005-0000-0000-0000ED000000}"/>
    <cellStyle name="Normal 3 21" xfId="658" xr:uid="{00000000-0005-0000-0000-0000EE000000}"/>
    <cellStyle name="Normal 3 22" xfId="748" xr:uid="{00000000-0005-0000-0000-0000EF000000}"/>
    <cellStyle name="Normal 3 3" xfId="26" xr:uid="{00000000-0005-0000-0000-0000F0000000}"/>
    <cellStyle name="Normal 3 3 10" xfId="665" xr:uid="{00000000-0005-0000-0000-0000F1000000}"/>
    <cellStyle name="Normal 3 3 11" xfId="760" xr:uid="{00000000-0005-0000-0000-0000F2000000}"/>
    <cellStyle name="Normal 3 3 2" xfId="48" xr:uid="{00000000-0005-0000-0000-0000F3000000}"/>
    <cellStyle name="Normal 3 3 2 10" xfId="780" xr:uid="{00000000-0005-0000-0000-0000F4000000}"/>
    <cellStyle name="Normal 3 3 2 2" xfId="88" xr:uid="{00000000-0005-0000-0000-0000F5000000}"/>
    <cellStyle name="Normal 3 3 2 2 2" xfId="181" xr:uid="{00000000-0005-0000-0000-0000F6000000}"/>
    <cellStyle name="Normal 3 3 2 2 3" xfId="271" xr:uid="{00000000-0005-0000-0000-0000F7000000}"/>
    <cellStyle name="Normal 3 3 2 2 4" xfId="361" xr:uid="{00000000-0005-0000-0000-0000F8000000}"/>
    <cellStyle name="Normal 3 3 2 2 5" xfId="451" xr:uid="{00000000-0005-0000-0000-0000F9000000}"/>
    <cellStyle name="Normal 3 3 2 2 6" xfId="541" xr:uid="{00000000-0005-0000-0000-0000FA000000}"/>
    <cellStyle name="Normal 3 3 2 2 7" xfId="631" xr:uid="{00000000-0005-0000-0000-0000FB000000}"/>
    <cellStyle name="Normal 3 3 2 2 8" xfId="721" xr:uid="{00000000-0005-0000-0000-0000FC000000}"/>
    <cellStyle name="Normal 3 3 2 2 9" xfId="818" xr:uid="{00000000-0005-0000-0000-0000FD000000}"/>
    <cellStyle name="Normal 3 3 2 3" xfId="144" xr:uid="{00000000-0005-0000-0000-0000FE000000}"/>
    <cellStyle name="Normal 3 3 2 4" xfId="234" xr:uid="{00000000-0005-0000-0000-0000FF000000}"/>
    <cellStyle name="Normal 3 3 2 5" xfId="324" xr:uid="{00000000-0005-0000-0000-000000010000}"/>
    <cellStyle name="Normal 3 3 2 6" xfId="414" xr:uid="{00000000-0005-0000-0000-000001010000}"/>
    <cellStyle name="Normal 3 3 2 7" xfId="504" xr:uid="{00000000-0005-0000-0000-000002010000}"/>
    <cellStyle name="Normal 3 3 2 8" xfId="594" xr:uid="{00000000-0005-0000-0000-000003010000}"/>
    <cellStyle name="Normal 3 3 2 9" xfId="684" xr:uid="{00000000-0005-0000-0000-000004010000}"/>
    <cellStyle name="Normal 3 3 3" xfId="69" xr:uid="{00000000-0005-0000-0000-000005010000}"/>
    <cellStyle name="Normal 3 3 3 2" xfId="162" xr:uid="{00000000-0005-0000-0000-000006010000}"/>
    <cellStyle name="Normal 3 3 3 3" xfId="252" xr:uid="{00000000-0005-0000-0000-000007010000}"/>
    <cellStyle name="Normal 3 3 3 4" xfId="342" xr:uid="{00000000-0005-0000-0000-000008010000}"/>
    <cellStyle name="Normal 3 3 3 5" xfId="432" xr:uid="{00000000-0005-0000-0000-000009010000}"/>
    <cellStyle name="Normal 3 3 3 6" xfId="522" xr:uid="{00000000-0005-0000-0000-00000A010000}"/>
    <cellStyle name="Normal 3 3 3 7" xfId="612" xr:uid="{00000000-0005-0000-0000-00000B010000}"/>
    <cellStyle name="Normal 3 3 3 8" xfId="702" xr:uid="{00000000-0005-0000-0000-00000C010000}"/>
    <cellStyle name="Normal 3 3 3 9" xfId="799" xr:uid="{00000000-0005-0000-0000-00000D010000}"/>
    <cellStyle name="Normal 3 3 4" xfId="125" xr:uid="{00000000-0005-0000-0000-00000E010000}"/>
    <cellStyle name="Normal 3 3 5" xfId="215" xr:uid="{00000000-0005-0000-0000-00000F010000}"/>
    <cellStyle name="Normal 3 3 6" xfId="305" xr:uid="{00000000-0005-0000-0000-000010010000}"/>
    <cellStyle name="Normal 3 3 7" xfId="395" xr:uid="{00000000-0005-0000-0000-000011010000}"/>
    <cellStyle name="Normal 3 3 8" xfId="485" xr:uid="{00000000-0005-0000-0000-000012010000}"/>
    <cellStyle name="Normal 3 3 9" xfId="575" xr:uid="{00000000-0005-0000-0000-000013010000}"/>
    <cellStyle name="Normal 3 4" xfId="29" xr:uid="{00000000-0005-0000-0000-000014010000}"/>
    <cellStyle name="Normal 3 4 10" xfId="668" xr:uid="{00000000-0005-0000-0000-000015010000}"/>
    <cellStyle name="Normal 3 4 11" xfId="763" xr:uid="{00000000-0005-0000-0000-000016010000}"/>
    <cellStyle name="Normal 3 4 2" xfId="51" xr:uid="{00000000-0005-0000-0000-000017010000}"/>
    <cellStyle name="Normal 3 4 2 10" xfId="783" xr:uid="{00000000-0005-0000-0000-000018010000}"/>
    <cellStyle name="Normal 3 4 2 2" xfId="91" xr:uid="{00000000-0005-0000-0000-000019010000}"/>
    <cellStyle name="Normal 3 4 2 2 2" xfId="184" xr:uid="{00000000-0005-0000-0000-00001A010000}"/>
    <cellStyle name="Normal 3 4 2 2 3" xfId="274" xr:uid="{00000000-0005-0000-0000-00001B010000}"/>
    <cellStyle name="Normal 3 4 2 2 4" xfId="364" xr:uid="{00000000-0005-0000-0000-00001C010000}"/>
    <cellStyle name="Normal 3 4 2 2 5" xfId="454" xr:uid="{00000000-0005-0000-0000-00001D010000}"/>
    <cellStyle name="Normal 3 4 2 2 6" xfId="544" xr:uid="{00000000-0005-0000-0000-00001E010000}"/>
    <cellStyle name="Normal 3 4 2 2 7" xfId="634" xr:uid="{00000000-0005-0000-0000-00001F010000}"/>
    <cellStyle name="Normal 3 4 2 2 8" xfId="724" xr:uid="{00000000-0005-0000-0000-000020010000}"/>
    <cellStyle name="Normal 3 4 2 2 9" xfId="821" xr:uid="{00000000-0005-0000-0000-000021010000}"/>
    <cellStyle name="Normal 3 4 2 3" xfId="147" xr:uid="{00000000-0005-0000-0000-000022010000}"/>
    <cellStyle name="Normal 3 4 2 4" xfId="237" xr:uid="{00000000-0005-0000-0000-000023010000}"/>
    <cellStyle name="Normal 3 4 2 5" xfId="327" xr:uid="{00000000-0005-0000-0000-000024010000}"/>
    <cellStyle name="Normal 3 4 2 6" xfId="417" xr:uid="{00000000-0005-0000-0000-000025010000}"/>
    <cellStyle name="Normal 3 4 2 7" xfId="507" xr:uid="{00000000-0005-0000-0000-000026010000}"/>
    <cellStyle name="Normal 3 4 2 8" xfId="597" xr:uid="{00000000-0005-0000-0000-000027010000}"/>
    <cellStyle name="Normal 3 4 2 9" xfId="687" xr:uid="{00000000-0005-0000-0000-000028010000}"/>
    <cellStyle name="Normal 3 4 3" xfId="72" xr:uid="{00000000-0005-0000-0000-000029010000}"/>
    <cellStyle name="Normal 3 4 3 2" xfId="165" xr:uid="{00000000-0005-0000-0000-00002A010000}"/>
    <cellStyle name="Normal 3 4 3 3" xfId="255" xr:uid="{00000000-0005-0000-0000-00002B010000}"/>
    <cellStyle name="Normal 3 4 3 4" xfId="345" xr:uid="{00000000-0005-0000-0000-00002C010000}"/>
    <cellStyle name="Normal 3 4 3 5" xfId="435" xr:uid="{00000000-0005-0000-0000-00002D010000}"/>
    <cellStyle name="Normal 3 4 3 6" xfId="525" xr:uid="{00000000-0005-0000-0000-00002E010000}"/>
    <cellStyle name="Normal 3 4 3 7" xfId="615" xr:uid="{00000000-0005-0000-0000-00002F010000}"/>
    <cellStyle name="Normal 3 4 3 8" xfId="705" xr:uid="{00000000-0005-0000-0000-000030010000}"/>
    <cellStyle name="Normal 3 4 3 9" xfId="802" xr:uid="{00000000-0005-0000-0000-000031010000}"/>
    <cellStyle name="Normal 3 4 4" xfId="128" xr:uid="{00000000-0005-0000-0000-000032010000}"/>
    <cellStyle name="Normal 3 4 5" xfId="218" xr:uid="{00000000-0005-0000-0000-000033010000}"/>
    <cellStyle name="Normal 3 4 6" xfId="308" xr:uid="{00000000-0005-0000-0000-000034010000}"/>
    <cellStyle name="Normal 3 4 7" xfId="398" xr:uid="{00000000-0005-0000-0000-000035010000}"/>
    <cellStyle name="Normal 3 4 8" xfId="488" xr:uid="{00000000-0005-0000-0000-000036010000}"/>
    <cellStyle name="Normal 3 4 9" xfId="578" xr:uid="{00000000-0005-0000-0000-000037010000}"/>
    <cellStyle name="Normal 3 5" xfId="33" xr:uid="{00000000-0005-0000-0000-000038010000}"/>
    <cellStyle name="Normal 3 5 10" xfId="671" xr:uid="{00000000-0005-0000-0000-000039010000}"/>
    <cellStyle name="Normal 3 5 11" xfId="766" xr:uid="{00000000-0005-0000-0000-00003A010000}"/>
    <cellStyle name="Normal 3 5 2" xfId="55" xr:uid="{00000000-0005-0000-0000-00003B010000}"/>
    <cellStyle name="Normal 3 5 2 10" xfId="786" xr:uid="{00000000-0005-0000-0000-00003C010000}"/>
    <cellStyle name="Normal 3 5 2 2" xfId="95" xr:uid="{00000000-0005-0000-0000-00003D010000}"/>
    <cellStyle name="Normal 3 5 2 2 2" xfId="187" xr:uid="{00000000-0005-0000-0000-00003E010000}"/>
    <cellStyle name="Normal 3 5 2 2 3" xfId="277" xr:uid="{00000000-0005-0000-0000-00003F010000}"/>
    <cellStyle name="Normal 3 5 2 2 4" xfId="367" xr:uid="{00000000-0005-0000-0000-000040010000}"/>
    <cellStyle name="Normal 3 5 2 2 5" xfId="457" xr:uid="{00000000-0005-0000-0000-000041010000}"/>
    <cellStyle name="Normal 3 5 2 2 6" xfId="547" xr:uid="{00000000-0005-0000-0000-000042010000}"/>
    <cellStyle name="Normal 3 5 2 2 7" xfId="637" xr:uid="{00000000-0005-0000-0000-000043010000}"/>
    <cellStyle name="Normal 3 5 2 2 8" xfId="727" xr:uid="{00000000-0005-0000-0000-000044010000}"/>
    <cellStyle name="Normal 3 5 2 2 9" xfId="824" xr:uid="{00000000-0005-0000-0000-000045010000}"/>
    <cellStyle name="Normal 3 5 2 3" xfId="150" xr:uid="{00000000-0005-0000-0000-000046010000}"/>
    <cellStyle name="Normal 3 5 2 4" xfId="240" xr:uid="{00000000-0005-0000-0000-000047010000}"/>
    <cellStyle name="Normal 3 5 2 5" xfId="330" xr:uid="{00000000-0005-0000-0000-000048010000}"/>
    <cellStyle name="Normal 3 5 2 6" xfId="420" xr:uid="{00000000-0005-0000-0000-000049010000}"/>
    <cellStyle name="Normal 3 5 2 7" xfId="510" xr:uid="{00000000-0005-0000-0000-00004A010000}"/>
    <cellStyle name="Normal 3 5 2 8" xfId="600" xr:uid="{00000000-0005-0000-0000-00004B010000}"/>
    <cellStyle name="Normal 3 5 2 9" xfId="690" xr:uid="{00000000-0005-0000-0000-00004C010000}"/>
    <cellStyle name="Normal 3 5 3" xfId="75" xr:uid="{00000000-0005-0000-0000-00004D010000}"/>
    <cellStyle name="Normal 3 5 3 2" xfId="168" xr:uid="{00000000-0005-0000-0000-00004E010000}"/>
    <cellStyle name="Normal 3 5 3 3" xfId="258" xr:uid="{00000000-0005-0000-0000-00004F010000}"/>
    <cellStyle name="Normal 3 5 3 4" xfId="348" xr:uid="{00000000-0005-0000-0000-000050010000}"/>
    <cellStyle name="Normal 3 5 3 5" xfId="438" xr:uid="{00000000-0005-0000-0000-000051010000}"/>
    <cellStyle name="Normal 3 5 3 6" xfId="528" xr:uid="{00000000-0005-0000-0000-000052010000}"/>
    <cellStyle name="Normal 3 5 3 7" xfId="618" xr:uid="{00000000-0005-0000-0000-000053010000}"/>
    <cellStyle name="Normal 3 5 3 8" xfId="708" xr:uid="{00000000-0005-0000-0000-000054010000}"/>
    <cellStyle name="Normal 3 5 3 9" xfId="805" xr:uid="{00000000-0005-0000-0000-000055010000}"/>
    <cellStyle name="Normal 3 5 4" xfId="131" xr:uid="{00000000-0005-0000-0000-000056010000}"/>
    <cellStyle name="Normal 3 5 5" xfId="221" xr:uid="{00000000-0005-0000-0000-000057010000}"/>
    <cellStyle name="Normal 3 5 6" xfId="311" xr:uid="{00000000-0005-0000-0000-000058010000}"/>
    <cellStyle name="Normal 3 5 7" xfId="401" xr:uid="{00000000-0005-0000-0000-000059010000}"/>
    <cellStyle name="Normal 3 5 8" xfId="491" xr:uid="{00000000-0005-0000-0000-00005A010000}"/>
    <cellStyle name="Normal 3 5 9" xfId="581" xr:uid="{00000000-0005-0000-0000-00005B010000}"/>
    <cellStyle name="Normal 3 6" xfId="36" xr:uid="{00000000-0005-0000-0000-00005C010000}"/>
    <cellStyle name="Normal 3 6 10" xfId="674" xr:uid="{00000000-0005-0000-0000-00005D010000}"/>
    <cellStyle name="Normal 3 6 11" xfId="769" xr:uid="{00000000-0005-0000-0000-00005E010000}"/>
    <cellStyle name="Normal 3 6 2" xfId="58" xr:uid="{00000000-0005-0000-0000-00005F010000}"/>
    <cellStyle name="Normal 3 6 2 10" xfId="789" xr:uid="{00000000-0005-0000-0000-000060010000}"/>
    <cellStyle name="Normal 3 6 2 2" xfId="98" xr:uid="{00000000-0005-0000-0000-000061010000}"/>
    <cellStyle name="Normal 3 6 2 2 2" xfId="190" xr:uid="{00000000-0005-0000-0000-000062010000}"/>
    <cellStyle name="Normal 3 6 2 2 3" xfId="280" xr:uid="{00000000-0005-0000-0000-000063010000}"/>
    <cellStyle name="Normal 3 6 2 2 4" xfId="370" xr:uid="{00000000-0005-0000-0000-000064010000}"/>
    <cellStyle name="Normal 3 6 2 2 5" xfId="460" xr:uid="{00000000-0005-0000-0000-000065010000}"/>
    <cellStyle name="Normal 3 6 2 2 6" xfId="550" xr:uid="{00000000-0005-0000-0000-000066010000}"/>
    <cellStyle name="Normal 3 6 2 2 7" xfId="640" xr:uid="{00000000-0005-0000-0000-000067010000}"/>
    <cellStyle name="Normal 3 6 2 2 8" xfId="730" xr:uid="{00000000-0005-0000-0000-000068010000}"/>
    <cellStyle name="Normal 3 6 2 2 9" xfId="827" xr:uid="{00000000-0005-0000-0000-000069010000}"/>
    <cellStyle name="Normal 3 6 2 3" xfId="153" xr:uid="{00000000-0005-0000-0000-00006A010000}"/>
    <cellStyle name="Normal 3 6 2 4" xfId="243" xr:uid="{00000000-0005-0000-0000-00006B010000}"/>
    <cellStyle name="Normal 3 6 2 5" xfId="333" xr:uid="{00000000-0005-0000-0000-00006C010000}"/>
    <cellStyle name="Normal 3 6 2 6" xfId="423" xr:uid="{00000000-0005-0000-0000-00006D010000}"/>
    <cellStyle name="Normal 3 6 2 7" xfId="513" xr:uid="{00000000-0005-0000-0000-00006E010000}"/>
    <cellStyle name="Normal 3 6 2 8" xfId="603" xr:uid="{00000000-0005-0000-0000-00006F010000}"/>
    <cellStyle name="Normal 3 6 2 9" xfId="693" xr:uid="{00000000-0005-0000-0000-000070010000}"/>
    <cellStyle name="Normal 3 6 3" xfId="78" xr:uid="{00000000-0005-0000-0000-000071010000}"/>
    <cellStyle name="Normal 3 6 3 2" xfId="171" xr:uid="{00000000-0005-0000-0000-000072010000}"/>
    <cellStyle name="Normal 3 6 3 3" xfId="261" xr:uid="{00000000-0005-0000-0000-000073010000}"/>
    <cellStyle name="Normal 3 6 3 4" xfId="351" xr:uid="{00000000-0005-0000-0000-000074010000}"/>
    <cellStyle name="Normal 3 6 3 5" xfId="441" xr:uid="{00000000-0005-0000-0000-000075010000}"/>
    <cellStyle name="Normal 3 6 3 6" xfId="531" xr:uid="{00000000-0005-0000-0000-000076010000}"/>
    <cellStyle name="Normal 3 6 3 7" xfId="621" xr:uid="{00000000-0005-0000-0000-000077010000}"/>
    <cellStyle name="Normal 3 6 3 8" xfId="711" xr:uid="{00000000-0005-0000-0000-000078010000}"/>
    <cellStyle name="Normal 3 6 3 9" xfId="808" xr:uid="{00000000-0005-0000-0000-000079010000}"/>
    <cellStyle name="Normal 3 6 4" xfId="134" xr:uid="{00000000-0005-0000-0000-00007A010000}"/>
    <cellStyle name="Normal 3 6 5" xfId="224" xr:uid="{00000000-0005-0000-0000-00007B010000}"/>
    <cellStyle name="Normal 3 6 6" xfId="314" xr:uid="{00000000-0005-0000-0000-00007C010000}"/>
    <cellStyle name="Normal 3 6 7" xfId="404" xr:uid="{00000000-0005-0000-0000-00007D010000}"/>
    <cellStyle name="Normal 3 6 8" xfId="494" xr:uid="{00000000-0005-0000-0000-00007E010000}"/>
    <cellStyle name="Normal 3 6 9" xfId="584" xr:uid="{00000000-0005-0000-0000-00007F010000}"/>
    <cellStyle name="Normal 3 7" xfId="42" xr:uid="{00000000-0005-0000-0000-000080010000}"/>
    <cellStyle name="Normal 3 7 10" xfId="774" xr:uid="{00000000-0005-0000-0000-000081010000}"/>
    <cellStyle name="Normal 3 7 2" xfId="82" xr:uid="{00000000-0005-0000-0000-000082010000}"/>
    <cellStyle name="Normal 3 7 2 2" xfId="175" xr:uid="{00000000-0005-0000-0000-000083010000}"/>
    <cellStyle name="Normal 3 7 2 3" xfId="265" xr:uid="{00000000-0005-0000-0000-000084010000}"/>
    <cellStyle name="Normal 3 7 2 4" xfId="355" xr:uid="{00000000-0005-0000-0000-000085010000}"/>
    <cellStyle name="Normal 3 7 2 5" xfId="445" xr:uid="{00000000-0005-0000-0000-000086010000}"/>
    <cellStyle name="Normal 3 7 2 6" xfId="535" xr:uid="{00000000-0005-0000-0000-000087010000}"/>
    <cellStyle name="Normal 3 7 2 7" xfId="625" xr:uid="{00000000-0005-0000-0000-000088010000}"/>
    <cellStyle name="Normal 3 7 2 8" xfId="715" xr:uid="{00000000-0005-0000-0000-000089010000}"/>
    <cellStyle name="Normal 3 7 2 9" xfId="812" xr:uid="{00000000-0005-0000-0000-00008A010000}"/>
    <cellStyle name="Normal 3 7 3" xfId="138" xr:uid="{00000000-0005-0000-0000-00008B010000}"/>
    <cellStyle name="Normal 3 7 4" xfId="228" xr:uid="{00000000-0005-0000-0000-00008C010000}"/>
    <cellStyle name="Normal 3 7 5" xfId="318" xr:uid="{00000000-0005-0000-0000-00008D010000}"/>
    <cellStyle name="Normal 3 7 6" xfId="408" xr:uid="{00000000-0005-0000-0000-00008E010000}"/>
    <cellStyle name="Normal 3 7 7" xfId="498" xr:uid="{00000000-0005-0000-0000-00008F010000}"/>
    <cellStyle name="Normal 3 7 8" xfId="588" xr:uid="{00000000-0005-0000-0000-000090010000}"/>
    <cellStyle name="Normal 3 7 9" xfId="678" xr:uid="{00000000-0005-0000-0000-000091010000}"/>
    <cellStyle name="Normal 3 8" xfId="63" xr:uid="{00000000-0005-0000-0000-000092010000}"/>
    <cellStyle name="Normal 3 8 2" xfId="156" xr:uid="{00000000-0005-0000-0000-000093010000}"/>
    <cellStyle name="Normal 3 8 3" xfId="246" xr:uid="{00000000-0005-0000-0000-000094010000}"/>
    <cellStyle name="Normal 3 8 4" xfId="336" xr:uid="{00000000-0005-0000-0000-000095010000}"/>
    <cellStyle name="Normal 3 8 5" xfId="426" xr:uid="{00000000-0005-0000-0000-000096010000}"/>
    <cellStyle name="Normal 3 8 6" xfId="516" xr:uid="{00000000-0005-0000-0000-000097010000}"/>
    <cellStyle name="Normal 3 8 7" xfId="606" xr:uid="{00000000-0005-0000-0000-000098010000}"/>
    <cellStyle name="Normal 3 8 8" xfId="696" xr:uid="{00000000-0005-0000-0000-000099010000}"/>
    <cellStyle name="Normal 3 8 9" xfId="793" xr:uid="{00000000-0005-0000-0000-00009A010000}"/>
    <cellStyle name="Normal 3 9" xfId="101" xr:uid="{00000000-0005-0000-0000-00009B010000}"/>
    <cellStyle name="Normal 3 9 2" xfId="193" xr:uid="{00000000-0005-0000-0000-00009C010000}"/>
    <cellStyle name="Normal 3 9 3" xfId="283" xr:uid="{00000000-0005-0000-0000-00009D010000}"/>
    <cellStyle name="Normal 3 9 4" xfId="373" xr:uid="{00000000-0005-0000-0000-00009E010000}"/>
    <cellStyle name="Normal 3 9 5" xfId="463" xr:uid="{00000000-0005-0000-0000-00009F010000}"/>
    <cellStyle name="Normal 3 9 6" xfId="553" xr:uid="{00000000-0005-0000-0000-0000A0010000}"/>
    <cellStyle name="Normal 3 9 7" xfId="643" xr:uid="{00000000-0005-0000-0000-0000A1010000}"/>
    <cellStyle name="Normal 3 9 8" xfId="733" xr:uid="{00000000-0005-0000-0000-0000A2010000}"/>
    <cellStyle name="Normal 3 9 9" xfId="830" xr:uid="{00000000-0005-0000-0000-0000A3010000}"/>
    <cellStyle name="Normal 4" xfId="12" xr:uid="{00000000-0005-0000-0000-0000A4010000}"/>
    <cellStyle name="Normal 5" xfId="9" xr:uid="{00000000-0005-0000-0000-0000A5010000}"/>
    <cellStyle name="Normal 5 2" xfId="5" xr:uid="{00000000-0005-0000-0000-0000A6010000}"/>
    <cellStyle name="Normal 5 3" xfId="32" xr:uid="{00000000-0005-0000-0000-0000A7010000}"/>
    <cellStyle name="Normal 5 3 2" xfId="54" xr:uid="{00000000-0005-0000-0000-0000A8010000}"/>
    <cellStyle name="Normal 5 4" xfId="19" xr:uid="{00000000-0005-0000-0000-0000A9010000}"/>
    <cellStyle name="Normal 6" xfId="18" xr:uid="{00000000-0005-0000-0000-0000AA010000}"/>
    <cellStyle name="Normal 6 10" xfId="660" xr:uid="{00000000-0005-0000-0000-0000AB010000}"/>
    <cellStyle name="Normal 6 11" xfId="754" xr:uid="{00000000-0005-0000-0000-0000AC010000}"/>
    <cellStyle name="Normal 6 2" xfId="41" xr:uid="{00000000-0005-0000-0000-0000AD010000}"/>
    <cellStyle name="Normal 6 2 10" xfId="773" xr:uid="{00000000-0005-0000-0000-0000AE010000}"/>
    <cellStyle name="Normal 6 2 2" xfId="81" xr:uid="{00000000-0005-0000-0000-0000AF010000}"/>
    <cellStyle name="Normal 6 2 2 2" xfId="174" xr:uid="{00000000-0005-0000-0000-0000B0010000}"/>
    <cellStyle name="Normal 6 2 2 3" xfId="264" xr:uid="{00000000-0005-0000-0000-0000B1010000}"/>
    <cellStyle name="Normal 6 2 2 4" xfId="354" xr:uid="{00000000-0005-0000-0000-0000B2010000}"/>
    <cellStyle name="Normal 6 2 2 5" xfId="444" xr:uid="{00000000-0005-0000-0000-0000B3010000}"/>
    <cellStyle name="Normal 6 2 2 6" xfId="534" xr:uid="{00000000-0005-0000-0000-0000B4010000}"/>
    <cellStyle name="Normal 6 2 2 7" xfId="624" xr:uid="{00000000-0005-0000-0000-0000B5010000}"/>
    <cellStyle name="Normal 6 2 2 8" xfId="714" xr:uid="{00000000-0005-0000-0000-0000B6010000}"/>
    <cellStyle name="Normal 6 2 2 9" xfId="811" xr:uid="{00000000-0005-0000-0000-0000B7010000}"/>
    <cellStyle name="Normal 6 2 3" xfId="137" xr:uid="{00000000-0005-0000-0000-0000B8010000}"/>
    <cellStyle name="Normal 6 2 4" xfId="227" xr:uid="{00000000-0005-0000-0000-0000B9010000}"/>
    <cellStyle name="Normal 6 2 5" xfId="317" xr:uid="{00000000-0005-0000-0000-0000BA010000}"/>
    <cellStyle name="Normal 6 2 6" xfId="407" xr:uid="{00000000-0005-0000-0000-0000BB010000}"/>
    <cellStyle name="Normal 6 2 7" xfId="497" xr:uid="{00000000-0005-0000-0000-0000BC010000}"/>
    <cellStyle name="Normal 6 2 8" xfId="587" xr:uid="{00000000-0005-0000-0000-0000BD010000}"/>
    <cellStyle name="Normal 6 2 9" xfId="677" xr:uid="{00000000-0005-0000-0000-0000BE010000}"/>
    <cellStyle name="Normal 6 3" xfId="62" xr:uid="{00000000-0005-0000-0000-0000BF010000}"/>
    <cellStyle name="Normal 6 3 2" xfId="155" xr:uid="{00000000-0005-0000-0000-0000C0010000}"/>
    <cellStyle name="Normal 6 3 3" xfId="245" xr:uid="{00000000-0005-0000-0000-0000C1010000}"/>
    <cellStyle name="Normal 6 3 4" xfId="335" xr:uid="{00000000-0005-0000-0000-0000C2010000}"/>
    <cellStyle name="Normal 6 3 5" xfId="425" xr:uid="{00000000-0005-0000-0000-0000C3010000}"/>
    <cellStyle name="Normal 6 3 6" xfId="515" xr:uid="{00000000-0005-0000-0000-0000C4010000}"/>
    <cellStyle name="Normal 6 3 7" xfId="605" xr:uid="{00000000-0005-0000-0000-0000C5010000}"/>
    <cellStyle name="Normal 6 3 8" xfId="695" xr:uid="{00000000-0005-0000-0000-0000C6010000}"/>
    <cellStyle name="Normal 6 3 9" xfId="792" xr:uid="{00000000-0005-0000-0000-0000C7010000}"/>
    <cellStyle name="Normal 6 4" xfId="120" xr:uid="{00000000-0005-0000-0000-0000C8010000}"/>
    <cellStyle name="Normal 6 5" xfId="210" xr:uid="{00000000-0005-0000-0000-0000C9010000}"/>
    <cellStyle name="Normal 6 6" xfId="300" xr:uid="{00000000-0005-0000-0000-0000CA010000}"/>
    <cellStyle name="Normal 6 7" xfId="390" xr:uid="{00000000-0005-0000-0000-0000CB010000}"/>
    <cellStyle name="Normal 6 8" xfId="480" xr:uid="{00000000-0005-0000-0000-0000CC010000}"/>
    <cellStyle name="Normal 6 9" xfId="570" xr:uid="{00000000-0005-0000-0000-0000CD010000}"/>
    <cellStyle name="Normal 7" xfId="22" xr:uid="{00000000-0005-0000-0000-0000CE010000}"/>
    <cellStyle name="Normal 7 10" xfId="661" xr:uid="{00000000-0005-0000-0000-0000CF010000}"/>
    <cellStyle name="Normal 7 11" xfId="756" xr:uid="{00000000-0005-0000-0000-0000D0010000}"/>
    <cellStyle name="Normal 7 2" xfId="44" xr:uid="{00000000-0005-0000-0000-0000D1010000}"/>
    <cellStyle name="Normal 7 2 10" xfId="776" xr:uid="{00000000-0005-0000-0000-0000D2010000}"/>
    <cellStyle name="Normal 7 2 2" xfId="84" xr:uid="{00000000-0005-0000-0000-0000D3010000}"/>
    <cellStyle name="Normal 7 2 2 2" xfId="177" xr:uid="{00000000-0005-0000-0000-0000D4010000}"/>
    <cellStyle name="Normal 7 2 2 3" xfId="267" xr:uid="{00000000-0005-0000-0000-0000D5010000}"/>
    <cellStyle name="Normal 7 2 2 4" xfId="357" xr:uid="{00000000-0005-0000-0000-0000D6010000}"/>
    <cellStyle name="Normal 7 2 2 5" xfId="447" xr:uid="{00000000-0005-0000-0000-0000D7010000}"/>
    <cellStyle name="Normal 7 2 2 6" xfId="537" xr:uid="{00000000-0005-0000-0000-0000D8010000}"/>
    <cellStyle name="Normal 7 2 2 7" xfId="627" xr:uid="{00000000-0005-0000-0000-0000D9010000}"/>
    <cellStyle name="Normal 7 2 2 8" xfId="717" xr:uid="{00000000-0005-0000-0000-0000DA010000}"/>
    <cellStyle name="Normal 7 2 2 9" xfId="814" xr:uid="{00000000-0005-0000-0000-0000DB010000}"/>
    <cellStyle name="Normal 7 2 3" xfId="140" xr:uid="{00000000-0005-0000-0000-0000DC010000}"/>
    <cellStyle name="Normal 7 2 4" xfId="230" xr:uid="{00000000-0005-0000-0000-0000DD010000}"/>
    <cellStyle name="Normal 7 2 5" xfId="320" xr:uid="{00000000-0005-0000-0000-0000DE010000}"/>
    <cellStyle name="Normal 7 2 6" xfId="410" xr:uid="{00000000-0005-0000-0000-0000DF010000}"/>
    <cellStyle name="Normal 7 2 7" xfId="500" xr:uid="{00000000-0005-0000-0000-0000E0010000}"/>
    <cellStyle name="Normal 7 2 8" xfId="590" xr:uid="{00000000-0005-0000-0000-0000E1010000}"/>
    <cellStyle name="Normal 7 2 9" xfId="680" xr:uid="{00000000-0005-0000-0000-0000E2010000}"/>
    <cellStyle name="Normal 7 3" xfId="65" xr:uid="{00000000-0005-0000-0000-0000E3010000}"/>
    <cellStyle name="Normal 7 3 2" xfId="158" xr:uid="{00000000-0005-0000-0000-0000E4010000}"/>
    <cellStyle name="Normal 7 3 3" xfId="248" xr:uid="{00000000-0005-0000-0000-0000E5010000}"/>
    <cellStyle name="Normal 7 3 4" xfId="338" xr:uid="{00000000-0005-0000-0000-0000E6010000}"/>
    <cellStyle name="Normal 7 3 5" xfId="428" xr:uid="{00000000-0005-0000-0000-0000E7010000}"/>
    <cellStyle name="Normal 7 3 6" xfId="518" xr:uid="{00000000-0005-0000-0000-0000E8010000}"/>
    <cellStyle name="Normal 7 3 7" xfId="608" xr:uid="{00000000-0005-0000-0000-0000E9010000}"/>
    <cellStyle name="Normal 7 3 8" xfId="698" xr:uid="{00000000-0005-0000-0000-0000EA010000}"/>
    <cellStyle name="Normal 7 3 9" xfId="795" xr:uid="{00000000-0005-0000-0000-0000EB010000}"/>
    <cellStyle name="Normal 7 4" xfId="121" xr:uid="{00000000-0005-0000-0000-0000EC010000}"/>
    <cellStyle name="Normal 7 5" xfId="211" xr:uid="{00000000-0005-0000-0000-0000ED010000}"/>
    <cellStyle name="Normal 7 6" xfId="301" xr:uid="{00000000-0005-0000-0000-0000EE010000}"/>
    <cellStyle name="Normal 7 7" xfId="391" xr:uid="{00000000-0005-0000-0000-0000EF010000}"/>
    <cellStyle name="Normal 7 8" xfId="481" xr:uid="{00000000-0005-0000-0000-0000F0010000}"/>
    <cellStyle name="Normal 7 9" xfId="571" xr:uid="{00000000-0005-0000-0000-0000F1010000}"/>
    <cellStyle name="Normal 8" xfId="25" xr:uid="{00000000-0005-0000-0000-0000F2010000}"/>
    <cellStyle name="Normal 8 10" xfId="664" xr:uid="{00000000-0005-0000-0000-0000F3010000}"/>
    <cellStyle name="Normal 8 11" xfId="759" xr:uid="{00000000-0005-0000-0000-0000F4010000}"/>
    <cellStyle name="Normal 8 2" xfId="47" xr:uid="{00000000-0005-0000-0000-0000F5010000}"/>
    <cellStyle name="Normal 8 2 10" xfId="779" xr:uid="{00000000-0005-0000-0000-0000F6010000}"/>
    <cellStyle name="Normal 8 2 2" xfId="87" xr:uid="{00000000-0005-0000-0000-0000F7010000}"/>
    <cellStyle name="Normal 8 2 2 2" xfId="180" xr:uid="{00000000-0005-0000-0000-0000F8010000}"/>
    <cellStyle name="Normal 8 2 2 3" xfId="270" xr:uid="{00000000-0005-0000-0000-0000F9010000}"/>
    <cellStyle name="Normal 8 2 2 4" xfId="360" xr:uid="{00000000-0005-0000-0000-0000FA010000}"/>
    <cellStyle name="Normal 8 2 2 5" xfId="450" xr:uid="{00000000-0005-0000-0000-0000FB010000}"/>
    <cellStyle name="Normal 8 2 2 6" xfId="540" xr:uid="{00000000-0005-0000-0000-0000FC010000}"/>
    <cellStyle name="Normal 8 2 2 7" xfId="630" xr:uid="{00000000-0005-0000-0000-0000FD010000}"/>
    <cellStyle name="Normal 8 2 2 8" xfId="720" xr:uid="{00000000-0005-0000-0000-0000FE010000}"/>
    <cellStyle name="Normal 8 2 2 9" xfId="817" xr:uid="{00000000-0005-0000-0000-0000FF010000}"/>
    <cellStyle name="Normal 8 2 3" xfId="143" xr:uid="{00000000-0005-0000-0000-000000020000}"/>
    <cellStyle name="Normal 8 2 4" xfId="233" xr:uid="{00000000-0005-0000-0000-000001020000}"/>
    <cellStyle name="Normal 8 2 5" xfId="323" xr:uid="{00000000-0005-0000-0000-000002020000}"/>
    <cellStyle name="Normal 8 2 6" xfId="413" xr:uid="{00000000-0005-0000-0000-000003020000}"/>
    <cellStyle name="Normal 8 2 7" xfId="503" xr:uid="{00000000-0005-0000-0000-000004020000}"/>
    <cellStyle name="Normal 8 2 8" xfId="593" xr:uid="{00000000-0005-0000-0000-000005020000}"/>
    <cellStyle name="Normal 8 2 9" xfId="683" xr:uid="{00000000-0005-0000-0000-000006020000}"/>
    <cellStyle name="Normal 8 3" xfId="68" xr:uid="{00000000-0005-0000-0000-000007020000}"/>
    <cellStyle name="Normal 8 3 2" xfId="161" xr:uid="{00000000-0005-0000-0000-000008020000}"/>
    <cellStyle name="Normal 8 3 3" xfId="251" xr:uid="{00000000-0005-0000-0000-000009020000}"/>
    <cellStyle name="Normal 8 3 4" xfId="341" xr:uid="{00000000-0005-0000-0000-00000A020000}"/>
    <cellStyle name="Normal 8 3 5" xfId="431" xr:uid="{00000000-0005-0000-0000-00000B020000}"/>
    <cellStyle name="Normal 8 3 6" xfId="521" xr:uid="{00000000-0005-0000-0000-00000C020000}"/>
    <cellStyle name="Normal 8 3 7" xfId="611" xr:uid="{00000000-0005-0000-0000-00000D020000}"/>
    <cellStyle name="Normal 8 3 8" xfId="701" xr:uid="{00000000-0005-0000-0000-00000E020000}"/>
    <cellStyle name="Normal 8 3 9" xfId="798" xr:uid="{00000000-0005-0000-0000-00000F020000}"/>
    <cellStyle name="Normal 8 4" xfId="124" xr:uid="{00000000-0005-0000-0000-000010020000}"/>
    <cellStyle name="Normal 8 5" xfId="214" xr:uid="{00000000-0005-0000-0000-000011020000}"/>
    <cellStyle name="Normal 8 6" xfId="304" xr:uid="{00000000-0005-0000-0000-000012020000}"/>
    <cellStyle name="Normal 8 7" xfId="394" xr:uid="{00000000-0005-0000-0000-000013020000}"/>
    <cellStyle name="Normal 8 8" xfId="484" xr:uid="{00000000-0005-0000-0000-000014020000}"/>
    <cellStyle name="Normal 8 9" xfId="574" xr:uid="{00000000-0005-0000-0000-000015020000}"/>
    <cellStyle name="Normal 9" xfId="28" xr:uid="{00000000-0005-0000-0000-000016020000}"/>
    <cellStyle name="Normal 9 10" xfId="667" xr:uid="{00000000-0005-0000-0000-000017020000}"/>
    <cellStyle name="Normal 9 11" xfId="762" xr:uid="{00000000-0005-0000-0000-000018020000}"/>
    <cellStyle name="Normal 9 2" xfId="50" xr:uid="{00000000-0005-0000-0000-000019020000}"/>
    <cellStyle name="Normal 9 2 10" xfId="782" xr:uid="{00000000-0005-0000-0000-00001A020000}"/>
    <cellStyle name="Normal 9 2 2" xfId="90" xr:uid="{00000000-0005-0000-0000-00001B020000}"/>
    <cellStyle name="Normal 9 2 2 2" xfId="183" xr:uid="{00000000-0005-0000-0000-00001C020000}"/>
    <cellStyle name="Normal 9 2 2 3" xfId="273" xr:uid="{00000000-0005-0000-0000-00001D020000}"/>
    <cellStyle name="Normal 9 2 2 4" xfId="363" xr:uid="{00000000-0005-0000-0000-00001E020000}"/>
    <cellStyle name="Normal 9 2 2 5" xfId="453" xr:uid="{00000000-0005-0000-0000-00001F020000}"/>
    <cellStyle name="Normal 9 2 2 6" xfId="543" xr:uid="{00000000-0005-0000-0000-000020020000}"/>
    <cellStyle name="Normal 9 2 2 7" xfId="633" xr:uid="{00000000-0005-0000-0000-000021020000}"/>
    <cellStyle name="Normal 9 2 2 8" xfId="723" xr:uid="{00000000-0005-0000-0000-000022020000}"/>
    <cellStyle name="Normal 9 2 2 9" xfId="820" xr:uid="{00000000-0005-0000-0000-000023020000}"/>
    <cellStyle name="Normal 9 2 3" xfId="146" xr:uid="{00000000-0005-0000-0000-000024020000}"/>
    <cellStyle name="Normal 9 2 4" xfId="236" xr:uid="{00000000-0005-0000-0000-000025020000}"/>
    <cellStyle name="Normal 9 2 5" xfId="326" xr:uid="{00000000-0005-0000-0000-000026020000}"/>
    <cellStyle name="Normal 9 2 6" xfId="416" xr:uid="{00000000-0005-0000-0000-000027020000}"/>
    <cellStyle name="Normal 9 2 7" xfId="506" xr:uid="{00000000-0005-0000-0000-000028020000}"/>
    <cellStyle name="Normal 9 2 8" xfId="596" xr:uid="{00000000-0005-0000-0000-000029020000}"/>
    <cellStyle name="Normal 9 2 9" xfId="686" xr:uid="{00000000-0005-0000-0000-00002A020000}"/>
    <cellStyle name="Normal 9 3" xfId="71" xr:uid="{00000000-0005-0000-0000-00002B020000}"/>
    <cellStyle name="Normal 9 3 2" xfId="164" xr:uid="{00000000-0005-0000-0000-00002C020000}"/>
    <cellStyle name="Normal 9 3 3" xfId="254" xr:uid="{00000000-0005-0000-0000-00002D020000}"/>
    <cellStyle name="Normal 9 3 4" xfId="344" xr:uid="{00000000-0005-0000-0000-00002E020000}"/>
    <cellStyle name="Normal 9 3 5" xfId="434" xr:uid="{00000000-0005-0000-0000-00002F020000}"/>
    <cellStyle name="Normal 9 3 6" xfId="524" xr:uid="{00000000-0005-0000-0000-000030020000}"/>
    <cellStyle name="Normal 9 3 7" xfId="614" xr:uid="{00000000-0005-0000-0000-000031020000}"/>
    <cellStyle name="Normal 9 3 8" xfId="704" xr:uid="{00000000-0005-0000-0000-000032020000}"/>
    <cellStyle name="Normal 9 3 9" xfId="801" xr:uid="{00000000-0005-0000-0000-000033020000}"/>
    <cellStyle name="Normal 9 4" xfId="127" xr:uid="{00000000-0005-0000-0000-000034020000}"/>
    <cellStyle name="Normal 9 5" xfId="217" xr:uid="{00000000-0005-0000-0000-000035020000}"/>
    <cellStyle name="Normal 9 6" xfId="307" xr:uid="{00000000-0005-0000-0000-000036020000}"/>
    <cellStyle name="Normal 9 7" xfId="397" xr:uid="{00000000-0005-0000-0000-000037020000}"/>
    <cellStyle name="Normal 9 8" xfId="487" xr:uid="{00000000-0005-0000-0000-000038020000}"/>
    <cellStyle name="Normal 9 9" xfId="577" xr:uid="{00000000-0005-0000-0000-000039020000}"/>
    <cellStyle name="Normal_Forslag" xfId="845" xr:uid="{00000000-0005-0000-0000-00003A020000}"/>
    <cellStyle name="Normal_Forslag 2" xfId="848" xr:uid="{00000000-0005-0000-0000-00003B020000}"/>
    <cellStyle name="Prosent" xfId="852" builtinId="5"/>
    <cellStyle name="Tusenskille 2" xfId="14" xr:uid="{00000000-0005-0000-0000-00003C020000}"/>
    <cellStyle name="Tusenskille 2 2" xfId="15" xr:uid="{00000000-0005-0000-0000-00003D020000}"/>
    <cellStyle name="Tusenskille 2 2 2" xfId="751" xr:uid="{00000000-0005-0000-0000-00003E020000}"/>
    <cellStyle name="Tusenskille 2 2 3" xfId="849" xr:uid="{F77FA10F-B946-43D0-BDB2-55CEFCE8EA1F}"/>
    <cellStyle name="Tusenskille 2 3" xfId="21" xr:uid="{00000000-0005-0000-0000-00003F020000}"/>
    <cellStyle name="Tusenskille 2 3 2" xfId="755" xr:uid="{00000000-0005-0000-0000-000040020000}"/>
    <cellStyle name="Tusenskille 2 4" xfId="40" xr:uid="{00000000-0005-0000-0000-000041020000}"/>
    <cellStyle name="Tusenskille 2 4 2" xfId="772" xr:uid="{00000000-0005-0000-0000-000042020000}"/>
    <cellStyle name="Tusenskille 2 5" xfId="61" xr:uid="{00000000-0005-0000-0000-000043020000}"/>
    <cellStyle name="Tusenskille 2 5 2" xfId="791" xr:uid="{00000000-0005-0000-0000-000044020000}"/>
    <cellStyle name="Tusenskille 2 6" xfId="750" xr:uid="{00000000-0005-0000-0000-000045020000}"/>
    <cellStyle name="Tusenskille 3" xfId="16" xr:uid="{00000000-0005-0000-0000-000046020000}"/>
    <cellStyle name="Tusenskille 3 10" xfId="105" xr:uid="{00000000-0005-0000-0000-000047020000}"/>
    <cellStyle name="Tusenskille 3 10 2" xfId="197" xr:uid="{00000000-0005-0000-0000-000048020000}"/>
    <cellStyle name="Tusenskille 3 10 3" xfId="287" xr:uid="{00000000-0005-0000-0000-000049020000}"/>
    <cellStyle name="Tusenskille 3 10 4" xfId="377" xr:uid="{00000000-0005-0000-0000-00004A020000}"/>
    <cellStyle name="Tusenskille 3 10 5" xfId="467" xr:uid="{00000000-0005-0000-0000-00004B020000}"/>
    <cellStyle name="Tusenskille 3 10 6" xfId="557" xr:uid="{00000000-0005-0000-0000-00004C020000}"/>
    <cellStyle name="Tusenskille 3 10 7" xfId="647" xr:uid="{00000000-0005-0000-0000-00004D020000}"/>
    <cellStyle name="Tusenskille 3 10 8" xfId="737" xr:uid="{00000000-0005-0000-0000-00004E020000}"/>
    <cellStyle name="Tusenskille 3 10 9" xfId="834" xr:uid="{00000000-0005-0000-0000-00004F020000}"/>
    <cellStyle name="Tusenskille 3 11" xfId="108" xr:uid="{00000000-0005-0000-0000-000050020000}"/>
    <cellStyle name="Tusenskille 3 11 2" xfId="200" xr:uid="{00000000-0005-0000-0000-000051020000}"/>
    <cellStyle name="Tusenskille 3 11 3" xfId="290" xr:uid="{00000000-0005-0000-0000-000052020000}"/>
    <cellStyle name="Tusenskille 3 11 4" xfId="380" xr:uid="{00000000-0005-0000-0000-000053020000}"/>
    <cellStyle name="Tusenskille 3 11 5" xfId="470" xr:uid="{00000000-0005-0000-0000-000054020000}"/>
    <cellStyle name="Tusenskille 3 11 6" xfId="560" xr:uid="{00000000-0005-0000-0000-000055020000}"/>
    <cellStyle name="Tusenskille 3 11 7" xfId="650" xr:uid="{00000000-0005-0000-0000-000056020000}"/>
    <cellStyle name="Tusenskille 3 11 8" xfId="740" xr:uid="{00000000-0005-0000-0000-000057020000}"/>
    <cellStyle name="Tusenskille 3 11 9" xfId="837" xr:uid="{00000000-0005-0000-0000-000058020000}"/>
    <cellStyle name="Tusenskille 3 12" xfId="111" xr:uid="{00000000-0005-0000-0000-000059020000}"/>
    <cellStyle name="Tusenskille 3 12 2" xfId="203" xr:uid="{00000000-0005-0000-0000-00005A020000}"/>
    <cellStyle name="Tusenskille 3 12 3" xfId="293" xr:uid="{00000000-0005-0000-0000-00005B020000}"/>
    <cellStyle name="Tusenskille 3 12 4" xfId="383" xr:uid="{00000000-0005-0000-0000-00005C020000}"/>
    <cellStyle name="Tusenskille 3 12 5" xfId="473" xr:uid="{00000000-0005-0000-0000-00005D020000}"/>
    <cellStyle name="Tusenskille 3 12 6" xfId="563" xr:uid="{00000000-0005-0000-0000-00005E020000}"/>
    <cellStyle name="Tusenskille 3 12 7" xfId="653" xr:uid="{00000000-0005-0000-0000-00005F020000}"/>
    <cellStyle name="Tusenskille 3 12 8" xfId="743" xr:uid="{00000000-0005-0000-0000-000060020000}"/>
    <cellStyle name="Tusenskille 3 12 9" xfId="840" xr:uid="{00000000-0005-0000-0000-000061020000}"/>
    <cellStyle name="Tusenskille 3 13" xfId="114" xr:uid="{00000000-0005-0000-0000-000062020000}"/>
    <cellStyle name="Tusenskille 3 13 2" xfId="206" xr:uid="{00000000-0005-0000-0000-000063020000}"/>
    <cellStyle name="Tusenskille 3 13 3" xfId="296" xr:uid="{00000000-0005-0000-0000-000064020000}"/>
    <cellStyle name="Tusenskille 3 13 4" xfId="386" xr:uid="{00000000-0005-0000-0000-000065020000}"/>
    <cellStyle name="Tusenskille 3 13 5" xfId="476" xr:uid="{00000000-0005-0000-0000-000066020000}"/>
    <cellStyle name="Tusenskille 3 13 6" xfId="566" xr:uid="{00000000-0005-0000-0000-000067020000}"/>
    <cellStyle name="Tusenskille 3 13 7" xfId="656" xr:uid="{00000000-0005-0000-0000-000068020000}"/>
    <cellStyle name="Tusenskille 3 13 8" xfId="746" xr:uid="{00000000-0005-0000-0000-000069020000}"/>
    <cellStyle name="Tusenskille 3 13 9" xfId="843" xr:uid="{00000000-0005-0000-0000-00006A020000}"/>
    <cellStyle name="Tusenskille 3 14" xfId="119" xr:uid="{00000000-0005-0000-0000-00006B020000}"/>
    <cellStyle name="Tusenskille 3 15" xfId="209" xr:uid="{00000000-0005-0000-0000-00006C020000}"/>
    <cellStyle name="Tusenskille 3 16" xfId="299" xr:uid="{00000000-0005-0000-0000-00006D020000}"/>
    <cellStyle name="Tusenskille 3 17" xfId="389" xr:uid="{00000000-0005-0000-0000-00006E020000}"/>
    <cellStyle name="Tusenskille 3 18" xfId="479" xr:uid="{00000000-0005-0000-0000-00006F020000}"/>
    <cellStyle name="Tusenskille 3 19" xfId="569" xr:uid="{00000000-0005-0000-0000-000070020000}"/>
    <cellStyle name="Tusenskille 3 2" xfId="24" xr:uid="{00000000-0005-0000-0000-000071020000}"/>
    <cellStyle name="Tusenskille 3 2 10" xfId="663" xr:uid="{00000000-0005-0000-0000-000072020000}"/>
    <cellStyle name="Tusenskille 3 2 11" xfId="758" xr:uid="{00000000-0005-0000-0000-000073020000}"/>
    <cellStyle name="Tusenskille 3 2 2" xfId="46" xr:uid="{00000000-0005-0000-0000-000074020000}"/>
    <cellStyle name="Tusenskille 3 2 2 10" xfId="778" xr:uid="{00000000-0005-0000-0000-000075020000}"/>
    <cellStyle name="Tusenskille 3 2 2 2" xfId="86" xr:uid="{00000000-0005-0000-0000-000076020000}"/>
    <cellStyle name="Tusenskille 3 2 2 2 2" xfId="179" xr:uid="{00000000-0005-0000-0000-000077020000}"/>
    <cellStyle name="Tusenskille 3 2 2 2 3" xfId="269" xr:uid="{00000000-0005-0000-0000-000078020000}"/>
    <cellStyle name="Tusenskille 3 2 2 2 4" xfId="359" xr:uid="{00000000-0005-0000-0000-000079020000}"/>
    <cellStyle name="Tusenskille 3 2 2 2 5" xfId="449" xr:uid="{00000000-0005-0000-0000-00007A020000}"/>
    <cellStyle name="Tusenskille 3 2 2 2 6" xfId="539" xr:uid="{00000000-0005-0000-0000-00007B020000}"/>
    <cellStyle name="Tusenskille 3 2 2 2 7" xfId="629" xr:uid="{00000000-0005-0000-0000-00007C020000}"/>
    <cellStyle name="Tusenskille 3 2 2 2 8" xfId="719" xr:uid="{00000000-0005-0000-0000-00007D020000}"/>
    <cellStyle name="Tusenskille 3 2 2 2 9" xfId="816" xr:uid="{00000000-0005-0000-0000-00007E020000}"/>
    <cellStyle name="Tusenskille 3 2 2 3" xfId="142" xr:uid="{00000000-0005-0000-0000-00007F020000}"/>
    <cellStyle name="Tusenskille 3 2 2 4" xfId="232" xr:uid="{00000000-0005-0000-0000-000080020000}"/>
    <cellStyle name="Tusenskille 3 2 2 5" xfId="322" xr:uid="{00000000-0005-0000-0000-000081020000}"/>
    <cellStyle name="Tusenskille 3 2 2 6" xfId="412" xr:uid="{00000000-0005-0000-0000-000082020000}"/>
    <cellStyle name="Tusenskille 3 2 2 7" xfId="502" xr:uid="{00000000-0005-0000-0000-000083020000}"/>
    <cellStyle name="Tusenskille 3 2 2 8" xfId="592" xr:uid="{00000000-0005-0000-0000-000084020000}"/>
    <cellStyle name="Tusenskille 3 2 2 9" xfId="682" xr:uid="{00000000-0005-0000-0000-000085020000}"/>
    <cellStyle name="Tusenskille 3 2 3" xfId="67" xr:uid="{00000000-0005-0000-0000-000086020000}"/>
    <cellStyle name="Tusenskille 3 2 3 2" xfId="160" xr:uid="{00000000-0005-0000-0000-000087020000}"/>
    <cellStyle name="Tusenskille 3 2 3 3" xfId="250" xr:uid="{00000000-0005-0000-0000-000088020000}"/>
    <cellStyle name="Tusenskille 3 2 3 4" xfId="340" xr:uid="{00000000-0005-0000-0000-000089020000}"/>
    <cellStyle name="Tusenskille 3 2 3 5" xfId="430" xr:uid="{00000000-0005-0000-0000-00008A020000}"/>
    <cellStyle name="Tusenskille 3 2 3 6" xfId="520" xr:uid="{00000000-0005-0000-0000-00008B020000}"/>
    <cellStyle name="Tusenskille 3 2 3 7" xfId="610" xr:uid="{00000000-0005-0000-0000-00008C020000}"/>
    <cellStyle name="Tusenskille 3 2 3 8" xfId="700" xr:uid="{00000000-0005-0000-0000-00008D020000}"/>
    <cellStyle name="Tusenskille 3 2 3 9" xfId="797" xr:uid="{00000000-0005-0000-0000-00008E020000}"/>
    <cellStyle name="Tusenskille 3 2 4" xfId="123" xr:uid="{00000000-0005-0000-0000-00008F020000}"/>
    <cellStyle name="Tusenskille 3 2 5" xfId="213" xr:uid="{00000000-0005-0000-0000-000090020000}"/>
    <cellStyle name="Tusenskille 3 2 6" xfId="303" xr:uid="{00000000-0005-0000-0000-000091020000}"/>
    <cellStyle name="Tusenskille 3 2 7" xfId="393" xr:uid="{00000000-0005-0000-0000-000092020000}"/>
    <cellStyle name="Tusenskille 3 2 8" xfId="483" xr:uid="{00000000-0005-0000-0000-000093020000}"/>
    <cellStyle name="Tusenskille 3 2 9" xfId="573" xr:uid="{00000000-0005-0000-0000-000094020000}"/>
    <cellStyle name="Tusenskille 3 20" xfId="659" xr:uid="{00000000-0005-0000-0000-000095020000}"/>
    <cellStyle name="Tusenskille 3 21" xfId="752" xr:uid="{00000000-0005-0000-0000-000096020000}"/>
    <cellStyle name="Tusenskille 3 3" xfId="27" xr:uid="{00000000-0005-0000-0000-000097020000}"/>
    <cellStyle name="Tusenskille 3 3 10" xfId="666" xr:uid="{00000000-0005-0000-0000-000098020000}"/>
    <cellStyle name="Tusenskille 3 3 11" xfId="761" xr:uid="{00000000-0005-0000-0000-000099020000}"/>
    <cellStyle name="Tusenskille 3 3 2" xfId="49" xr:uid="{00000000-0005-0000-0000-00009A020000}"/>
    <cellStyle name="Tusenskille 3 3 2 10" xfId="781" xr:uid="{00000000-0005-0000-0000-00009B020000}"/>
    <cellStyle name="Tusenskille 3 3 2 2" xfId="89" xr:uid="{00000000-0005-0000-0000-00009C020000}"/>
    <cellStyle name="Tusenskille 3 3 2 2 2" xfId="182" xr:uid="{00000000-0005-0000-0000-00009D020000}"/>
    <cellStyle name="Tusenskille 3 3 2 2 3" xfId="272" xr:uid="{00000000-0005-0000-0000-00009E020000}"/>
    <cellStyle name="Tusenskille 3 3 2 2 4" xfId="362" xr:uid="{00000000-0005-0000-0000-00009F020000}"/>
    <cellStyle name="Tusenskille 3 3 2 2 5" xfId="452" xr:uid="{00000000-0005-0000-0000-0000A0020000}"/>
    <cellStyle name="Tusenskille 3 3 2 2 6" xfId="542" xr:uid="{00000000-0005-0000-0000-0000A1020000}"/>
    <cellStyle name="Tusenskille 3 3 2 2 7" xfId="632" xr:uid="{00000000-0005-0000-0000-0000A2020000}"/>
    <cellStyle name="Tusenskille 3 3 2 2 8" xfId="722" xr:uid="{00000000-0005-0000-0000-0000A3020000}"/>
    <cellStyle name="Tusenskille 3 3 2 2 9" xfId="819" xr:uid="{00000000-0005-0000-0000-0000A4020000}"/>
    <cellStyle name="Tusenskille 3 3 2 3" xfId="145" xr:uid="{00000000-0005-0000-0000-0000A5020000}"/>
    <cellStyle name="Tusenskille 3 3 2 4" xfId="235" xr:uid="{00000000-0005-0000-0000-0000A6020000}"/>
    <cellStyle name="Tusenskille 3 3 2 5" xfId="325" xr:uid="{00000000-0005-0000-0000-0000A7020000}"/>
    <cellStyle name="Tusenskille 3 3 2 6" xfId="415" xr:uid="{00000000-0005-0000-0000-0000A8020000}"/>
    <cellStyle name="Tusenskille 3 3 2 7" xfId="505" xr:uid="{00000000-0005-0000-0000-0000A9020000}"/>
    <cellStyle name="Tusenskille 3 3 2 8" xfId="595" xr:uid="{00000000-0005-0000-0000-0000AA020000}"/>
    <cellStyle name="Tusenskille 3 3 2 9" xfId="685" xr:uid="{00000000-0005-0000-0000-0000AB020000}"/>
    <cellStyle name="Tusenskille 3 3 3" xfId="70" xr:uid="{00000000-0005-0000-0000-0000AC020000}"/>
    <cellStyle name="Tusenskille 3 3 3 2" xfId="163" xr:uid="{00000000-0005-0000-0000-0000AD020000}"/>
    <cellStyle name="Tusenskille 3 3 3 3" xfId="253" xr:uid="{00000000-0005-0000-0000-0000AE020000}"/>
    <cellStyle name="Tusenskille 3 3 3 4" xfId="343" xr:uid="{00000000-0005-0000-0000-0000AF020000}"/>
    <cellStyle name="Tusenskille 3 3 3 5" xfId="433" xr:uid="{00000000-0005-0000-0000-0000B0020000}"/>
    <cellStyle name="Tusenskille 3 3 3 6" xfId="523" xr:uid="{00000000-0005-0000-0000-0000B1020000}"/>
    <cellStyle name="Tusenskille 3 3 3 7" xfId="613" xr:uid="{00000000-0005-0000-0000-0000B2020000}"/>
    <cellStyle name="Tusenskille 3 3 3 8" xfId="703" xr:uid="{00000000-0005-0000-0000-0000B3020000}"/>
    <cellStyle name="Tusenskille 3 3 3 9" xfId="800" xr:uid="{00000000-0005-0000-0000-0000B4020000}"/>
    <cellStyle name="Tusenskille 3 3 4" xfId="126" xr:uid="{00000000-0005-0000-0000-0000B5020000}"/>
    <cellStyle name="Tusenskille 3 3 5" xfId="216" xr:uid="{00000000-0005-0000-0000-0000B6020000}"/>
    <cellStyle name="Tusenskille 3 3 6" xfId="306" xr:uid="{00000000-0005-0000-0000-0000B7020000}"/>
    <cellStyle name="Tusenskille 3 3 7" xfId="396" xr:uid="{00000000-0005-0000-0000-0000B8020000}"/>
    <cellStyle name="Tusenskille 3 3 8" xfId="486" xr:uid="{00000000-0005-0000-0000-0000B9020000}"/>
    <cellStyle name="Tusenskille 3 3 9" xfId="576" xr:uid="{00000000-0005-0000-0000-0000BA020000}"/>
    <cellStyle name="Tusenskille 3 4" xfId="30" xr:uid="{00000000-0005-0000-0000-0000BB020000}"/>
    <cellStyle name="Tusenskille 3 4 10" xfId="669" xr:uid="{00000000-0005-0000-0000-0000BC020000}"/>
    <cellStyle name="Tusenskille 3 4 11" xfId="764" xr:uid="{00000000-0005-0000-0000-0000BD020000}"/>
    <cellStyle name="Tusenskille 3 4 2" xfId="52" xr:uid="{00000000-0005-0000-0000-0000BE020000}"/>
    <cellStyle name="Tusenskille 3 4 2 10" xfId="784" xr:uid="{00000000-0005-0000-0000-0000BF020000}"/>
    <cellStyle name="Tusenskille 3 4 2 2" xfId="92" xr:uid="{00000000-0005-0000-0000-0000C0020000}"/>
    <cellStyle name="Tusenskille 3 4 2 2 2" xfId="185" xr:uid="{00000000-0005-0000-0000-0000C1020000}"/>
    <cellStyle name="Tusenskille 3 4 2 2 3" xfId="275" xr:uid="{00000000-0005-0000-0000-0000C2020000}"/>
    <cellStyle name="Tusenskille 3 4 2 2 4" xfId="365" xr:uid="{00000000-0005-0000-0000-0000C3020000}"/>
    <cellStyle name="Tusenskille 3 4 2 2 5" xfId="455" xr:uid="{00000000-0005-0000-0000-0000C4020000}"/>
    <cellStyle name="Tusenskille 3 4 2 2 6" xfId="545" xr:uid="{00000000-0005-0000-0000-0000C5020000}"/>
    <cellStyle name="Tusenskille 3 4 2 2 7" xfId="635" xr:uid="{00000000-0005-0000-0000-0000C6020000}"/>
    <cellStyle name="Tusenskille 3 4 2 2 8" xfId="725" xr:uid="{00000000-0005-0000-0000-0000C7020000}"/>
    <cellStyle name="Tusenskille 3 4 2 2 9" xfId="822" xr:uid="{00000000-0005-0000-0000-0000C8020000}"/>
    <cellStyle name="Tusenskille 3 4 2 3" xfId="148" xr:uid="{00000000-0005-0000-0000-0000C9020000}"/>
    <cellStyle name="Tusenskille 3 4 2 4" xfId="238" xr:uid="{00000000-0005-0000-0000-0000CA020000}"/>
    <cellStyle name="Tusenskille 3 4 2 5" xfId="328" xr:uid="{00000000-0005-0000-0000-0000CB020000}"/>
    <cellStyle name="Tusenskille 3 4 2 6" xfId="418" xr:uid="{00000000-0005-0000-0000-0000CC020000}"/>
    <cellStyle name="Tusenskille 3 4 2 7" xfId="508" xr:uid="{00000000-0005-0000-0000-0000CD020000}"/>
    <cellStyle name="Tusenskille 3 4 2 8" xfId="598" xr:uid="{00000000-0005-0000-0000-0000CE020000}"/>
    <cellStyle name="Tusenskille 3 4 2 9" xfId="688" xr:uid="{00000000-0005-0000-0000-0000CF020000}"/>
    <cellStyle name="Tusenskille 3 4 3" xfId="73" xr:uid="{00000000-0005-0000-0000-0000D0020000}"/>
    <cellStyle name="Tusenskille 3 4 3 2" xfId="166" xr:uid="{00000000-0005-0000-0000-0000D1020000}"/>
    <cellStyle name="Tusenskille 3 4 3 3" xfId="256" xr:uid="{00000000-0005-0000-0000-0000D2020000}"/>
    <cellStyle name="Tusenskille 3 4 3 4" xfId="346" xr:uid="{00000000-0005-0000-0000-0000D3020000}"/>
    <cellStyle name="Tusenskille 3 4 3 5" xfId="436" xr:uid="{00000000-0005-0000-0000-0000D4020000}"/>
    <cellStyle name="Tusenskille 3 4 3 6" xfId="526" xr:uid="{00000000-0005-0000-0000-0000D5020000}"/>
    <cellStyle name="Tusenskille 3 4 3 7" xfId="616" xr:uid="{00000000-0005-0000-0000-0000D6020000}"/>
    <cellStyle name="Tusenskille 3 4 3 8" xfId="706" xr:uid="{00000000-0005-0000-0000-0000D7020000}"/>
    <cellStyle name="Tusenskille 3 4 3 9" xfId="803" xr:uid="{00000000-0005-0000-0000-0000D8020000}"/>
    <cellStyle name="Tusenskille 3 4 4" xfId="129" xr:uid="{00000000-0005-0000-0000-0000D9020000}"/>
    <cellStyle name="Tusenskille 3 4 5" xfId="219" xr:uid="{00000000-0005-0000-0000-0000DA020000}"/>
    <cellStyle name="Tusenskille 3 4 6" xfId="309" xr:uid="{00000000-0005-0000-0000-0000DB020000}"/>
    <cellStyle name="Tusenskille 3 4 7" xfId="399" xr:uid="{00000000-0005-0000-0000-0000DC020000}"/>
    <cellStyle name="Tusenskille 3 4 8" xfId="489" xr:uid="{00000000-0005-0000-0000-0000DD020000}"/>
    <cellStyle name="Tusenskille 3 4 9" xfId="579" xr:uid="{00000000-0005-0000-0000-0000DE020000}"/>
    <cellStyle name="Tusenskille 3 5" xfId="34" xr:uid="{00000000-0005-0000-0000-0000DF020000}"/>
    <cellStyle name="Tusenskille 3 5 10" xfId="672" xr:uid="{00000000-0005-0000-0000-0000E0020000}"/>
    <cellStyle name="Tusenskille 3 5 11" xfId="767" xr:uid="{00000000-0005-0000-0000-0000E1020000}"/>
    <cellStyle name="Tusenskille 3 5 2" xfId="56" xr:uid="{00000000-0005-0000-0000-0000E2020000}"/>
    <cellStyle name="Tusenskille 3 5 2 10" xfId="787" xr:uid="{00000000-0005-0000-0000-0000E3020000}"/>
    <cellStyle name="Tusenskille 3 5 2 2" xfId="96" xr:uid="{00000000-0005-0000-0000-0000E4020000}"/>
    <cellStyle name="Tusenskille 3 5 2 2 2" xfId="188" xr:uid="{00000000-0005-0000-0000-0000E5020000}"/>
    <cellStyle name="Tusenskille 3 5 2 2 3" xfId="278" xr:uid="{00000000-0005-0000-0000-0000E6020000}"/>
    <cellStyle name="Tusenskille 3 5 2 2 4" xfId="368" xr:uid="{00000000-0005-0000-0000-0000E7020000}"/>
    <cellStyle name="Tusenskille 3 5 2 2 5" xfId="458" xr:uid="{00000000-0005-0000-0000-0000E8020000}"/>
    <cellStyle name="Tusenskille 3 5 2 2 6" xfId="548" xr:uid="{00000000-0005-0000-0000-0000E9020000}"/>
    <cellStyle name="Tusenskille 3 5 2 2 7" xfId="638" xr:uid="{00000000-0005-0000-0000-0000EA020000}"/>
    <cellStyle name="Tusenskille 3 5 2 2 8" xfId="728" xr:uid="{00000000-0005-0000-0000-0000EB020000}"/>
    <cellStyle name="Tusenskille 3 5 2 2 9" xfId="825" xr:uid="{00000000-0005-0000-0000-0000EC020000}"/>
    <cellStyle name="Tusenskille 3 5 2 3" xfId="151" xr:uid="{00000000-0005-0000-0000-0000ED020000}"/>
    <cellStyle name="Tusenskille 3 5 2 4" xfId="241" xr:uid="{00000000-0005-0000-0000-0000EE020000}"/>
    <cellStyle name="Tusenskille 3 5 2 5" xfId="331" xr:uid="{00000000-0005-0000-0000-0000EF020000}"/>
    <cellStyle name="Tusenskille 3 5 2 6" xfId="421" xr:uid="{00000000-0005-0000-0000-0000F0020000}"/>
    <cellStyle name="Tusenskille 3 5 2 7" xfId="511" xr:uid="{00000000-0005-0000-0000-0000F1020000}"/>
    <cellStyle name="Tusenskille 3 5 2 8" xfId="601" xr:uid="{00000000-0005-0000-0000-0000F2020000}"/>
    <cellStyle name="Tusenskille 3 5 2 9" xfId="691" xr:uid="{00000000-0005-0000-0000-0000F3020000}"/>
    <cellStyle name="Tusenskille 3 5 3" xfId="76" xr:uid="{00000000-0005-0000-0000-0000F4020000}"/>
    <cellStyle name="Tusenskille 3 5 3 2" xfId="169" xr:uid="{00000000-0005-0000-0000-0000F5020000}"/>
    <cellStyle name="Tusenskille 3 5 3 3" xfId="259" xr:uid="{00000000-0005-0000-0000-0000F6020000}"/>
    <cellStyle name="Tusenskille 3 5 3 4" xfId="349" xr:uid="{00000000-0005-0000-0000-0000F7020000}"/>
    <cellStyle name="Tusenskille 3 5 3 5" xfId="439" xr:uid="{00000000-0005-0000-0000-0000F8020000}"/>
    <cellStyle name="Tusenskille 3 5 3 6" xfId="529" xr:uid="{00000000-0005-0000-0000-0000F9020000}"/>
    <cellStyle name="Tusenskille 3 5 3 7" xfId="619" xr:uid="{00000000-0005-0000-0000-0000FA020000}"/>
    <cellStyle name="Tusenskille 3 5 3 8" xfId="709" xr:uid="{00000000-0005-0000-0000-0000FB020000}"/>
    <cellStyle name="Tusenskille 3 5 3 9" xfId="806" xr:uid="{00000000-0005-0000-0000-0000FC020000}"/>
    <cellStyle name="Tusenskille 3 5 4" xfId="132" xr:uid="{00000000-0005-0000-0000-0000FD020000}"/>
    <cellStyle name="Tusenskille 3 5 5" xfId="222" xr:uid="{00000000-0005-0000-0000-0000FE020000}"/>
    <cellStyle name="Tusenskille 3 5 6" xfId="312" xr:uid="{00000000-0005-0000-0000-0000FF020000}"/>
    <cellStyle name="Tusenskille 3 5 7" xfId="402" xr:uid="{00000000-0005-0000-0000-000000030000}"/>
    <cellStyle name="Tusenskille 3 5 8" xfId="492" xr:uid="{00000000-0005-0000-0000-000001030000}"/>
    <cellStyle name="Tusenskille 3 5 9" xfId="582" xr:uid="{00000000-0005-0000-0000-000002030000}"/>
    <cellStyle name="Tusenskille 3 6" xfId="37" xr:uid="{00000000-0005-0000-0000-000003030000}"/>
    <cellStyle name="Tusenskille 3 6 10" xfId="675" xr:uid="{00000000-0005-0000-0000-000004030000}"/>
    <cellStyle name="Tusenskille 3 6 11" xfId="770" xr:uid="{00000000-0005-0000-0000-000005030000}"/>
    <cellStyle name="Tusenskille 3 6 2" xfId="59" xr:uid="{00000000-0005-0000-0000-000006030000}"/>
    <cellStyle name="Tusenskille 3 6 2 10" xfId="790" xr:uid="{00000000-0005-0000-0000-000007030000}"/>
    <cellStyle name="Tusenskille 3 6 2 2" xfId="99" xr:uid="{00000000-0005-0000-0000-000008030000}"/>
    <cellStyle name="Tusenskille 3 6 2 2 2" xfId="191" xr:uid="{00000000-0005-0000-0000-000009030000}"/>
    <cellStyle name="Tusenskille 3 6 2 2 3" xfId="281" xr:uid="{00000000-0005-0000-0000-00000A030000}"/>
    <cellStyle name="Tusenskille 3 6 2 2 4" xfId="371" xr:uid="{00000000-0005-0000-0000-00000B030000}"/>
    <cellStyle name="Tusenskille 3 6 2 2 5" xfId="461" xr:uid="{00000000-0005-0000-0000-00000C030000}"/>
    <cellStyle name="Tusenskille 3 6 2 2 6" xfId="551" xr:uid="{00000000-0005-0000-0000-00000D030000}"/>
    <cellStyle name="Tusenskille 3 6 2 2 7" xfId="641" xr:uid="{00000000-0005-0000-0000-00000E030000}"/>
    <cellStyle name="Tusenskille 3 6 2 2 8" xfId="731" xr:uid="{00000000-0005-0000-0000-00000F030000}"/>
    <cellStyle name="Tusenskille 3 6 2 2 9" xfId="828" xr:uid="{00000000-0005-0000-0000-000010030000}"/>
    <cellStyle name="Tusenskille 3 6 2 3" xfId="154" xr:uid="{00000000-0005-0000-0000-000011030000}"/>
    <cellStyle name="Tusenskille 3 6 2 4" xfId="244" xr:uid="{00000000-0005-0000-0000-000012030000}"/>
    <cellStyle name="Tusenskille 3 6 2 5" xfId="334" xr:uid="{00000000-0005-0000-0000-000013030000}"/>
    <cellStyle name="Tusenskille 3 6 2 6" xfId="424" xr:uid="{00000000-0005-0000-0000-000014030000}"/>
    <cellStyle name="Tusenskille 3 6 2 7" xfId="514" xr:uid="{00000000-0005-0000-0000-000015030000}"/>
    <cellStyle name="Tusenskille 3 6 2 8" xfId="604" xr:uid="{00000000-0005-0000-0000-000016030000}"/>
    <cellStyle name="Tusenskille 3 6 2 9" xfId="694" xr:uid="{00000000-0005-0000-0000-000017030000}"/>
    <cellStyle name="Tusenskille 3 6 3" xfId="79" xr:uid="{00000000-0005-0000-0000-000018030000}"/>
    <cellStyle name="Tusenskille 3 6 3 2" xfId="172" xr:uid="{00000000-0005-0000-0000-000019030000}"/>
    <cellStyle name="Tusenskille 3 6 3 3" xfId="262" xr:uid="{00000000-0005-0000-0000-00001A030000}"/>
    <cellStyle name="Tusenskille 3 6 3 4" xfId="352" xr:uid="{00000000-0005-0000-0000-00001B030000}"/>
    <cellStyle name="Tusenskille 3 6 3 5" xfId="442" xr:uid="{00000000-0005-0000-0000-00001C030000}"/>
    <cellStyle name="Tusenskille 3 6 3 6" xfId="532" xr:uid="{00000000-0005-0000-0000-00001D030000}"/>
    <cellStyle name="Tusenskille 3 6 3 7" xfId="622" xr:uid="{00000000-0005-0000-0000-00001E030000}"/>
    <cellStyle name="Tusenskille 3 6 3 8" xfId="712" xr:uid="{00000000-0005-0000-0000-00001F030000}"/>
    <cellStyle name="Tusenskille 3 6 3 9" xfId="809" xr:uid="{00000000-0005-0000-0000-000020030000}"/>
    <cellStyle name="Tusenskille 3 6 4" xfId="135" xr:uid="{00000000-0005-0000-0000-000021030000}"/>
    <cellStyle name="Tusenskille 3 6 5" xfId="225" xr:uid="{00000000-0005-0000-0000-000022030000}"/>
    <cellStyle name="Tusenskille 3 6 6" xfId="315" xr:uid="{00000000-0005-0000-0000-000023030000}"/>
    <cellStyle name="Tusenskille 3 6 7" xfId="405" xr:uid="{00000000-0005-0000-0000-000024030000}"/>
    <cellStyle name="Tusenskille 3 6 8" xfId="495" xr:uid="{00000000-0005-0000-0000-000025030000}"/>
    <cellStyle name="Tusenskille 3 6 9" xfId="585" xr:uid="{00000000-0005-0000-0000-000026030000}"/>
    <cellStyle name="Tusenskille 3 7" xfId="43" xr:uid="{00000000-0005-0000-0000-000027030000}"/>
    <cellStyle name="Tusenskille 3 7 10" xfId="775" xr:uid="{00000000-0005-0000-0000-000028030000}"/>
    <cellStyle name="Tusenskille 3 7 2" xfId="83" xr:uid="{00000000-0005-0000-0000-000029030000}"/>
    <cellStyle name="Tusenskille 3 7 2 2" xfId="176" xr:uid="{00000000-0005-0000-0000-00002A030000}"/>
    <cellStyle name="Tusenskille 3 7 2 3" xfId="266" xr:uid="{00000000-0005-0000-0000-00002B030000}"/>
    <cellStyle name="Tusenskille 3 7 2 4" xfId="356" xr:uid="{00000000-0005-0000-0000-00002C030000}"/>
    <cellStyle name="Tusenskille 3 7 2 5" xfId="446" xr:uid="{00000000-0005-0000-0000-00002D030000}"/>
    <cellStyle name="Tusenskille 3 7 2 6" xfId="536" xr:uid="{00000000-0005-0000-0000-00002E030000}"/>
    <cellStyle name="Tusenskille 3 7 2 7" xfId="626" xr:uid="{00000000-0005-0000-0000-00002F030000}"/>
    <cellStyle name="Tusenskille 3 7 2 8" xfId="716" xr:uid="{00000000-0005-0000-0000-000030030000}"/>
    <cellStyle name="Tusenskille 3 7 2 9" xfId="813" xr:uid="{00000000-0005-0000-0000-000031030000}"/>
    <cellStyle name="Tusenskille 3 7 3" xfId="139" xr:uid="{00000000-0005-0000-0000-000032030000}"/>
    <cellStyle name="Tusenskille 3 7 4" xfId="229" xr:uid="{00000000-0005-0000-0000-000033030000}"/>
    <cellStyle name="Tusenskille 3 7 5" xfId="319" xr:uid="{00000000-0005-0000-0000-000034030000}"/>
    <cellStyle name="Tusenskille 3 7 6" xfId="409" xr:uid="{00000000-0005-0000-0000-000035030000}"/>
    <cellStyle name="Tusenskille 3 7 7" xfId="499" xr:uid="{00000000-0005-0000-0000-000036030000}"/>
    <cellStyle name="Tusenskille 3 7 8" xfId="589" xr:uid="{00000000-0005-0000-0000-000037030000}"/>
    <cellStyle name="Tusenskille 3 7 9" xfId="679" xr:uid="{00000000-0005-0000-0000-000038030000}"/>
    <cellStyle name="Tusenskille 3 8" xfId="64" xr:uid="{00000000-0005-0000-0000-000039030000}"/>
    <cellStyle name="Tusenskille 3 8 2" xfId="157" xr:uid="{00000000-0005-0000-0000-00003A030000}"/>
    <cellStyle name="Tusenskille 3 8 3" xfId="247" xr:uid="{00000000-0005-0000-0000-00003B030000}"/>
    <cellStyle name="Tusenskille 3 8 4" xfId="337" xr:uid="{00000000-0005-0000-0000-00003C030000}"/>
    <cellStyle name="Tusenskille 3 8 5" xfId="427" xr:uid="{00000000-0005-0000-0000-00003D030000}"/>
    <cellStyle name="Tusenskille 3 8 6" xfId="517" xr:uid="{00000000-0005-0000-0000-00003E030000}"/>
    <cellStyle name="Tusenskille 3 8 7" xfId="607" xr:uid="{00000000-0005-0000-0000-00003F030000}"/>
    <cellStyle name="Tusenskille 3 8 8" xfId="697" xr:uid="{00000000-0005-0000-0000-000040030000}"/>
    <cellStyle name="Tusenskille 3 8 9" xfId="794" xr:uid="{00000000-0005-0000-0000-000041030000}"/>
    <cellStyle name="Tusenskille 3 9" xfId="102" xr:uid="{00000000-0005-0000-0000-000042030000}"/>
    <cellStyle name="Tusenskille 3 9 2" xfId="194" xr:uid="{00000000-0005-0000-0000-000043030000}"/>
    <cellStyle name="Tusenskille 3 9 3" xfId="284" xr:uid="{00000000-0005-0000-0000-000044030000}"/>
    <cellStyle name="Tusenskille 3 9 4" xfId="374" xr:uid="{00000000-0005-0000-0000-000045030000}"/>
    <cellStyle name="Tusenskille 3 9 5" xfId="464" xr:uid="{00000000-0005-0000-0000-000046030000}"/>
    <cellStyle name="Tusenskille 3 9 6" xfId="554" xr:uid="{00000000-0005-0000-0000-000047030000}"/>
    <cellStyle name="Tusenskille 3 9 7" xfId="644" xr:uid="{00000000-0005-0000-0000-000048030000}"/>
    <cellStyle name="Tusenskille 3 9 8" xfId="734" xr:uid="{00000000-0005-0000-0000-000049030000}"/>
    <cellStyle name="Tusenskille 3 9 9" xfId="831" xr:uid="{00000000-0005-0000-0000-00004A030000}"/>
    <cellStyle name="Tusenskille 4" xfId="17" xr:uid="{00000000-0005-0000-0000-00004B030000}"/>
    <cellStyle name="Tusenskille 4 2" xfId="753" xr:uid="{00000000-0005-0000-0000-00004C030000}"/>
    <cellStyle name="Tusenskille 5" xfId="13" xr:uid="{00000000-0005-0000-0000-00004D030000}"/>
    <cellStyle name="Tusenskille 5 2" xfId="749" xr:uid="{00000000-0005-0000-0000-00004E030000}"/>
    <cellStyle name="Tusenskille 6" xfId="115" xr:uid="{00000000-0005-0000-0000-00004F030000}"/>
    <cellStyle name="TusenskilleFjernNull" xfId="846" xr:uid="{00000000-0005-0000-0000-000050030000}"/>
  </cellStyles>
  <dxfs count="235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8E9D6"/>
      <color rgb="FFFFFF99"/>
      <color rgb="FFF7D7F7"/>
      <color rgb="FFFCD2E2"/>
      <color rgb="FFD2F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onnections" Target="connections.xml"/><Relationship Id="rId53" Type="http://schemas.openxmlformats.org/officeDocument/2006/relationships/customXml" Target="../customXml/item5.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52"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140801174953532"/>
          <c:y val="9.8477480734069936E-2"/>
          <c:w val="0.74903048765490665"/>
          <c:h val="0.65437502946862602"/>
        </c:manualLayout>
      </c:layout>
      <c:barChart>
        <c:barDir val="col"/>
        <c:grouping val="clustered"/>
        <c:varyColors val="0"/>
        <c:ser>
          <c:idx val="0"/>
          <c:order val="0"/>
          <c:tx>
            <c:strRef>
              <c:f>Figurer!$M$8</c:f>
              <c:strCache>
                <c:ptCount val="1"/>
                <c:pt idx="0">
                  <c:v>2019</c:v>
                </c:pt>
              </c:strCache>
            </c:strRef>
          </c:tx>
          <c:invertIfNegative val="0"/>
          <c:cat>
            <c:strRef>
              <c:f>Figurer!$L$9:$L$31</c:f>
              <c:strCache>
                <c:ptCount val="23"/>
                <c:pt idx="0">
                  <c:v>Danica Pensjon</c:v>
                </c:pt>
                <c:pt idx="1">
                  <c:v>DNB Bedriftsp</c:v>
                </c:pt>
                <c:pt idx="2">
                  <c:v>DNB Liv</c:v>
                </c:pt>
                <c:pt idx="3">
                  <c:v>Eika Forsikring</c:v>
                </c:pt>
                <c:pt idx="4">
                  <c:v>Fremtind Livsfors</c:v>
                </c:pt>
                <c:pt idx="5">
                  <c:v>Frende Livsfors</c:v>
                </c:pt>
                <c:pt idx="6">
                  <c:v>Frende Skade</c:v>
                </c:pt>
                <c:pt idx="7">
                  <c:v>Gjensidige Fors</c:v>
                </c:pt>
                <c:pt idx="8">
                  <c:v>Gjensidige Pensj</c:v>
                </c:pt>
                <c:pt idx="9">
                  <c:v>Handelsb Liv</c:v>
                </c:pt>
                <c:pt idx="10">
                  <c:v>If Skadefors</c:v>
                </c:pt>
                <c:pt idx="11">
                  <c:v>KLP</c:v>
                </c:pt>
                <c:pt idx="12">
                  <c:v>KLP Skadef</c:v>
                </c:pt>
                <c:pt idx="13">
                  <c:v>Landkreditt Fors.</c:v>
                </c:pt>
                <c:pt idx="14">
                  <c:v>Insr</c:v>
                </c:pt>
                <c:pt idx="15">
                  <c:v>Nordea Liv</c:v>
                </c:pt>
                <c:pt idx="16">
                  <c:v>OPF</c:v>
                </c:pt>
                <c:pt idx="17">
                  <c:v>Protector Fors</c:v>
                </c:pt>
                <c:pt idx="18">
                  <c:v>SpareBank 1</c:v>
                </c:pt>
                <c:pt idx="19">
                  <c:v>Storebrand </c:v>
                </c:pt>
                <c:pt idx="20">
                  <c:v>Telenor Fors</c:v>
                </c:pt>
                <c:pt idx="21">
                  <c:v>Tryg Fors</c:v>
                </c:pt>
                <c:pt idx="22">
                  <c:v>WaterCircles Fors.</c:v>
                </c:pt>
              </c:strCache>
            </c:strRef>
          </c:cat>
          <c:val>
            <c:numRef>
              <c:f>Figurer!$M$9:$M$31</c:f>
              <c:numCache>
                <c:formatCode>#,##0</c:formatCode>
                <c:ptCount val="23"/>
                <c:pt idx="0">
                  <c:v>421442.94600000005</c:v>
                </c:pt>
                <c:pt idx="1">
                  <c:v>96824</c:v>
                </c:pt>
                <c:pt idx="2">
                  <c:v>4578461</c:v>
                </c:pt>
                <c:pt idx="3">
                  <c:v>323640</c:v>
                </c:pt>
                <c:pt idx="4">
                  <c:v>0</c:v>
                </c:pt>
                <c:pt idx="5">
                  <c:v>490047</c:v>
                </c:pt>
                <c:pt idx="6">
                  <c:v>8197</c:v>
                </c:pt>
                <c:pt idx="7">
                  <c:v>1559670</c:v>
                </c:pt>
                <c:pt idx="8">
                  <c:v>648034</c:v>
                </c:pt>
                <c:pt idx="9">
                  <c:v>35020.773110000002</c:v>
                </c:pt>
                <c:pt idx="10">
                  <c:v>472830.55865999998</c:v>
                </c:pt>
                <c:pt idx="11">
                  <c:v>40071235.120510004</c:v>
                </c:pt>
                <c:pt idx="12">
                  <c:v>175357</c:v>
                </c:pt>
                <c:pt idx="13">
                  <c:v>83630</c:v>
                </c:pt>
                <c:pt idx="14">
                  <c:v>17501.08816890161</c:v>
                </c:pt>
                <c:pt idx="15">
                  <c:v>1547946.082636805</c:v>
                </c:pt>
                <c:pt idx="16">
                  <c:v>5181000</c:v>
                </c:pt>
                <c:pt idx="17">
                  <c:v>312787.17492590938</c:v>
                </c:pt>
                <c:pt idx="18">
                  <c:v>2988164.1674600001</c:v>
                </c:pt>
                <c:pt idx="19">
                  <c:v>5485806.5</c:v>
                </c:pt>
                <c:pt idx="20">
                  <c:v>1989</c:v>
                </c:pt>
                <c:pt idx="21">
                  <c:v>601419.67099999997</c:v>
                </c:pt>
                <c:pt idx="22">
                  <c:v>0</c:v>
                </c:pt>
              </c:numCache>
            </c:numRef>
          </c:val>
          <c:extLst>
            <c:ext xmlns:c16="http://schemas.microsoft.com/office/drawing/2014/chart" uri="{C3380CC4-5D6E-409C-BE32-E72D297353CC}">
              <c16:uniqueId val="{00000002-93AE-4CD9-98AD-A52686D1F9FB}"/>
            </c:ext>
          </c:extLst>
        </c:ser>
        <c:ser>
          <c:idx val="1"/>
          <c:order val="1"/>
          <c:tx>
            <c:strRef>
              <c:f>Figurer!$N$8</c:f>
              <c:strCache>
                <c:ptCount val="1"/>
                <c:pt idx="0">
                  <c:v>2020</c:v>
                </c:pt>
              </c:strCache>
            </c:strRef>
          </c:tx>
          <c:invertIfNegative val="0"/>
          <c:cat>
            <c:strRef>
              <c:f>Figurer!$L$9:$L$31</c:f>
              <c:strCache>
                <c:ptCount val="23"/>
                <c:pt idx="0">
                  <c:v>Danica Pensjon</c:v>
                </c:pt>
                <c:pt idx="1">
                  <c:v>DNB Bedriftsp</c:v>
                </c:pt>
                <c:pt idx="2">
                  <c:v>DNB Liv</c:v>
                </c:pt>
                <c:pt idx="3">
                  <c:v>Eika Forsikring</c:v>
                </c:pt>
                <c:pt idx="4">
                  <c:v>Fremtind Livsfors</c:v>
                </c:pt>
                <c:pt idx="5">
                  <c:v>Frende Livsfors</c:v>
                </c:pt>
                <c:pt idx="6">
                  <c:v>Frende Skade</c:v>
                </c:pt>
                <c:pt idx="7">
                  <c:v>Gjensidige Fors</c:v>
                </c:pt>
                <c:pt idx="8">
                  <c:v>Gjensidige Pensj</c:v>
                </c:pt>
                <c:pt idx="9">
                  <c:v>Handelsb Liv</c:v>
                </c:pt>
                <c:pt idx="10">
                  <c:v>If Skadefors</c:v>
                </c:pt>
                <c:pt idx="11">
                  <c:v>KLP</c:v>
                </c:pt>
                <c:pt idx="12">
                  <c:v>KLP Skadef</c:v>
                </c:pt>
                <c:pt idx="13">
                  <c:v>Landkreditt Fors.</c:v>
                </c:pt>
                <c:pt idx="14">
                  <c:v>Insr</c:v>
                </c:pt>
                <c:pt idx="15">
                  <c:v>Nordea Liv</c:v>
                </c:pt>
                <c:pt idx="16">
                  <c:v>OPF</c:v>
                </c:pt>
                <c:pt idx="17">
                  <c:v>Protector Fors</c:v>
                </c:pt>
                <c:pt idx="18">
                  <c:v>SpareBank 1</c:v>
                </c:pt>
                <c:pt idx="19">
                  <c:v>Storebrand </c:v>
                </c:pt>
                <c:pt idx="20">
                  <c:v>Telenor Fors</c:v>
                </c:pt>
                <c:pt idx="21">
                  <c:v>Tryg Fors</c:v>
                </c:pt>
                <c:pt idx="22">
                  <c:v>WaterCircles Fors.</c:v>
                </c:pt>
              </c:strCache>
            </c:strRef>
          </c:cat>
          <c:val>
            <c:numRef>
              <c:f>Figurer!$N$9:$N$31</c:f>
              <c:numCache>
                <c:formatCode>#,##0</c:formatCode>
                <c:ptCount val="23"/>
                <c:pt idx="0">
                  <c:v>430556.18900000001</c:v>
                </c:pt>
                <c:pt idx="1">
                  <c:v>98726</c:v>
                </c:pt>
                <c:pt idx="2">
                  <c:v>3463853.92227</c:v>
                </c:pt>
                <c:pt idx="3">
                  <c:v>335372</c:v>
                </c:pt>
                <c:pt idx="4">
                  <c:v>2912282.94184</c:v>
                </c:pt>
                <c:pt idx="5">
                  <c:v>496774</c:v>
                </c:pt>
                <c:pt idx="6">
                  <c:v>6351.5640000000003</c:v>
                </c:pt>
                <c:pt idx="7">
                  <c:v>1666418</c:v>
                </c:pt>
                <c:pt idx="8">
                  <c:v>662338</c:v>
                </c:pt>
                <c:pt idx="9">
                  <c:v>34452.757850000002</c:v>
                </c:pt>
                <c:pt idx="10">
                  <c:v>508488.73802438495</c:v>
                </c:pt>
                <c:pt idx="11">
                  <c:v>34177241.879859999</c:v>
                </c:pt>
                <c:pt idx="12">
                  <c:v>194718</c:v>
                </c:pt>
                <c:pt idx="13">
                  <c:v>98068</c:v>
                </c:pt>
                <c:pt idx="14">
                  <c:v>14663</c:v>
                </c:pt>
                <c:pt idx="15">
                  <c:v>1464010.08</c:v>
                </c:pt>
                <c:pt idx="16">
                  <c:v>4017000</c:v>
                </c:pt>
                <c:pt idx="17">
                  <c:v>307752.03923018795</c:v>
                </c:pt>
                <c:pt idx="18">
                  <c:v>735170.28865</c:v>
                </c:pt>
                <c:pt idx="19">
                  <c:v>4956525.3760000002</c:v>
                </c:pt>
                <c:pt idx="20">
                  <c:v>1726</c:v>
                </c:pt>
                <c:pt idx="21">
                  <c:v>598971.11495999992</c:v>
                </c:pt>
                <c:pt idx="22">
                  <c:v>1278</c:v>
                </c:pt>
              </c:numCache>
            </c:numRef>
          </c:val>
          <c:extLst>
            <c:ext xmlns:c16="http://schemas.microsoft.com/office/drawing/2014/chart" uri="{C3380CC4-5D6E-409C-BE32-E72D297353CC}">
              <c16:uniqueId val="{00000003-93AE-4CD9-98AD-A52686D1F9FB}"/>
            </c:ext>
          </c:extLst>
        </c:ser>
        <c:dLbls>
          <c:showLegendKey val="0"/>
          <c:showVal val="0"/>
          <c:showCatName val="0"/>
          <c:showSerName val="0"/>
          <c:showPercent val="0"/>
          <c:showBubbleSize val="0"/>
        </c:dLbls>
        <c:gapWidth val="150"/>
        <c:axId val="242174208"/>
        <c:axId val="242180096"/>
      </c:barChart>
      <c:catAx>
        <c:axId val="24217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180096"/>
        <c:crosses val="autoZero"/>
        <c:auto val="1"/>
        <c:lblAlgn val="ctr"/>
        <c:lblOffset val="100"/>
        <c:tickLblSkip val="1"/>
        <c:tickMarkSkip val="1"/>
        <c:noMultiLvlLbl val="0"/>
      </c:catAx>
      <c:valAx>
        <c:axId val="24218009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444532284870034E-3"/>
              <c:y val="0.3517112756115066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174208"/>
        <c:crosses val="autoZero"/>
        <c:crossBetween val="between"/>
      </c:valAx>
    </c:plotArea>
    <c:legend>
      <c:legendPos val="b"/>
      <c:layout>
        <c:manualLayout>
          <c:xMode val="edge"/>
          <c:yMode val="edge"/>
          <c:x val="0.35321900023541236"/>
          <c:y val="0.94486784960263159"/>
          <c:w val="9.5093936551103805E-2"/>
          <c:h val="3.879799456205698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608656849620704"/>
          <c:y val="0.10754105736782903"/>
          <c:w val="0.77619271486646502"/>
          <c:h val="0.61573077622722905"/>
        </c:manualLayout>
      </c:layout>
      <c:barChart>
        <c:barDir val="col"/>
        <c:grouping val="clustered"/>
        <c:varyColors val="0"/>
        <c:ser>
          <c:idx val="0"/>
          <c:order val="0"/>
          <c:tx>
            <c:strRef>
              <c:f>Figurer!$M$37</c:f>
              <c:strCache>
                <c:ptCount val="1"/>
                <c:pt idx="0">
                  <c:v>2019</c:v>
                </c:pt>
              </c:strCache>
            </c:strRef>
          </c:tx>
          <c:invertIfNegative val="0"/>
          <c:cat>
            <c:strRef>
              <c:f>Figurer!$L$38:$L$47</c:f>
              <c:strCache>
                <c:ptCount val="10"/>
                <c:pt idx="0">
                  <c:v>Danica Pensjon</c:v>
                </c:pt>
                <c:pt idx="1">
                  <c:v>DNB Bedriftsp</c:v>
                </c:pt>
                <c:pt idx="2">
                  <c:v>DNB Liv</c:v>
                </c:pt>
                <c:pt idx="3">
                  <c:v>Frende Livsfors</c:v>
                </c:pt>
                <c:pt idx="4">
                  <c:v>Gjensidige Pensj</c:v>
                </c:pt>
                <c:pt idx="5">
                  <c:v>KLP</c:v>
                </c:pt>
                <c:pt idx="6">
                  <c:v>Nordea Liv</c:v>
                </c:pt>
                <c:pt idx="7">
                  <c:v>SHB Liv</c:v>
                </c:pt>
                <c:pt idx="8">
                  <c:v>SpareBank 1</c:v>
                </c:pt>
                <c:pt idx="9">
                  <c:v>Storebrand</c:v>
                </c:pt>
              </c:strCache>
            </c:strRef>
          </c:cat>
          <c:val>
            <c:numRef>
              <c:f>Figurer!$M$38:$M$47</c:f>
              <c:numCache>
                <c:formatCode>#,##0</c:formatCode>
                <c:ptCount val="10"/>
                <c:pt idx="0">
                  <c:v>1996554.923</c:v>
                </c:pt>
                <c:pt idx="1">
                  <c:v>542528</c:v>
                </c:pt>
                <c:pt idx="2">
                  <c:v>9947581.5</c:v>
                </c:pt>
                <c:pt idx="3">
                  <c:v>423019</c:v>
                </c:pt>
                <c:pt idx="4">
                  <c:v>3290851</c:v>
                </c:pt>
                <c:pt idx="5">
                  <c:v>152808.77100000001</c:v>
                </c:pt>
                <c:pt idx="6">
                  <c:v>12142064.528580001</c:v>
                </c:pt>
                <c:pt idx="7">
                  <c:v>145834.70800000001</c:v>
                </c:pt>
                <c:pt idx="8">
                  <c:v>4457595.7985100001</c:v>
                </c:pt>
                <c:pt idx="9">
                  <c:v>11112376.757999998</c:v>
                </c:pt>
              </c:numCache>
            </c:numRef>
          </c:val>
          <c:extLst>
            <c:ext xmlns:c16="http://schemas.microsoft.com/office/drawing/2014/chart" uri="{C3380CC4-5D6E-409C-BE32-E72D297353CC}">
              <c16:uniqueId val="{00000000-3971-4F9A-B5A3-CF52C774B823}"/>
            </c:ext>
          </c:extLst>
        </c:ser>
        <c:ser>
          <c:idx val="1"/>
          <c:order val="1"/>
          <c:tx>
            <c:strRef>
              <c:f>Figurer!$N$37</c:f>
              <c:strCache>
                <c:ptCount val="1"/>
                <c:pt idx="0">
                  <c:v>2020</c:v>
                </c:pt>
              </c:strCache>
            </c:strRef>
          </c:tx>
          <c:invertIfNegative val="0"/>
          <c:cat>
            <c:strRef>
              <c:f>Figurer!$L$38:$L$47</c:f>
              <c:strCache>
                <c:ptCount val="10"/>
                <c:pt idx="0">
                  <c:v>Danica Pensjon</c:v>
                </c:pt>
                <c:pt idx="1">
                  <c:v>DNB Bedriftsp</c:v>
                </c:pt>
                <c:pt idx="2">
                  <c:v>DNB Liv</c:v>
                </c:pt>
                <c:pt idx="3">
                  <c:v>Frende Livsfors</c:v>
                </c:pt>
                <c:pt idx="4">
                  <c:v>Gjensidige Pensj</c:v>
                </c:pt>
                <c:pt idx="5">
                  <c:v>KLP</c:v>
                </c:pt>
                <c:pt idx="6">
                  <c:v>Nordea Liv</c:v>
                </c:pt>
                <c:pt idx="7">
                  <c:v>SHB Liv</c:v>
                </c:pt>
                <c:pt idx="8">
                  <c:v>SpareBank 1</c:v>
                </c:pt>
                <c:pt idx="9">
                  <c:v>Storebrand</c:v>
                </c:pt>
              </c:strCache>
            </c:strRef>
          </c:cat>
          <c:val>
            <c:numRef>
              <c:f>Figurer!$N$38:$N$47</c:f>
              <c:numCache>
                <c:formatCode>#,##0</c:formatCode>
                <c:ptCount val="10"/>
                <c:pt idx="0">
                  <c:v>2098292.548</c:v>
                </c:pt>
                <c:pt idx="1">
                  <c:v>601762</c:v>
                </c:pt>
                <c:pt idx="2">
                  <c:v>10110496</c:v>
                </c:pt>
                <c:pt idx="3">
                  <c:v>366321.7</c:v>
                </c:pt>
                <c:pt idx="4">
                  <c:v>3251091</c:v>
                </c:pt>
                <c:pt idx="5">
                  <c:v>74308.707999999999</c:v>
                </c:pt>
                <c:pt idx="6">
                  <c:v>12668233</c:v>
                </c:pt>
                <c:pt idx="7">
                  <c:v>146915.30192</c:v>
                </c:pt>
                <c:pt idx="8">
                  <c:v>4778935.5708499998</c:v>
                </c:pt>
                <c:pt idx="9">
                  <c:v>12778507.596999999</c:v>
                </c:pt>
              </c:numCache>
            </c:numRef>
          </c:val>
          <c:extLst>
            <c:ext xmlns:c16="http://schemas.microsoft.com/office/drawing/2014/chart" uri="{C3380CC4-5D6E-409C-BE32-E72D297353CC}">
              <c16:uniqueId val="{00000001-3971-4F9A-B5A3-CF52C774B823}"/>
            </c:ext>
          </c:extLst>
        </c:ser>
        <c:dLbls>
          <c:showLegendKey val="0"/>
          <c:showVal val="0"/>
          <c:showCatName val="0"/>
          <c:showSerName val="0"/>
          <c:showPercent val="0"/>
          <c:showBubbleSize val="0"/>
        </c:dLbls>
        <c:gapWidth val="150"/>
        <c:axId val="242208128"/>
        <c:axId val="242427008"/>
      </c:barChart>
      <c:catAx>
        <c:axId val="24220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27008"/>
        <c:crosses val="autoZero"/>
        <c:auto val="1"/>
        <c:lblAlgn val="ctr"/>
        <c:lblOffset val="100"/>
        <c:tickLblSkip val="1"/>
        <c:tickMarkSkip val="1"/>
        <c:noMultiLvlLbl val="0"/>
      </c:catAx>
      <c:valAx>
        <c:axId val="24242700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541508114698515E-3"/>
              <c:y val="0.33962311853875432"/>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208128"/>
        <c:crosses val="autoZero"/>
        <c:crossBetween val="between"/>
      </c:valAx>
    </c:plotArea>
    <c:legend>
      <c:legendPos val="b"/>
      <c:layout>
        <c:manualLayout>
          <c:xMode val="edge"/>
          <c:yMode val="edge"/>
          <c:x val="0.34749475592659351"/>
          <c:y val="0.93710900423161392"/>
          <c:w val="0.23943149676571668"/>
          <c:h val="5.0314424982592074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034622721340161"/>
          <c:y val="7.9682070044274814E-2"/>
          <c:w val="0.72950920069418312"/>
          <c:h val="0.62009389947752291"/>
        </c:manualLayout>
      </c:layout>
      <c:barChart>
        <c:barDir val="col"/>
        <c:grouping val="clustered"/>
        <c:varyColors val="0"/>
        <c:ser>
          <c:idx val="0"/>
          <c:order val="0"/>
          <c:tx>
            <c:strRef>
              <c:f>Figurer!$M$58</c:f>
              <c:strCache>
                <c:ptCount val="1"/>
                <c:pt idx="0">
                  <c:v>2019</c:v>
                </c:pt>
              </c:strCache>
            </c:strRef>
          </c:tx>
          <c:invertIfNegative val="0"/>
          <c:cat>
            <c:strRef>
              <c:f>Figurer!$L$59:$L$81</c:f>
              <c:strCache>
                <c:ptCount val="23"/>
                <c:pt idx="0">
                  <c:v>Danica Pensjon</c:v>
                </c:pt>
                <c:pt idx="1">
                  <c:v>DNB Bedriftsp</c:v>
                </c:pt>
                <c:pt idx="2">
                  <c:v>DNB Liv</c:v>
                </c:pt>
                <c:pt idx="3">
                  <c:v>Eika Forsikring</c:v>
                </c:pt>
                <c:pt idx="4">
                  <c:v>Fremtind Livsfors</c:v>
                </c:pt>
                <c:pt idx="5">
                  <c:v>Frende Livsfors</c:v>
                </c:pt>
                <c:pt idx="6">
                  <c:v>Frende Skadefors</c:v>
                </c:pt>
                <c:pt idx="7">
                  <c:v>Gjensidige Fors</c:v>
                </c:pt>
                <c:pt idx="8">
                  <c:v>Gjensidige Pensj</c:v>
                </c:pt>
                <c:pt idx="9">
                  <c:v>Handelsb Liv</c:v>
                </c:pt>
                <c:pt idx="10">
                  <c:v>If Skadefors</c:v>
                </c:pt>
                <c:pt idx="11">
                  <c:v>Insr</c:v>
                </c:pt>
                <c:pt idx="12">
                  <c:v>KLP</c:v>
                </c:pt>
                <c:pt idx="13">
                  <c:v>KLP Skadef</c:v>
                </c:pt>
                <c:pt idx="14">
                  <c:v>Landkreditt Fors</c:v>
                </c:pt>
                <c:pt idx="15">
                  <c:v>Nordea Liv</c:v>
                </c:pt>
                <c:pt idx="16">
                  <c:v>OPF</c:v>
                </c:pt>
                <c:pt idx="17">
                  <c:v>Protector Fors</c:v>
                </c:pt>
                <c:pt idx="18">
                  <c:v>SpareBank 1</c:v>
                </c:pt>
                <c:pt idx="19">
                  <c:v>Storebrand </c:v>
                </c:pt>
                <c:pt idx="20">
                  <c:v>Telenor Forsikring</c:v>
                </c:pt>
                <c:pt idx="21">
                  <c:v>Tryg Forsikring</c:v>
                </c:pt>
                <c:pt idx="22">
                  <c:v>WaterCicles Fors.</c:v>
                </c:pt>
              </c:strCache>
            </c:strRef>
          </c:cat>
          <c:val>
            <c:numRef>
              <c:f>Figurer!$M$59:$M$81</c:f>
              <c:numCache>
                <c:formatCode>#,##0</c:formatCode>
                <c:ptCount val="23"/>
                <c:pt idx="0">
                  <c:v>1179127.2880000002</c:v>
                </c:pt>
                <c:pt idx="1">
                  <c:v>1723587</c:v>
                </c:pt>
                <c:pt idx="2">
                  <c:v>198525277</c:v>
                </c:pt>
                <c:pt idx="3">
                  <c:v>503320</c:v>
                </c:pt>
                <c:pt idx="4">
                  <c:v>0</c:v>
                </c:pt>
                <c:pt idx="5">
                  <c:v>848727</c:v>
                </c:pt>
                <c:pt idx="6">
                  <c:v>0</c:v>
                </c:pt>
                <c:pt idx="7">
                  <c:v>1122791</c:v>
                </c:pt>
                <c:pt idx="8">
                  <c:v>7183029</c:v>
                </c:pt>
                <c:pt idx="9">
                  <c:v>27038.08164</c:v>
                </c:pt>
                <c:pt idx="10">
                  <c:v>512717.34090000001</c:v>
                </c:pt>
                <c:pt idx="11">
                  <c:v>6599.8879075415198</c:v>
                </c:pt>
                <c:pt idx="12">
                  <c:v>507748922.5025</c:v>
                </c:pt>
                <c:pt idx="13">
                  <c:v>40612</c:v>
                </c:pt>
                <c:pt idx="14">
                  <c:v>0</c:v>
                </c:pt>
                <c:pt idx="15">
                  <c:v>51672210.116469145</c:v>
                </c:pt>
                <c:pt idx="16">
                  <c:v>76067254.04129</c:v>
                </c:pt>
                <c:pt idx="17">
                  <c:v>0</c:v>
                </c:pt>
                <c:pt idx="18">
                  <c:v>21982930.468389999</c:v>
                </c:pt>
                <c:pt idx="19">
                  <c:v>181279490.90799999</c:v>
                </c:pt>
                <c:pt idx="20">
                  <c:v>0</c:v>
                </c:pt>
                <c:pt idx="21">
                  <c:v>0</c:v>
                </c:pt>
                <c:pt idx="22">
                  <c:v>0</c:v>
                </c:pt>
              </c:numCache>
            </c:numRef>
          </c:val>
          <c:extLst>
            <c:ext xmlns:c16="http://schemas.microsoft.com/office/drawing/2014/chart" uri="{C3380CC4-5D6E-409C-BE32-E72D297353CC}">
              <c16:uniqueId val="{00000000-F5D7-4882-A9B6-45C2F0317A05}"/>
            </c:ext>
          </c:extLst>
        </c:ser>
        <c:ser>
          <c:idx val="1"/>
          <c:order val="1"/>
          <c:tx>
            <c:strRef>
              <c:f>Figurer!$N$58</c:f>
              <c:strCache>
                <c:ptCount val="1"/>
                <c:pt idx="0">
                  <c:v>2020</c:v>
                </c:pt>
              </c:strCache>
            </c:strRef>
          </c:tx>
          <c:invertIfNegative val="0"/>
          <c:cat>
            <c:strRef>
              <c:f>Figurer!$L$59:$L$81</c:f>
              <c:strCache>
                <c:ptCount val="23"/>
                <c:pt idx="0">
                  <c:v>Danica Pensjon</c:v>
                </c:pt>
                <c:pt idx="1">
                  <c:v>DNB Bedriftsp</c:v>
                </c:pt>
                <c:pt idx="2">
                  <c:v>DNB Liv</c:v>
                </c:pt>
                <c:pt idx="3">
                  <c:v>Eika Forsikring</c:v>
                </c:pt>
                <c:pt idx="4">
                  <c:v>Fremtind Livsfors</c:v>
                </c:pt>
                <c:pt idx="5">
                  <c:v>Frende Livsfors</c:v>
                </c:pt>
                <c:pt idx="6">
                  <c:v>Frende Skadefors</c:v>
                </c:pt>
                <c:pt idx="7">
                  <c:v>Gjensidige Fors</c:v>
                </c:pt>
                <c:pt idx="8">
                  <c:v>Gjensidige Pensj</c:v>
                </c:pt>
                <c:pt idx="9">
                  <c:v>Handelsb Liv</c:v>
                </c:pt>
                <c:pt idx="10">
                  <c:v>If Skadefors</c:v>
                </c:pt>
                <c:pt idx="11">
                  <c:v>Insr</c:v>
                </c:pt>
                <c:pt idx="12">
                  <c:v>KLP</c:v>
                </c:pt>
                <c:pt idx="13">
                  <c:v>KLP Skadef</c:v>
                </c:pt>
                <c:pt idx="14">
                  <c:v>Landkreditt Fors</c:v>
                </c:pt>
                <c:pt idx="15">
                  <c:v>Nordea Liv</c:v>
                </c:pt>
                <c:pt idx="16">
                  <c:v>OPF</c:v>
                </c:pt>
                <c:pt idx="17">
                  <c:v>Protector Fors</c:v>
                </c:pt>
                <c:pt idx="18">
                  <c:v>SpareBank 1</c:v>
                </c:pt>
                <c:pt idx="19">
                  <c:v>Storebrand </c:v>
                </c:pt>
                <c:pt idx="20">
                  <c:v>Telenor Forsikring</c:v>
                </c:pt>
                <c:pt idx="21">
                  <c:v>Tryg Forsikring</c:v>
                </c:pt>
                <c:pt idx="22">
                  <c:v>WaterCicles Fors.</c:v>
                </c:pt>
              </c:strCache>
            </c:strRef>
          </c:cat>
          <c:val>
            <c:numRef>
              <c:f>Figurer!$N$59:$N$81</c:f>
              <c:numCache>
                <c:formatCode>#,##0</c:formatCode>
                <c:ptCount val="23"/>
                <c:pt idx="0">
                  <c:v>1320149.652</c:v>
                </c:pt>
                <c:pt idx="1">
                  <c:v>1799572</c:v>
                </c:pt>
                <c:pt idx="2">
                  <c:v>193584584.22384</c:v>
                </c:pt>
                <c:pt idx="3">
                  <c:v>543598</c:v>
                </c:pt>
                <c:pt idx="4">
                  <c:v>3822716.1325900001</c:v>
                </c:pt>
                <c:pt idx="5">
                  <c:v>790605</c:v>
                </c:pt>
                <c:pt idx="6">
                  <c:v>0</c:v>
                </c:pt>
                <c:pt idx="7">
                  <c:v>1127127</c:v>
                </c:pt>
                <c:pt idx="8">
                  <c:v>7662525</c:v>
                </c:pt>
                <c:pt idx="9">
                  <c:v>22414.323470655629</c:v>
                </c:pt>
                <c:pt idx="10">
                  <c:v>513146.81849719601</c:v>
                </c:pt>
                <c:pt idx="11">
                  <c:v>2056</c:v>
                </c:pt>
                <c:pt idx="12">
                  <c:v>537548840.24074996</c:v>
                </c:pt>
                <c:pt idx="13">
                  <c:v>52996</c:v>
                </c:pt>
                <c:pt idx="14">
                  <c:v>0</c:v>
                </c:pt>
                <c:pt idx="15">
                  <c:v>53026780</c:v>
                </c:pt>
                <c:pt idx="16">
                  <c:v>82047000</c:v>
                </c:pt>
                <c:pt idx="17">
                  <c:v>4585.8069906000001</c:v>
                </c:pt>
                <c:pt idx="18">
                  <c:v>19298850.99636</c:v>
                </c:pt>
                <c:pt idx="19">
                  <c:v>183812146.52500001</c:v>
                </c:pt>
                <c:pt idx="20">
                  <c:v>0</c:v>
                </c:pt>
                <c:pt idx="21">
                  <c:v>0</c:v>
                </c:pt>
                <c:pt idx="22">
                  <c:v>0</c:v>
                </c:pt>
              </c:numCache>
            </c:numRef>
          </c:val>
          <c:extLst>
            <c:ext xmlns:c16="http://schemas.microsoft.com/office/drawing/2014/chart" uri="{C3380CC4-5D6E-409C-BE32-E72D297353CC}">
              <c16:uniqueId val="{00000001-F5D7-4882-A9B6-45C2F0317A05}"/>
            </c:ext>
          </c:extLst>
        </c:ser>
        <c:dLbls>
          <c:showLegendKey val="0"/>
          <c:showVal val="0"/>
          <c:showCatName val="0"/>
          <c:showSerName val="0"/>
          <c:showPercent val="0"/>
          <c:showBubbleSize val="0"/>
        </c:dLbls>
        <c:gapWidth val="150"/>
        <c:axId val="242742784"/>
        <c:axId val="242744320"/>
      </c:barChart>
      <c:catAx>
        <c:axId val="2427427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44320"/>
        <c:crosses val="autoZero"/>
        <c:auto val="1"/>
        <c:lblAlgn val="ctr"/>
        <c:lblOffset val="100"/>
        <c:tickLblSkip val="1"/>
        <c:tickMarkSkip val="1"/>
        <c:noMultiLvlLbl val="0"/>
      </c:catAx>
      <c:valAx>
        <c:axId val="24274432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4590163934426229E-2"/>
              <c:y val="0.3486597658438787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742784"/>
        <c:crosses val="autoZero"/>
        <c:crossBetween val="between"/>
      </c:valAx>
    </c:plotArea>
    <c:legend>
      <c:legendPos val="b"/>
      <c:layout>
        <c:manualLayout>
          <c:xMode val="edge"/>
          <c:yMode val="edge"/>
          <c:x val="0.36156705821608365"/>
          <c:y val="0.94061493998643431"/>
          <c:w val="0.21357027092924838"/>
          <c:h val="4.597693827597392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826753749914957"/>
          <c:y val="9.2115610054672017E-2"/>
          <c:w val="0.74306560247500353"/>
          <c:h val="0.6114621490399017"/>
        </c:manualLayout>
      </c:layout>
      <c:barChart>
        <c:barDir val="col"/>
        <c:grouping val="clustered"/>
        <c:varyColors val="0"/>
        <c:ser>
          <c:idx val="0"/>
          <c:order val="0"/>
          <c:tx>
            <c:strRef>
              <c:f>Figurer!$M$86</c:f>
              <c:strCache>
                <c:ptCount val="1"/>
                <c:pt idx="0">
                  <c:v>2019</c:v>
                </c:pt>
              </c:strCache>
            </c:strRef>
          </c:tx>
          <c:invertIfNegative val="0"/>
          <c:cat>
            <c:strRef>
              <c:f>Figurer!$L$87:$L$96</c:f>
              <c:strCache>
                <c:ptCount val="10"/>
                <c:pt idx="0">
                  <c:v>Danica Pensjon</c:v>
                </c:pt>
                <c:pt idx="1">
                  <c:v>DNB Bedriftsp</c:v>
                </c:pt>
                <c:pt idx="2">
                  <c:v>DNB Liv</c:v>
                </c:pt>
                <c:pt idx="3">
                  <c:v>Frende Livsfors</c:v>
                </c:pt>
                <c:pt idx="4">
                  <c:v>Gjensidige Pensj</c:v>
                </c:pt>
                <c:pt idx="5">
                  <c:v>KLP</c:v>
                </c:pt>
                <c:pt idx="6">
                  <c:v>Nordea Liv</c:v>
                </c:pt>
                <c:pt idx="7">
                  <c:v>SHB Liv</c:v>
                </c:pt>
                <c:pt idx="8">
                  <c:v>SpareBank 1</c:v>
                </c:pt>
                <c:pt idx="9">
                  <c:v>Storebrand</c:v>
                </c:pt>
              </c:strCache>
            </c:strRef>
          </c:cat>
          <c:val>
            <c:numRef>
              <c:f>Figurer!$M$87:$M$96</c:f>
              <c:numCache>
                <c:formatCode>#,##0</c:formatCode>
                <c:ptCount val="10"/>
                <c:pt idx="0">
                  <c:v>20732864.511</c:v>
                </c:pt>
                <c:pt idx="1">
                  <c:v>4891857</c:v>
                </c:pt>
                <c:pt idx="2">
                  <c:v>98943003.869000003</c:v>
                </c:pt>
                <c:pt idx="3">
                  <c:v>4266127</c:v>
                </c:pt>
                <c:pt idx="4">
                  <c:v>30130866</c:v>
                </c:pt>
                <c:pt idx="5">
                  <c:v>2703759.0266499999</c:v>
                </c:pt>
                <c:pt idx="6">
                  <c:v>77977130</c:v>
                </c:pt>
                <c:pt idx="7">
                  <c:v>2541186</c:v>
                </c:pt>
                <c:pt idx="8">
                  <c:v>35920709.854330003</c:v>
                </c:pt>
                <c:pt idx="9">
                  <c:v>114501651.811</c:v>
                </c:pt>
              </c:numCache>
            </c:numRef>
          </c:val>
          <c:extLst>
            <c:ext xmlns:c16="http://schemas.microsoft.com/office/drawing/2014/chart" uri="{C3380CC4-5D6E-409C-BE32-E72D297353CC}">
              <c16:uniqueId val="{00000000-62B1-4395-80F9-424B1553CC96}"/>
            </c:ext>
          </c:extLst>
        </c:ser>
        <c:ser>
          <c:idx val="1"/>
          <c:order val="1"/>
          <c:tx>
            <c:strRef>
              <c:f>Figurer!$N$86</c:f>
              <c:strCache>
                <c:ptCount val="1"/>
                <c:pt idx="0">
                  <c:v>2020</c:v>
                </c:pt>
              </c:strCache>
            </c:strRef>
          </c:tx>
          <c:invertIfNegative val="0"/>
          <c:cat>
            <c:strRef>
              <c:f>Figurer!$L$87:$L$96</c:f>
              <c:strCache>
                <c:ptCount val="10"/>
                <c:pt idx="0">
                  <c:v>Danica Pensjon</c:v>
                </c:pt>
                <c:pt idx="1">
                  <c:v>DNB Bedriftsp</c:v>
                </c:pt>
                <c:pt idx="2">
                  <c:v>DNB Liv</c:v>
                </c:pt>
                <c:pt idx="3">
                  <c:v>Frende Livsfors</c:v>
                </c:pt>
                <c:pt idx="4">
                  <c:v>Gjensidige Pensj</c:v>
                </c:pt>
                <c:pt idx="5">
                  <c:v>KLP</c:v>
                </c:pt>
                <c:pt idx="6">
                  <c:v>Nordea Liv</c:v>
                </c:pt>
                <c:pt idx="7">
                  <c:v>SHB Liv</c:v>
                </c:pt>
                <c:pt idx="8">
                  <c:v>SpareBank 1</c:v>
                </c:pt>
                <c:pt idx="9">
                  <c:v>Storebrand</c:v>
                </c:pt>
              </c:strCache>
            </c:strRef>
          </c:cat>
          <c:val>
            <c:numRef>
              <c:f>Figurer!$N$87:$N$96</c:f>
              <c:numCache>
                <c:formatCode>#,##0</c:formatCode>
                <c:ptCount val="10"/>
                <c:pt idx="0">
                  <c:v>24084123.675000001</c:v>
                </c:pt>
                <c:pt idx="1">
                  <c:v>5959168</c:v>
                </c:pt>
                <c:pt idx="2">
                  <c:v>110860381.59099999</c:v>
                </c:pt>
                <c:pt idx="3">
                  <c:v>0</c:v>
                </c:pt>
                <c:pt idx="4">
                  <c:v>34697528</c:v>
                </c:pt>
                <c:pt idx="5">
                  <c:v>2013752.24184</c:v>
                </c:pt>
                <c:pt idx="6">
                  <c:v>98862690</c:v>
                </c:pt>
                <c:pt idx="7">
                  <c:v>2931716.44123</c:v>
                </c:pt>
                <c:pt idx="8">
                  <c:v>43584932.280090004</c:v>
                </c:pt>
                <c:pt idx="9">
                  <c:v>137052793.507</c:v>
                </c:pt>
              </c:numCache>
            </c:numRef>
          </c:val>
          <c:extLst>
            <c:ext xmlns:c16="http://schemas.microsoft.com/office/drawing/2014/chart" uri="{C3380CC4-5D6E-409C-BE32-E72D297353CC}">
              <c16:uniqueId val="{00000001-62B1-4395-80F9-424B1553CC96}"/>
            </c:ext>
          </c:extLst>
        </c:ser>
        <c:dLbls>
          <c:showLegendKey val="0"/>
          <c:showVal val="0"/>
          <c:showCatName val="0"/>
          <c:showSerName val="0"/>
          <c:showPercent val="0"/>
          <c:showBubbleSize val="0"/>
        </c:dLbls>
        <c:gapWidth val="150"/>
        <c:axId val="243158400"/>
        <c:axId val="243164288"/>
      </c:barChart>
      <c:catAx>
        <c:axId val="2431584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3164288"/>
        <c:crosses val="autoZero"/>
        <c:auto val="1"/>
        <c:lblAlgn val="ctr"/>
        <c:lblOffset val="100"/>
        <c:tickLblSkip val="1"/>
        <c:tickMarkSkip val="1"/>
        <c:noMultiLvlLbl val="0"/>
      </c:catAx>
      <c:valAx>
        <c:axId val="24316428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5920873124147342E-2"/>
              <c:y val="0.335443860031330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158400"/>
        <c:crosses val="autoZero"/>
        <c:crossBetween val="between"/>
      </c:valAx>
    </c:plotArea>
    <c:legend>
      <c:legendPos val="b"/>
      <c:layout>
        <c:manualLayout>
          <c:xMode val="edge"/>
          <c:yMode val="edge"/>
          <c:x val="0.34561192811335145"/>
          <c:y val="0.93671075700518092"/>
          <c:w val="0.23419750566649891"/>
          <c:h val="4.8523233014845533E-2"/>
        </c:manualLayout>
      </c:layout>
      <c:overlay val="0"/>
      <c:txPr>
        <a:bodyPr/>
        <a:lstStyle/>
        <a:p>
          <a:pPr>
            <a:defRPr sz="595"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614144699303892"/>
          <c:y val="8.40864305054419E-2"/>
          <c:w val="0.75271796188519913"/>
          <c:h val="0.62564087493112053"/>
        </c:manualLayout>
      </c:layout>
      <c:barChart>
        <c:barDir val="col"/>
        <c:grouping val="clustered"/>
        <c:varyColors val="0"/>
        <c:ser>
          <c:idx val="0"/>
          <c:order val="0"/>
          <c:tx>
            <c:strRef>
              <c:f>Figurer!$M$112</c:f>
              <c:strCache>
                <c:ptCount val="1"/>
                <c:pt idx="0">
                  <c:v>2019</c:v>
                </c:pt>
              </c:strCache>
            </c:strRef>
          </c:tx>
          <c:invertIfNegative val="0"/>
          <c:cat>
            <c:strRef>
              <c:f>Figurer!$L$113:$L$120</c:f>
              <c:strCache>
                <c:ptCount val="8"/>
                <c:pt idx="0">
                  <c:v>Danica Pensjon</c:v>
                </c:pt>
                <c:pt idx="1">
                  <c:v>DNB Bedriftsp</c:v>
                </c:pt>
                <c:pt idx="2">
                  <c:v>DNB Liv</c:v>
                </c:pt>
                <c:pt idx="3">
                  <c:v>Gjensidige Pensj</c:v>
                </c:pt>
                <c:pt idx="4">
                  <c:v>KLP</c:v>
                </c:pt>
                <c:pt idx="5">
                  <c:v>Nordea Liv</c:v>
                </c:pt>
                <c:pt idx="6">
                  <c:v>SpareBank 1</c:v>
                </c:pt>
                <c:pt idx="7">
                  <c:v>Storebrand </c:v>
                </c:pt>
              </c:strCache>
            </c:strRef>
          </c:cat>
          <c:val>
            <c:numRef>
              <c:f>Figurer!$M$113:$M$120</c:f>
              <c:numCache>
                <c:formatCode>#,##0</c:formatCode>
                <c:ptCount val="8"/>
                <c:pt idx="0">
                  <c:v>12101.764999999998</c:v>
                </c:pt>
                <c:pt idx="1">
                  <c:v>517</c:v>
                </c:pt>
                <c:pt idx="2">
                  <c:v>177031</c:v>
                </c:pt>
                <c:pt idx="3">
                  <c:v>40284</c:v>
                </c:pt>
                <c:pt idx="4">
                  <c:v>-311467.57200000004</c:v>
                </c:pt>
                <c:pt idx="5">
                  <c:v>-21770</c:v>
                </c:pt>
                <c:pt idx="6">
                  <c:v>-26898.822909999995</c:v>
                </c:pt>
                <c:pt idx="7">
                  <c:v>-92858.755000000005</c:v>
                </c:pt>
              </c:numCache>
            </c:numRef>
          </c:val>
          <c:extLst>
            <c:ext xmlns:c16="http://schemas.microsoft.com/office/drawing/2014/chart" uri="{C3380CC4-5D6E-409C-BE32-E72D297353CC}">
              <c16:uniqueId val="{00000000-2BF8-4278-857F-91A0E7196849}"/>
            </c:ext>
          </c:extLst>
        </c:ser>
        <c:ser>
          <c:idx val="1"/>
          <c:order val="1"/>
          <c:tx>
            <c:strRef>
              <c:f>Figurer!$N$112</c:f>
              <c:strCache>
                <c:ptCount val="1"/>
                <c:pt idx="0">
                  <c:v>2020</c:v>
                </c:pt>
              </c:strCache>
            </c:strRef>
          </c:tx>
          <c:invertIfNegative val="0"/>
          <c:cat>
            <c:strRef>
              <c:f>Figurer!$L$113:$L$120</c:f>
              <c:strCache>
                <c:ptCount val="8"/>
                <c:pt idx="0">
                  <c:v>Danica Pensjon</c:v>
                </c:pt>
                <c:pt idx="1">
                  <c:v>DNB Bedriftsp</c:v>
                </c:pt>
                <c:pt idx="2">
                  <c:v>DNB Liv</c:v>
                </c:pt>
                <c:pt idx="3">
                  <c:v>Gjensidige Pensj</c:v>
                </c:pt>
                <c:pt idx="4">
                  <c:v>KLP</c:v>
                </c:pt>
                <c:pt idx="5">
                  <c:v>Nordea Liv</c:v>
                </c:pt>
                <c:pt idx="6">
                  <c:v>SpareBank 1</c:v>
                </c:pt>
                <c:pt idx="7">
                  <c:v>Storebrand </c:v>
                </c:pt>
              </c:strCache>
            </c:strRef>
          </c:cat>
          <c:val>
            <c:numRef>
              <c:f>Figurer!$N$113:$N$120</c:f>
              <c:numCache>
                <c:formatCode>#,##0</c:formatCode>
                <c:ptCount val="8"/>
                <c:pt idx="0">
                  <c:v>36499.558999999994</c:v>
                </c:pt>
                <c:pt idx="1">
                  <c:v>7508</c:v>
                </c:pt>
                <c:pt idx="2">
                  <c:v>13951.68644000002</c:v>
                </c:pt>
                <c:pt idx="3">
                  <c:v>-55290</c:v>
                </c:pt>
                <c:pt idx="4">
                  <c:v>-4298472.7489999998</c:v>
                </c:pt>
                <c:pt idx="5">
                  <c:v>62384</c:v>
                </c:pt>
                <c:pt idx="6">
                  <c:v>-14340.871080000004</c:v>
                </c:pt>
                <c:pt idx="7">
                  <c:v>572543.80900000001</c:v>
                </c:pt>
              </c:numCache>
            </c:numRef>
          </c:val>
          <c:extLst>
            <c:ext xmlns:c16="http://schemas.microsoft.com/office/drawing/2014/chart" uri="{C3380CC4-5D6E-409C-BE32-E72D297353CC}">
              <c16:uniqueId val="{00000000-0891-419B-84DB-F579F6588129}"/>
            </c:ext>
          </c:extLst>
        </c:ser>
        <c:dLbls>
          <c:showLegendKey val="0"/>
          <c:showVal val="0"/>
          <c:showCatName val="0"/>
          <c:showSerName val="0"/>
          <c:showPercent val="0"/>
          <c:showBubbleSize val="0"/>
        </c:dLbls>
        <c:gapWidth val="150"/>
        <c:axId val="243201536"/>
        <c:axId val="243203072"/>
      </c:barChart>
      <c:catAx>
        <c:axId val="243201536"/>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203072"/>
        <c:crosses val="autoZero"/>
        <c:auto val="1"/>
        <c:lblAlgn val="ctr"/>
        <c:lblOffset val="100"/>
        <c:tickLblSkip val="1"/>
        <c:tickMarkSkip val="1"/>
        <c:noMultiLvlLbl val="0"/>
      </c:catAx>
      <c:valAx>
        <c:axId val="243203072"/>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575528341124432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201536"/>
        <c:crosses val="autoZero"/>
        <c:crossBetween val="between"/>
      </c:valAx>
    </c:plotArea>
    <c:legend>
      <c:legendPos val="b"/>
      <c:layout>
        <c:manualLayout>
          <c:xMode val="edge"/>
          <c:yMode val="edge"/>
          <c:x val="0.34737347369622462"/>
          <c:y val="0.94455128774817365"/>
          <c:w val="9.6515177450644751E-2"/>
          <c:h val="4.553361351874527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253853430922791"/>
          <c:y val="8.5614035087719767E-2"/>
          <c:w val="0.75564702786135474"/>
          <c:h val="0.63649189114519311"/>
        </c:manualLayout>
      </c:layout>
      <c:barChart>
        <c:barDir val="col"/>
        <c:grouping val="clustered"/>
        <c:varyColors val="0"/>
        <c:ser>
          <c:idx val="0"/>
          <c:order val="0"/>
          <c:tx>
            <c:strRef>
              <c:f>Figurer!$M$136</c:f>
              <c:strCache>
                <c:ptCount val="1"/>
                <c:pt idx="0">
                  <c:v>2019</c:v>
                </c:pt>
              </c:strCache>
            </c:strRef>
          </c:tx>
          <c:invertIfNegative val="0"/>
          <c:cat>
            <c:strRef>
              <c:f>Figurer!$L$137:$L$146</c:f>
              <c:strCache>
                <c:ptCount val="10"/>
                <c:pt idx="0">
                  <c:v>Danica Pensjon</c:v>
                </c:pt>
                <c:pt idx="1">
                  <c:v>DNB Bedriftsp</c:v>
                </c:pt>
                <c:pt idx="2">
                  <c:v>DNB Liv</c:v>
                </c:pt>
                <c:pt idx="3">
                  <c:v>Frende Livsfors</c:v>
                </c:pt>
                <c:pt idx="4">
                  <c:v>Gjensidige Pensj</c:v>
                </c:pt>
                <c:pt idx="5">
                  <c:v>KLP</c:v>
                </c:pt>
                <c:pt idx="6">
                  <c:v>Nordea Liv</c:v>
                </c:pt>
                <c:pt idx="7">
                  <c:v>SHB Liv</c:v>
                </c:pt>
                <c:pt idx="8">
                  <c:v>SpareBank 1</c:v>
                </c:pt>
                <c:pt idx="9">
                  <c:v>Storebrand</c:v>
                </c:pt>
              </c:strCache>
            </c:strRef>
          </c:cat>
          <c:val>
            <c:numRef>
              <c:f>Figurer!$M$137:$M$146</c:f>
              <c:numCache>
                <c:formatCode>#,##0</c:formatCode>
                <c:ptCount val="10"/>
                <c:pt idx="0">
                  <c:v>252935.32400000002</c:v>
                </c:pt>
                <c:pt idx="1">
                  <c:v>385283</c:v>
                </c:pt>
                <c:pt idx="2">
                  <c:v>-747449</c:v>
                </c:pt>
                <c:pt idx="3">
                  <c:v>52602</c:v>
                </c:pt>
                <c:pt idx="4">
                  <c:v>-475395</c:v>
                </c:pt>
                <c:pt idx="5">
                  <c:v>31148.103999999999</c:v>
                </c:pt>
                <c:pt idx="6">
                  <c:v>1232764.5948499998</c:v>
                </c:pt>
                <c:pt idx="7">
                  <c:v>108424.59321000001</c:v>
                </c:pt>
                <c:pt idx="8">
                  <c:v>143228.91882000002</c:v>
                </c:pt>
                <c:pt idx="9">
                  <c:v>-1250440.1450000005</c:v>
                </c:pt>
              </c:numCache>
            </c:numRef>
          </c:val>
          <c:extLst>
            <c:ext xmlns:c16="http://schemas.microsoft.com/office/drawing/2014/chart" uri="{C3380CC4-5D6E-409C-BE32-E72D297353CC}">
              <c16:uniqueId val="{00000000-B400-4C26-965B-0553A4A37873}"/>
            </c:ext>
          </c:extLst>
        </c:ser>
        <c:ser>
          <c:idx val="1"/>
          <c:order val="1"/>
          <c:tx>
            <c:strRef>
              <c:f>Figurer!$N$136</c:f>
              <c:strCache>
                <c:ptCount val="1"/>
                <c:pt idx="0">
                  <c:v>2020</c:v>
                </c:pt>
              </c:strCache>
            </c:strRef>
          </c:tx>
          <c:invertIfNegative val="0"/>
          <c:cat>
            <c:strRef>
              <c:f>Figurer!$L$137:$L$146</c:f>
              <c:strCache>
                <c:ptCount val="10"/>
                <c:pt idx="0">
                  <c:v>Danica Pensjon</c:v>
                </c:pt>
                <c:pt idx="1">
                  <c:v>DNB Bedriftsp</c:v>
                </c:pt>
                <c:pt idx="2">
                  <c:v>DNB Liv</c:v>
                </c:pt>
                <c:pt idx="3">
                  <c:v>Frende Livsfors</c:v>
                </c:pt>
                <c:pt idx="4">
                  <c:v>Gjensidige Pensj</c:v>
                </c:pt>
                <c:pt idx="5">
                  <c:v>KLP</c:v>
                </c:pt>
                <c:pt idx="6">
                  <c:v>Nordea Liv</c:v>
                </c:pt>
                <c:pt idx="7">
                  <c:v>SHB Liv</c:v>
                </c:pt>
                <c:pt idx="8">
                  <c:v>SpareBank 1</c:v>
                </c:pt>
                <c:pt idx="9">
                  <c:v>Storebrand</c:v>
                </c:pt>
              </c:strCache>
            </c:strRef>
          </c:cat>
          <c:val>
            <c:numRef>
              <c:f>Figurer!$N$137:$N$146</c:f>
              <c:numCache>
                <c:formatCode>#,##0</c:formatCode>
                <c:ptCount val="10"/>
                <c:pt idx="0">
                  <c:v>119419.5</c:v>
                </c:pt>
                <c:pt idx="1">
                  <c:v>143940</c:v>
                </c:pt>
                <c:pt idx="2">
                  <c:v>-3431819</c:v>
                </c:pt>
                <c:pt idx="3">
                  <c:v>-4640062</c:v>
                </c:pt>
                <c:pt idx="4">
                  <c:v>-914343</c:v>
                </c:pt>
                <c:pt idx="5">
                  <c:v>-507465.17200000002</c:v>
                </c:pt>
                <c:pt idx="6">
                  <c:v>8176088.129999999</c:v>
                </c:pt>
                <c:pt idx="7">
                  <c:v>82451.075599999996</c:v>
                </c:pt>
                <c:pt idx="8">
                  <c:v>-162317.0085</c:v>
                </c:pt>
                <c:pt idx="9">
                  <c:v>507642.65799999982</c:v>
                </c:pt>
              </c:numCache>
            </c:numRef>
          </c:val>
          <c:extLst>
            <c:ext xmlns:c16="http://schemas.microsoft.com/office/drawing/2014/chart" uri="{C3380CC4-5D6E-409C-BE32-E72D297353CC}">
              <c16:uniqueId val="{00000001-B400-4C26-965B-0553A4A37873}"/>
            </c:ext>
          </c:extLst>
        </c:ser>
        <c:dLbls>
          <c:showLegendKey val="0"/>
          <c:showVal val="0"/>
          <c:showCatName val="0"/>
          <c:showSerName val="0"/>
          <c:showPercent val="0"/>
          <c:showBubbleSize val="0"/>
        </c:dLbls>
        <c:gapWidth val="150"/>
        <c:axId val="243686400"/>
        <c:axId val="243700480"/>
      </c:barChart>
      <c:catAx>
        <c:axId val="243686400"/>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700480"/>
        <c:crosses val="autoZero"/>
        <c:auto val="1"/>
        <c:lblAlgn val="ctr"/>
        <c:lblOffset val="100"/>
        <c:tickLblSkip val="1"/>
        <c:tickMarkSkip val="1"/>
        <c:noMultiLvlLbl val="0"/>
      </c:catAx>
      <c:valAx>
        <c:axId val="2437004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3875338753387642E-2"/>
              <c:y val="0.330526785811528"/>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686400"/>
        <c:crosses val="autoZero"/>
        <c:crossBetween val="between"/>
      </c:valAx>
    </c:plotArea>
    <c:legend>
      <c:legendPos val="b"/>
      <c:layout>
        <c:manualLayout>
          <c:xMode val="edge"/>
          <c:yMode val="edge"/>
          <c:x val="0.35049740733627832"/>
          <c:y val="0.93473780507726956"/>
          <c:w val="0.23080411696505387"/>
          <c:h val="4.842116727110387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8</xdr:col>
      <xdr:colOff>533400</xdr:colOff>
      <xdr:row>54</xdr:row>
      <xdr:rowOff>28575</xdr:rowOff>
    </xdr:to>
    <xdr:pic>
      <xdr:nvPicPr>
        <xdr:cNvPr id="2" name="Picture 1" descr="Statistikk_forside.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57150" y="0"/>
          <a:ext cx="6572250" cy="11258550"/>
        </a:xfrm>
        <a:prstGeom prst="rect">
          <a:avLst/>
        </a:prstGeom>
        <a:noFill/>
        <a:ln w="9525">
          <a:noFill/>
          <a:miter lim="800000"/>
          <a:headEnd/>
          <a:tailEnd/>
        </a:ln>
      </xdr:spPr>
    </xdr:pic>
    <xdr:clientData/>
  </xdr:twoCellAnchor>
  <xdr:twoCellAnchor>
    <xdr:from>
      <xdr:col>0</xdr:col>
      <xdr:colOff>695325</xdr:colOff>
      <xdr:row>41</xdr:row>
      <xdr:rowOff>34925</xdr:rowOff>
    </xdr:from>
    <xdr:to>
      <xdr:col>5</xdr:col>
      <xdr:colOff>371492</xdr:colOff>
      <xdr:row>43</xdr:row>
      <xdr:rowOff>152400</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083675"/>
          <a:ext cx="3486167" cy="517525"/>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4. KVARTAL 2020 </a:t>
          </a:r>
          <a:r>
            <a:rPr lang="nb-NO" sz="1100" b="0">
              <a:effectLst/>
              <a:latin typeface="Arial"/>
              <a:ea typeface="ＭＳ 明朝"/>
              <a:cs typeface="Times New Roman"/>
            </a:rPr>
            <a:t>(24.03.2021)</a:t>
          </a:r>
          <a:r>
            <a:rPr lang="nb-NO" sz="1600" b="1">
              <a:effectLst/>
              <a:latin typeface="Arial"/>
              <a:ea typeface="ＭＳ 明朝"/>
              <a:cs typeface="Times New Roman"/>
            </a:rPr>
            <a:t> </a:t>
          </a:r>
        </a:p>
        <a:p>
          <a:pPr>
            <a:spcAft>
              <a:spcPts val="0"/>
            </a:spcAft>
          </a:pPr>
          <a:endParaRPr lang="nb-NO" sz="1100" b="0">
            <a:solidFill>
              <a:schemeClr val="dk1"/>
            </a:solidFill>
            <a:effectLst/>
            <a:latin typeface="Arial"/>
            <a:ea typeface="ＭＳ 明朝"/>
            <a:cs typeface="Times New Roman"/>
          </a:endParaRPr>
        </a:p>
        <a:p>
          <a:pPr>
            <a:spcAft>
              <a:spcPts val="0"/>
            </a:spcAft>
          </a:pPr>
          <a:endParaRPr lang="nb-NO" sz="1100" b="0">
            <a:solidFill>
              <a:schemeClr val="dk1"/>
            </a:solidFill>
            <a:effectLst/>
            <a:latin typeface="Arial"/>
            <a:ea typeface="ＭＳ 明朝"/>
            <a:cs typeface="Times New Roman"/>
          </a:endParaRPr>
        </a:p>
        <a:p>
          <a:pPr>
            <a:spcAft>
              <a:spcPts val="0"/>
            </a:spcAft>
          </a:pPr>
          <a:r>
            <a:rPr lang="nb-NO" sz="1100" b="0">
              <a:solidFill>
                <a:schemeClr val="dk1"/>
              </a:solidFill>
              <a:effectLst/>
              <a:latin typeface="+mn-lt"/>
              <a:ea typeface="+mn-ea"/>
              <a:cs typeface="+mn-cs"/>
            </a:rPr>
            <a:t>Sist endret 26.05.2021</a:t>
          </a:r>
          <a:endParaRPr lang="nb-NO" sz="1100" b="0">
            <a:solidFill>
              <a:schemeClr val="dk1"/>
            </a:solidFill>
            <a:effectLst/>
            <a:latin typeface="Arial"/>
            <a:ea typeface="ＭＳ 明朝"/>
            <a:cs typeface="Times New Roman"/>
          </a:endParaRPr>
        </a:p>
        <a:p>
          <a:pPr>
            <a:spcAft>
              <a:spcPts val="0"/>
            </a:spcAft>
          </a:pPr>
          <a:endParaRPr lang="nb-NO" sz="1200">
            <a:effectLst/>
            <a:ea typeface="ＭＳ 明朝"/>
            <a:cs typeface="Times New Roman"/>
          </a:endParaRPr>
        </a:p>
      </xdr:txBody>
    </xdr:sp>
    <xdr:clientData/>
  </xdr:twoCellAnchor>
  <xdr:twoCellAnchor>
    <xdr:from>
      <xdr:col>0</xdr:col>
      <xdr:colOff>666750</xdr:colOff>
      <xdr:row>32</xdr:row>
      <xdr:rowOff>387350</xdr:rowOff>
    </xdr:from>
    <xdr:to>
      <xdr:col>8</xdr:col>
      <xdr:colOff>196850</xdr:colOff>
      <xdr:row>38</xdr:row>
      <xdr:rowOff>22225</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292975"/>
          <a:ext cx="5626100" cy="1149350"/>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3100"/>
            </a:lnSpc>
            <a:spcAft>
              <a:spcPts val="0"/>
            </a:spcAft>
          </a:pPr>
          <a:r>
            <a:rPr lang="nb-NO" sz="2800" b="1">
              <a:solidFill>
                <a:srgbClr val="54758C"/>
              </a:solidFill>
              <a:effectLst/>
              <a:latin typeface="Arial"/>
              <a:ea typeface="ＭＳ 明朝"/>
              <a:cs typeface="Times New Roman"/>
            </a:rPr>
            <a:t>MARKEDSANDELER</a:t>
          </a:r>
          <a:endParaRPr lang="nb-NO" sz="1200">
            <a:effectLst/>
            <a:ea typeface="ＭＳ 明朝"/>
            <a:cs typeface="Times New Roman"/>
          </a:endParaRPr>
        </a:p>
        <a:p>
          <a:pPr>
            <a:lnSpc>
              <a:spcPts val="3200"/>
            </a:lnSpc>
            <a:spcAft>
              <a:spcPts val="0"/>
            </a:spcAft>
          </a:pPr>
          <a:r>
            <a:rPr lang="en-GB" sz="2600">
              <a:solidFill>
                <a:srgbClr val="54758C"/>
              </a:solidFill>
              <a:effectLst/>
              <a:latin typeface="Arial"/>
              <a:ea typeface="ＭＳ 明朝"/>
              <a:cs typeface="MinionPro-Regular"/>
            </a:rPr>
            <a:t>– endelige tall og regnskapsstatistikk</a:t>
          </a:r>
          <a:endParaRPr lang="nb-NO" sz="1200">
            <a:solidFill>
              <a:srgbClr val="000000"/>
            </a:solidFill>
            <a:effectLst/>
            <a:latin typeface="MinionPro-Regular"/>
            <a:ea typeface="ＭＳ 明朝"/>
            <a:cs typeface="MinionPro-Regular"/>
          </a:endParaRPr>
        </a:p>
        <a:p>
          <a:pPr>
            <a:lnSpc>
              <a:spcPts val="1300"/>
            </a:lnSpc>
            <a:spcAft>
              <a:spcPts val="0"/>
            </a:spcAft>
          </a:pPr>
          <a:r>
            <a:rPr lang="nb-NO" sz="1200">
              <a:effectLst/>
              <a:ea typeface="ＭＳ 明朝"/>
              <a:cs typeface="Times New Roman"/>
            </a:rPr>
            <a:t> </a:t>
          </a:r>
        </a:p>
      </xdr:txBody>
    </xdr:sp>
    <xdr:clientData/>
  </xdr:twoCellAnchor>
  <xdr:twoCellAnchor>
    <xdr:from>
      <xdr:col>0</xdr:col>
      <xdr:colOff>447675</xdr:colOff>
      <xdr:row>5</xdr:row>
      <xdr:rowOff>12700</xdr:rowOff>
    </xdr:from>
    <xdr:to>
      <xdr:col>2</xdr:col>
      <xdr:colOff>530482</xdr:colOff>
      <xdr:row>7</xdr:row>
      <xdr:rowOff>66616</xdr:rowOff>
    </xdr:to>
    <xdr:sp macro="" textlink="">
      <xdr:nvSpPr>
        <xdr:cNvPr id="5" name="Text Box 3">
          <a:extLst>
            <a:ext uri="{FF2B5EF4-FFF2-40B4-BE49-F238E27FC236}">
              <a16:creationId xmlns:a16="http://schemas.microsoft.com/office/drawing/2014/main" id="{00000000-0008-0000-0000-000005000000}"/>
            </a:ext>
          </a:extLst>
        </xdr:cNvPr>
        <xdr:cNvSpPr txBox="1"/>
      </xdr:nvSpPr>
      <xdr:spPr>
        <a:xfrm>
          <a:off x="447675" y="822325"/>
          <a:ext cx="1606807" cy="511116"/>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500"/>
            </a:lnSpc>
            <a:spcAft>
              <a:spcPts val="0"/>
            </a:spcAft>
          </a:pPr>
          <a:r>
            <a:rPr lang="nb-NO" sz="1400" cap="all">
              <a:ln w="0" cap="flat" cmpd="sng" algn="ctr">
                <a:noFill/>
                <a:prstDash val="solid"/>
                <a:round/>
              </a:ln>
              <a:solidFill>
                <a:schemeClr val="bg1"/>
              </a:solidFill>
              <a:effectLst/>
              <a:latin typeface="Arial"/>
              <a:ea typeface="ＭＳ 明朝"/>
              <a:cs typeface="Arial"/>
            </a:rPr>
            <a:t>LIVSTATISTIKK</a:t>
          </a:r>
          <a:endParaRPr lang="nb-NO" sz="1400">
            <a:ln w="0" cap="flat" cmpd="sng" algn="ctr">
              <a:noFill/>
              <a:prstDash val="solid"/>
              <a:round/>
            </a:ln>
            <a:solidFill>
              <a:schemeClr val="bg1"/>
            </a:solidFill>
            <a:effectLst/>
            <a:latin typeface="Arial"/>
            <a:ea typeface="ＭＳ 明朝"/>
            <a:cs typeface="Arial"/>
          </a:endParaRPr>
        </a:p>
        <a:p>
          <a:pPr>
            <a:lnSpc>
              <a:spcPts val="1100"/>
            </a:lnSpc>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6</xdr:row>
      <xdr:rowOff>0</xdr:rowOff>
    </xdr:from>
    <xdr:to>
      <xdr:col>9</xdr:col>
      <xdr:colOff>352425</xdr:colOff>
      <xdr:row>27</xdr:row>
      <xdr:rowOff>9525</xdr:rowOff>
    </xdr:to>
    <xdr:graphicFrame macro="">
      <xdr:nvGraphicFramePr>
        <xdr:cNvPr id="2" name="Chart 1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31</xdr:row>
      <xdr:rowOff>219075</xdr:rowOff>
    </xdr:from>
    <xdr:to>
      <xdr:col>9</xdr:col>
      <xdr:colOff>285750</xdr:colOff>
      <xdr:row>50</xdr:row>
      <xdr:rowOff>123825</xdr:rowOff>
    </xdr:to>
    <xdr:graphicFrame macro="">
      <xdr:nvGraphicFramePr>
        <xdr:cNvPr id="3" name="Chart 1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56</xdr:row>
      <xdr:rowOff>228600</xdr:rowOff>
    </xdr:from>
    <xdr:to>
      <xdr:col>9</xdr:col>
      <xdr:colOff>142875</xdr:colOff>
      <xdr:row>73</xdr:row>
      <xdr:rowOff>180975</xdr:rowOff>
    </xdr:to>
    <xdr:graphicFrame macro="">
      <xdr:nvGraphicFramePr>
        <xdr:cNvPr id="6" name="Chart 1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81</xdr:row>
      <xdr:rowOff>57150</xdr:rowOff>
    </xdr:from>
    <xdr:to>
      <xdr:col>9</xdr:col>
      <xdr:colOff>123825</xdr:colOff>
      <xdr:row>100</xdr:row>
      <xdr:rowOff>114300</xdr:rowOff>
    </xdr:to>
    <xdr:graphicFrame macro="">
      <xdr:nvGraphicFramePr>
        <xdr:cNvPr id="7" name="Chart 1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107</xdr:row>
      <xdr:rowOff>28575</xdr:rowOff>
    </xdr:from>
    <xdr:to>
      <xdr:col>9</xdr:col>
      <xdr:colOff>180975</xdr:colOff>
      <xdr:row>123</xdr:row>
      <xdr:rowOff>200025</xdr:rowOff>
    </xdr:to>
    <xdr:graphicFrame macro="">
      <xdr:nvGraphicFramePr>
        <xdr:cNvPr id="8" name="Chart 1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131</xdr:row>
      <xdr:rowOff>57150</xdr:rowOff>
    </xdr:from>
    <xdr:to>
      <xdr:col>9</xdr:col>
      <xdr:colOff>171450</xdr:colOff>
      <xdr:row>149</xdr:row>
      <xdr:rowOff>123825</xdr:rowOff>
    </xdr:to>
    <xdr:graphicFrame macro="">
      <xdr:nvGraphicFramePr>
        <xdr:cNvPr id="9" name="Chart 1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4</xdr:row>
      <xdr:rowOff>127000</xdr:rowOff>
    </xdr:from>
    <xdr:to>
      <xdr:col>0</xdr:col>
      <xdr:colOff>4064000</xdr:colOff>
      <xdr:row>40</xdr:row>
      <xdr:rowOff>74083</xdr:rowOff>
    </xdr:to>
    <xdr:sp macro="" textlink="">
      <xdr:nvSpPr>
        <xdr:cNvPr id="4" name="Text Box 1026">
          <a:extLst>
            <a:ext uri="{FF2B5EF4-FFF2-40B4-BE49-F238E27FC236}">
              <a16:creationId xmlns:a16="http://schemas.microsoft.com/office/drawing/2014/main" id="{00000000-0008-0000-2100-000004000000}"/>
            </a:ext>
          </a:extLst>
        </xdr:cNvPr>
        <xdr:cNvSpPr txBox="1">
          <a:spLocks noChangeArrowheads="1"/>
        </xdr:cNvSpPr>
      </xdr:nvSpPr>
      <xdr:spPr bwMode="auto">
        <a:xfrm>
          <a:off x="10583" y="762000"/>
          <a:ext cx="4053417" cy="10974916"/>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marL="0" marR="0" indent="0" algn="l" defTabSz="914400" rtl="0" eaLnBrk="1" fontAlgn="auto" latinLnBrk="0" hangingPunct="1">
            <a:lnSpc>
              <a:spcPts val="1600"/>
            </a:lnSpc>
            <a:spcBef>
              <a:spcPts val="0"/>
            </a:spcBef>
            <a:spcAft>
              <a:spcPts val="0"/>
            </a:spcAft>
            <a:buClrTx/>
            <a:buSzTx/>
            <a:buFontTx/>
            <a:buNone/>
            <a:tabLst/>
            <a:defRPr sz="1000"/>
          </a:pPr>
          <a:r>
            <a:rPr lang="nb-NO" sz="1200" b="0" i="0" strike="noStrike">
              <a:solidFill>
                <a:srgbClr val="000000"/>
              </a:solidFill>
              <a:latin typeface="Times New Roman"/>
              <a:cs typeface="Times New Roman"/>
            </a:rPr>
            <a:t>ACE European Group </a:t>
          </a: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(utenlandsk skadeselskap, filial)</a:t>
          </a:r>
          <a:r>
            <a:rPr lang="nb-NO" sz="1200" b="0" i="0" strike="noStrike">
              <a:solidFill>
                <a:srgbClr val="000000"/>
              </a:solidFill>
              <a:latin typeface="Times New Roman"/>
              <a:cs typeface="Times New Roman"/>
            </a:rPr>
            <a:t> </a:t>
          </a:r>
        </a:p>
        <a:p>
          <a:pPr algn="l" rtl="0">
            <a:lnSpc>
              <a:spcPts val="16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600"/>
            </a:lnSpc>
            <a:defRPr sz="1000"/>
          </a:pPr>
          <a:r>
            <a:rPr lang="nb-NO" sz="1200" b="0" i="0" strike="noStrike">
              <a:solidFill>
                <a:srgbClr val="000000"/>
              </a:solidFill>
              <a:latin typeface="Times New Roman"/>
              <a:cs typeface="Times New Roman"/>
            </a:rPr>
            <a:t>Handelsbanken Liv (utenlandsk,</a:t>
          </a:r>
          <a:r>
            <a:rPr lang="nb-NO" sz="1200" b="0" i="0" strike="noStrike" baseline="0">
              <a:solidFill>
                <a:srgbClr val="000000"/>
              </a:solidFill>
              <a:latin typeface="Times New Roman"/>
              <a:cs typeface="Times New Roman"/>
            </a:rPr>
            <a:t> </a:t>
          </a:r>
          <a:r>
            <a:rPr lang="nb-NO" sz="1200" b="0" i="0" strike="noStrike">
              <a:solidFill>
                <a:srgbClr val="000000"/>
              </a:solidFill>
              <a:latin typeface="Times New Roman"/>
              <a:cs typeface="Times New Roman"/>
            </a:rPr>
            <a:t>filial)</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a:t>
          </a:r>
          <a:r>
            <a:rPr lang="nb-NO" sz="1200" b="0" i="0" strike="noStrike" baseline="0">
              <a:solidFill>
                <a:srgbClr val="000000"/>
              </a:solidFill>
              <a:latin typeface="Times New Roman"/>
              <a:cs typeface="Times New Roman"/>
            </a:rPr>
            <a:t> Bedriftspensjon AS</a:t>
          </a:r>
        </a:p>
        <a:p>
          <a:pPr algn="l" rtl="0">
            <a:lnSpc>
              <a:spcPts val="1600"/>
            </a:lnSpc>
            <a:defRPr sz="1000"/>
          </a:pPr>
          <a:r>
            <a:rPr lang="nb-NO" sz="1200" b="0" i="0" strike="noStrike" baseline="0">
              <a:solidFill>
                <a:srgbClr val="000000"/>
              </a:solidFill>
              <a:latin typeface="Times New Roman"/>
              <a:cs typeface="Times New Roman"/>
            </a:rPr>
            <a:t>KLP Skadeforsikring AS</a:t>
          </a:r>
        </a:p>
        <a:p>
          <a:pPr algn="l" rtl="0">
            <a:lnSpc>
              <a:spcPts val="1600"/>
            </a:lnSpc>
            <a:defRPr sz="1000"/>
          </a:pPr>
          <a:r>
            <a:rPr lang="nb-NO" sz="1200" b="0" i="0" strike="noStrike" baseline="0">
              <a:solidFill>
                <a:srgbClr val="000000"/>
              </a:solidFill>
              <a:latin typeface="Times New Roman"/>
              <a:cs typeface="Times New Roman"/>
            </a:rPr>
            <a:t>Landbruksforsikring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NEMI</a:t>
          </a:r>
          <a:r>
            <a:rPr lang="nb-NO" sz="1200" b="0" i="0" strike="noStrike" baseline="0">
              <a:solidFill>
                <a:srgbClr val="000000"/>
              </a:solidFill>
              <a:latin typeface="Times New Roman"/>
              <a:cs typeface="Times New Roman"/>
            </a:rPr>
            <a:t> Forsikring (skadeselskap)</a:t>
          </a:r>
          <a:endParaRPr lang="nb-NO" sz="1200" b="0" i="0" strike="noStrike">
            <a:solidFill>
              <a:srgbClr val="000000"/>
            </a:solidFill>
            <a:latin typeface="Times New Roman"/>
            <a:cs typeface="Times New Roman"/>
          </a:endParaRPr>
        </a:p>
        <a:p>
          <a:pPr algn="l" rtl="0">
            <a:lnSpc>
              <a:spcPts val="17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Protector Forsikring</a:t>
          </a:r>
        </a:p>
        <a:p>
          <a:pPr algn="l" rtl="0">
            <a:lnSpc>
              <a:spcPts val="1700"/>
            </a:lnSpc>
            <a:defRPr sz="1000"/>
          </a:pPr>
          <a:r>
            <a:rPr lang="nb-NO" sz="1200" b="0" i="0" strike="noStrike">
              <a:solidFill>
                <a:srgbClr val="000000"/>
              </a:solidFill>
              <a:latin typeface="Times New Roman"/>
              <a:cs typeface="Times New Roman"/>
            </a:rPr>
            <a:t>SpareBank 1</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700"/>
            </a:lnSpc>
            <a:defRPr sz="1000"/>
          </a:pPr>
          <a:r>
            <a:rPr lang="nb-NO" sz="1200" b="0" i="0" strike="noStrike">
              <a:solidFill>
                <a:srgbClr val="000000"/>
              </a:solidFill>
              <a:latin typeface="Times New Roman"/>
              <a:cs typeface="Times New Roman"/>
            </a:rPr>
            <a:t>Frende</a:t>
          </a:r>
          <a:r>
            <a:rPr lang="nb-NO" sz="1200" b="0" i="0" strike="noStrike" baseline="0">
              <a:solidFill>
                <a:srgbClr val="000000"/>
              </a:solidFill>
              <a:latin typeface="Times New Roman"/>
              <a:cs typeface="Times New Roman"/>
            </a:rPr>
            <a:t> Livsforsikring</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 Bedriftspensjon AS</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SHB Liv (utenlandsk, filial)</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Silver Pensjonsforsikring AS</a:t>
          </a:r>
        </a:p>
        <a:p>
          <a:pPr algn="l" rtl="0">
            <a:lnSpc>
              <a:spcPts val="1600"/>
            </a:lnSpc>
            <a:defRPr sz="1000"/>
          </a:pPr>
          <a:r>
            <a:rPr lang="nb-NO" sz="1200" b="0" i="0" strike="noStrike">
              <a:solidFill>
                <a:srgbClr val="000000"/>
              </a:solidFill>
              <a:latin typeface="Times New Roman"/>
              <a:cs typeface="Times New Roman"/>
            </a:rPr>
            <a:t>SpareBank 1</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5" name="TekstSylinder 4">
          <a:extLst>
            <a:ext uri="{FF2B5EF4-FFF2-40B4-BE49-F238E27FC236}">
              <a16:creationId xmlns:a16="http://schemas.microsoft.com/office/drawing/2014/main" id="{00000000-0008-0000-2100-000005000000}"/>
            </a:ext>
          </a:extLst>
        </xdr:cNvPr>
        <xdr:cNvSpPr txBox="1"/>
      </xdr:nvSpPr>
      <xdr:spPr>
        <a:xfrm>
          <a:off x="12170834" y="804333"/>
          <a:ext cx="6413499" cy="828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20xx-tall", menes endringer i forhold til tilsvarende periode året før.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markedstallene inngår ikke overførte reserver som gjelder Gruppeliv. Disse vil imidlertid inngå i Tabell 4.</a:t>
          </a:r>
          <a:endParaRPr lang="nb-NO" sz="1100">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r>
            <a:rPr lang="nb-NO" sz="1100" u="sng">
              <a:latin typeface="Times New Roman" panose="02020603050405020304" pitchFamily="18" charset="0"/>
              <a:cs typeface="Times New Roman" panose="02020603050405020304" pitchFamily="18" charset="0"/>
            </a:rPr>
            <a:t>Frende Livsforsikring</a:t>
          </a:r>
        </a:p>
        <a:p>
          <a:r>
            <a:rPr lang="nb-NO" sz="1100" u="none">
              <a:latin typeface="Times New Roman" panose="02020603050405020304" pitchFamily="18" charset="0"/>
              <a:cs typeface="Times New Roman" panose="02020603050405020304" pitchFamily="18" charset="0"/>
            </a:rPr>
            <a:t>Nordea Liv overtok</a:t>
          </a:r>
          <a:r>
            <a:rPr lang="nb-NO" sz="1100" u="none" baseline="0">
              <a:latin typeface="Times New Roman" panose="02020603050405020304" pitchFamily="18" charset="0"/>
              <a:cs typeface="Times New Roman" panose="02020603050405020304" pitchFamily="18" charset="0"/>
            </a:rPr>
            <a:t> pensjonsporteføljen til Frende fra oktober 2020.</a:t>
          </a:r>
          <a:endParaRPr lang="nb-NO" sz="1100" u="none">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r>
            <a:rPr lang="nb-NO" sz="1100" u="sng">
              <a:latin typeface="Times New Roman" panose="02020603050405020304" pitchFamily="18" charset="0"/>
              <a:cs typeface="Times New Roman" panose="02020603050405020304" pitchFamily="18" charset="0"/>
            </a:rPr>
            <a:t>KLP Bedriftspensjon</a:t>
          </a:r>
          <a:br>
            <a:rPr lang="nb-NO" sz="1100" u="sng">
              <a:latin typeface="Times New Roman" panose="02020603050405020304" pitchFamily="18" charset="0"/>
              <a:cs typeface="Times New Roman" panose="02020603050405020304" pitchFamily="18" charset="0"/>
            </a:rPr>
          </a:br>
          <a:r>
            <a:rPr lang="nb-NO" sz="1100" u="none">
              <a:latin typeface="Times New Roman" panose="02020603050405020304" pitchFamily="18" charset="0"/>
              <a:cs typeface="Times New Roman" panose="02020603050405020304" pitchFamily="18" charset="0"/>
            </a:rPr>
            <a:t>DNB</a:t>
          </a:r>
          <a:r>
            <a:rPr lang="nb-NO" sz="1100" u="none" baseline="0">
              <a:latin typeface="Times New Roman" panose="02020603050405020304" pitchFamily="18" charset="0"/>
              <a:cs typeface="Times New Roman" panose="02020603050405020304" pitchFamily="18" charset="0"/>
            </a:rPr>
            <a:t> overtok porteføljen til KLP Bedriftspensjon i september 2020, og fremgår i statistikken som DNB Bedriftspensjon fra 4.kvartal 2021.</a:t>
          </a:r>
          <a:endParaRPr lang="nb-NO" sz="1100" u="sng">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r>
            <a:rPr lang="nb-NO" sz="1100" u="sng">
              <a:latin typeface="Times New Roman" panose="02020603050405020304" pitchFamily="18" charset="0"/>
              <a:cs typeface="Times New Roman" panose="02020603050405020304" pitchFamily="18" charset="0"/>
            </a:rPr>
            <a:t>Fremtind Livsforsikring</a:t>
          </a:r>
        </a:p>
        <a:p>
          <a:r>
            <a:rPr lang="nb-NO" sz="1100" u="none">
              <a:latin typeface="Times New Roman" panose="02020603050405020304" pitchFamily="18" charset="0"/>
              <a:cs typeface="Times New Roman" panose="02020603050405020304" pitchFamily="18" charset="0"/>
            </a:rPr>
            <a:t>Selskapet</a:t>
          </a:r>
          <a:r>
            <a:rPr lang="nb-NO" sz="1100" u="none" baseline="0">
              <a:latin typeface="Times New Roman" panose="02020603050405020304" pitchFamily="18" charset="0"/>
              <a:cs typeface="Times New Roman" panose="02020603050405020304" pitchFamily="18" charset="0"/>
            </a:rPr>
            <a:t> inngår i statistikken fra 1. kvartal 2020.</a:t>
          </a:r>
        </a:p>
        <a:p>
          <a:endParaRPr lang="nb-NO" sz="1100" u="none" baseline="0">
            <a:latin typeface="Times New Roman" panose="02020603050405020304" pitchFamily="18" charset="0"/>
            <a:cs typeface="Times New Roman" panose="02020603050405020304" pitchFamily="18" charset="0"/>
          </a:endParaRPr>
        </a:p>
        <a:p>
          <a:pPr marL="0" indent="0"/>
          <a:r>
            <a:rPr lang="nb-NO" sz="1100" u="sng">
              <a:solidFill>
                <a:schemeClr val="dk1"/>
              </a:solidFill>
              <a:latin typeface="Times New Roman" panose="02020603050405020304" pitchFamily="18" charset="0"/>
              <a:ea typeface="+mn-ea"/>
              <a:cs typeface="Times New Roman" panose="02020603050405020304" pitchFamily="18" charset="0"/>
            </a:rPr>
            <a:t>WaterCircle Forsikring</a:t>
          </a:r>
        </a:p>
        <a:p>
          <a:pPr marL="0" indent="0"/>
          <a:r>
            <a:rPr lang="nb-NO" sz="1100" u="none">
              <a:solidFill>
                <a:schemeClr val="dk1"/>
              </a:solidFill>
              <a:latin typeface="Times New Roman" panose="02020603050405020304" pitchFamily="18" charset="0"/>
              <a:ea typeface="+mn-ea"/>
              <a:cs typeface="Times New Roman" panose="02020603050405020304" pitchFamily="18" charset="0"/>
            </a:rPr>
            <a:t>Selskapet inngår i statistikken fra 1. kvartal 2020.</a:t>
          </a: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01\finansnorge\SFA\Statistikk%20og%20analyse\Fellessaker\Ny%20presentasjon%20MA\Overset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kk%20og%20analyse/Livstatistikk/Faste%20statistikker/MA/2020/Q4-2020/Mottatt/HBL%20og%20SHB%20Liv%20-%20v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tatistikk%20og%20analyse/Livstatistikk/Faste%20statistikker/MA/2020/Q4-2020/Mottatt/SpareBank%201%20-%20v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t"/>
      <sheetName val="Oppslagstabeller"/>
      <sheetName val="Oversetter"/>
    </sheetNames>
    <sheetDataSet>
      <sheetData sheetId="0"/>
      <sheetData sheetId="1">
        <row r="1">
          <cell r="A1" t="str">
            <v>selskap_id</v>
          </cell>
          <cell r="B1" t="str">
            <v>sortering</v>
          </cell>
          <cell r="C1" t="str">
            <v>2a</v>
          </cell>
          <cell r="D1" t="str">
            <v>2b</v>
          </cell>
          <cell r="E1" t="str">
            <v>3a</v>
          </cell>
          <cell r="F1" t="str">
            <v>3b</v>
          </cell>
          <cell r="G1" t="str">
            <v>selskap_navn</v>
          </cell>
        </row>
        <row r="2">
          <cell r="A2" t="str">
            <v>19</v>
          </cell>
          <cell r="B2" t="str">
            <v>01</v>
          </cell>
          <cell r="C2">
            <v>3</v>
          </cell>
          <cell r="E2">
            <v>3</v>
          </cell>
          <cell r="G2" t="str">
            <v>ACE European Group Ltd</v>
          </cell>
        </row>
        <row r="3">
          <cell r="A3" t="str">
            <v>34</v>
          </cell>
          <cell r="B3" t="str">
            <v>02</v>
          </cell>
          <cell r="C3">
            <v>7</v>
          </cell>
          <cell r="D3">
            <v>3</v>
          </cell>
          <cell r="E3">
            <v>7</v>
          </cell>
          <cell r="F3">
            <v>3</v>
          </cell>
          <cell r="G3" t="str">
            <v>Danica Pensjonsforsikring</v>
          </cell>
        </row>
        <row r="4">
          <cell r="A4" t="str">
            <v>35</v>
          </cell>
          <cell r="B4" t="str">
            <v>03</v>
          </cell>
          <cell r="C4">
            <v>11</v>
          </cell>
          <cell r="D4">
            <v>7</v>
          </cell>
          <cell r="E4">
            <v>11</v>
          </cell>
          <cell r="F4">
            <v>7</v>
          </cell>
          <cell r="G4" t="str">
            <v>DNB Livsforsikring ASA</v>
          </cell>
          <cell r="N4">
            <v>16</v>
          </cell>
        </row>
        <row r="5">
          <cell r="A5" t="str">
            <v>15</v>
          </cell>
          <cell r="B5" t="str">
            <v>04</v>
          </cell>
          <cell r="C5">
            <v>15</v>
          </cell>
          <cell r="E5">
            <v>15</v>
          </cell>
          <cell r="G5" t="str">
            <v>Eika Gruppen AS</v>
          </cell>
          <cell r="N5" t="str">
            <v>4.-kvartal-2015-markedsandeler---endelige-tall-og-regnskapsstatistikk.xlsx</v>
          </cell>
        </row>
        <row r="6">
          <cell r="A6" t="str">
            <v>36</v>
          </cell>
          <cell r="B6" t="str">
            <v>05</v>
          </cell>
          <cell r="C6">
            <v>19</v>
          </cell>
          <cell r="D6">
            <v>11</v>
          </cell>
          <cell r="E6">
            <v>19</v>
          </cell>
          <cell r="F6">
            <v>11</v>
          </cell>
          <cell r="G6" t="str">
            <v>Frende Livsforsikring AS</v>
          </cell>
        </row>
        <row r="7">
          <cell r="A7" t="str">
            <v>20</v>
          </cell>
          <cell r="B7" t="str">
            <v>06</v>
          </cell>
          <cell r="C7">
            <v>23</v>
          </cell>
          <cell r="E7">
            <v>23</v>
          </cell>
          <cell r="G7" t="str">
            <v>Frende Skadeforsikring AS</v>
          </cell>
        </row>
        <row r="8">
          <cell r="A8" t="str">
            <v>4</v>
          </cell>
          <cell r="B8" t="str">
            <v>07</v>
          </cell>
          <cell r="C8">
            <v>27</v>
          </cell>
          <cell r="E8">
            <v>27</v>
          </cell>
          <cell r="G8" t="str">
            <v>Gjensidige Forsikring ASA</v>
          </cell>
        </row>
        <row r="9">
          <cell r="A9" t="str">
            <v>37</v>
          </cell>
          <cell r="B9" t="str">
            <v>08</v>
          </cell>
          <cell r="C9">
            <v>31</v>
          </cell>
          <cell r="D9">
            <v>15</v>
          </cell>
          <cell r="E9">
            <v>31</v>
          </cell>
          <cell r="F9">
            <v>15</v>
          </cell>
          <cell r="G9" t="str">
            <v>Gjensidige Pensjon og Sparing</v>
          </cell>
        </row>
        <row r="10">
          <cell r="A10" t="str">
            <v>38</v>
          </cell>
          <cell r="B10" t="str">
            <v>09</v>
          </cell>
          <cell r="C10">
            <v>35</v>
          </cell>
          <cell r="E10">
            <v>35</v>
          </cell>
          <cell r="G10" t="str">
            <v>Handelsbanken Liv</v>
          </cell>
        </row>
        <row r="11">
          <cell r="A11" t="str">
            <v>6</v>
          </cell>
          <cell r="B11" t="str">
            <v>10</v>
          </cell>
          <cell r="C11">
            <v>39</v>
          </cell>
          <cell r="E11">
            <v>39</v>
          </cell>
          <cell r="G11" t="str">
            <v>If Skadeforsikring nuf</v>
          </cell>
        </row>
        <row r="12">
          <cell r="A12" t="str">
            <v>39</v>
          </cell>
          <cell r="B12" t="str">
            <v>11</v>
          </cell>
          <cell r="C12">
            <v>47</v>
          </cell>
          <cell r="D12">
            <v>23</v>
          </cell>
          <cell r="E12">
            <v>47</v>
          </cell>
          <cell r="F12">
            <v>23</v>
          </cell>
          <cell r="G12" t="str">
            <v>KLP Bedriftspensjon AS</v>
          </cell>
        </row>
        <row r="13">
          <cell r="A13" t="str">
            <v>5</v>
          </cell>
          <cell r="B13" t="str">
            <v>12</v>
          </cell>
          <cell r="C13">
            <v>43</v>
          </cell>
          <cell r="D13">
            <v>19</v>
          </cell>
          <cell r="E13">
            <v>43</v>
          </cell>
          <cell r="F13">
            <v>19</v>
          </cell>
          <cell r="G13" t="str">
            <v>KLP</v>
          </cell>
        </row>
        <row r="14">
          <cell r="A14" t="str">
            <v>22</v>
          </cell>
          <cell r="B14" t="str">
            <v>13</v>
          </cell>
          <cell r="C14">
            <v>55</v>
          </cell>
          <cell r="E14">
            <v>55</v>
          </cell>
          <cell r="G14" t="str">
            <v>Landbruksforsikring AS</v>
          </cell>
        </row>
        <row r="15">
          <cell r="A15" t="str">
            <v>17</v>
          </cell>
          <cell r="B15" t="str">
            <v>14</v>
          </cell>
          <cell r="C15">
            <v>59</v>
          </cell>
          <cell r="E15">
            <v>59</v>
          </cell>
          <cell r="G15" t="str">
            <v>NEMI Forsikring AS</v>
          </cell>
        </row>
        <row r="16">
          <cell r="A16" t="str">
            <v>40</v>
          </cell>
          <cell r="B16" t="str">
            <v>15</v>
          </cell>
          <cell r="C16">
            <v>63</v>
          </cell>
          <cell r="D16">
            <v>27</v>
          </cell>
          <cell r="E16">
            <v>63</v>
          </cell>
          <cell r="F16">
            <v>27</v>
          </cell>
          <cell r="G16" t="str">
            <v>Livsforsikringsselskapet Nordea Liv Norge AS</v>
          </cell>
        </row>
        <row r="17">
          <cell r="A17" t="str">
            <v>41</v>
          </cell>
          <cell r="B17" t="str">
            <v>16</v>
          </cell>
          <cell r="C17">
            <v>67</v>
          </cell>
          <cell r="E17">
            <v>67</v>
          </cell>
          <cell r="G17" t="str">
            <v>Oslo Pensjonsforsikring</v>
          </cell>
        </row>
        <row r="18">
          <cell r="A18" t="str">
            <v>43</v>
          </cell>
          <cell r="B18" t="str">
            <v>17</v>
          </cell>
          <cell r="C18">
            <v>71</v>
          </cell>
          <cell r="D18">
            <v>35</v>
          </cell>
          <cell r="E18">
            <v>71</v>
          </cell>
          <cell r="F18">
            <v>35</v>
          </cell>
          <cell r="G18" t="str">
            <v>Silver Pensjonsforsikring  AS</v>
          </cell>
        </row>
        <row r="19">
          <cell r="A19" t="str">
            <v>49</v>
          </cell>
          <cell r="B19" t="str">
            <v>18</v>
          </cell>
          <cell r="C19">
            <v>75</v>
          </cell>
          <cell r="D19">
            <v>39</v>
          </cell>
          <cell r="E19">
            <v>75</v>
          </cell>
          <cell r="F19">
            <v>39</v>
          </cell>
          <cell r="G19" t="str">
            <v>Sparebank 1 Fondsforsikring</v>
          </cell>
        </row>
        <row r="20">
          <cell r="A20" t="str">
            <v>50</v>
          </cell>
          <cell r="B20" t="str">
            <v>19</v>
          </cell>
          <cell r="C20">
            <v>79</v>
          </cell>
          <cell r="D20">
            <v>43</v>
          </cell>
          <cell r="E20">
            <v>79</v>
          </cell>
          <cell r="F20">
            <v>43</v>
          </cell>
          <cell r="G20" t="str">
            <v>Storebrand Fondsforsikring</v>
          </cell>
        </row>
        <row r="21">
          <cell r="A21" t="str">
            <v>16</v>
          </cell>
          <cell r="B21" t="str">
            <v>20</v>
          </cell>
          <cell r="C21">
            <v>83</v>
          </cell>
          <cell r="E21">
            <v>83</v>
          </cell>
          <cell r="G21" t="str">
            <v>Telenor Forsikring AS</v>
          </cell>
        </row>
        <row r="22">
          <cell r="A22" t="str">
            <v>47</v>
          </cell>
          <cell r="B22" t="str">
            <v>21</v>
          </cell>
          <cell r="G22" t="str">
            <v>TrygVesta Forsikring</v>
          </cell>
        </row>
        <row r="23">
          <cell r="A23" t="str">
            <v>8</v>
          </cell>
          <cell r="B23" t="str">
            <v>22</v>
          </cell>
          <cell r="C23">
            <v>87</v>
          </cell>
          <cell r="E23">
            <v>87</v>
          </cell>
          <cell r="G23" t="str">
            <v>Tryg Forsikring</v>
          </cell>
        </row>
        <row r="24">
          <cell r="A24" t="str">
            <v>10</v>
          </cell>
          <cell r="B24" t="str">
            <v>23</v>
          </cell>
          <cell r="G24" t="str">
            <v>SpareBank 1 Forsikring AS</v>
          </cell>
        </row>
        <row r="25">
          <cell r="A25" t="str">
            <v>32</v>
          </cell>
          <cell r="B25" t="str">
            <v>24</v>
          </cell>
          <cell r="G25" t="str">
            <v>Storebrand ASA</v>
          </cell>
        </row>
        <row r="26">
          <cell r="A26" t="str">
            <v>33</v>
          </cell>
          <cell r="B26" t="str">
            <v>25</v>
          </cell>
          <cell r="G26" t="str">
            <v>Altraplan Luxembourg</v>
          </cell>
        </row>
        <row r="27">
          <cell r="A27" t="str">
            <v>42</v>
          </cell>
          <cell r="B27" t="str">
            <v>26</v>
          </cell>
          <cell r="D27">
            <v>31</v>
          </cell>
          <cell r="F27">
            <v>31</v>
          </cell>
          <cell r="G27" t="str">
            <v>SHB Liv</v>
          </cell>
        </row>
        <row r="28">
          <cell r="A28" t="str">
            <v>44</v>
          </cell>
          <cell r="B28" t="str">
            <v>27</v>
          </cell>
          <cell r="C28">
            <v>51</v>
          </cell>
          <cell r="E28">
            <v>51</v>
          </cell>
          <cell r="G28" t="str">
            <v>KLP Skadeforsikring</v>
          </cell>
        </row>
        <row r="29">
          <cell r="A29" t="str">
            <v>45</v>
          </cell>
          <cell r="B29" t="str">
            <v>28</v>
          </cell>
          <cell r="G29" t="str">
            <v>Commercial Union International Life</v>
          </cell>
        </row>
        <row r="30">
          <cell r="A30" t="str">
            <v>46</v>
          </cell>
          <cell r="B30" t="str">
            <v>29</v>
          </cell>
          <cell r="G30" t="str">
            <v>Gjensidige NOR Spareforsikring</v>
          </cell>
        </row>
        <row r="31">
          <cell r="A31" t="str">
            <v>48</v>
          </cell>
          <cell r="B31" t="str">
            <v>30</v>
          </cell>
          <cell r="G31" t="str">
            <v>Vesta</v>
          </cell>
        </row>
        <row r="32">
          <cell r="A32" t="str">
            <v>51</v>
          </cell>
          <cell r="B32" t="str">
            <v>31</v>
          </cell>
          <cell r="G32" t="str">
            <v>Danica Link</v>
          </cell>
        </row>
        <row r="33">
          <cell r="A33" t="str">
            <v>52</v>
          </cell>
          <cell r="B33" t="str">
            <v>32</v>
          </cell>
          <cell r="G33" t="str">
            <v>Danica Fondsforsikring</v>
          </cell>
        </row>
        <row r="34">
          <cell r="A34" t="str">
            <v>53</v>
          </cell>
          <cell r="B34" t="str">
            <v>33</v>
          </cell>
          <cell r="G34" t="str">
            <v>Gjensidige NOR Fondsforsikring</v>
          </cell>
        </row>
        <row r="35">
          <cell r="A35" t="str">
            <v>54</v>
          </cell>
          <cell r="B35" t="str">
            <v>34</v>
          </cell>
          <cell r="G35" t="str">
            <v>Vital Link</v>
          </cell>
        </row>
        <row r="36">
          <cell r="A36" t="str">
            <v>55</v>
          </cell>
          <cell r="B36" t="str">
            <v>35</v>
          </cell>
          <cell r="G36" t="str">
            <v>Nordea Link</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2a"/>
      <sheetName val="Tabell 2b"/>
      <sheetName val="Tabell 3a"/>
      <sheetName val="Tabell 3b"/>
      <sheetName val="Tabell 4"/>
      <sheetName val="Tabell 5.1"/>
      <sheetName val="Tabell 5.2"/>
      <sheetName val="Tabell 5.3"/>
      <sheetName val="Tabell 6"/>
      <sheetName val="Tabell 7a"/>
      <sheetName val="Tabell 7b"/>
      <sheetName val="Tabell 8"/>
      <sheetName val="Noter og kommentarer"/>
    </sheetNames>
    <sheetDataSet>
      <sheetData sheetId="0"/>
      <sheetData sheetId="1"/>
      <sheetData sheetId="2"/>
      <sheetData sheetId="3"/>
      <sheetData sheetId="4"/>
      <sheetData sheetId="5">
        <row r="12">
          <cell r="AF12"/>
          <cell r="AG12"/>
        </row>
        <row r="13">
          <cell r="AF13"/>
          <cell r="AG13"/>
        </row>
        <row r="14">
          <cell r="AF14"/>
          <cell r="AG14"/>
        </row>
        <row r="15">
          <cell r="AF15"/>
          <cell r="AG15"/>
        </row>
        <row r="16">
          <cell r="AF16"/>
          <cell r="AG16"/>
        </row>
        <row r="17">
          <cell r="AF17"/>
          <cell r="AG17"/>
        </row>
        <row r="18">
          <cell r="AF18"/>
          <cell r="AG18"/>
        </row>
        <row r="19">
          <cell r="AF19"/>
          <cell r="AG19"/>
        </row>
        <row r="20">
          <cell r="AF20">
            <v>0</v>
          </cell>
          <cell r="AG20">
            <v>0</v>
          </cell>
        </row>
        <row r="21">
          <cell r="AF21"/>
          <cell r="AG21"/>
        </row>
        <row r="22">
          <cell r="AF22"/>
          <cell r="AG22"/>
        </row>
        <row r="24">
          <cell r="AF24"/>
          <cell r="AG24"/>
        </row>
        <row r="25">
          <cell r="AF25"/>
          <cell r="AG25"/>
        </row>
        <row r="26">
          <cell r="AF26"/>
          <cell r="AG26"/>
        </row>
        <row r="27">
          <cell r="AF27"/>
          <cell r="AG27"/>
        </row>
        <row r="28">
          <cell r="AF28"/>
          <cell r="AG28"/>
        </row>
        <row r="29">
          <cell r="AF29"/>
          <cell r="AG29"/>
        </row>
        <row r="30">
          <cell r="AF30"/>
          <cell r="AG30"/>
        </row>
        <row r="31">
          <cell r="AF31"/>
          <cell r="AG31"/>
        </row>
        <row r="32">
          <cell r="AF32">
            <v>0</v>
          </cell>
          <cell r="AG32">
            <v>0</v>
          </cell>
        </row>
        <row r="33">
          <cell r="AF33"/>
          <cell r="AG33"/>
        </row>
        <row r="34">
          <cell r="AF34"/>
          <cell r="AG34"/>
        </row>
        <row r="36">
          <cell r="AF36"/>
          <cell r="AG36"/>
        </row>
        <row r="37">
          <cell r="AF37"/>
          <cell r="AG37"/>
        </row>
        <row r="38">
          <cell r="AF38"/>
          <cell r="AG38"/>
        </row>
        <row r="39">
          <cell r="AF39"/>
          <cell r="AG39"/>
        </row>
        <row r="40">
          <cell r="AF40"/>
          <cell r="AG40"/>
        </row>
        <row r="41">
          <cell r="AF41"/>
          <cell r="AG41"/>
        </row>
        <row r="42">
          <cell r="AF42"/>
          <cell r="AG42"/>
        </row>
        <row r="43">
          <cell r="AF43"/>
          <cell r="AG43"/>
        </row>
        <row r="44">
          <cell r="AF44"/>
          <cell r="AG44">
            <v>0</v>
          </cell>
        </row>
        <row r="45">
          <cell r="AF45"/>
          <cell r="AG45"/>
        </row>
        <row r="46">
          <cell r="AF46"/>
          <cell r="AG46"/>
        </row>
        <row r="48">
          <cell r="AF48"/>
          <cell r="AG48"/>
        </row>
        <row r="49">
          <cell r="AF49"/>
          <cell r="AG49"/>
        </row>
        <row r="50">
          <cell r="AF50"/>
          <cell r="AG50"/>
        </row>
        <row r="51">
          <cell r="AF51"/>
          <cell r="AG51"/>
        </row>
        <row r="52">
          <cell r="AF52"/>
          <cell r="AG52"/>
        </row>
        <row r="53">
          <cell r="AF53"/>
          <cell r="AG53"/>
        </row>
        <row r="54">
          <cell r="AF54"/>
          <cell r="AG54"/>
        </row>
        <row r="55">
          <cell r="AF55"/>
          <cell r="AG55"/>
        </row>
        <row r="56">
          <cell r="AF56">
            <v>0</v>
          </cell>
          <cell r="AG56">
            <v>0</v>
          </cell>
        </row>
        <row r="57">
          <cell r="AF57"/>
          <cell r="AG57"/>
        </row>
        <row r="58">
          <cell r="AF58"/>
          <cell r="AG58"/>
        </row>
        <row r="62">
          <cell r="AF62"/>
          <cell r="AG62"/>
        </row>
        <row r="63">
          <cell r="AF63"/>
          <cell r="AG63"/>
        </row>
        <row r="64">
          <cell r="AF64"/>
          <cell r="AG64"/>
        </row>
        <row r="65">
          <cell r="AF65"/>
          <cell r="AG65"/>
        </row>
        <row r="66">
          <cell r="AF66"/>
          <cell r="AG66"/>
        </row>
        <row r="67">
          <cell r="AF67"/>
          <cell r="AG67"/>
        </row>
        <row r="68">
          <cell r="AF68"/>
          <cell r="AG68"/>
        </row>
        <row r="69">
          <cell r="AF69"/>
          <cell r="AG69"/>
        </row>
        <row r="70">
          <cell r="AF70"/>
          <cell r="AG70">
            <v>0</v>
          </cell>
        </row>
        <row r="71">
          <cell r="AF71"/>
          <cell r="AG71"/>
        </row>
        <row r="72">
          <cell r="AF72"/>
          <cell r="AG72"/>
        </row>
        <row r="74">
          <cell r="AF74"/>
          <cell r="AG74"/>
        </row>
        <row r="75">
          <cell r="AF75"/>
          <cell r="AG75"/>
        </row>
        <row r="76">
          <cell r="AF76"/>
          <cell r="AG76"/>
        </row>
        <row r="77">
          <cell r="AF77"/>
          <cell r="AG77"/>
        </row>
        <row r="78">
          <cell r="AF78"/>
          <cell r="AG78"/>
        </row>
        <row r="79">
          <cell r="AF79"/>
          <cell r="AG79"/>
        </row>
        <row r="80">
          <cell r="AF80"/>
          <cell r="AG80"/>
        </row>
        <row r="81">
          <cell r="AF81"/>
          <cell r="AG81"/>
        </row>
        <row r="82">
          <cell r="AF82"/>
          <cell r="AG82">
            <v>0</v>
          </cell>
        </row>
        <row r="83">
          <cell r="AF83"/>
          <cell r="AG83"/>
        </row>
        <row r="84">
          <cell r="AF84"/>
          <cell r="AG84"/>
        </row>
        <row r="86">
          <cell r="AF86"/>
          <cell r="AG86"/>
        </row>
        <row r="87">
          <cell r="AF87"/>
          <cell r="AG87"/>
        </row>
        <row r="88">
          <cell r="AF88"/>
          <cell r="AG88"/>
        </row>
        <row r="89">
          <cell r="AF89"/>
          <cell r="AG89"/>
        </row>
        <row r="90">
          <cell r="AF90"/>
          <cell r="AG90"/>
        </row>
        <row r="91">
          <cell r="AF91"/>
          <cell r="AG91"/>
        </row>
        <row r="92">
          <cell r="AF92"/>
          <cell r="AG92"/>
        </row>
        <row r="93">
          <cell r="AF93"/>
          <cell r="AG93"/>
        </row>
        <row r="94">
          <cell r="AF94"/>
          <cell r="AG94">
            <v>0</v>
          </cell>
        </row>
        <row r="95">
          <cell r="AF95"/>
          <cell r="AG95"/>
        </row>
        <row r="96">
          <cell r="AF96"/>
          <cell r="AG96"/>
        </row>
        <row r="98">
          <cell r="AF98"/>
          <cell r="AG98"/>
        </row>
        <row r="99">
          <cell r="AF99"/>
          <cell r="AG99"/>
        </row>
        <row r="100">
          <cell r="AF100">
            <v>12.9566504863111</v>
          </cell>
          <cell r="AG100">
            <v>14.7300291669755</v>
          </cell>
        </row>
        <row r="101">
          <cell r="AF101"/>
          <cell r="AG101"/>
        </row>
        <row r="102">
          <cell r="AF102"/>
          <cell r="AG102"/>
        </row>
        <row r="103">
          <cell r="AF103"/>
          <cell r="AG103"/>
        </row>
        <row r="104">
          <cell r="AF104"/>
          <cell r="AG104"/>
        </row>
        <row r="105">
          <cell r="AF105"/>
          <cell r="AG105"/>
        </row>
        <row r="106">
          <cell r="AF106">
            <v>12.9566504863111</v>
          </cell>
          <cell r="AG106">
            <v>14.7300291669755</v>
          </cell>
        </row>
        <row r="107">
          <cell r="AF107"/>
          <cell r="AG107"/>
        </row>
        <row r="108">
          <cell r="AF108">
            <v>13</v>
          </cell>
          <cell r="AG108">
            <v>15</v>
          </cell>
        </row>
      </sheetData>
      <sheetData sheetId="6">
        <row r="12">
          <cell r="AF12"/>
          <cell r="AG12"/>
        </row>
        <row r="13">
          <cell r="AF13"/>
          <cell r="AG13"/>
        </row>
        <row r="14">
          <cell r="AF14"/>
          <cell r="AG14"/>
        </row>
        <row r="15">
          <cell r="AF15"/>
          <cell r="AG15"/>
        </row>
        <row r="16">
          <cell r="AF16"/>
          <cell r="AG16"/>
        </row>
        <row r="17">
          <cell r="AF17"/>
          <cell r="AG17"/>
        </row>
        <row r="18">
          <cell r="AF18"/>
          <cell r="AG18"/>
        </row>
        <row r="19">
          <cell r="AF19"/>
          <cell r="AG19"/>
        </row>
        <row r="20">
          <cell r="AF20"/>
          <cell r="AG20">
            <v>0</v>
          </cell>
        </row>
        <row r="21">
          <cell r="AF21"/>
          <cell r="AG21"/>
        </row>
        <row r="22">
          <cell r="AF22"/>
          <cell r="AG22"/>
        </row>
        <row r="24">
          <cell r="AF24"/>
          <cell r="AG24"/>
        </row>
        <row r="25">
          <cell r="AF25"/>
          <cell r="AG25"/>
        </row>
        <row r="26">
          <cell r="AF26"/>
          <cell r="AG26"/>
        </row>
        <row r="27">
          <cell r="AF27"/>
          <cell r="AG27"/>
        </row>
        <row r="28">
          <cell r="AF28"/>
          <cell r="AG28"/>
        </row>
        <row r="29">
          <cell r="AF29"/>
          <cell r="AG29"/>
        </row>
        <row r="30">
          <cell r="AF30"/>
          <cell r="AG30"/>
        </row>
        <row r="31">
          <cell r="AF31"/>
          <cell r="AG31"/>
        </row>
        <row r="32">
          <cell r="AF32"/>
          <cell r="AG32">
            <v>0</v>
          </cell>
        </row>
        <row r="33">
          <cell r="AF33"/>
          <cell r="AG33"/>
        </row>
        <row r="34">
          <cell r="AF34"/>
          <cell r="AG34"/>
        </row>
        <row r="36">
          <cell r="AF36"/>
          <cell r="AG36"/>
        </row>
        <row r="37">
          <cell r="AF37"/>
          <cell r="AG37"/>
        </row>
        <row r="38">
          <cell r="AF38"/>
          <cell r="AG38"/>
        </row>
        <row r="39">
          <cell r="AF39"/>
          <cell r="AG39"/>
        </row>
        <row r="40">
          <cell r="AF40"/>
          <cell r="AG40"/>
        </row>
        <row r="41">
          <cell r="AF41"/>
          <cell r="AG41"/>
        </row>
        <row r="42">
          <cell r="AF42"/>
          <cell r="AG42"/>
        </row>
        <row r="43">
          <cell r="AF43"/>
          <cell r="AG43"/>
        </row>
        <row r="44">
          <cell r="AF44"/>
          <cell r="AG44">
            <v>0</v>
          </cell>
        </row>
        <row r="45">
          <cell r="AF45"/>
          <cell r="AG45"/>
        </row>
        <row r="46">
          <cell r="AF46"/>
          <cell r="AG46"/>
        </row>
        <row r="48">
          <cell r="AF48"/>
          <cell r="AG48"/>
        </row>
        <row r="49">
          <cell r="AF49"/>
          <cell r="AG49"/>
        </row>
        <row r="50">
          <cell r="AF50">
            <v>-0.57018520376037096</v>
          </cell>
          <cell r="AG50">
            <v>-1.1624508830435101</v>
          </cell>
        </row>
        <row r="51">
          <cell r="AF51"/>
          <cell r="AG51"/>
        </row>
        <row r="52">
          <cell r="AF52"/>
          <cell r="AG52"/>
        </row>
        <row r="53">
          <cell r="AF53"/>
          <cell r="AG53"/>
        </row>
        <row r="54">
          <cell r="AF54"/>
          <cell r="AG54"/>
        </row>
        <row r="55">
          <cell r="AF55"/>
          <cell r="AG55"/>
        </row>
        <row r="56">
          <cell r="AF56">
            <v>-0.57018520376037096</v>
          </cell>
          <cell r="AG56">
            <v>-1.1624508830435101</v>
          </cell>
        </row>
        <row r="57">
          <cell r="AF57"/>
          <cell r="AG57"/>
        </row>
        <row r="58">
          <cell r="AF58">
            <v>-0.57018520376037096</v>
          </cell>
          <cell r="AG58">
            <v>-1</v>
          </cell>
        </row>
        <row r="60">
          <cell r="AF60"/>
          <cell r="AG60"/>
        </row>
        <row r="61">
          <cell r="AF61"/>
          <cell r="AG61"/>
        </row>
        <row r="62">
          <cell r="AF62"/>
          <cell r="AG62"/>
        </row>
        <row r="63">
          <cell r="AF63"/>
          <cell r="AG63"/>
        </row>
        <row r="64">
          <cell r="AF64"/>
          <cell r="AG64"/>
        </row>
        <row r="65">
          <cell r="AF65"/>
          <cell r="AG65"/>
        </row>
        <row r="66">
          <cell r="AF66"/>
          <cell r="AG66"/>
        </row>
        <row r="67">
          <cell r="AF67"/>
          <cell r="AG67"/>
        </row>
        <row r="68">
          <cell r="AF68"/>
          <cell r="AG68">
            <v>0</v>
          </cell>
        </row>
        <row r="69">
          <cell r="AF69"/>
          <cell r="AG69"/>
        </row>
        <row r="70">
          <cell r="AF70"/>
          <cell r="AG70"/>
        </row>
        <row r="72">
          <cell r="AF72"/>
          <cell r="AG72"/>
        </row>
        <row r="73">
          <cell r="AF73"/>
          <cell r="AG73"/>
        </row>
        <row r="74">
          <cell r="AF74"/>
          <cell r="AG74"/>
        </row>
        <row r="75">
          <cell r="AF75"/>
          <cell r="AG75"/>
        </row>
        <row r="76">
          <cell r="AF76"/>
          <cell r="AG76"/>
        </row>
        <row r="77">
          <cell r="AF77"/>
          <cell r="AG77"/>
        </row>
        <row r="78">
          <cell r="AF78"/>
          <cell r="AG78"/>
        </row>
        <row r="79">
          <cell r="AF79"/>
          <cell r="AG79"/>
        </row>
        <row r="80">
          <cell r="AF80"/>
          <cell r="AG80">
            <v>0</v>
          </cell>
        </row>
        <row r="81">
          <cell r="AF81"/>
          <cell r="AG81"/>
        </row>
        <row r="82">
          <cell r="AF82"/>
          <cell r="AG82"/>
        </row>
        <row r="84">
          <cell r="AF84"/>
          <cell r="AG84"/>
        </row>
        <row r="85">
          <cell r="AF85"/>
          <cell r="AG85"/>
        </row>
        <row r="86">
          <cell r="AF86"/>
          <cell r="AG86"/>
        </row>
        <row r="87">
          <cell r="AF87"/>
          <cell r="AG87"/>
        </row>
        <row r="88">
          <cell r="AF88"/>
          <cell r="AG88"/>
        </row>
        <row r="89">
          <cell r="AF89"/>
          <cell r="AG89"/>
        </row>
        <row r="90">
          <cell r="AF90"/>
          <cell r="AG90"/>
        </row>
        <row r="91">
          <cell r="AF91"/>
          <cell r="AG91"/>
        </row>
        <row r="92">
          <cell r="AF92"/>
          <cell r="AG92">
            <v>0</v>
          </cell>
        </row>
        <row r="93">
          <cell r="AF93"/>
          <cell r="AG93"/>
        </row>
        <row r="94">
          <cell r="AF94"/>
          <cell r="AG94"/>
        </row>
        <row r="96">
          <cell r="AF96"/>
          <cell r="AG96"/>
        </row>
        <row r="97">
          <cell r="AF97"/>
          <cell r="AG97"/>
        </row>
        <row r="98">
          <cell r="AF98"/>
          <cell r="AG98"/>
        </row>
        <row r="99">
          <cell r="AF99"/>
          <cell r="AG99"/>
        </row>
        <row r="100">
          <cell r="AF100"/>
          <cell r="AG100"/>
        </row>
        <row r="101">
          <cell r="AF101"/>
          <cell r="AG101"/>
        </row>
        <row r="102">
          <cell r="AF102"/>
          <cell r="AG102"/>
        </row>
        <row r="103">
          <cell r="AF103"/>
          <cell r="AG103"/>
        </row>
        <row r="104">
          <cell r="AF104"/>
          <cell r="AG104">
            <v>0</v>
          </cell>
        </row>
        <row r="105">
          <cell r="AF105"/>
          <cell r="AG105"/>
        </row>
        <row r="106">
          <cell r="AF106"/>
          <cell r="AG106"/>
        </row>
        <row r="108">
          <cell r="AF108"/>
          <cell r="AG108"/>
        </row>
        <row r="109">
          <cell r="AF109"/>
          <cell r="AG109"/>
        </row>
        <row r="110">
          <cell r="AF110"/>
          <cell r="AG110"/>
        </row>
        <row r="111">
          <cell r="AF111"/>
          <cell r="AG111"/>
        </row>
        <row r="112">
          <cell r="AF112"/>
          <cell r="AG112"/>
        </row>
        <row r="113">
          <cell r="AF113"/>
          <cell r="AG113"/>
        </row>
        <row r="114">
          <cell r="AF114"/>
          <cell r="AG114"/>
        </row>
        <row r="115">
          <cell r="AF115"/>
          <cell r="AG115"/>
        </row>
        <row r="116">
          <cell r="AF116"/>
          <cell r="AG116">
            <v>0</v>
          </cell>
        </row>
        <row r="117">
          <cell r="AF117"/>
          <cell r="AG117"/>
        </row>
        <row r="118">
          <cell r="AF118"/>
          <cell r="AG118"/>
        </row>
        <row r="122">
          <cell r="AF122"/>
          <cell r="AG122"/>
        </row>
        <row r="123">
          <cell r="AF123"/>
          <cell r="AG123"/>
        </row>
        <row r="124">
          <cell r="AF124"/>
          <cell r="AG124"/>
        </row>
        <row r="125">
          <cell r="AF125"/>
          <cell r="AG125"/>
        </row>
        <row r="126">
          <cell r="AF126"/>
          <cell r="AG126"/>
        </row>
        <row r="127">
          <cell r="AF127"/>
          <cell r="AG127"/>
        </row>
        <row r="128">
          <cell r="AF128"/>
          <cell r="AG128"/>
        </row>
        <row r="129">
          <cell r="AF129"/>
          <cell r="AG129"/>
        </row>
        <row r="130">
          <cell r="AF130"/>
          <cell r="AG130">
            <v>0</v>
          </cell>
        </row>
        <row r="131">
          <cell r="AF131"/>
          <cell r="AG131"/>
        </row>
        <row r="132">
          <cell r="AF132"/>
          <cell r="AG132"/>
        </row>
        <row r="134">
          <cell r="AF134"/>
          <cell r="AG134"/>
        </row>
        <row r="135">
          <cell r="AF135"/>
          <cell r="AG135"/>
        </row>
        <row r="136">
          <cell r="AF136"/>
          <cell r="AG136"/>
        </row>
        <row r="137">
          <cell r="AF137"/>
          <cell r="AG137"/>
        </row>
        <row r="138">
          <cell r="AF138"/>
          <cell r="AG138"/>
        </row>
        <row r="139">
          <cell r="AF139"/>
          <cell r="AG139"/>
        </row>
        <row r="140">
          <cell r="AF140"/>
          <cell r="AG140"/>
        </row>
        <row r="141">
          <cell r="AF141"/>
          <cell r="AG141"/>
        </row>
        <row r="142">
          <cell r="AF142"/>
          <cell r="AG142">
            <v>0</v>
          </cell>
        </row>
        <row r="143">
          <cell r="AF143"/>
          <cell r="AG143"/>
        </row>
        <row r="144">
          <cell r="AF144"/>
          <cell r="AG144"/>
        </row>
      </sheetData>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2a"/>
      <sheetName val="Tabell 2b"/>
      <sheetName val="Tabell 3a"/>
      <sheetName val="Tabell 3b"/>
      <sheetName val="Tabell 4"/>
      <sheetName val="Tabell 5.1"/>
      <sheetName val="Tabell 5.2"/>
      <sheetName val="Tabell 5.3"/>
      <sheetName val="Tabell 6"/>
      <sheetName val="Tabell 7a"/>
      <sheetName val="Tabell 7b"/>
      <sheetName val="Tabell 8"/>
      <sheetName val="Noter og kommentar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68">
          <cell r="AJ68">
            <v>4257.0320000000002</v>
          </cell>
        </row>
        <row r="71">
          <cell r="AJ71">
            <v>1000</v>
          </cell>
        </row>
        <row r="74">
          <cell r="AJ74">
            <v>1206.6179999999999</v>
          </cell>
        </row>
        <row r="75">
          <cell r="AJ75">
            <v>2806.3910000000001</v>
          </cell>
        </row>
        <row r="79">
          <cell r="AJ79">
            <v>22182.360999999997</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I55"/>
  <sheetViews>
    <sheetView showGridLines="0" topLeftCell="A16" workbookViewId="0">
      <selection activeCell="K45" sqref="K45"/>
    </sheetView>
  </sheetViews>
  <sheetFormatPr baseColWidth="10" defaultColWidth="11.42578125" defaultRowHeight="12.75" x14ac:dyDescent="0.2"/>
  <sheetData>
    <row r="1" spans="2:9" s="51" customFormat="1" x14ac:dyDescent="0.2"/>
    <row r="2" spans="2:9" s="51" customFormat="1" x14ac:dyDescent="0.2"/>
    <row r="3" spans="2:9" s="51" customFormat="1" x14ac:dyDescent="0.2"/>
    <row r="4" spans="2:9" s="51" customFormat="1" x14ac:dyDescent="0.2"/>
    <row r="5" spans="2:9" s="51" customFormat="1" x14ac:dyDescent="0.2">
      <c r="B5" s="52"/>
      <c r="C5" s="52"/>
      <c r="D5" s="52"/>
      <c r="E5" s="52"/>
      <c r="F5" s="52"/>
      <c r="G5" s="52"/>
      <c r="H5" s="52"/>
    </row>
    <row r="6" spans="2:9" s="51" customFormat="1" ht="23.25" x14ac:dyDescent="0.35">
      <c r="B6" s="53"/>
      <c r="C6" s="52"/>
      <c r="D6" s="52"/>
      <c r="E6" s="52"/>
      <c r="F6" s="52"/>
      <c r="G6" s="52"/>
      <c r="H6" s="52"/>
      <c r="I6" s="54"/>
    </row>
    <row r="7" spans="2:9" s="51" customFormat="1" x14ac:dyDescent="0.2">
      <c r="B7" s="52"/>
      <c r="C7" s="52"/>
      <c r="D7" s="52"/>
      <c r="E7" s="52"/>
      <c r="F7" s="52"/>
      <c r="G7" s="52"/>
      <c r="H7" s="52"/>
      <c r="I7" s="52"/>
    </row>
    <row r="8" spans="2:9" s="51" customFormat="1" x14ac:dyDescent="0.2">
      <c r="B8" s="52"/>
      <c r="C8" s="52"/>
      <c r="D8" s="52"/>
      <c r="F8" s="52"/>
      <c r="G8" s="52"/>
      <c r="H8" s="52"/>
    </row>
    <row r="9" spans="2:9" s="51" customFormat="1" x14ac:dyDescent="0.2">
      <c r="B9" s="52"/>
      <c r="C9" s="52"/>
      <c r="D9" s="52"/>
      <c r="E9" s="52"/>
      <c r="F9" s="52"/>
      <c r="G9" s="52"/>
      <c r="H9" s="52"/>
    </row>
    <row r="10" spans="2:9" s="51" customFormat="1" ht="23.25" x14ac:dyDescent="0.35">
      <c r="B10" s="52"/>
      <c r="C10" s="52"/>
      <c r="D10" s="52"/>
      <c r="I10" s="54"/>
    </row>
    <row r="11" spans="2:9" s="51" customFormat="1" x14ac:dyDescent="0.2">
      <c r="B11" s="52"/>
      <c r="C11" s="52"/>
      <c r="D11" s="52"/>
    </row>
    <row r="12" spans="2:9" s="51" customFormat="1" ht="27" customHeight="1" x14ac:dyDescent="0.35">
      <c r="B12" s="52"/>
      <c r="C12" s="52"/>
      <c r="D12" s="52"/>
      <c r="E12" s="52"/>
      <c r="F12" s="52"/>
      <c r="G12" s="52"/>
      <c r="H12" s="52"/>
      <c r="I12" s="54"/>
    </row>
    <row r="13" spans="2:9" s="51" customFormat="1" ht="19.5" customHeight="1" x14ac:dyDescent="0.35">
      <c r="B13" s="52"/>
      <c r="I13" s="54"/>
    </row>
    <row r="14" spans="2:9" s="51" customFormat="1" x14ac:dyDescent="0.2">
      <c r="B14" s="52"/>
      <c r="C14" s="52"/>
      <c r="D14" s="52"/>
      <c r="F14" s="52"/>
      <c r="G14" s="52"/>
      <c r="H14" s="52"/>
    </row>
    <row r="15" spans="2:9" s="51" customFormat="1" x14ac:dyDescent="0.2">
      <c r="B15" s="52"/>
      <c r="C15" s="52"/>
      <c r="D15" s="52"/>
      <c r="F15" s="52"/>
      <c r="G15" s="52"/>
      <c r="H15" s="52"/>
      <c r="I15" s="52"/>
    </row>
    <row r="16" spans="2:9" s="51" customFormat="1" ht="34.5" x14ac:dyDescent="0.45">
      <c r="B16" s="52"/>
      <c r="C16" s="52"/>
      <c r="D16" s="52"/>
      <c r="E16" s="55"/>
      <c r="F16" s="52"/>
      <c r="G16" s="52"/>
      <c r="H16" s="52"/>
      <c r="I16" s="52"/>
    </row>
    <row r="17" spans="2:9" s="51" customFormat="1" ht="33" x14ac:dyDescent="0.45">
      <c r="B17" s="52"/>
      <c r="C17" s="52"/>
      <c r="D17" s="52"/>
      <c r="E17" s="56"/>
      <c r="F17" s="52"/>
      <c r="G17" s="52"/>
      <c r="H17" s="52"/>
      <c r="I17" s="52"/>
    </row>
    <row r="18" spans="2:9" s="51" customFormat="1" ht="33" x14ac:dyDescent="0.45">
      <c r="D18" s="56"/>
    </row>
    <row r="19" spans="2:9" s="51" customFormat="1" ht="18.75" x14ac:dyDescent="0.3">
      <c r="E19" s="57"/>
      <c r="I19" s="58"/>
    </row>
    <row r="20" spans="2:9" s="51" customFormat="1" x14ac:dyDescent="0.2"/>
    <row r="21" spans="2:9" s="51" customFormat="1" x14ac:dyDescent="0.2">
      <c r="E21" s="59"/>
    </row>
    <row r="22" spans="2:9" s="51" customFormat="1" ht="26.25" x14ac:dyDescent="0.4">
      <c r="E22" s="60"/>
    </row>
    <row r="23" spans="2:9" s="51" customFormat="1" x14ac:dyDescent="0.2"/>
    <row r="24" spans="2:9" s="51" customFormat="1" x14ac:dyDescent="0.2"/>
    <row r="25" spans="2:9" s="51" customFormat="1" ht="18.75" x14ac:dyDescent="0.3">
      <c r="E25" s="61"/>
    </row>
    <row r="26" spans="2:9" s="51" customFormat="1" ht="18.75" x14ac:dyDescent="0.3">
      <c r="E26" s="62"/>
    </row>
    <row r="27" spans="2:9" s="51" customFormat="1" x14ac:dyDescent="0.2"/>
    <row r="28" spans="2:9" s="51" customFormat="1" x14ac:dyDescent="0.2"/>
    <row r="29" spans="2:9" s="51" customFormat="1" x14ac:dyDescent="0.2"/>
    <row r="30" spans="2:9" s="51" customFormat="1" x14ac:dyDescent="0.2"/>
    <row r="31" spans="2:9" s="51" customFormat="1" x14ac:dyDescent="0.2"/>
    <row r="32" spans="2:9" s="51" customFormat="1" x14ac:dyDescent="0.2"/>
    <row r="33" spans="1:9" s="51" customFormat="1" ht="35.25" x14ac:dyDescent="0.2">
      <c r="A33" s="63"/>
    </row>
    <row r="34" spans="1:9" s="51" customFormat="1" x14ac:dyDescent="0.2"/>
    <row r="35" spans="1:9" s="51" customFormat="1" x14ac:dyDescent="0.2"/>
    <row r="36" spans="1:9" s="51" customFormat="1" ht="33" x14ac:dyDescent="0.2">
      <c r="B36" s="64"/>
    </row>
    <row r="37" spans="1:9" s="51" customFormat="1" x14ac:dyDescent="0.2"/>
    <row r="38" spans="1:9" s="51" customFormat="1" x14ac:dyDescent="0.2"/>
    <row r="39" spans="1:9" s="51" customFormat="1" ht="18" x14ac:dyDescent="0.25">
      <c r="B39" s="65"/>
    </row>
    <row r="40" spans="1:9" s="51" customFormat="1" x14ac:dyDescent="0.2"/>
    <row r="41" spans="1:9" s="51" customFormat="1" ht="18.75" x14ac:dyDescent="0.3">
      <c r="I41" s="66"/>
    </row>
    <row r="42" spans="1:9" s="51" customFormat="1" x14ac:dyDescent="0.2"/>
    <row r="43" spans="1:9" s="51" customFormat="1" ht="18.75" x14ac:dyDescent="0.3">
      <c r="B43" s="1000"/>
      <c r="C43" s="1000"/>
      <c r="D43" s="1000"/>
    </row>
    <row r="44" spans="1:9" s="51" customFormat="1" x14ac:dyDescent="0.2"/>
    <row r="45" spans="1:9" s="51" customFormat="1" x14ac:dyDescent="0.2"/>
    <row r="46" spans="1:9" s="51" customFormat="1" x14ac:dyDescent="0.2"/>
    <row r="47" spans="1:9" s="51" customFormat="1" x14ac:dyDescent="0.2"/>
    <row r="48" spans="1:9" s="51" customFormat="1" x14ac:dyDescent="0.2"/>
    <row r="49" s="51" customFormat="1" x14ac:dyDescent="0.2"/>
    <row r="50" s="51" customFormat="1" x14ac:dyDescent="0.2"/>
    <row r="51" s="51" customFormat="1" x14ac:dyDescent="0.2"/>
    <row r="52" s="51" customFormat="1" x14ac:dyDescent="0.2"/>
    <row r="53" s="51" customFormat="1" x14ac:dyDescent="0.2"/>
    <row r="54" s="51" customFormat="1" x14ac:dyDescent="0.2"/>
    <row r="55" s="51" customFormat="1" x14ac:dyDescent="0.2"/>
  </sheetData>
  <mergeCells count="1">
    <mergeCell ref="B43:D43"/>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7"/>
  <dimension ref="A1:Q144"/>
  <sheetViews>
    <sheetView showGridLines="0" zoomScale="120" zoomScaleNormal="120" workbookViewId="0"/>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7" x14ac:dyDescent="0.2">
      <c r="A1" s="172" t="s">
        <v>133</v>
      </c>
      <c r="B1" s="988"/>
      <c r="C1" s="248" t="s">
        <v>84</v>
      </c>
      <c r="D1" s="26"/>
      <c r="E1" s="26"/>
      <c r="F1" s="26"/>
      <c r="G1" s="26"/>
      <c r="H1" s="26"/>
      <c r="I1" s="26"/>
      <c r="J1" s="26"/>
      <c r="K1" s="26"/>
      <c r="L1" s="26"/>
      <c r="M1" s="26"/>
    </row>
    <row r="2" spans="1:17" ht="15.75" x14ac:dyDescent="0.25">
      <c r="A2" s="165" t="s">
        <v>28</v>
      </c>
      <c r="B2" s="1027"/>
      <c r="C2" s="1027"/>
      <c r="D2" s="1027"/>
      <c r="E2" s="301"/>
      <c r="F2" s="1027"/>
      <c r="G2" s="1027"/>
      <c r="H2" s="1027"/>
      <c r="I2" s="301"/>
      <c r="J2" s="1027"/>
      <c r="K2" s="1027"/>
      <c r="L2" s="1027"/>
      <c r="M2" s="301"/>
    </row>
    <row r="3" spans="1:17" ht="15.75" x14ac:dyDescent="0.25">
      <c r="A3" s="163"/>
      <c r="B3" s="301"/>
      <c r="C3" s="301"/>
      <c r="D3" s="301"/>
      <c r="E3" s="301"/>
      <c r="F3" s="301"/>
      <c r="G3" s="301"/>
      <c r="H3" s="301"/>
      <c r="I3" s="301"/>
      <c r="J3" s="301"/>
      <c r="K3" s="301"/>
      <c r="L3" s="301"/>
      <c r="M3" s="301"/>
    </row>
    <row r="4" spans="1:17" x14ac:dyDescent="0.2">
      <c r="A4" s="144"/>
      <c r="B4" s="1023" t="s">
        <v>0</v>
      </c>
      <c r="C4" s="1024"/>
      <c r="D4" s="1024"/>
      <c r="E4" s="303"/>
      <c r="F4" s="1023" t="s">
        <v>1</v>
      </c>
      <c r="G4" s="1024"/>
      <c r="H4" s="1024"/>
      <c r="I4" s="306"/>
      <c r="J4" s="1023" t="s">
        <v>2</v>
      </c>
      <c r="K4" s="1024"/>
      <c r="L4" s="1024"/>
      <c r="M4" s="306"/>
    </row>
    <row r="5" spans="1:17" x14ac:dyDescent="0.2">
      <c r="A5" s="158"/>
      <c r="B5" s="152" t="s">
        <v>502</v>
      </c>
      <c r="C5" s="152" t="s">
        <v>503</v>
      </c>
      <c r="D5" s="245" t="s">
        <v>3</v>
      </c>
      <c r="E5" s="307" t="s">
        <v>29</v>
      </c>
      <c r="F5" s="152" t="s">
        <v>502</v>
      </c>
      <c r="G5" s="152" t="s">
        <v>503</v>
      </c>
      <c r="H5" s="245" t="s">
        <v>3</v>
      </c>
      <c r="I5" s="162" t="s">
        <v>29</v>
      </c>
      <c r="J5" s="152" t="s">
        <v>502</v>
      </c>
      <c r="K5" s="152" t="s">
        <v>503</v>
      </c>
      <c r="L5" s="245" t="s">
        <v>3</v>
      </c>
      <c r="M5" s="162" t="s">
        <v>29</v>
      </c>
    </row>
    <row r="6" spans="1:17" x14ac:dyDescent="0.2">
      <c r="A6" s="989"/>
      <c r="B6" s="156"/>
      <c r="C6" s="156"/>
      <c r="D6" s="246" t="s">
        <v>4</v>
      </c>
      <c r="E6" s="156" t="s">
        <v>30</v>
      </c>
      <c r="F6" s="161"/>
      <c r="G6" s="161"/>
      <c r="H6" s="245" t="s">
        <v>4</v>
      </c>
      <c r="I6" s="156" t="s">
        <v>30</v>
      </c>
      <c r="J6" s="161"/>
      <c r="K6" s="161"/>
      <c r="L6" s="245" t="s">
        <v>4</v>
      </c>
      <c r="M6" s="156" t="s">
        <v>30</v>
      </c>
    </row>
    <row r="7" spans="1:17" ht="15.75" x14ac:dyDescent="0.2">
      <c r="A7" s="14" t="s">
        <v>23</v>
      </c>
      <c r="B7" s="308">
        <v>669833</v>
      </c>
      <c r="C7" s="309">
        <v>303146</v>
      </c>
      <c r="D7" s="351">
        <f>IF(B7=0, "    ---- ", IF(ABS(ROUND(100/B7*C7-100,1))&lt;999,ROUND(100/B7*C7-100,1),IF(ROUND(100/B7*C7-100,1)&gt;999,999,-999)))</f>
        <v>-54.7</v>
      </c>
      <c r="E7" s="11">
        <f>IFERROR(100/'Skjema total MA'!C7*C7,0)</f>
        <v>6.3762651290279644</v>
      </c>
      <c r="F7" s="308">
        <v>587609</v>
      </c>
      <c r="G7" s="309">
        <v>573652</v>
      </c>
      <c r="H7" s="351">
        <f>IF(F7=0, "    ---- ", IF(ABS(ROUND(100/F7*G7-100,1))&lt;999,ROUND(100/F7*G7-100,1),IF(ROUND(100/F7*G7-100,1)&gt;999,999,-999)))</f>
        <v>-2.4</v>
      </c>
      <c r="I7" s="160">
        <f>IFERROR(100/'Skjema total MA'!F7*G7,0)</f>
        <v>5.5691123471693729</v>
      </c>
      <c r="J7" s="310">
        <f t="shared" ref="J7:K12" si="0">SUM(B7,F7)</f>
        <v>1257442</v>
      </c>
      <c r="K7" s="311">
        <f t="shared" si="0"/>
        <v>876798</v>
      </c>
      <c r="L7" s="428">
        <f>IF(J7=0, "    ---- ", IF(ABS(ROUND(100/J7*K7-100,1))&lt;999,ROUND(100/J7*K7-100,1),IF(ROUND(100/J7*K7-100,1)&gt;999,999,-999)))</f>
        <v>-30.3</v>
      </c>
      <c r="M7" s="11">
        <f>IFERROR(100/'Skjema total MA'!I7*K7,0)</f>
        <v>5.8240087405952501</v>
      </c>
    </row>
    <row r="8" spans="1:17" ht="15.75" x14ac:dyDescent="0.2">
      <c r="A8" s="21" t="s">
        <v>25</v>
      </c>
      <c r="B8" s="283">
        <v>146821</v>
      </c>
      <c r="C8" s="284">
        <v>37483.847000000002</v>
      </c>
      <c r="D8" s="166">
        <f t="shared" ref="D8:D12" si="1">IF(B8=0, "    ---- ", IF(ABS(ROUND(100/B8*C8-100,1))&lt;999,ROUND(100/B8*C8-100,1),IF(ROUND(100/B8*C8-100,1)&gt;999,999,-999)))</f>
        <v>-74.5</v>
      </c>
      <c r="E8" s="27">
        <f>IFERROR(100/'Skjema total MA'!C8*C8,0)</f>
        <v>1.2080693891935514</v>
      </c>
      <c r="F8" s="287"/>
      <c r="G8" s="288"/>
      <c r="H8" s="166"/>
      <c r="I8" s="175"/>
      <c r="J8" s="234">
        <f t="shared" si="0"/>
        <v>146821</v>
      </c>
      <c r="K8" s="289">
        <f t="shared" si="0"/>
        <v>37483.847000000002</v>
      </c>
      <c r="L8" s="166">
        <f t="shared" ref="L8:L9" si="2">IF(J8=0, "    ---- ", IF(ABS(ROUND(100/J8*K8-100,1))&lt;999,ROUND(100/J8*K8-100,1),IF(ROUND(100/J8*K8-100,1)&gt;999,999,-999)))</f>
        <v>-74.5</v>
      </c>
      <c r="M8" s="27">
        <f>IFERROR(100/'Skjema total MA'!I8*K8,0)</f>
        <v>1.2080693891935514</v>
      </c>
    </row>
    <row r="9" spans="1:17" ht="15.75" x14ac:dyDescent="0.2">
      <c r="A9" s="21" t="s">
        <v>24</v>
      </c>
      <c r="B9" s="283">
        <v>52265</v>
      </c>
      <c r="C9" s="284">
        <v>26769.696</v>
      </c>
      <c r="D9" s="166">
        <f t="shared" si="1"/>
        <v>-48.8</v>
      </c>
      <c r="E9" s="27">
        <f>IFERROR(100/'Skjema total MA'!C9*C9,0)</f>
        <v>2.8231277912186341</v>
      </c>
      <c r="F9" s="287"/>
      <c r="G9" s="288"/>
      <c r="H9" s="166"/>
      <c r="I9" s="175"/>
      <c r="J9" s="234">
        <f t="shared" si="0"/>
        <v>52265</v>
      </c>
      <c r="K9" s="289">
        <f t="shared" si="0"/>
        <v>26769.696</v>
      </c>
      <c r="L9" s="166">
        <f t="shared" si="2"/>
        <v>-48.8</v>
      </c>
      <c r="M9" s="27">
        <f>IFERROR(100/'Skjema total MA'!I9*K9,0)</f>
        <v>2.8231277912186341</v>
      </c>
    </row>
    <row r="10" spans="1:17" ht="15.75" x14ac:dyDescent="0.2">
      <c r="A10" s="13" t="s">
        <v>444</v>
      </c>
      <c r="B10" s="312">
        <v>12967905</v>
      </c>
      <c r="C10" s="313">
        <v>11407762</v>
      </c>
      <c r="D10" s="171">
        <f t="shared" si="1"/>
        <v>-12</v>
      </c>
      <c r="E10" s="11">
        <f>IFERROR(100/'Skjema total MA'!C10*C10,0)</f>
        <v>57.823894097752401</v>
      </c>
      <c r="F10" s="312">
        <v>6300943</v>
      </c>
      <c r="G10" s="313">
        <v>6816144</v>
      </c>
      <c r="H10" s="171">
        <f t="shared" ref="H10:H12" si="3">IF(F10=0, "    ---- ", IF(ABS(ROUND(100/F10*G10-100,1))&lt;999,ROUND(100/F10*G10-100,1),IF(ROUND(100/F10*G10-100,1)&gt;999,999,-999)))</f>
        <v>8.1999999999999993</v>
      </c>
      <c r="I10" s="160">
        <f>IFERROR(100/'Skjema total MA'!F10*G10,0)</f>
        <v>11.230825989470333</v>
      </c>
      <c r="J10" s="310">
        <f t="shared" si="0"/>
        <v>19268848</v>
      </c>
      <c r="K10" s="311">
        <f t="shared" si="0"/>
        <v>18223906</v>
      </c>
      <c r="L10" s="429">
        <f t="shared" ref="L10:L12" si="4">IF(J10=0, "    ---- ", IF(ABS(ROUND(100/J10*K10-100,1))&lt;999,ROUND(100/J10*K10-100,1),IF(ROUND(100/J10*K10-100,1)&gt;999,999,-999)))</f>
        <v>-5.4</v>
      </c>
      <c r="M10" s="11">
        <f>IFERROR(100/'Skjema total MA'!I10*K10,0)</f>
        <v>22.660956868713992</v>
      </c>
      <c r="Q10" s="149"/>
    </row>
    <row r="11" spans="1:17" s="43" customFormat="1" ht="15.75" x14ac:dyDescent="0.2">
      <c r="A11" s="13" t="s">
        <v>445</v>
      </c>
      <c r="B11" s="312">
        <v>65203</v>
      </c>
      <c r="C11" s="313">
        <v>40437.802000000003</v>
      </c>
      <c r="D11" s="171">
        <f t="shared" si="1"/>
        <v>-38</v>
      </c>
      <c r="E11" s="11">
        <f>IFERROR(100/'Skjema total MA'!C11*C11,0)</f>
        <v>100</v>
      </c>
      <c r="F11" s="312">
        <v>37464</v>
      </c>
      <c r="G11" s="313">
        <v>50397</v>
      </c>
      <c r="H11" s="171">
        <f t="shared" si="3"/>
        <v>34.5</v>
      </c>
      <c r="I11" s="160">
        <f>IFERROR(100/'Skjema total MA'!F11*G11,0)</f>
        <v>14.718214863073699</v>
      </c>
      <c r="J11" s="310">
        <f t="shared" si="0"/>
        <v>102667</v>
      </c>
      <c r="K11" s="311">
        <f t="shared" si="0"/>
        <v>90834.801999999996</v>
      </c>
      <c r="L11" s="429">
        <f t="shared" si="4"/>
        <v>-11.5</v>
      </c>
      <c r="M11" s="11">
        <f>IFERROR(100/'Skjema total MA'!I11*K11,0)</f>
        <v>23.725935062352246</v>
      </c>
      <c r="N11" s="143"/>
    </row>
    <row r="12" spans="1:17" s="43" customFormat="1" ht="15.75" x14ac:dyDescent="0.2">
      <c r="A12" s="41" t="s">
        <v>446</v>
      </c>
      <c r="B12" s="314">
        <v>18101</v>
      </c>
      <c r="C12" s="315">
        <v>2832</v>
      </c>
      <c r="D12" s="169">
        <f t="shared" si="1"/>
        <v>-84.4</v>
      </c>
      <c r="E12" s="36">
        <f>IFERROR(100/'Skjema total MA'!C12*C12,0)</f>
        <v>100</v>
      </c>
      <c r="F12" s="314">
        <v>150111</v>
      </c>
      <c r="G12" s="315">
        <v>111139</v>
      </c>
      <c r="H12" s="169">
        <f t="shared" si="3"/>
        <v>-26</v>
      </c>
      <c r="I12" s="169">
        <f>IFERROR(100/'Skjema total MA'!F12*G12,0)</f>
        <v>45.172859322156278</v>
      </c>
      <c r="J12" s="316">
        <f t="shared" si="0"/>
        <v>168212</v>
      </c>
      <c r="K12" s="317">
        <f t="shared" si="0"/>
        <v>113971</v>
      </c>
      <c r="L12" s="430">
        <f t="shared" si="4"/>
        <v>-32.200000000000003</v>
      </c>
      <c r="M12" s="36">
        <f>IFERROR(100/'Skjema total MA'!I12*K12,0)</f>
        <v>45.796780075571554</v>
      </c>
      <c r="N12" s="143"/>
      <c r="Q12" s="143"/>
    </row>
    <row r="13" spans="1:17" s="43" customFormat="1" x14ac:dyDescent="0.2">
      <c r="A13" s="168"/>
      <c r="B13" s="145"/>
      <c r="C13" s="33"/>
      <c r="D13" s="159"/>
      <c r="E13" s="159"/>
      <c r="F13" s="145"/>
      <c r="G13" s="33"/>
      <c r="H13" s="159"/>
      <c r="I13" s="159"/>
      <c r="J13" s="48"/>
      <c r="K13" s="48"/>
      <c r="L13" s="159"/>
      <c r="M13" s="159"/>
      <c r="N13" s="143"/>
    </row>
    <row r="14" spans="1:17" x14ac:dyDescent="0.2">
      <c r="A14" s="153" t="s">
        <v>271</v>
      </c>
      <c r="B14" s="26"/>
    </row>
    <row r="15" spans="1:17" x14ac:dyDescent="0.2">
      <c r="F15" s="146"/>
      <c r="G15" s="146"/>
      <c r="H15" s="146"/>
      <c r="I15" s="146"/>
      <c r="J15" s="146"/>
      <c r="K15" s="146"/>
      <c r="L15" s="146"/>
      <c r="M15" s="146"/>
    </row>
    <row r="16" spans="1:17"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1022"/>
      <c r="C18" s="1022"/>
      <c r="D18" s="1022"/>
      <c r="E18" s="301"/>
      <c r="F18" s="1022"/>
      <c r="G18" s="1022"/>
      <c r="H18" s="1022"/>
      <c r="I18" s="301"/>
      <c r="J18" s="1022"/>
      <c r="K18" s="1022"/>
      <c r="L18" s="1022"/>
      <c r="M18" s="301"/>
    </row>
    <row r="19" spans="1:14" x14ac:dyDescent="0.2">
      <c r="A19" s="144"/>
      <c r="B19" s="1023" t="s">
        <v>0</v>
      </c>
      <c r="C19" s="1024"/>
      <c r="D19" s="1024"/>
      <c r="E19" s="303"/>
      <c r="F19" s="1023" t="s">
        <v>1</v>
      </c>
      <c r="G19" s="1024"/>
      <c r="H19" s="1024"/>
      <c r="I19" s="306"/>
      <c r="J19" s="1023" t="s">
        <v>2</v>
      </c>
      <c r="K19" s="1024"/>
      <c r="L19" s="1024"/>
      <c r="M19" s="306"/>
    </row>
    <row r="20" spans="1:14" x14ac:dyDescent="0.2">
      <c r="A20" s="140" t="s">
        <v>5</v>
      </c>
      <c r="B20" s="152" t="s">
        <v>502</v>
      </c>
      <c r="C20" s="152" t="s">
        <v>503</v>
      </c>
      <c r="D20" s="162" t="s">
        <v>3</v>
      </c>
      <c r="E20" s="307" t="s">
        <v>29</v>
      </c>
      <c r="F20" s="152" t="s">
        <v>502</v>
      </c>
      <c r="G20" s="152" t="s">
        <v>503</v>
      </c>
      <c r="H20" s="162" t="s">
        <v>3</v>
      </c>
      <c r="I20" s="162" t="s">
        <v>29</v>
      </c>
      <c r="J20" s="152" t="s">
        <v>502</v>
      </c>
      <c r="K20" s="152" t="s">
        <v>503</v>
      </c>
      <c r="L20" s="162" t="s">
        <v>3</v>
      </c>
      <c r="M20" s="162" t="s">
        <v>29</v>
      </c>
    </row>
    <row r="21" spans="1:14" x14ac:dyDescent="0.2">
      <c r="A21" s="990"/>
      <c r="B21" s="156"/>
      <c r="C21" s="156"/>
      <c r="D21" s="246" t="s">
        <v>4</v>
      </c>
      <c r="E21" s="156" t="s">
        <v>30</v>
      </c>
      <c r="F21" s="161"/>
      <c r="G21" s="161"/>
      <c r="H21" s="245" t="s">
        <v>4</v>
      </c>
      <c r="I21" s="156" t="s">
        <v>30</v>
      </c>
      <c r="J21" s="161"/>
      <c r="K21" s="161"/>
      <c r="L21" s="156" t="s">
        <v>4</v>
      </c>
      <c r="M21" s="156" t="s">
        <v>30</v>
      </c>
    </row>
    <row r="22" spans="1:14" ht="15.75" x14ac:dyDescent="0.2">
      <c r="A22" s="14" t="s">
        <v>23</v>
      </c>
      <c r="B22" s="312">
        <v>387384</v>
      </c>
      <c r="C22" s="312">
        <v>359517</v>
      </c>
      <c r="D22" s="351">
        <f t="shared" ref="D22:D39" si="5">IF(B22=0, "    ---- ", IF(ABS(ROUND(100/B22*C22-100,1))&lt;999,ROUND(100/B22*C22-100,1),IF(ROUND(100/B22*C22-100,1)&gt;999,999,-999)))</f>
        <v>-7.2</v>
      </c>
      <c r="E22" s="11">
        <f>IFERROR(100/'Skjema total MA'!C22*C22,0)</f>
        <v>20.264337974278693</v>
      </c>
      <c r="F22" s="320">
        <v>64579</v>
      </c>
      <c r="G22" s="320">
        <v>153751</v>
      </c>
      <c r="H22" s="351">
        <f t="shared" ref="H22:H35" si="6">IF(F22=0, "    ---- ", IF(ABS(ROUND(100/F22*G22-100,1))&lt;999,ROUND(100/F22*G22-100,1),IF(ROUND(100/F22*G22-100,1)&gt;999,999,-999)))</f>
        <v>138.1</v>
      </c>
      <c r="I22" s="11">
        <f>IFERROR(100/'Skjema total MA'!F22*G22,0)</f>
        <v>10.334072538125316</v>
      </c>
      <c r="J22" s="318">
        <f t="shared" ref="J22:K35" si="7">SUM(B22,F22)</f>
        <v>451963</v>
      </c>
      <c r="K22" s="318">
        <f t="shared" si="7"/>
        <v>513268</v>
      </c>
      <c r="L22" s="428">
        <f t="shared" ref="L22:L35" si="8">IF(J22=0, "    ---- ", IF(ABS(ROUND(100/J22*K22-100,1))&lt;999,ROUND(100/J22*K22-100,1),IF(ROUND(100/J22*K22-100,1)&gt;999,999,-999)))</f>
        <v>13.6</v>
      </c>
      <c r="M22" s="24">
        <f>IFERROR(100/'Skjema total MA'!I22*K22,0)</f>
        <v>15.735039431171938</v>
      </c>
    </row>
    <row r="23" spans="1:14" ht="15.75" x14ac:dyDescent="0.2">
      <c r="A23" s="811" t="s">
        <v>447</v>
      </c>
      <c r="B23" s="283">
        <v>324198</v>
      </c>
      <c r="C23" s="283">
        <v>290578.51655274897</v>
      </c>
      <c r="D23" s="166">
        <f t="shared" si="5"/>
        <v>-10.4</v>
      </c>
      <c r="E23" s="11">
        <f>IFERROR(100/'Skjema total MA'!C23*C23,0)</f>
        <v>27.084042392396469</v>
      </c>
      <c r="F23" s="292">
        <v>52699</v>
      </c>
      <c r="G23" s="292">
        <v>143048</v>
      </c>
      <c r="H23" s="166">
        <f t="shared" si="6"/>
        <v>171.4</v>
      </c>
      <c r="I23" s="418">
        <f>IFERROR(100/'Skjema total MA'!F23*G23,0)</f>
        <v>79.838323799995365</v>
      </c>
      <c r="J23" s="292">
        <f t="shared" ref="J23:J25" si="9">SUM(B23,F23)</f>
        <v>376897</v>
      </c>
      <c r="K23" s="292">
        <f t="shared" ref="K23:K25" si="10">SUM(C23,G23)</f>
        <v>433626.51655274897</v>
      </c>
      <c r="L23" s="166">
        <f t="shared" si="8"/>
        <v>15.1</v>
      </c>
      <c r="M23" s="23">
        <f>IFERROR(100/'Skjema total MA'!I23*K23,0)</f>
        <v>34.633341994444905</v>
      </c>
    </row>
    <row r="24" spans="1:14" ht="15.75" x14ac:dyDescent="0.2">
      <c r="A24" s="811" t="s">
        <v>448</v>
      </c>
      <c r="B24" s="283">
        <v>22972</v>
      </c>
      <c r="C24" s="283">
        <v>30477.494268946299</v>
      </c>
      <c r="D24" s="166">
        <f t="shared" si="5"/>
        <v>32.700000000000003</v>
      </c>
      <c r="E24" s="11">
        <f>IFERROR(100/'Skjema total MA'!C24*C24,0)</f>
        <v>79.053264057684075</v>
      </c>
      <c r="F24" s="292">
        <v>249</v>
      </c>
      <c r="G24" s="292">
        <v>218</v>
      </c>
      <c r="H24" s="166">
        <f t="shared" si="6"/>
        <v>-12.4</v>
      </c>
      <c r="I24" s="418">
        <f>IFERROR(100/'Skjema total MA'!F24*G24,0)</f>
        <v>4.7094519497782397</v>
      </c>
      <c r="J24" s="292">
        <f t="shared" si="9"/>
        <v>23221</v>
      </c>
      <c r="K24" s="292">
        <f t="shared" si="10"/>
        <v>30695.494268946299</v>
      </c>
      <c r="L24" s="166">
        <f t="shared" si="8"/>
        <v>32.200000000000003</v>
      </c>
      <c r="M24" s="23">
        <f>IFERROR(100/'Skjema total MA'!I24*K24,0)</f>
        <v>71.083835657123331</v>
      </c>
    </row>
    <row r="25" spans="1:14" ht="15.75" x14ac:dyDescent="0.2">
      <c r="A25" s="811" t="s">
        <v>449</v>
      </c>
      <c r="B25" s="283">
        <v>40214</v>
      </c>
      <c r="C25" s="283">
        <v>38460.989178304699</v>
      </c>
      <c r="D25" s="166">
        <f t="shared" si="5"/>
        <v>-4.4000000000000004</v>
      </c>
      <c r="E25" s="11">
        <f>IFERROR(100/'Skjema total MA'!C25*C25,0)</f>
        <v>99.278532600056778</v>
      </c>
      <c r="F25" s="292">
        <v>11631</v>
      </c>
      <c r="G25" s="292">
        <v>10485</v>
      </c>
      <c r="H25" s="166">
        <f t="shared" si="6"/>
        <v>-9.9</v>
      </c>
      <c r="I25" s="418">
        <f>IFERROR(100/'Skjema total MA'!F25*G25,0)</f>
        <v>41.127084047272476</v>
      </c>
      <c r="J25" s="292">
        <f t="shared" si="9"/>
        <v>51845</v>
      </c>
      <c r="K25" s="292">
        <f t="shared" si="10"/>
        <v>48945.989178304699</v>
      </c>
      <c r="L25" s="166">
        <f t="shared" si="8"/>
        <v>-5.6</v>
      </c>
      <c r="M25" s="23">
        <f>IFERROR(100/'Skjema total MA'!I25*K25,0)</f>
        <v>76.198746854393605</v>
      </c>
    </row>
    <row r="26" spans="1:14" ht="15.75" x14ac:dyDescent="0.2">
      <c r="A26" s="811" t="s">
        <v>450</v>
      </c>
      <c r="B26" s="283"/>
      <c r="C26" s="283"/>
      <c r="D26" s="166"/>
      <c r="E26" s="11"/>
      <c r="F26" s="292"/>
      <c r="G26" s="292"/>
      <c r="H26" s="166"/>
      <c r="I26" s="418"/>
      <c r="J26" s="292"/>
      <c r="K26" s="292"/>
      <c r="L26" s="166"/>
      <c r="M26" s="23"/>
    </row>
    <row r="27" spans="1:14" x14ac:dyDescent="0.2">
      <c r="A27" s="811" t="s">
        <v>11</v>
      </c>
      <c r="B27" s="283"/>
      <c r="C27" s="283"/>
      <c r="D27" s="166"/>
      <c r="E27" s="11"/>
      <c r="F27" s="292"/>
      <c r="G27" s="292"/>
      <c r="H27" s="166"/>
      <c r="I27" s="418"/>
      <c r="J27" s="292"/>
      <c r="K27" s="292"/>
      <c r="L27" s="166"/>
      <c r="M27" s="23"/>
    </row>
    <row r="28" spans="1:14" ht="15.75" x14ac:dyDescent="0.2">
      <c r="A28" s="49" t="s">
        <v>272</v>
      </c>
      <c r="B28" s="44">
        <v>215454</v>
      </c>
      <c r="C28" s="289">
        <v>114135.42</v>
      </c>
      <c r="D28" s="166">
        <f t="shared" si="5"/>
        <v>-47</v>
      </c>
      <c r="E28" s="11">
        <f>IFERROR(100/'Skjema total MA'!C28*C28,0)</f>
        <v>5.9870237367700128</v>
      </c>
      <c r="F28" s="234"/>
      <c r="G28" s="289"/>
      <c r="H28" s="166"/>
      <c r="I28" s="27"/>
      <c r="J28" s="44">
        <f t="shared" si="7"/>
        <v>215454</v>
      </c>
      <c r="K28" s="44">
        <f t="shared" si="7"/>
        <v>114135.42</v>
      </c>
      <c r="L28" s="257">
        <f t="shared" si="8"/>
        <v>-47</v>
      </c>
      <c r="M28" s="23">
        <f>IFERROR(100/'Skjema total MA'!I28*K28,0)</f>
        <v>5.9870237367700128</v>
      </c>
    </row>
    <row r="29" spans="1:14" s="3" customFormat="1" ht="15.75" x14ac:dyDescent="0.2">
      <c r="A29" s="13" t="s">
        <v>444</v>
      </c>
      <c r="B29" s="236">
        <v>25244164</v>
      </c>
      <c r="C29" s="236">
        <v>23675188</v>
      </c>
      <c r="D29" s="171">
        <f t="shared" si="5"/>
        <v>-6.2</v>
      </c>
      <c r="E29" s="11">
        <f>IFERROR(100/'Skjema total MA'!C29*C29,0)</f>
        <v>51.749328103678039</v>
      </c>
      <c r="F29" s="310">
        <v>5604288</v>
      </c>
      <c r="G29" s="310">
        <v>5800755.8720000004</v>
      </c>
      <c r="H29" s="171">
        <f t="shared" si="6"/>
        <v>3.5</v>
      </c>
      <c r="I29" s="11">
        <f>IFERROR(100/'Skjema total MA'!F29*G29,0)</f>
        <v>23.639511389270353</v>
      </c>
      <c r="J29" s="236">
        <f t="shared" si="7"/>
        <v>30848452</v>
      </c>
      <c r="K29" s="236">
        <f t="shared" si="7"/>
        <v>29475943.872000001</v>
      </c>
      <c r="L29" s="429">
        <f t="shared" si="8"/>
        <v>-4.4000000000000004</v>
      </c>
      <c r="M29" s="24">
        <f>IFERROR(100/'Skjema total MA'!I29*K29,0)</f>
        <v>41.935870546095387</v>
      </c>
      <c r="N29" s="148"/>
    </row>
    <row r="30" spans="1:14" s="3" customFormat="1" ht="15.75" x14ac:dyDescent="0.2">
      <c r="A30" s="811" t="s">
        <v>447</v>
      </c>
      <c r="B30" s="283">
        <v>10033111</v>
      </c>
      <c r="C30" s="283">
        <v>9409533.4427842703</v>
      </c>
      <c r="D30" s="166">
        <f t="shared" si="5"/>
        <v>-6.2</v>
      </c>
      <c r="E30" s="11">
        <f>IFERROR(100/'Skjema total MA'!C30*C30,0)</f>
        <v>59.501213244806095</v>
      </c>
      <c r="F30" s="292">
        <v>2034114</v>
      </c>
      <c r="G30" s="292">
        <v>2262139.9010000001</v>
      </c>
      <c r="H30" s="166">
        <f t="shared" si="6"/>
        <v>11.2</v>
      </c>
      <c r="I30" s="418">
        <f>IFERROR(100/'Skjema total MA'!F30*G30,0)</f>
        <v>48.319028915296208</v>
      </c>
      <c r="J30" s="292">
        <f t="shared" ref="J30:J32" si="11">SUM(B30,F30)</f>
        <v>12067225</v>
      </c>
      <c r="K30" s="292">
        <f t="shared" ref="K30:K32" si="12">SUM(C30,G30)</f>
        <v>11671673.343784271</v>
      </c>
      <c r="L30" s="166">
        <f t="shared" si="8"/>
        <v>-3.3</v>
      </c>
      <c r="M30" s="23">
        <f>IFERROR(100/'Skjema total MA'!I30*K30,0)</f>
        <v>56.946952251632993</v>
      </c>
      <c r="N30" s="148"/>
    </row>
    <row r="31" spans="1:14" s="3" customFormat="1" ht="15.75" x14ac:dyDescent="0.2">
      <c r="A31" s="811" t="s">
        <v>448</v>
      </c>
      <c r="B31" s="283">
        <v>12620084</v>
      </c>
      <c r="C31" s="283">
        <v>11835719.7385203</v>
      </c>
      <c r="D31" s="166">
        <f t="shared" si="5"/>
        <v>-6.2</v>
      </c>
      <c r="E31" s="11">
        <f>IFERROR(100/'Skjema total MA'!C31*C31,0)</f>
        <v>50.287311856467426</v>
      </c>
      <c r="F31" s="292">
        <v>3120559</v>
      </c>
      <c r="G31" s="292">
        <v>3047627.2349999999</v>
      </c>
      <c r="H31" s="166">
        <f t="shared" si="6"/>
        <v>-2.2999999999999998</v>
      </c>
      <c r="I31" s="418">
        <f>IFERROR(100/'Skjema total MA'!F31*G31,0)</f>
        <v>31.912145038915249</v>
      </c>
      <c r="J31" s="292">
        <f t="shared" si="11"/>
        <v>15740643</v>
      </c>
      <c r="K31" s="292">
        <f t="shared" si="12"/>
        <v>14883346.973520299</v>
      </c>
      <c r="L31" s="166">
        <f t="shared" si="8"/>
        <v>-5.4</v>
      </c>
      <c r="M31" s="23">
        <f>IFERROR(100/'Skjema total MA'!I31*K31,0)</f>
        <v>44.98348179747012</v>
      </c>
      <c r="N31" s="148"/>
    </row>
    <row r="32" spans="1:14" ht="15.75" x14ac:dyDescent="0.2">
      <c r="A32" s="811" t="s">
        <v>449</v>
      </c>
      <c r="B32" s="283">
        <v>2590969</v>
      </c>
      <c r="C32" s="283">
        <v>2429934.8186954102</v>
      </c>
      <c r="D32" s="166">
        <f t="shared" si="5"/>
        <v>-6.2</v>
      </c>
      <c r="E32" s="11">
        <f>IFERROR(100/'Skjema total MA'!C32*C32,0)</f>
        <v>82.329149498894694</v>
      </c>
      <c r="F32" s="292">
        <v>449615</v>
      </c>
      <c r="G32" s="292">
        <v>490988.73599999998</v>
      </c>
      <c r="H32" s="166">
        <f t="shared" si="6"/>
        <v>9.1999999999999993</v>
      </c>
      <c r="I32" s="418">
        <f>IFERROR(100/'Skjema total MA'!F32*G32,0)</f>
        <v>9.3658486568213828</v>
      </c>
      <c r="J32" s="292">
        <f t="shared" si="11"/>
        <v>3040584</v>
      </c>
      <c r="K32" s="292">
        <f t="shared" si="12"/>
        <v>2920923.5546954102</v>
      </c>
      <c r="L32" s="166">
        <f t="shared" si="8"/>
        <v>-3.9</v>
      </c>
      <c r="M32" s="23">
        <f>IFERROR(100/'Skjema total MA'!I32*K32,0)</f>
        <v>35.647892826686537</v>
      </c>
    </row>
    <row r="33" spans="1:14" ht="15.75" x14ac:dyDescent="0.2">
      <c r="A33" s="811" t="s">
        <v>450</v>
      </c>
      <c r="B33" s="283"/>
      <c r="C33" s="283"/>
      <c r="D33" s="166"/>
      <c r="E33" s="11"/>
      <c r="F33" s="292"/>
      <c r="G33" s="292"/>
      <c r="H33" s="166"/>
      <c r="I33" s="418"/>
      <c r="J33" s="292"/>
      <c r="K33" s="292"/>
      <c r="L33" s="166"/>
      <c r="M33" s="23"/>
    </row>
    <row r="34" spans="1:14" ht="15.75" x14ac:dyDescent="0.2">
      <c r="A34" s="13" t="s">
        <v>445</v>
      </c>
      <c r="B34" s="236">
        <v>19954</v>
      </c>
      <c r="C34" s="311">
        <v>18712.062010000001</v>
      </c>
      <c r="D34" s="171">
        <f t="shared" si="5"/>
        <v>-6.2</v>
      </c>
      <c r="E34" s="11">
        <f>IFERROR(100/'Skjema total MA'!C34*C34,0)</f>
        <v>67.219682524840906</v>
      </c>
      <c r="F34" s="310">
        <v>5211</v>
      </c>
      <c r="G34" s="311">
        <v>-87975</v>
      </c>
      <c r="H34" s="171">
        <f t="shared" si="6"/>
        <v>-999</v>
      </c>
      <c r="I34" s="11">
        <f>IFERROR(100/'Skjema total MA'!F34*G34,0)</f>
        <v>-48.61773247294083</v>
      </c>
      <c r="J34" s="236">
        <f t="shared" si="7"/>
        <v>25165</v>
      </c>
      <c r="K34" s="236">
        <f t="shared" si="7"/>
        <v>-69262.937990000006</v>
      </c>
      <c r="L34" s="429">
        <f t="shared" si="8"/>
        <v>-375.2</v>
      </c>
      <c r="M34" s="24">
        <f>IFERROR(100/'Skjema total MA'!I34*K34,0)</f>
        <v>-33.173546023677353</v>
      </c>
    </row>
    <row r="35" spans="1:14" ht="15.75" x14ac:dyDescent="0.2">
      <c r="A35" s="13" t="s">
        <v>446</v>
      </c>
      <c r="B35" s="236">
        <v>-31148</v>
      </c>
      <c r="C35" s="311">
        <v>-127224</v>
      </c>
      <c r="D35" s="171">
        <f t="shared" si="5"/>
        <v>308.39999999999998</v>
      </c>
      <c r="E35" s="11">
        <f>IFERROR(100/'Skjema total MA'!C35*C35,0)</f>
        <v>102.68776212902867</v>
      </c>
      <c r="F35" s="310">
        <v>48571</v>
      </c>
      <c r="G35" s="311">
        <v>62357</v>
      </c>
      <c r="H35" s="171">
        <f t="shared" si="6"/>
        <v>28.4</v>
      </c>
      <c r="I35" s="11">
        <f>IFERROR(100/'Skjema total MA'!F35*G35,0)</f>
        <v>37.514444678773742</v>
      </c>
      <c r="J35" s="236">
        <f t="shared" si="7"/>
        <v>17423</v>
      </c>
      <c r="K35" s="236">
        <f t="shared" si="7"/>
        <v>-64867</v>
      </c>
      <c r="L35" s="429">
        <f t="shared" si="8"/>
        <v>-472.3</v>
      </c>
      <c r="M35" s="24">
        <f>IFERROR(100/'Skjema total MA'!I35*K35,0)</f>
        <v>-153.25103687053451</v>
      </c>
    </row>
    <row r="36" spans="1:14" ht="15.75" x14ac:dyDescent="0.2">
      <c r="A36" s="12" t="s">
        <v>280</v>
      </c>
      <c r="B36" s="236">
        <v>12153</v>
      </c>
      <c r="C36" s="311">
        <v>11455</v>
      </c>
      <c r="D36" s="171">
        <f t="shared" si="5"/>
        <v>-5.7</v>
      </c>
      <c r="E36" s="11">
        <f>IFERROR(100/'Skjema total MA'!C36*C36,0)</f>
        <v>99.493369859111127</v>
      </c>
      <c r="F36" s="321"/>
      <c r="G36" s="322"/>
      <c r="H36" s="171"/>
      <c r="I36" s="435"/>
      <c r="J36" s="236">
        <f t="shared" ref="J36:J39" si="13">SUM(B36,F36)</f>
        <v>12153</v>
      </c>
      <c r="K36" s="236">
        <f t="shared" ref="K36:K39" si="14">SUM(C36,G36)</f>
        <v>11455</v>
      </c>
      <c r="L36" s="429"/>
      <c r="M36" s="24">
        <f>IFERROR(100/'Skjema total MA'!I36*K36,0)</f>
        <v>99.493369859111127</v>
      </c>
    </row>
    <row r="37" spans="1:14" ht="15.75" x14ac:dyDescent="0.2">
      <c r="A37" s="12" t="s">
        <v>452</v>
      </c>
      <c r="B37" s="236">
        <v>3124223</v>
      </c>
      <c r="C37" s="311">
        <v>2874439.86784</v>
      </c>
      <c r="D37" s="171">
        <f t="shared" si="5"/>
        <v>-8</v>
      </c>
      <c r="E37" s="11">
        <f>IFERROR(100/'Skjema total MA'!C37*C37,0)</f>
        <v>86.292908030731297</v>
      </c>
      <c r="F37" s="321"/>
      <c r="G37" s="323"/>
      <c r="H37" s="171"/>
      <c r="I37" s="435"/>
      <c r="J37" s="236">
        <f t="shared" si="13"/>
        <v>3124223</v>
      </c>
      <c r="K37" s="236">
        <f t="shared" si="14"/>
        <v>2874439.86784</v>
      </c>
      <c r="L37" s="429"/>
      <c r="M37" s="24">
        <f>IFERROR(100/'Skjema total MA'!I37*K37,0)</f>
        <v>86.292908030731297</v>
      </c>
    </row>
    <row r="38" spans="1:14" ht="15.75" x14ac:dyDescent="0.2">
      <c r="A38" s="12" t="s">
        <v>453</v>
      </c>
      <c r="B38" s="236"/>
      <c r="C38" s="311"/>
      <c r="D38" s="171"/>
      <c r="E38" s="24"/>
      <c r="F38" s="321"/>
      <c r="G38" s="322"/>
      <c r="H38" s="171"/>
      <c r="I38" s="435"/>
      <c r="J38" s="236"/>
      <c r="K38" s="236"/>
      <c r="L38" s="429"/>
      <c r="M38" s="24"/>
    </row>
    <row r="39" spans="1:14" ht="15.75" x14ac:dyDescent="0.2">
      <c r="A39" s="18" t="s">
        <v>454</v>
      </c>
      <c r="B39" s="278">
        <v>0</v>
      </c>
      <c r="C39" s="317">
        <v>19</v>
      </c>
      <c r="D39" s="169" t="str">
        <f t="shared" si="5"/>
        <v xml:space="preserve">    ---- </v>
      </c>
      <c r="E39" s="36">
        <f>IFERROR(100/'Skjema total MA'!C38*C39,0)</f>
        <v>0</v>
      </c>
      <c r="F39" s="324"/>
      <c r="G39" s="325"/>
      <c r="H39" s="169"/>
      <c r="I39" s="36"/>
      <c r="J39" s="236">
        <f t="shared" si="13"/>
        <v>0</v>
      </c>
      <c r="K39" s="236">
        <f t="shared" si="14"/>
        <v>19</v>
      </c>
      <c r="L39" s="430"/>
      <c r="M39" s="36">
        <f>IFERROR(100/'Skjema total MA'!I39*K39,0)</f>
        <v>100</v>
      </c>
    </row>
    <row r="40" spans="1:14" ht="15.75" x14ac:dyDescent="0.25">
      <c r="A40" s="47"/>
      <c r="B40" s="256"/>
      <c r="C40" s="256"/>
      <c r="D40" s="1026"/>
      <c r="E40" s="1026"/>
      <c r="F40" s="1026"/>
      <c r="G40" s="1026"/>
      <c r="H40" s="1026"/>
      <c r="I40" s="1026"/>
      <c r="J40" s="1026"/>
      <c r="K40" s="1026"/>
      <c r="L40" s="1026"/>
      <c r="M40" s="304"/>
    </row>
    <row r="41" spans="1:14" x14ac:dyDescent="0.2">
      <c r="A41" s="155"/>
    </row>
    <row r="42" spans="1:14" ht="15.75" x14ac:dyDescent="0.25">
      <c r="A42" s="147" t="s">
        <v>269</v>
      </c>
      <c r="B42" s="1027"/>
      <c r="C42" s="1027"/>
      <c r="D42" s="1027"/>
      <c r="E42" s="301"/>
      <c r="F42" s="1028"/>
      <c r="G42" s="1028"/>
      <c r="H42" s="1028"/>
      <c r="I42" s="304"/>
      <c r="J42" s="1028"/>
      <c r="K42" s="1028"/>
      <c r="L42" s="1028"/>
      <c r="M42" s="304"/>
    </row>
    <row r="43" spans="1:14" ht="15.75" x14ac:dyDescent="0.25">
      <c r="A43" s="163"/>
      <c r="B43" s="305"/>
      <c r="C43" s="305"/>
      <c r="D43" s="305"/>
      <c r="E43" s="305"/>
      <c r="F43" s="304"/>
      <c r="G43" s="304"/>
      <c r="H43" s="304"/>
      <c r="I43" s="304"/>
      <c r="J43" s="304"/>
      <c r="K43" s="304"/>
      <c r="L43" s="304"/>
      <c r="M43" s="304"/>
    </row>
    <row r="44" spans="1:14" ht="15.75" x14ac:dyDescent="0.25">
      <c r="A44" s="247"/>
      <c r="B44" s="1023" t="s">
        <v>0</v>
      </c>
      <c r="C44" s="1024"/>
      <c r="D44" s="1024"/>
      <c r="E44" s="243"/>
      <c r="F44" s="304"/>
      <c r="G44" s="304"/>
      <c r="H44" s="304"/>
      <c r="I44" s="304"/>
      <c r="J44" s="304"/>
      <c r="K44" s="304"/>
      <c r="L44" s="304"/>
      <c r="M44" s="304"/>
    </row>
    <row r="45" spans="1:14" s="3" customFormat="1" x14ac:dyDescent="0.2">
      <c r="A45" s="140"/>
      <c r="B45" s="152" t="s">
        <v>502</v>
      </c>
      <c r="C45" s="152" t="s">
        <v>503</v>
      </c>
      <c r="D45" s="162" t="s">
        <v>3</v>
      </c>
      <c r="E45" s="162" t="s">
        <v>29</v>
      </c>
      <c r="F45" s="174"/>
      <c r="G45" s="174"/>
      <c r="H45" s="173"/>
      <c r="I45" s="173"/>
      <c r="J45" s="174"/>
      <c r="K45" s="174"/>
      <c r="L45" s="173"/>
      <c r="M45" s="173"/>
      <c r="N45" s="148"/>
    </row>
    <row r="46" spans="1:14" s="3" customFormat="1" x14ac:dyDescent="0.2">
      <c r="A46" s="990"/>
      <c r="B46" s="244"/>
      <c r="C46" s="244"/>
      <c r="D46" s="245" t="s">
        <v>4</v>
      </c>
      <c r="E46" s="156" t="s">
        <v>30</v>
      </c>
      <c r="F46" s="173"/>
      <c r="G46" s="173"/>
      <c r="H46" s="173"/>
      <c r="I46" s="173"/>
      <c r="J46" s="173"/>
      <c r="K46" s="173"/>
      <c r="L46" s="173"/>
      <c r="M46" s="173"/>
      <c r="N46" s="148"/>
    </row>
    <row r="47" spans="1:14" s="3" customFormat="1" ht="15.75" x14ac:dyDescent="0.2">
      <c r="A47" s="14" t="s">
        <v>23</v>
      </c>
      <c r="B47" s="312">
        <v>761079</v>
      </c>
      <c r="C47" s="313">
        <v>546332</v>
      </c>
      <c r="D47" s="428">
        <f t="shared" ref="D47:D57" si="15">IF(B47=0, "    ---- ", IF(ABS(ROUND(100/B47*C47-100,1))&lt;999,ROUND(100/B47*C47-100,1),IF(ROUND(100/B47*C47-100,1)&gt;999,999,-999)))</f>
        <v>-28.2</v>
      </c>
      <c r="E47" s="11">
        <f>IFERROR(100/'Skjema total MA'!C47*C47,0)</f>
        <v>11.436535867169818</v>
      </c>
      <c r="F47" s="145"/>
      <c r="G47" s="33"/>
      <c r="H47" s="159"/>
      <c r="I47" s="159"/>
      <c r="J47" s="37"/>
      <c r="K47" s="37"/>
      <c r="L47" s="159"/>
      <c r="M47" s="159"/>
      <c r="N47" s="148"/>
    </row>
    <row r="48" spans="1:14" s="3" customFormat="1" ht="15.75" x14ac:dyDescent="0.2">
      <c r="A48" s="38" t="s">
        <v>455</v>
      </c>
      <c r="B48" s="283">
        <v>457175</v>
      </c>
      <c r="C48" s="284">
        <v>546332</v>
      </c>
      <c r="D48" s="257">
        <f t="shared" si="15"/>
        <v>19.5</v>
      </c>
      <c r="E48" s="27">
        <f>IFERROR(100/'Skjema total MA'!C48*C48,0)</f>
        <v>20.505061794014896</v>
      </c>
      <c r="F48" s="145"/>
      <c r="G48" s="33"/>
      <c r="H48" s="145"/>
      <c r="I48" s="145"/>
      <c r="J48" s="33"/>
      <c r="K48" s="33"/>
      <c r="L48" s="159"/>
      <c r="M48" s="159"/>
      <c r="N48" s="148"/>
    </row>
    <row r="49" spans="1:14" s="3" customFormat="1" ht="15.75" x14ac:dyDescent="0.2">
      <c r="A49" s="38" t="s">
        <v>456</v>
      </c>
      <c r="B49" s="44">
        <v>303904</v>
      </c>
      <c r="C49" s="289">
        <v>0</v>
      </c>
      <c r="D49" s="257">
        <f>IF(B49=0, "    ---- ", IF(ABS(ROUND(100/B49*C49-100,1))&lt;999,ROUND(100/B49*C49-100,1),IF(ROUND(100/B49*C49-100,1)&gt;999,999,-999)))</f>
        <v>-100</v>
      </c>
      <c r="E49" s="27">
        <f>IFERROR(100/'Skjema total MA'!C49*C49,0)</f>
        <v>0</v>
      </c>
      <c r="F49" s="145"/>
      <c r="G49" s="33"/>
      <c r="H49" s="145"/>
      <c r="I49" s="145"/>
      <c r="J49" s="37"/>
      <c r="K49" s="37"/>
      <c r="L49" s="159"/>
      <c r="M49" s="159"/>
      <c r="N49" s="148"/>
    </row>
    <row r="50" spans="1:14" s="3" customFormat="1" x14ac:dyDescent="0.2">
      <c r="A50" s="298" t="s">
        <v>6</v>
      </c>
      <c r="B50" s="292"/>
      <c r="C50" s="293"/>
      <c r="D50" s="257"/>
      <c r="E50" s="23"/>
      <c r="F50" s="145"/>
      <c r="G50" s="33"/>
      <c r="H50" s="145"/>
      <c r="I50" s="145"/>
      <c r="J50" s="33"/>
      <c r="K50" s="33"/>
      <c r="L50" s="159"/>
      <c r="M50" s="159"/>
      <c r="N50" s="148"/>
    </row>
    <row r="51" spans="1:14" s="3" customFormat="1" x14ac:dyDescent="0.2">
      <c r="A51" s="298" t="s">
        <v>7</v>
      </c>
      <c r="B51" s="292">
        <v>303904</v>
      </c>
      <c r="C51" s="293">
        <v>0</v>
      </c>
      <c r="D51" s="257">
        <f>IF(B51=0, "    ---- ", IF(ABS(ROUND(100/B51*C51-100,1))&lt;999,ROUND(100/B51*C51-100,1),IF(ROUND(100/B51*C51-100,1)&gt;999,999,-999)))</f>
        <v>-100</v>
      </c>
      <c r="E51" s="27">
        <f>IFERROR(100/'Skjema total MA'!C51*C51,0)</f>
        <v>0</v>
      </c>
      <c r="F51" s="145"/>
      <c r="G51" s="33"/>
      <c r="H51" s="145"/>
      <c r="I51" s="145"/>
      <c r="J51" s="33"/>
      <c r="K51" s="33"/>
      <c r="L51" s="159"/>
      <c r="M51" s="159"/>
      <c r="N51" s="148"/>
    </row>
    <row r="52" spans="1:14" s="3" customFormat="1" x14ac:dyDescent="0.2">
      <c r="A52" s="298" t="s">
        <v>8</v>
      </c>
      <c r="B52" s="292"/>
      <c r="C52" s="293"/>
      <c r="D52" s="257"/>
      <c r="E52" s="23"/>
      <c r="F52" s="145"/>
      <c r="G52" s="33"/>
      <c r="H52" s="145"/>
      <c r="I52" s="145"/>
      <c r="J52" s="33"/>
      <c r="K52" s="33"/>
      <c r="L52" s="159"/>
      <c r="M52" s="159"/>
      <c r="N52" s="148"/>
    </row>
    <row r="53" spans="1:14" s="3" customFormat="1" ht="15.75" x14ac:dyDescent="0.2">
      <c r="A53" s="39" t="s">
        <v>457</v>
      </c>
      <c r="B53" s="312">
        <v>88448</v>
      </c>
      <c r="C53" s="313">
        <v>59044</v>
      </c>
      <c r="D53" s="429">
        <f t="shared" si="15"/>
        <v>-33.200000000000003</v>
      </c>
      <c r="E53" s="11">
        <f>IFERROR(100/'Skjema total MA'!C53*C53,0)</f>
        <v>36.080314450372306</v>
      </c>
      <c r="F53" s="145"/>
      <c r="G53" s="33"/>
      <c r="H53" s="145"/>
      <c r="I53" s="145"/>
      <c r="J53" s="33"/>
      <c r="K53" s="33"/>
      <c r="L53" s="159"/>
      <c r="M53" s="159"/>
      <c r="N53" s="148"/>
    </row>
    <row r="54" spans="1:14" s="3" customFormat="1" ht="15.75" x14ac:dyDescent="0.2">
      <c r="A54" s="38" t="s">
        <v>455</v>
      </c>
      <c r="B54" s="283">
        <v>88448</v>
      </c>
      <c r="C54" s="284">
        <v>59044</v>
      </c>
      <c r="D54" s="257">
        <f t="shared" si="15"/>
        <v>-33.200000000000003</v>
      </c>
      <c r="E54" s="27">
        <f>IFERROR(100/'Skjema total MA'!C54*C54,0)</f>
        <v>36.080314450372306</v>
      </c>
      <c r="F54" s="145"/>
      <c r="G54" s="33"/>
      <c r="H54" s="145"/>
      <c r="I54" s="145"/>
      <c r="J54" s="33"/>
      <c r="K54" s="33"/>
      <c r="L54" s="159"/>
      <c r="M54" s="159"/>
      <c r="N54" s="148"/>
    </row>
    <row r="55" spans="1:14" s="3" customFormat="1" ht="15.75" x14ac:dyDescent="0.2">
      <c r="A55" s="38" t="s">
        <v>456</v>
      </c>
      <c r="B55" s="283"/>
      <c r="C55" s="284"/>
      <c r="D55" s="257"/>
      <c r="E55" s="27"/>
      <c r="F55" s="145"/>
      <c r="G55" s="33"/>
      <c r="H55" s="145"/>
      <c r="I55" s="145"/>
      <c r="J55" s="33"/>
      <c r="K55" s="33"/>
      <c r="L55" s="159"/>
      <c r="M55" s="159"/>
      <c r="N55" s="148"/>
    </row>
    <row r="56" spans="1:14" s="3" customFormat="1" ht="15.75" x14ac:dyDescent="0.2">
      <c r="A56" s="39" t="s">
        <v>458</v>
      </c>
      <c r="B56" s="312">
        <v>9031</v>
      </c>
      <c r="C56" s="313">
        <v>14642</v>
      </c>
      <c r="D56" s="429">
        <f t="shared" si="15"/>
        <v>62.1</v>
      </c>
      <c r="E56" s="11">
        <f>IFERROR(100/'Skjema total MA'!C56*C56,0)</f>
        <v>11.53943302940065</v>
      </c>
      <c r="F56" s="145"/>
      <c r="G56" s="33"/>
      <c r="H56" s="145"/>
      <c r="I56" s="145"/>
      <c r="J56" s="33"/>
      <c r="K56" s="33"/>
      <c r="L56" s="159"/>
      <c r="M56" s="159"/>
      <c r="N56" s="148"/>
    </row>
    <row r="57" spans="1:14" s="3" customFormat="1" ht="15.75" x14ac:dyDescent="0.2">
      <c r="A57" s="38" t="s">
        <v>455</v>
      </c>
      <c r="B57" s="283">
        <v>9031</v>
      </c>
      <c r="C57" s="284">
        <v>14642</v>
      </c>
      <c r="D57" s="257">
        <f t="shared" si="15"/>
        <v>62.1</v>
      </c>
      <c r="E57" s="27">
        <f>IFERROR(100/'Skjema total MA'!C57*C57,0)</f>
        <v>11.53970586438836</v>
      </c>
      <c r="F57" s="145"/>
      <c r="G57" s="33"/>
      <c r="H57" s="145"/>
      <c r="I57" s="145"/>
      <c r="J57" s="33"/>
      <c r="K57" s="33"/>
      <c r="L57" s="159"/>
      <c r="M57" s="159"/>
      <c r="N57" s="148"/>
    </row>
    <row r="58" spans="1:14" s="3" customFormat="1" ht="15.75" x14ac:dyDescent="0.2">
      <c r="A58" s="46" t="s">
        <v>456</v>
      </c>
      <c r="B58" s="285"/>
      <c r="C58" s="286"/>
      <c r="D58" s="258"/>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1022"/>
      <c r="C62" s="1022"/>
      <c r="D62" s="1022"/>
      <c r="E62" s="301"/>
      <c r="F62" s="1022"/>
      <c r="G62" s="1022"/>
      <c r="H62" s="1022"/>
      <c r="I62" s="301"/>
      <c r="J62" s="1022"/>
      <c r="K62" s="1022"/>
      <c r="L62" s="1022"/>
      <c r="M62" s="301"/>
    </row>
    <row r="63" spans="1:14" x14ac:dyDescent="0.2">
      <c r="A63" s="144"/>
      <c r="B63" s="1023" t="s">
        <v>0</v>
      </c>
      <c r="C63" s="1024"/>
      <c r="D63" s="1025"/>
      <c r="E63" s="302"/>
      <c r="F63" s="1024" t="s">
        <v>1</v>
      </c>
      <c r="G63" s="1024"/>
      <c r="H63" s="1024"/>
      <c r="I63" s="306"/>
      <c r="J63" s="1023" t="s">
        <v>2</v>
      </c>
      <c r="K63" s="1024"/>
      <c r="L63" s="1024"/>
      <c r="M63" s="306"/>
    </row>
    <row r="64" spans="1:14" x14ac:dyDescent="0.2">
      <c r="A64" s="140"/>
      <c r="B64" s="152" t="s">
        <v>502</v>
      </c>
      <c r="C64" s="152" t="s">
        <v>503</v>
      </c>
      <c r="D64" s="245" t="s">
        <v>3</v>
      </c>
      <c r="E64" s="307" t="s">
        <v>29</v>
      </c>
      <c r="F64" s="152" t="s">
        <v>502</v>
      </c>
      <c r="G64" s="152" t="s">
        <v>503</v>
      </c>
      <c r="H64" s="245" t="s">
        <v>3</v>
      </c>
      <c r="I64" s="307" t="s">
        <v>29</v>
      </c>
      <c r="J64" s="152" t="s">
        <v>502</v>
      </c>
      <c r="K64" s="152" t="s">
        <v>503</v>
      </c>
      <c r="L64" s="245" t="s">
        <v>3</v>
      </c>
      <c r="M64" s="162" t="s">
        <v>29</v>
      </c>
    </row>
    <row r="65" spans="1:14" x14ac:dyDescent="0.2">
      <c r="A65" s="990"/>
      <c r="B65" s="156"/>
      <c r="C65" s="156"/>
      <c r="D65" s="246" t="s">
        <v>4</v>
      </c>
      <c r="E65" s="156" t="s">
        <v>30</v>
      </c>
      <c r="F65" s="161"/>
      <c r="G65" s="161"/>
      <c r="H65" s="245" t="s">
        <v>4</v>
      </c>
      <c r="I65" s="156" t="s">
        <v>30</v>
      </c>
      <c r="J65" s="161"/>
      <c r="K65" s="206"/>
      <c r="L65" s="156" t="s">
        <v>4</v>
      </c>
      <c r="M65" s="156" t="s">
        <v>30</v>
      </c>
    </row>
    <row r="66" spans="1:14" ht="15.75" x14ac:dyDescent="0.2">
      <c r="A66" s="14" t="s">
        <v>23</v>
      </c>
      <c r="B66" s="354">
        <v>2748012</v>
      </c>
      <c r="C66" s="354">
        <v>2243403.92227</v>
      </c>
      <c r="D66" s="351">
        <f t="shared" ref="D66:D111" si="16">IF(B66=0, "    ---- ", IF(ABS(ROUND(100/B66*C66-100,1))&lt;999,ROUND(100/B66*C66-100,1),IF(ROUND(100/B66*C66-100,1)&gt;999,999,-999)))</f>
        <v>-18.399999999999999</v>
      </c>
      <c r="E66" s="11">
        <f>IFERROR(100/'Skjema total MA'!C66*C66,0)</f>
        <v>30.206077374658388</v>
      </c>
      <c r="F66" s="353">
        <v>9295393.5</v>
      </c>
      <c r="G66" s="353">
        <v>9383093</v>
      </c>
      <c r="H66" s="351">
        <f t="shared" ref="H66:H111" si="17">IF(F66=0, "    ---- ", IF(ABS(ROUND(100/F66*G66-100,1))&lt;999,ROUND(100/F66*G66-100,1),IF(ROUND(100/F66*G66-100,1)&gt;999,999,-999)))</f>
        <v>0.9</v>
      </c>
      <c r="I66" s="11">
        <f>IFERROR(100/'Skjema total MA'!F66*G66,0)</f>
        <v>26.799535405000718</v>
      </c>
      <c r="J66" s="311">
        <f t="shared" ref="J66:K86" si="18">SUM(B66,F66)</f>
        <v>12043405.5</v>
      </c>
      <c r="K66" s="318">
        <f t="shared" si="18"/>
        <v>11626496.92227</v>
      </c>
      <c r="L66" s="429">
        <f t="shared" ref="L66:L111" si="19">IF(J66=0, "    ---- ", IF(ABS(ROUND(100/J66*K66-100,1))&lt;999,ROUND(100/J66*K66-100,1),IF(ROUND(100/J66*K66-100,1)&gt;999,999,-999)))</f>
        <v>-3.5</v>
      </c>
      <c r="M66" s="11">
        <f>IFERROR(100/'Skjema total MA'!I66*K66,0)</f>
        <v>27.39569190109399</v>
      </c>
    </row>
    <row r="67" spans="1:14" x14ac:dyDescent="0.2">
      <c r="A67" s="21" t="s">
        <v>9</v>
      </c>
      <c r="B67" s="44">
        <v>2430239</v>
      </c>
      <c r="C67" s="145">
        <v>1965598.92227</v>
      </c>
      <c r="D67" s="166">
        <f t="shared" si="16"/>
        <v>-19.100000000000001</v>
      </c>
      <c r="E67" s="27">
        <f>IFERROR(100/'Skjema total MA'!C67*C67,0)</f>
        <v>38.25225850938331</v>
      </c>
      <c r="F67" s="234"/>
      <c r="G67" s="145"/>
      <c r="H67" s="166"/>
      <c r="I67" s="27"/>
      <c r="J67" s="289">
        <f t="shared" si="18"/>
        <v>2430239</v>
      </c>
      <c r="K67" s="44">
        <f t="shared" si="18"/>
        <v>1965598.92227</v>
      </c>
      <c r="L67" s="257">
        <f t="shared" si="19"/>
        <v>-19.100000000000001</v>
      </c>
      <c r="M67" s="27">
        <f>IFERROR(100/'Skjema total MA'!I67*K67,0)</f>
        <v>38.25225850938331</v>
      </c>
    </row>
    <row r="68" spans="1:14" x14ac:dyDescent="0.2">
      <c r="A68" s="21" t="s">
        <v>10</v>
      </c>
      <c r="B68" s="294"/>
      <c r="C68" s="295"/>
      <c r="D68" s="166"/>
      <c r="E68" s="27"/>
      <c r="F68" s="294">
        <v>9295393.5</v>
      </c>
      <c r="G68" s="295">
        <v>9383093</v>
      </c>
      <c r="H68" s="166">
        <f t="shared" si="17"/>
        <v>0.9</v>
      </c>
      <c r="I68" s="27">
        <f>IFERROR(100/'Skjema total MA'!F68*G68,0)</f>
        <v>27.898337722611561</v>
      </c>
      <c r="J68" s="289">
        <f t="shared" si="18"/>
        <v>9295393.5</v>
      </c>
      <c r="K68" s="44">
        <f t="shared" si="18"/>
        <v>9383093</v>
      </c>
      <c r="L68" s="257">
        <f t="shared" si="19"/>
        <v>0.9</v>
      </c>
      <c r="M68" s="27">
        <f>IFERROR(100/'Skjema total MA'!I68*K68,0)</f>
        <v>27.796451400543951</v>
      </c>
    </row>
    <row r="69" spans="1:14" ht="15.75" x14ac:dyDescent="0.2">
      <c r="A69" s="298" t="s">
        <v>459</v>
      </c>
      <c r="B69" s="283"/>
      <c r="C69" s="283"/>
      <c r="D69" s="166"/>
      <c r="E69" s="418"/>
      <c r="F69" s="283"/>
      <c r="G69" s="283"/>
      <c r="H69" s="166"/>
      <c r="I69" s="418"/>
      <c r="J69" s="292"/>
      <c r="K69" s="292"/>
      <c r="L69" s="166"/>
      <c r="M69" s="23"/>
    </row>
    <row r="70" spans="1:14" x14ac:dyDescent="0.2">
      <c r="A70" s="298" t="s">
        <v>12</v>
      </c>
      <c r="B70" s="296"/>
      <c r="C70" s="297"/>
      <c r="D70" s="166"/>
      <c r="E70" s="418"/>
      <c r="F70" s="283"/>
      <c r="G70" s="283"/>
      <c r="H70" s="166"/>
      <c r="I70" s="418"/>
      <c r="J70" s="292"/>
      <c r="K70" s="292"/>
      <c r="L70" s="166"/>
      <c r="M70" s="23"/>
    </row>
    <row r="71" spans="1:14" x14ac:dyDescent="0.2">
      <c r="A71" s="298" t="s">
        <v>13</v>
      </c>
      <c r="B71" s="235"/>
      <c r="C71" s="291"/>
      <c r="D71" s="166"/>
      <c r="E71" s="418"/>
      <c r="F71" s="283"/>
      <c r="G71" s="283"/>
      <c r="H71" s="166"/>
      <c r="I71" s="418"/>
      <c r="J71" s="292"/>
      <c r="K71" s="292"/>
      <c r="L71" s="166"/>
      <c r="M71" s="23"/>
    </row>
    <row r="72" spans="1:14" ht="15.75" x14ac:dyDescent="0.2">
      <c r="A72" s="298" t="s">
        <v>460</v>
      </c>
      <c r="B72" s="283"/>
      <c r="C72" s="283"/>
      <c r="D72" s="166"/>
      <c r="E72" s="418"/>
      <c r="F72" s="283">
        <v>9295393.5</v>
      </c>
      <c r="G72" s="283">
        <v>9383093</v>
      </c>
      <c r="H72" s="166">
        <f t="shared" ref="H72" si="20">IF(F72=0, "    ---- ", IF(ABS(ROUND(100/F72*G72-100,1))&lt;999,ROUND(100/F72*G72-100,1),IF(ROUND(100/F72*G72-100,1)&gt;999,999,-999)))</f>
        <v>0.9</v>
      </c>
      <c r="I72" s="27">
        <f>IFERROR(100/'Skjema total MA'!F72*G72,0)</f>
        <v>27.900408280829403</v>
      </c>
      <c r="J72" s="289">
        <f t="shared" ref="J72" si="21">SUM(B72,F72)</f>
        <v>9295393.5</v>
      </c>
      <c r="K72" s="44">
        <f t="shared" ref="K72" si="22">SUM(C72,G72)</f>
        <v>9383093</v>
      </c>
      <c r="L72" s="257">
        <f t="shared" ref="L72" si="23">IF(J72=0, "    ---- ", IF(ABS(ROUND(100/J72*K72-100,1))&lt;999,ROUND(100/J72*K72-100,1),IF(ROUND(100/J72*K72-100,1)&gt;999,999,-999)))</f>
        <v>0.9</v>
      </c>
      <c r="M72" s="27">
        <f>IFERROR(100/'Skjema total MA'!I72*K72,0)</f>
        <v>27.807199818373061</v>
      </c>
    </row>
    <row r="73" spans="1:14" x14ac:dyDescent="0.2">
      <c r="A73" s="298" t="s">
        <v>12</v>
      </c>
      <c r="B73" s="235"/>
      <c r="C73" s="291"/>
      <c r="D73" s="166"/>
      <c r="E73" s="418"/>
      <c r="F73" s="283"/>
      <c r="G73" s="283"/>
      <c r="H73" s="166"/>
      <c r="I73" s="418"/>
      <c r="J73" s="292"/>
      <c r="K73" s="292"/>
      <c r="L73" s="166"/>
      <c r="M73" s="23"/>
    </row>
    <row r="74" spans="1:14" s="3" customFormat="1" x14ac:dyDescent="0.2">
      <c r="A74" s="298" t="s">
        <v>13</v>
      </c>
      <c r="B74" s="235"/>
      <c r="C74" s="291"/>
      <c r="D74" s="166"/>
      <c r="E74" s="418"/>
      <c r="F74" s="283">
        <v>9295393.5</v>
      </c>
      <c r="G74" s="283">
        <v>9383093</v>
      </c>
      <c r="H74" s="166">
        <f t="shared" ref="H74" si="24">IF(F74=0, "    ---- ", IF(ABS(ROUND(100/F74*G74-100,1))&lt;999,ROUND(100/F74*G74-100,1),IF(ROUND(100/F74*G74-100,1)&gt;999,999,-999)))</f>
        <v>0.9</v>
      </c>
      <c r="I74" s="27">
        <f>IFERROR(100/'Skjema total MA'!F74*G74,0)</f>
        <v>27.901252021886268</v>
      </c>
      <c r="J74" s="289">
        <f t="shared" ref="J74" si="25">SUM(B74,F74)</f>
        <v>9295393.5</v>
      </c>
      <c r="K74" s="44">
        <f t="shared" ref="K74" si="26">SUM(C74,G74)</f>
        <v>9383093</v>
      </c>
      <c r="L74" s="257">
        <f t="shared" ref="L74" si="27">IF(J74=0, "    ---- ", IF(ABS(ROUND(100/J74*K74-100,1))&lt;999,ROUND(100/J74*K74-100,1),IF(ROUND(100/J74*K74-100,1)&gt;999,999,-999)))</f>
        <v>0.9</v>
      </c>
      <c r="M74" s="27">
        <f>IFERROR(100/'Skjema total MA'!I74*K74,0)</f>
        <v>27.901252021886268</v>
      </c>
      <c r="N74" s="148"/>
    </row>
    <row r="75" spans="1:14" s="3" customFormat="1" x14ac:dyDescent="0.2">
      <c r="A75" s="21" t="s">
        <v>346</v>
      </c>
      <c r="B75" s="234"/>
      <c r="C75" s="145"/>
      <c r="D75" s="166"/>
      <c r="E75" s="27"/>
      <c r="F75" s="234"/>
      <c r="G75" s="145"/>
      <c r="H75" s="166"/>
      <c r="I75" s="27"/>
      <c r="J75" s="289"/>
      <c r="K75" s="44"/>
      <c r="L75" s="257"/>
      <c r="M75" s="27"/>
      <c r="N75" s="148"/>
    </row>
    <row r="76" spans="1:14" s="3" customFormat="1" x14ac:dyDescent="0.2">
      <c r="A76" s="21" t="s">
        <v>345</v>
      </c>
      <c r="B76" s="234">
        <v>317773</v>
      </c>
      <c r="C76" s="145">
        <v>277805</v>
      </c>
      <c r="D76" s="166">
        <f t="shared" ref="D76" si="28">IF(B76=0, "    ---- ", IF(ABS(ROUND(100/B76*C76-100,1))&lt;999,ROUND(100/B76*C76-100,1),IF(ROUND(100/B76*C76-100,1)&gt;999,999,-999)))</f>
        <v>-12.6</v>
      </c>
      <c r="E76" s="27">
        <f>IFERROR(100/'Skjema total MA'!C77*C76,0)</f>
        <v>5.4280387585677508</v>
      </c>
      <c r="F76" s="234"/>
      <c r="G76" s="145"/>
      <c r="H76" s="166"/>
      <c r="I76" s="27"/>
      <c r="J76" s="289">
        <f t="shared" ref="J76" si="29">SUM(B76,F76)</f>
        <v>317773</v>
      </c>
      <c r="K76" s="44">
        <f t="shared" ref="K76" si="30">SUM(C76,G76)</f>
        <v>277805</v>
      </c>
      <c r="L76" s="257">
        <f t="shared" ref="L76" si="31">IF(J76=0, "    ---- ", IF(ABS(ROUND(100/J76*K76-100,1))&lt;999,ROUND(100/J76*K76-100,1),IF(ROUND(100/J76*K76-100,1)&gt;999,999,-999)))</f>
        <v>-12.6</v>
      </c>
      <c r="M76" s="27">
        <f>IFERROR(100/'Skjema total MA'!I77*K76,0)</f>
        <v>0.71715787898215155</v>
      </c>
      <c r="N76" s="148"/>
    </row>
    <row r="77" spans="1:14" ht="15.75" x14ac:dyDescent="0.2">
      <c r="A77" s="21" t="s">
        <v>461</v>
      </c>
      <c r="B77" s="234">
        <v>2428233</v>
      </c>
      <c r="C77" s="234">
        <v>1938437.92227</v>
      </c>
      <c r="D77" s="166">
        <f t="shared" si="16"/>
        <v>-20.2</v>
      </c>
      <c r="E77" s="27">
        <f>IFERROR(100/'Skjema total MA'!C77*C77,0)</f>
        <v>37.875186455100163</v>
      </c>
      <c r="F77" s="234">
        <v>9295394</v>
      </c>
      <c r="G77" s="145">
        <v>9383093</v>
      </c>
      <c r="H77" s="166">
        <f t="shared" si="17"/>
        <v>0.9</v>
      </c>
      <c r="I77" s="27">
        <f>IFERROR(100/'Skjema total MA'!F77*G77,0)</f>
        <v>27.910110394314696</v>
      </c>
      <c r="J77" s="289">
        <f t="shared" si="18"/>
        <v>11723627</v>
      </c>
      <c r="K77" s="44">
        <f t="shared" si="18"/>
        <v>11321530.92227</v>
      </c>
      <c r="L77" s="257">
        <f t="shared" si="19"/>
        <v>-3.4</v>
      </c>
      <c r="M77" s="27">
        <f>IFERROR(100/'Skjema total MA'!I77*K77,0)</f>
        <v>29.226706153762514</v>
      </c>
    </row>
    <row r="78" spans="1:14" x14ac:dyDescent="0.2">
      <c r="A78" s="21" t="s">
        <v>9</v>
      </c>
      <c r="B78" s="234">
        <v>2428233</v>
      </c>
      <c r="C78" s="145">
        <v>1938437.92227</v>
      </c>
      <c r="D78" s="166">
        <f t="shared" si="16"/>
        <v>-20.2</v>
      </c>
      <c r="E78" s="27">
        <f>IFERROR(100/'Skjema total MA'!C78*C78,0)</f>
        <v>38.790593476980717</v>
      </c>
      <c r="F78" s="234"/>
      <c r="G78" s="145"/>
      <c r="H78" s="166"/>
      <c r="I78" s="27"/>
      <c r="J78" s="289">
        <f t="shared" si="18"/>
        <v>2428233</v>
      </c>
      <c r="K78" s="44">
        <f t="shared" si="18"/>
        <v>1938437.92227</v>
      </c>
      <c r="L78" s="257">
        <f t="shared" si="19"/>
        <v>-20.2</v>
      </c>
      <c r="M78" s="27">
        <f>IFERROR(100/'Skjema total MA'!I78*K78,0)</f>
        <v>38.790593476980717</v>
      </c>
    </row>
    <row r="79" spans="1:14" x14ac:dyDescent="0.2">
      <c r="A79" s="21" t="s">
        <v>10</v>
      </c>
      <c r="B79" s="294"/>
      <c r="C79" s="295"/>
      <c r="D79" s="166"/>
      <c r="E79" s="27"/>
      <c r="F79" s="294">
        <v>9295394</v>
      </c>
      <c r="G79" s="295">
        <v>9383093</v>
      </c>
      <c r="H79" s="166">
        <f t="shared" si="17"/>
        <v>0.9</v>
      </c>
      <c r="I79" s="27">
        <f>IFERROR(100/'Skjema total MA'!F79*G79,0)</f>
        <v>27.910110394314696</v>
      </c>
      <c r="J79" s="289">
        <f t="shared" si="18"/>
        <v>9295394</v>
      </c>
      <c r="K79" s="44">
        <f t="shared" si="18"/>
        <v>9383093</v>
      </c>
      <c r="L79" s="257">
        <f t="shared" si="19"/>
        <v>0.9</v>
      </c>
      <c r="M79" s="27">
        <f>IFERROR(100/'Skjema total MA'!I79*K79,0)</f>
        <v>27.810201396934595</v>
      </c>
    </row>
    <row r="80" spans="1:14" ht="15.75" x14ac:dyDescent="0.2">
      <c r="A80" s="298" t="s">
        <v>459</v>
      </c>
      <c r="B80" s="283"/>
      <c r="C80" s="283"/>
      <c r="D80" s="166"/>
      <c r="E80" s="418"/>
      <c r="F80" s="283"/>
      <c r="G80" s="283"/>
      <c r="H80" s="166"/>
      <c r="I80" s="418"/>
      <c r="J80" s="292"/>
      <c r="K80" s="292"/>
      <c r="L80" s="166"/>
      <c r="M80" s="23"/>
    </row>
    <row r="81" spans="1:13" x14ac:dyDescent="0.2">
      <c r="A81" s="298" t="s">
        <v>12</v>
      </c>
      <c r="B81" s="235"/>
      <c r="C81" s="291"/>
      <c r="D81" s="166"/>
      <c r="E81" s="418"/>
      <c r="F81" s="283"/>
      <c r="G81" s="283"/>
      <c r="H81" s="166"/>
      <c r="I81" s="418"/>
      <c r="J81" s="292"/>
      <c r="K81" s="292"/>
      <c r="L81" s="166"/>
      <c r="M81" s="23"/>
    </row>
    <row r="82" spans="1:13" x14ac:dyDescent="0.2">
      <c r="A82" s="298" t="s">
        <v>13</v>
      </c>
      <c r="B82" s="235"/>
      <c r="C82" s="291"/>
      <c r="D82" s="166"/>
      <c r="E82" s="418"/>
      <c r="F82" s="283"/>
      <c r="G82" s="283"/>
      <c r="H82" s="166"/>
      <c r="I82" s="418"/>
      <c r="J82" s="292"/>
      <c r="K82" s="292"/>
      <c r="L82" s="166"/>
      <c r="M82" s="23"/>
    </row>
    <row r="83" spans="1:13" ht="15.75" x14ac:dyDescent="0.2">
      <c r="A83" s="298" t="s">
        <v>460</v>
      </c>
      <c r="B83" s="283"/>
      <c r="C83" s="283"/>
      <c r="D83" s="166"/>
      <c r="E83" s="418"/>
      <c r="F83" s="283">
        <v>9295394</v>
      </c>
      <c r="G83" s="283">
        <v>9383093</v>
      </c>
      <c r="H83" s="166">
        <f t="shared" ref="H83" si="32">IF(F83=0, "    ---- ", IF(ABS(ROUND(100/F83*G83-100,1))&lt;999,ROUND(100/F83*G83-100,1),IF(ROUND(100/F83*G83-100,1)&gt;999,999,-999)))</f>
        <v>0.9</v>
      </c>
      <c r="I83" s="27">
        <f>IFERROR(100/'Skjema total MA'!F83*G83,0)</f>
        <v>27.910110394314696</v>
      </c>
      <c r="J83" s="289">
        <f t="shared" ref="J83" si="33">SUM(B83,F83)</f>
        <v>9295394</v>
      </c>
      <c r="K83" s="44">
        <f t="shared" ref="K83" si="34">SUM(C83,G83)</f>
        <v>9383093</v>
      </c>
      <c r="L83" s="257">
        <f t="shared" ref="L83" si="35">IF(J83=0, "    ---- ", IF(ABS(ROUND(100/J83*K83-100,1))&lt;999,ROUND(100/J83*K83-100,1),IF(ROUND(100/J83*K83-100,1)&gt;999,999,-999)))</f>
        <v>0.9</v>
      </c>
      <c r="M83" s="27">
        <f>IFERROR(100/'Skjema total MA'!I83*K83,0)</f>
        <v>27.810201396934595</v>
      </c>
    </row>
    <row r="84" spans="1:13" x14ac:dyDescent="0.2">
      <c r="A84" s="298" t="s">
        <v>12</v>
      </c>
      <c r="B84" s="235"/>
      <c r="C84" s="291"/>
      <c r="D84" s="166"/>
      <c r="E84" s="418"/>
      <c r="F84" s="283"/>
      <c r="G84" s="283"/>
      <c r="H84" s="166"/>
      <c r="I84" s="418"/>
      <c r="J84" s="292"/>
      <c r="K84" s="292"/>
      <c r="L84" s="166"/>
      <c r="M84" s="23"/>
    </row>
    <row r="85" spans="1:13" x14ac:dyDescent="0.2">
      <c r="A85" s="298" t="s">
        <v>13</v>
      </c>
      <c r="B85" s="235"/>
      <c r="C85" s="291"/>
      <c r="D85" s="166"/>
      <c r="E85" s="418"/>
      <c r="F85" s="283">
        <v>9295394</v>
      </c>
      <c r="G85" s="283">
        <v>9383093</v>
      </c>
      <c r="H85" s="166">
        <f t="shared" ref="H85" si="36">IF(F85=0, "    ---- ", IF(ABS(ROUND(100/F85*G85-100,1))&lt;999,ROUND(100/F85*G85-100,1),IF(ROUND(100/F85*G85-100,1)&gt;999,999,-999)))</f>
        <v>0.9</v>
      </c>
      <c r="I85" s="27">
        <f>IFERROR(100/'Skjema total MA'!F85*G85,0)</f>
        <v>27.910954722289041</v>
      </c>
      <c r="J85" s="289">
        <f t="shared" ref="J85" si="37">SUM(B85,F85)</f>
        <v>9295394</v>
      </c>
      <c r="K85" s="44">
        <f t="shared" ref="K85" si="38">SUM(C85,G85)</f>
        <v>9383093</v>
      </c>
      <c r="L85" s="257">
        <f t="shared" ref="L85" si="39">IF(J85=0, "    ---- ", IF(ABS(ROUND(100/J85*K85-100,1))&lt;999,ROUND(100/J85*K85-100,1),IF(ROUND(100/J85*K85-100,1)&gt;999,999,-999)))</f>
        <v>0.9</v>
      </c>
      <c r="M85" s="27">
        <f>IFERROR(100/'Skjema total MA'!I85*K85,0)</f>
        <v>27.910954722289041</v>
      </c>
    </row>
    <row r="86" spans="1:13" ht="15.75" x14ac:dyDescent="0.2">
      <c r="A86" s="21" t="s">
        <v>462</v>
      </c>
      <c r="B86" s="234">
        <v>2006</v>
      </c>
      <c r="C86" s="145">
        <v>27161</v>
      </c>
      <c r="D86" s="166">
        <f t="shared" ref="D86" si="40">IF(B86=0, "    ---- ", IF(ABS(ROUND(100/B86*C86-100,1))&lt;999,ROUND(100/B86*C86-100,1),IF(ROUND(100/B86*C86-100,1)&gt;999,999,-999)))</f>
        <v>999</v>
      </c>
      <c r="E86" s="27">
        <f>IFERROR(100/'Skjema total MA'!B86*C86,0)</f>
        <v>28.837702765727972</v>
      </c>
      <c r="F86" s="234"/>
      <c r="G86" s="145"/>
      <c r="H86" s="166"/>
      <c r="I86" s="27"/>
      <c r="J86" s="289">
        <f t="shared" si="18"/>
        <v>2006</v>
      </c>
      <c r="K86" s="44">
        <f t="shared" si="18"/>
        <v>27161</v>
      </c>
      <c r="L86" s="257">
        <f t="shared" si="19"/>
        <v>999</v>
      </c>
      <c r="M86" s="27">
        <f>IFERROR(100/'Skjema total MA'!I86*K86,0)</f>
        <v>17.188142300306225</v>
      </c>
    </row>
    <row r="87" spans="1:13" ht="15.75" x14ac:dyDescent="0.2">
      <c r="A87" s="13" t="s">
        <v>444</v>
      </c>
      <c r="B87" s="354">
        <v>157188985</v>
      </c>
      <c r="C87" s="354">
        <v>155627194.35600001</v>
      </c>
      <c r="D87" s="171">
        <f t="shared" si="16"/>
        <v>-1</v>
      </c>
      <c r="E87" s="11">
        <f>IFERROR(100/'Skjema total MA'!C87*C87,0)</f>
        <v>39.378606408355054</v>
      </c>
      <c r="F87" s="353">
        <v>87037772.869000003</v>
      </c>
      <c r="G87" s="353">
        <v>98243481.718999997</v>
      </c>
      <c r="H87" s="171">
        <f t="shared" si="17"/>
        <v>12.9</v>
      </c>
      <c r="I87" s="11">
        <f>IFERROR(100/'Skjema total MA'!F87*G87,0)</f>
        <v>26.352613936244705</v>
      </c>
      <c r="J87" s="311">
        <f t="shared" ref="J87:K111" si="41">SUM(B87,F87)</f>
        <v>244226757.86900002</v>
      </c>
      <c r="K87" s="236">
        <f t="shared" si="41"/>
        <v>253870676.07499999</v>
      </c>
      <c r="L87" s="429">
        <f t="shared" si="19"/>
        <v>3.9</v>
      </c>
      <c r="M87" s="11">
        <f>IFERROR(100/'Skjema total MA'!I87*K87,0)</f>
        <v>33.055603037007607</v>
      </c>
    </row>
    <row r="88" spans="1:13" x14ac:dyDescent="0.2">
      <c r="A88" s="21" t="s">
        <v>9</v>
      </c>
      <c r="B88" s="234">
        <v>157047815</v>
      </c>
      <c r="C88" s="145">
        <v>155491624</v>
      </c>
      <c r="D88" s="166">
        <f t="shared" si="16"/>
        <v>-1</v>
      </c>
      <c r="E88" s="27">
        <f>IFERROR(100/'Skjema total MA'!C88*C88,0)</f>
        <v>40.561483850487562</v>
      </c>
      <c r="F88" s="234"/>
      <c r="G88" s="145"/>
      <c r="H88" s="166"/>
      <c r="I88" s="27"/>
      <c r="J88" s="289">
        <f t="shared" si="41"/>
        <v>157047815</v>
      </c>
      <c r="K88" s="44">
        <f t="shared" si="41"/>
        <v>155491624</v>
      </c>
      <c r="L88" s="257">
        <f t="shared" si="19"/>
        <v>-1</v>
      </c>
      <c r="M88" s="27">
        <f>IFERROR(100/'Skjema total MA'!I88*K88,0)</f>
        <v>40.561483850487562</v>
      </c>
    </row>
    <row r="89" spans="1:13" x14ac:dyDescent="0.2">
      <c r="A89" s="21" t="s">
        <v>10</v>
      </c>
      <c r="B89" s="234">
        <v>101745</v>
      </c>
      <c r="C89" s="145">
        <v>95888</v>
      </c>
      <c r="D89" s="166">
        <f t="shared" si="16"/>
        <v>-5.8</v>
      </c>
      <c r="E89" s="27">
        <f>IFERROR(100/'Skjema total MA'!C89*C89,0)</f>
        <v>3.1416202797693806</v>
      </c>
      <c r="F89" s="234">
        <v>87037772.869000003</v>
      </c>
      <c r="G89" s="145">
        <v>98243481.718999997</v>
      </c>
      <c r="H89" s="166">
        <f t="shared" si="17"/>
        <v>12.9</v>
      </c>
      <c r="I89" s="27">
        <f>IFERROR(100/'Skjema total MA'!F89*G89,0)</f>
        <v>26.575888552876631</v>
      </c>
      <c r="J89" s="289">
        <f t="shared" si="41"/>
        <v>87139517.869000003</v>
      </c>
      <c r="K89" s="44">
        <f t="shared" si="41"/>
        <v>98339369.718999997</v>
      </c>
      <c r="L89" s="257">
        <f t="shared" si="19"/>
        <v>12.9</v>
      </c>
      <c r="M89" s="27">
        <f>IFERROR(100/'Skjema total MA'!I89*K89,0)</f>
        <v>26.383988543807167</v>
      </c>
    </row>
    <row r="90" spans="1:13" ht="15.75" x14ac:dyDescent="0.2">
      <c r="A90" s="298" t="s">
        <v>459</v>
      </c>
      <c r="B90" s="283"/>
      <c r="C90" s="283"/>
      <c r="D90" s="166"/>
      <c r="E90" s="418"/>
      <c r="F90" s="283">
        <v>109590.83</v>
      </c>
      <c r="G90" s="283">
        <v>100750.96799999999</v>
      </c>
      <c r="H90" s="166">
        <f t="shared" ref="H90:H95" si="42">IF(F90=0, "    ---- ", IF(ABS(ROUND(100/F90*G90-100,1))&lt;999,ROUND(100/F90*G90-100,1),IF(ROUND(100/F90*G90-100,1)&gt;999,999,-999)))</f>
        <v>-8.1</v>
      </c>
      <c r="I90" s="27">
        <f>IFERROR(100/'Skjema total MA'!F90*G90,0)</f>
        <v>87.3422185566873</v>
      </c>
      <c r="J90" s="289">
        <f t="shared" si="41"/>
        <v>109590.83</v>
      </c>
      <c r="K90" s="44">
        <f t="shared" si="41"/>
        <v>100750.96799999999</v>
      </c>
      <c r="L90" s="257">
        <f t="shared" ref="L90:L91" si="43">IF(J90=0, "    ---- ", IF(ABS(ROUND(100/J90*K90-100,1))&lt;999,ROUND(100/J90*K90-100,1),IF(ROUND(100/J90*K90-100,1)&gt;999,999,-999)))</f>
        <v>-8.1</v>
      </c>
      <c r="M90" s="27">
        <f>IFERROR(100/'Skjema total MA'!I90*K90,0)</f>
        <v>87.3422185566873</v>
      </c>
    </row>
    <row r="91" spans="1:13" x14ac:dyDescent="0.2">
      <c r="A91" s="298" t="s">
        <v>12</v>
      </c>
      <c r="B91" s="235"/>
      <c r="C91" s="291"/>
      <c r="D91" s="166"/>
      <c r="E91" s="418"/>
      <c r="F91" s="283">
        <v>109590.83</v>
      </c>
      <c r="G91" s="283">
        <v>100750.96799999999</v>
      </c>
      <c r="H91" s="166">
        <f t="shared" si="42"/>
        <v>-8.1</v>
      </c>
      <c r="I91" s="27">
        <f>IFERROR(100/'Skjema total MA'!F91*G91,0)</f>
        <v>100</v>
      </c>
      <c r="J91" s="289">
        <f t="shared" si="41"/>
        <v>109590.83</v>
      </c>
      <c r="K91" s="44">
        <f t="shared" si="41"/>
        <v>100750.96799999999</v>
      </c>
      <c r="L91" s="257">
        <f t="shared" si="43"/>
        <v>-8.1</v>
      </c>
      <c r="M91" s="27">
        <f>IFERROR(100/'Skjema total MA'!I91*K91,0)</f>
        <v>100</v>
      </c>
    </row>
    <row r="92" spans="1:13" x14ac:dyDescent="0.2">
      <c r="A92" s="298" t="s">
        <v>13</v>
      </c>
      <c r="B92" s="235"/>
      <c r="C92" s="291"/>
      <c r="D92" s="166"/>
      <c r="E92" s="418"/>
      <c r="F92" s="283"/>
      <c r="G92" s="283"/>
      <c r="H92" s="166"/>
      <c r="I92" s="27"/>
      <c r="J92" s="292"/>
      <c r="K92" s="292"/>
      <c r="L92" s="166"/>
      <c r="M92" s="23"/>
    </row>
    <row r="93" spans="1:13" ht="15.75" x14ac:dyDescent="0.2">
      <c r="A93" s="298" t="s">
        <v>460</v>
      </c>
      <c r="B93" s="283">
        <v>101745</v>
      </c>
      <c r="C93" s="283">
        <v>95888</v>
      </c>
      <c r="D93" s="166">
        <f t="shared" ref="D93" si="44">IF(B93=0, "    ---- ", IF(ABS(ROUND(100/B93*C93-100,1))&lt;999,ROUND(100/B93*C93-100,1),IF(ROUND(100/B93*C93-100,1)&gt;999,999,-999)))</f>
        <v>-5.8</v>
      </c>
      <c r="E93" s="27">
        <f>IFERROR(100/'Skjema total MA'!B93*C93,0)</f>
        <v>3.2139192080674106</v>
      </c>
      <c r="F93" s="283">
        <v>86928182.039000005</v>
      </c>
      <c r="G93" s="283">
        <v>98142730.751000002</v>
      </c>
      <c r="H93" s="166">
        <f t="shared" si="42"/>
        <v>12.9</v>
      </c>
      <c r="I93" s="27">
        <f>IFERROR(100/'Skjema total MA'!F93*G93,0)</f>
        <v>26.556921161625365</v>
      </c>
      <c r="J93" s="289">
        <f t="shared" ref="J93" si="45">SUM(B93,F93)</f>
        <v>87029927.039000005</v>
      </c>
      <c r="K93" s="44">
        <f t="shared" ref="K93" si="46">SUM(C93,G93)</f>
        <v>98238618.751000002</v>
      </c>
      <c r="L93" s="257">
        <f t="shared" ref="L93" si="47">IF(J93=0, "    ---- ", IF(ABS(ROUND(100/J93*K93-100,1))&lt;999,ROUND(100/J93*K93-100,1),IF(ROUND(100/J93*K93-100,1)&gt;999,999,-999)))</f>
        <v>12.9</v>
      </c>
      <c r="M93" s="27">
        <f>IFERROR(100/'Skjema total MA'!I93*K93,0)</f>
        <v>26.365117113660038</v>
      </c>
    </row>
    <row r="94" spans="1:13" x14ac:dyDescent="0.2">
      <c r="A94" s="298" t="s">
        <v>12</v>
      </c>
      <c r="B94" s="235"/>
      <c r="C94" s="291"/>
      <c r="D94" s="166"/>
      <c r="E94" s="418"/>
      <c r="F94" s="283"/>
      <c r="G94" s="283"/>
      <c r="H94" s="166"/>
      <c r="I94" s="27"/>
      <c r="J94" s="292"/>
      <c r="K94" s="292"/>
      <c r="L94" s="166"/>
      <c r="M94" s="23"/>
    </row>
    <row r="95" spans="1:13" x14ac:dyDescent="0.2">
      <c r="A95" s="298" t="s">
        <v>13</v>
      </c>
      <c r="B95" s="235"/>
      <c r="C95" s="291"/>
      <c r="D95" s="166"/>
      <c r="E95" s="418"/>
      <c r="F95" s="283">
        <v>86928182.039000005</v>
      </c>
      <c r="G95" s="283">
        <v>98142730.751000002</v>
      </c>
      <c r="H95" s="166">
        <f t="shared" si="42"/>
        <v>12.9</v>
      </c>
      <c r="I95" s="27">
        <f>IFERROR(100/'Skjema total MA'!F95*G95,0)</f>
        <v>26.617588265774653</v>
      </c>
      <c r="J95" s="289">
        <f t="shared" ref="J95" si="48">SUM(B95,F95)</f>
        <v>86928182.039000005</v>
      </c>
      <c r="K95" s="44">
        <f t="shared" ref="K95" si="49">SUM(C95,G95)</f>
        <v>98142730.751000002</v>
      </c>
      <c r="L95" s="257">
        <f t="shared" ref="L95" si="50">IF(J95=0, "    ---- ", IF(ABS(ROUND(100/J95*K95-100,1))&lt;999,ROUND(100/J95*K95-100,1),IF(ROUND(100/J95*K95-100,1)&gt;999,999,-999)))</f>
        <v>12.9</v>
      </c>
      <c r="M95" s="27">
        <f>IFERROR(100/'Skjema total MA'!I95*K95,0)</f>
        <v>26.617588265774653</v>
      </c>
    </row>
    <row r="96" spans="1:13" x14ac:dyDescent="0.2">
      <c r="A96" s="21" t="s">
        <v>344</v>
      </c>
      <c r="B96" s="234"/>
      <c r="C96" s="145"/>
      <c r="D96" s="166"/>
      <c r="E96" s="27"/>
      <c r="F96" s="234"/>
      <c r="G96" s="145"/>
      <c r="H96" s="166"/>
      <c r="I96" s="27"/>
      <c r="J96" s="289"/>
      <c r="K96" s="44"/>
      <c r="L96" s="257"/>
      <c r="M96" s="27"/>
    </row>
    <row r="97" spans="1:13" x14ac:dyDescent="0.2">
      <c r="A97" s="21" t="s">
        <v>343</v>
      </c>
      <c r="B97" s="234">
        <v>39425</v>
      </c>
      <c r="C97" s="145">
        <v>39682.356</v>
      </c>
      <c r="D97" s="166">
        <f t="shared" ref="D97" si="51">IF(B97=0, "    ---- ", IF(ABS(ROUND(100/B97*C97-100,1))&lt;999,ROUND(100/B97*C97-100,1),IF(ROUND(100/B97*C97-100,1)&gt;999,999,-999)))</f>
        <v>0.7</v>
      </c>
      <c r="E97" s="27">
        <f>IFERROR(100/'Skjema total MA'!C98*C97,0)</f>
        <v>1.0389303974055707E-2</v>
      </c>
      <c r="F97" s="234"/>
      <c r="G97" s="145"/>
      <c r="H97" s="166"/>
      <c r="I97" s="27"/>
      <c r="J97" s="289">
        <f t="shared" ref="J97" si="52">SUM(B97,F97)</f>
        <v>39425</v>
      </c>
      <c r="K97" s="44">
        <f t="shared" ref="K97" si="53">SUM(C97,G97)</f>
        <v>39682.356</v>
      </c>
      <c r="L97" s="257">
        <f t="shared" ref="L97" si="54">IF(J97=0, "    ---- ", IF(ABS(ROUND(100/J97*K97-100,1))&lt;999,ROUND(100/J97*K97-100,1),IF(ROUND(100/J97*K97-100,1)&gt;999,999,-999)))</f>
        <v>0.7</v>
      </c>
      <c r="M97" s="27">
        <f>IFERROR(100/'Skjema total MA'!I98*K97,0)</f>
        <v>5.2867797509022294E-3</v>
      </c>
    </row>
    <row r="98" spans="1:13" ht="15.75" x14ac:dyDescent="0.2">
      <c r="A98" s="21" t="s">
        <v>461</v>
      </c>
      <c r="B98" s="234">
        <v>155855925</v>
      </c>
      <c r="C98" s="234">
        <v>154427527</v>
      </c>
      <c r="D98" s="166">
        <f t="shared" si="16"/>
        <v>-0.9</v>
      </c>
      <c r="E98" s="27">
        <f>IFERROR(100/'Skjema total MA'!C98*C98,0)</f>
        <v>40.430929049794699</v>
      </c>
      <c r="F98" s="294">
        <v>86928182.039000005</v>
      </c>
      <c r="G98" s="294">
        <v>98142730.751000002</v>
      </c>
      <c r="H98" s="166">
        <f t="shared" si="17"/>
        <v>12.9</v>
      </c>
      <c r="I98" s="27">
        <f>IFERROR(100/'Skjema total MA'!F98*G98,0)</f>
        <v>26.622772733482702</v>
      </c>
      <c r="J98" s="289">
        <f t="shared" si="41"/>
        <v>242784107.039</v>
      </c>
      <c r="K98" s="44">
        <f t="shared" si="41"/>
        <v>252570257.75099999</v>
      </c>
      <c r="L98" s="257">
        <f t="shared" si="19"/>
        <v>4</v>
      </c>
      <c r="M98" s="27">
        <f>IFERROR(100/'Skjema total MA'!I98*K98,0)</f>
        <v>33.649295529684366</v>
      </c>
    </row>
    <row r="99" spans="1:13" x14ac:dyDescent="0.2">
      <c r="A99" s="21" t="s">
        <v>9</v>
      </c>
      <c r="B99" s="294">
        <v>155754180</v>
      </c>
      <c r="C99" s="295">
        <v>154331639</v>
      </c>
      <c r="D99" s="166">
        <f t="shared" si="16"/>
        <v>-0.9</v>
      </c>
      <c r="E99" s="27">
        <f>IFERROR(100/'Skjema total MA'!C99*C99,0)</f>
        <v>40.731307160214591</v>
      </c>
      <c r="F99" s="234"/>
      <c r="G99" s="145"/>
      <c r="H99" s="166"/>
      <c r="I99" s="27"/>
      <c r="J99" s="289">
        <f t="shared" si="41"/>
        <v>155754180</v>
      </c>
      <c r="K99" s="44">
        <f t="shared" si="41"/>
        <v>154331639</v>
      </c>
      <c r="L99" s="257">
        <f t="shared" si="19"/>
        <v>-0.9</v>
      </c>
      <c r="M99" s="27">
        <f>IFERROR(100/'Skjema total MA'!I99*K99,0)</f>
        <v>40.731307160214591</v>
      </c>
    </row>
    <row r="100" spans="1:13" x14ac:dyDescent="0.2">
      <c r="A100" s="21" t="s">
        <v>10</v>
      </c>
      <c r="B100" s="294">
        <v>101745</v>
      </c>
      <c r="C100" s="295">
        <v>95888</v>
      </c>
      <c r="D100" s="166">
        <f t="shared" si="16"/>
        <v>-5.8</v>
      </c>
      <c r="E100" s="27">
        <f>IFERROR(100/'Skjema total MA'!C100*C100,0)</f>
        <v>3.1416202797693806</v>
      </c>
      <c r="F100" s="234">
        <v>86928182.039000005</v>
      </c>
      <c r="G100" s="234">
        <v>98142730.751000002</v>
      </c>
      <c r="H100" s="166">
        <f t="shared" si="17"/>
        <v>12.9</v>
      </c>
      <c r="I100" s="27">
        <f>IFERROR(100/'Skjema total MA'!F100*G100,0)</f>
        <v>26.622772733482702</v>
      </c>
      <c r="J100" s="289">
        <f t="shared" si="41"/>
        <v>87029927.039000005</v>
      </c>
      <c r="K100" s="44">
        <f t="shared" si="41"/>
        <v>98238618.751000002</v>
      </c>
      <c r="L100" s="257">
        <f t="shared" si="19"/>
        <v>12.9</v>
      </c>
      <c r="M100" s="27">
        <f>IFERROR(100/'Skjema total MA'!I100*K100,0)</f>
        <v>26.429956243202689</v>
      </c>
    </row>
    <row r="101" spans="1:13" ht="15.75" x14ac:dyDescent="0.2">
      <c r="A101" s="298" t="s">
        <v>459</v>
      </c>
      <c r="B101" s="283"/>
      <c r="C101" s="283"/>
      <c r="D101" s="166"/>
      <c r="E101" s="418"/>
      <c r="F101" s="283"/>
      <c r="G101" s="283"/>
      <c r="H101" s="166"/>
      <c r="I101" s="418"/>
      <c r="J101" s="292"/>
      <c r="K101" s="292"/>
      <c r="L101" s="166"/>
      <c r="M101" s="23"/>
    </row>
    <row r="102" spans="1:13" x14ac:dyDescent="0.2">
      <c r="A102" s="298" t="s">
        <v>12</v>
      </c>
      <c r="B102" s="235"/>
      <c r="C102" s="291"/>
      <c r="D102" s="166"/>
      <c r="E102" s="418"/>
      <c r="F102" s="283"/>
      <c r="G102" s="283"/>
      <c r="H102" s="166"/>
      <c r="I102" s="418"/>
      <c r="J102" s="292"/>
      <c r="K102" s="292"/>
      <c r="L102" s="166"/>
      <c r="M102" s="23"/>
    </row>
    <row r="103" spans="1:13" x14ac:dyDescent="0.2">
      <c r="A103" s="298" t="s">
        <v>13</v>
      </c>
      <c r="B103" s="235"/>
      <c r="C103" s="291"/>
      <c r="D103" s="166"/>
      <c r="E103" s="418"/>
      <c r="F103" s="283"/>
      <c r="G103" s="283"/>
      <c r="H103" s="166"/>
      <c r="I103" s="418"/>
      <c r="J103" s="292"/>
      <c r="K103" s="292"/>
      <c r="L103" s="166"/>
      <c r="M103" s="23"/>
    </row>
    <row r="104" spans="1:13" ht="15.75" x14ac:dyDescent="0.2">
      <c r="A104" s="298" t="s">
        <v>460</v>
      </c>
      <c r="B104" s="283">
        <v>101745</v>
      </c>
      <c r="C104" s="283">
        <v>95888</v>
      </c>
      <c r="D104" s="166">
        <f t="shared" ref="D104" si="55">IF(B104=0, "    ---- ", IF(ABS(ROUND(100/B104*C104-100,1))&lt;999,ROUND(100/B104*C104-100,1),IF(ROUND(100/B104*C104-100,1)&gt;999,999,-999)))</f>
        <v>-5.8</v>
      </c>
      <c r="E104" s="27">
        <f>IFERROR(100/'Skjema total MA'!B104*C104,0)</f>
        <v>3.2139188590471703</v>
      </c>
      <c r="F104" s="283">
        <v>86928182.039000005</v>
      </c>
      <c r="G104" s="283">
        <v>98142730.751000002</v>
      </c>
      <c r="H104" s="166">
        <f t="shared" ref="H104" si="56">IF(F104=0, "    ---- ", IF(ABS(ROUND(100/F104*G104-100,1))&lt;999,ROUND(100/F104*G104-100,1),IF(ROUND(100/F104*G104-100,1)&gt;999,999,-999)))</f>
        <v>12.9</v>
      </c>
      <c r="I104" s="27">
        <f>IFERROR(100/'Skjema total MA'!F104*G104,0)</f>
        <v>26.622772733482702</v>
      </c>
      <c r="J104" s="289">
        <f t="shared" ref="J104" si="57">SUM(B104,F104)</f>
        <v>87029927.039000005</v>
      </c>
      <c r="K104" s="44">
        <f t="shared" ref="K104" si="58">SUM(C104,G104)</f>
        <v>98238618.751000002</v>
      </c>
      <c r="L104" s="257">
        <f t="shared" ref="L104" si="59">IF(J104=0, "    ---- ", IF(ABS(ROUND(100/J104*K104-100,1))&lt;999,ROUND(100/J104*K104-100,1),IF(ROUND(100/J104*K104-100,1)&gt;999,999,-999)))</f>
        <v>12.9</v>
      </c>
      <c r="M104" s="27">
        <f>IFERROR(100/'Skjema total MA'!I104*K104,0)</f>
        <v>26.429956243202689</v>
      </c>
    </row>
    <row r="105" spans="1:13" x14ac:dyDescent="0.2">
      <c r="A105" s="298" t="s">
        <v>12</v>
      </c>
      <c r="B105" s="235"/>
      <c r="C105" s="291"/>
      <c r="D105" s="166"/>
      <c r="E105" s="418"/>
      <c r="F105" s="283"/>
      <c r="G105" s="283"/>
      <c r="H105" s="166"/>
      <c r="I105" s="418"/>
      <c r="J105" s="292"/>
      <c r="K105" s="292"/>
      <c r="L105" s="166"/>
      <c r="M105" s="23"/>
    </row>
    <row r="106" spans="1:13" x14ac:dyDescent="0.2">
      <c r="A106" s="298" t="s">
        <v>13</v>
      </c>
      <c r="B106" s="235"/>
      <c r="C106" s="291"/>
      <c r="D106" s="166"/>
      <c r="E106" s="418"/>
      <c r="F106" s="283">
        <v>86928182.039000005</v>
      </c>
      <c r="G106" s="283">
        <v>98142730.751000002</v>
      </c>
      <c r="H106" s="166">
        <f t="shared" ref="H106" si="60">IF(F106=0, "    ---- ", IF(ABS(ROUND(100/F106*G106-100,1))&lt;999,ROUND(100/F106*G106-100,1),IF(ROUND(100/F106*G106-100,1)&gt;999,999,-999)))</f>
        <v>12.9</v>
      </c>
      <c r="I106" s="27">
        <f>IFERROR(100/'Skjema total MA'!F106*G106,0)</f>
        <v>26.623604499871902</v>
      </c>
      <c r="J106" s="289">
        <f t="shared" ref="J106" si="61">SUM(B106,F106)</f>
        <v>86928182.039000005</v>
      </c>
      <c r="K106" s="44">
        <f t="shared" ref="K106" si="62">SUM(C106,G106)</f>
        <v>98142730.751000002</v>
      </c>
      <c r="L106" s="257">
        <f t="shared" ref="L106" si="63">IF(J106=0, "    ---- ", IF(ABS(ROUND(100/J106*K106-100,1))&lt;999,ROUND(100/J106*K106-100,1),IF(ROUND(100/J106*K106-100,1)&gt;999,999,-999)))</f>
        <v>12.9</v>
      </c>
      <c r="M106" s="27">
        <f>IFERROR(100/'Skjema total MA'!I106*K106,0)</f>
        <v>26.623604499871902</v>
      </c>
    </row>
    <row r="107" spans="1:13" ht="15.75" x14ac:dyDescent="0.2">
      <c r="A107" s="21" t="s">
        <v>462</v>
      </c>
      <c r="B107" s="234">
        <v>1293634.7279999999</v>
      </c>
      <c r="C107" s="145">
        <v>1159985.0260000001</v>
      </c>
      <c r="D107" s="166">
        <f t="shared" si="16"/>
        <v>-10.3</v>
      </c>
      <c r="E107" s="27">
        <f>IFERROR(100/'Skjema total MA'!C107*C107,0)</f>
        <v>26.08930249662691</v>
      </c>
      <c r="F107" s="234">
        <v>109590.83</v>
      </c>
      <c r="G107" s="145">
        <v>100750.96799999999</v>
      </c>
      <c r="H107" s="166">
        <f t="shared" si="17"/>
        <v>-8.1</v>
      </c>
      <c r="I107" s="27">
        <f>IFERROR(100/'Skjema total MA'!F107*G107,0)</f>
        <v>9.786863361963718</v>
      </c>
      <c r="J107" s="289">
        <f t="shared" si="41"/>
        <v>1403225.558</v>
      </c>
      <c r="K107" s="44">
        <f t="shared" si="41"/>
        <v>1260735.9939999999</v>
      </c>
      <c r="L107" s="257">
        <f t="shared" si="19"/>
        <v>-10.199999999999999</v>
      </c>
      <c r="M107" s="27">
        <f>IFERROR(100/'Skjema total MA'!I107*K107,0)</f>
        <v>23.024363898636274</v>
      </c>
    </row>
    <row r="108" spans="1:13" ht="15.75" x14ac:dyDescent="0.2">
      <c r="A108" s="21" t="s">
        <v>463</v>
      </c>
      <c r="B108" s="234">
        <v>134468545</v>
      </c>
      <c r="C108" s="234">
        <v>136104325.31890199</v>
      </c>
      <c r="D108" s="166">
        <f t="shared" si="16"/>
        <v>1.2</v>
      </c>
      <c r="E108" s="27">
        <f>IFERROR(100/'Skjema total MA'!C108*C108,0)</f>
        <v>41.656603375703881</v>
      </c>
      <c r="F108" s="234">
        <v>491356.04200000002</v>
      </c>
      <c r="G108" s="234">
        <v>691103.30099999998</v>
      </c>
      <c r="H108" s="166">
        <f t="shared" si="17"/>
        <v>40.700000000000003</v>
      </c>
      <c r="I108" s="27">
        <f>IFERROR(100/'Skjema total MA'!F108*G108,0)</f>
        <v>3.7043288128803233</v>
      </c>
      <c r="J108" s="289">
        <f t="shared" si="41"/>
        <v>134959901.042</v>
      </c>
      <c r="K108" s="44">
        <f t="shared" si="41"/>
        <v>136795428.61990198</v>
      </c>
      <c r="L108" s="257">
        <f t="shared" si="19"/>
        <v>1.4</v>
      </c>
      <c r="M108" s="27">
        <f>IFERROR(100/'Skjema total MA'!I108*K108,0)</f>
        <v>39.606543232636518</v>
      </c>
    </row>
    <row r="109" spans="1:13" ht="15.75" x14ac:dyDescent="0.2">
      <c r="A109" s="21" t="s">
        <v>464</v>
      </c>
      <c r="B109" s="234">
        <v>101745</v>
      </c>
      <c r="C109" s="234">
        <v>95888</v>
      </c>
      <c r="D109" s="166">
        <f t="shared" si="16"/>
        <v>-5.8</v>
      </c>
      <c r="E109" s="27">
        <f>IFERROR(100/'Skjema total MA'!C109*C109,0)</f>
        <v>8.8554154857489422</v>
      </c>
      <c r="F109" s="234">
        <v>29827235</v>
      </c>
      <c r="G109" s="234">
        <v>35630782.989</v>
      </c>
      <c r="H109" s="166">
        <f t="shared" si="17"/>
        <v>19.5</v>
      </c>
      <c r="I109" s="27">
        <f>IFERROR(100/'Skjema total MA'!F109*G109,0)</f>
        <v>27.399170991986374</v>
      </c>
      <c r="J109" s="289">
        <f t="shared" si="41"/>
        <v>29928980</v>
      </c>
      <c r="K109" s="44">
        <f t="shared" si="41"/>
        <v>35726670.989</v>
      </c>
      <c r="L109" s="257">
        <f t="shared" si="19"/>
        <v>19.399999999999999</v>
      </c>
      <c r="M109" s="27">
        <f>IFERROR(100/'Skjema total MA'!I109*K109,0)</f>
        <v>27.246039735691053</v>
      </c>
    </row>
    <row r="110" spans="1:13" ht="15.75" x14ac:dyDescent="0.2">
      <c r="A110" s="21" t="s">
        <v>465</v>
      </c>
      <c r="B110" s="234"/>
      <c r="C110" s="234"/>
      <c r="D110" s="166"/>
      <c r="E110" s="27"/>
      <c r="F110" s="234"/>
      <c r="G110" s="234"/>
      <c r="H110" s="166"/>
      <c r="I110" s="27"/>
      <c r="J110" s="289"/>
      <c r="K110" s="44"/>
      <c r="L110" s="257"/>
      <c r="M110" s="27"/>
    </row>
    <row r="111" spans="1:13" ht="15.75" x14ac:dyDescent="0.2">
      <c r="A111" s="13" t="s">
        <v>445</v>
      </c>
      <c r="B111" s="310">
        <v>226071</v>
      </c>
      <c r="C111" s="159">
        <v>220615.82243</v>
      </c>
      <c r="D111" s="171">
        <f t="shared" si="16"/>
        <v>-2.4</v>
      </c>
      <c r="E111" s="11">
        <f>IFERROR(100/'Skjema total MA'!C111*C111,0)</f>
        <v>23.935065359557314</v>
      </c>
      <c r="F111" s="310">
        <v>2766031</v>
      </c>
      <c r="G111" s="159">
        <v>2806734</v>
      </c>
      <c r="H111" s="171">
        <f t="shared" si="17"/>
        <v>1.5</v>
      </c>
      <c r="I111" s="11">
        <f>IFERROR(100/'Skjema total MA'!F111*G111,0)</f>
        <v>12.638724578905112</v>
      </c>
      <c r="J111" s="311">
        <f t="shared" si="41"/>
        <v>2992102</v>
      </c>
      <c r="K111" s="236">
        <f t="shared" si="41"/>
        <v>3027349.8224300002</v>
      </c>
      <c r="L111" s="429">
        <f t="shared" si="19"/>
        <v>1.2</v>
      </c>
      <c r="M111" s="11">
        <f>IFERROR(100/'Skjema total MA'!I111*K111,0)</f>
        <v>13.088898482191224</v>
      </c>
    </row>
    <row r="112" spans="1:13" x14ac:dyDescent="0.2">
      <c r="A112" s="21" t="s">
        <v>9</v>
      </c>
      <c r="B112" s="234">
        <v>226071</v>
      </c>
      <c r="C112" s="145">
        <v>220615.82243</v>
      </c>
      <c r="D112" s="166">
        <f t="shared" ref="D112:D124" si="64">IF(B112=0, "    ---- ", IF(ABS(ROUND(100/B112*C112-100,1))&lt;999,ROUND(100/B112*C112-100,1),IF(ROUND(100/B112*C112-100,1)&gt;999,999,-999)))</f>
        <v>-2.4</v>
      </c>
      <c r="E112" s="27">
        <f>IFERROR(100/'Skjema total MA'!C112*C112,0)</f>
        <v>45.959945488906698</v>
      </c>
      <c r="F112" s="234"/>
      <c r="G112" s="145"/>
      <c r="H112" s="166"/>
      <c r="I112" s="27"/>
      <c r="J112" s="289">
        <f t="shared" ref="J112:K125" si="65">SUM(B112,F112)</f>
        <v>226071</v>
      </c>
      <c r="K112" s="44">
        <f t="shared" si="65"/>
        <v>220615.82243</v>
      </c>
      <c r="L112" s="257">
        <f t="shared" ref="L112:L125" si="66">IF(J112=0, "    ---- ", IF(ABS(ROUND(100/J112*K112-100,1))&lt;999,ROUND(100/J112*K112-100,1),IF(ROUND(100/J112*K112-100,1)&gt;999,999,-999)))</f>
        <v>-2.4</v>
      </c>
      <c r="M112" s="27">
        <f>IFERROR(100/'Skjema total MA'!I112*K112,0)</f>
        <v>44.201180062980349</v>
      </c>
    </row>
    <row r="113" spans="1:14" x14ac:dyDescent="0.2">
      <c r="A113" s="21" t="s">
        <v>10</v>
      </c>
      <c r="B113" s="234"/>
      <c r="C113" s="145"/>
      <c r="D113" s="166"/>
      <c r="E113" s="27"/>
      <c r="F113" s="234">
        <v>2766031</v>
      </c>
      <c r="G113" s="145">
        <v>2806734</v>
      </c>
      <c r="H113" s="166">
        <f t="shared" ref="H113:H125" si="67">IF(F113=0, "    ---- ", IF(ABS(ROUND(100/F113*G113-100,1))&lt;999,ROUND(100/F113*G113-100,1),IF(ROUND(100/F113*G113-100,1)&gt;999,999,-999)))</f>
        <v>1.5</v>
      </c>
      <c r="I113" s="27">
        <f>IFERROR(100/'Skjema total MA'!F113*G113,0)</f>
        <v>12.689033564113588</v>
      </c>
      <c r="J113" s="289">
        <f t="shared" si="65"/>
        <v>2766031</v>
      </c>
      <c r="K113" s="44">
        <f t="shared" si="65"/>
        <v>2806734</v>
      </c>
      <c r="L113" s="257">
        <f t="shared" si="66"/>
        <v>1.5</v>
      </c>
      <c r="M113" s="27">
        <f>IFERROR(100/'Skjema total MA'!I113*K113,0)</f>
        <v>12.68611108275946</v>
      </c>
    </row>
    <row r="114" spans="1:14" x14ac:dyDescent="0.2">
      <c r="A114" s="21" t="s">
        <v>26</v>
      </c>
      <c r="B114" s="234"/>
      <c r="C114" s="145"/>
      <c r="D114" s="166"/>
      <c r="E114" s="27"/>
      <c r="F114" s="234"/>
      <c r="G114" s="145"/>
      <c r="H114" s="166"/>
      <c r="I114" s="27"/>
      <c r="J114" s="289"/>
      <c r="K114" s="44"/>
      <c r="L114" s="257"/>
      <c r="M114" s="27"/>
    </row>
    <row r="115" spans="1:14" x14ac:dyDescent="0.2">
      <c r="A115" s="298" t="s">
        <v>15</v>
      </c>
      <c r="B115" s="283"/>
      <c r="C115" s="283"/>
      <c r="D115" s="166"/>
      <c r="E115" s="418"/>
      <c r="F115" s="283"/>
      <c r="G115" s="283"/>
      <c r="H115" s="166"/>
      <c r="I115" s="418"/>
      <c r="J115" s="292"/>
      <c r="K115" s="292"/>
      <c r="L115" s="166"/>
      <c r="M115" s="23"/>
    </row>
    <row r="116" spans="1:14" ht="15.75" x14ac:dyDescent="0.2">
      <c r="A116" s="21" t="s">
        <v>466</v>
      </c>
      <c r="B116" s="234">
        <v>97091</v>
      </c>
      <c r="C116" s="234">
        <v>68743.774999999994</v>
      </c>
      <c r="D116" s="166">
        <f t="shared" si="64"/>
        <v>-29.2</v>
      </c>
      <c r="E116" s="27">
        <f>IFERROR(100/'Skjema total MA'!C116*C116,0)</f>
        <v>82.931767021025507</v>
      </c>
      <c r="F116" s="234"/>
      <c r="G116" s="234"/>
      <c r="H116" s="166"/>
      <c r="I116" s="27"/>
      <c r="J116" s="289">
        <f t="shared" si="65"/>
        <v>97091</v>
      </c>
      <c r="K116" s="44">
        <f t="shared" si="65"/>
        <v>68743.774999999994</v>
      </c>
      <c r="L116" s="257">
        <f t="shared" si="66"/>
        <v>-29.2</v>
      </c>
      <c r="M116" s="27">
        <f>IFERROR(100/'Skjema total MA'!I116*K116,0)</f>
        <v>67.401227163660337</v>
      </c>
    </row>
    <row r="117" spans="1:14" ht="15.75" x14ac:dyDescent="0.2">
      <c r="A117" s="21" t="s">
        <v>467</v>
      </c>
      <c r="B117" s="234"/>
      <c r="C117" s="234"/>
      <c r="D117" s="166"/>
      <c r="E117" s="27"/>
      <c r="F117" s="234">
        <v>495260</v>
      </c>
      <c r="G117" s="234">
        <v>767307.74899999995</v>
      </c>
      <c r="H117" s="166">
        <f t="shared" si="67"/>
        <v>54.9</v>
      </c>
      <c r="I117" s="27">
        <f>IFERROR(100/'Skjema total MA'!F117*G117,0)</f>
        <v>15.677522626069285</v>
      </c>
      <c r="J117" s="289">
        <f t="shared" si="65"/>
        <v>495260</v>
      </c>
      <c r="K117" s="44">
        <f t="shared" si="65"/>
        <v>767307.74899999995</v>
      </c>
      <c r="L117" s="257">
        <f t="shared" si="66"/>
        <v>54.9</v>
      </c>
      <c r="M117" s="27">
        <f>IFERROR(100/'Skjema total MA'!I117*K117,0)</f>
        <v>15.677522626069285</v>
      </c>
    </row>
    <row r="118" spans="1:14" ht="15.75" x14ac:dyDescent="0.2">
      <c r="A118" s="21" t="s">
        <v>465</v>
      </c>
      <c r="B118" s="234"/>
      <c r="C118" s="234"/>
      <c r="D118" s="166"/>
      <c r="E118" s="27"/>
      <c r="F118" s="234"/>
      <c r="G118" s="234"/>
      <c r="H118" s="166"/>
      <c r="I118" s="27"/>
      <c r="J118" s="289"/>
      <c r="K118" s="44"/>
      <c r="L118" s="257"/>
      <c r="M118" s="27"/>
    </row>
    <row r="119" spans="1:14" ht="15.75" x14ac:dyDescent="0.2">
      <c r="A119" s="13" t="s">
        <v>446</v>
      </c>
      <c r="B119" s="310">
        <v>147244</v>
      </c>
      <c r="C119" s="159">
        <v>390187</v>
      </c>
      <c r="D119" s="171">
        <f t="shared" si="64"/>
        <v>165</v>
      </c>
      <c r="E119" s="11">
        <f>IFERROR(100/'Skjema total MA'!C119*C119,0)</f>
        <v>45.814123280144223</v>
      </c>
      <c r="F119" s="310">
        <v>3357473</v>
      </c>
      <c r="G119" s="159">
        <v>6027479</v>
      </c>
      <c r="H119" s="171">
        <f t="shared" si="67"/>
        <v>79.5</v>
      </c>
      <c r="I119" s="11">
        <f>IFERROR(100/'Skjema total MA'!F119*G119,0)</f>
        <v>26.863383031770404</v>
      </c>
      <c r="J119" s="311">
        <f t="shared" si="65"/>
        <v>3504717</v>
      </c>
      <c r="K119" s="236">
        <f t="shared" si="65"/>
        <v>6417666</v>
      </c>
      <c r="L119" s="429">
        <f t="shared" si="66"/>
        <v>83.1</v>
      </c>
      <c r="M119" s="11">
        <f>IFERROR(100/'Skjema total MA'!I119*K119,0)</f>
        <v>27.5564017932323</v>
      </c>
    </row>
    <row r="120" spans="1:14" x14ac:dyDescent="0.2">
      <c r="A120" s="21" t="s">
        <v>9</v>
      </c>
      <c r="B120" s="234">
        <v>147244</v>
      </c>
      <c r="C120" s="145">
        <v>390187</v>
      </c>
      <c r="D120" s="166">
        <f t="shared" si="64"/>
        <v>165</v>
      </c>
      <c r="E120" s="27">
        <f>IFERROR(100/'Skjema total MA'!C120*C120,0)</f>
        <v>63.427198940312401</v>
      </c>
      <c r="F120" s="234"/>
      <c r="G120" s="145"/>
      <c r="H120" s="166"/>
      <c r="I120" s="27"/>
      <c r="J120" s="289">
        <f t="shared" si="65"/>
        <v>147244</v>
      </c>
      <c r="K120" s="44">
        <f t="shared" si="65"/>
        <v>390187</v>
      </c>
      <c r="L120" s="257">
        <f t="shared" si="66"/>
        <v>165</v>
      </c>
      <c r="M120" s="27">
        <f>IFERROR(100/'Skjema total MA'!I120*K120,0)</f>
        <v>63.427198940312401</v>
      </c>
    </row>
    <row r="121" spans="1:14" x14ac:dyDescent="0.2">
      <c r="A121" s="21" t="s">
        <v>10</v>
      </c>
      <c r="B121" s="234"/>
      <c r="C121" s="145"/>
      <c r="D121" s="166"/>
      <c r="E121" s="27"/>
      <c r="F121" s="234">
        <v>3357473</v>
      </c>
      <c r="G121" s="145">
        <v>6027479</v>
      </c>
      <c r="H121" s="166">
        <f t="shared" si="67"/>
        <v>79.5</v>
      </c>
      <c r="I121" s="27">
        <f>IFERROR(100/'Skjema total MA'!F121*G121,0)</f>
        <v>26.863383031770404</v>
      </c>
      <c r="J121" s="289">
        <f t="shared" si="65"/>
        <v>3357473</v>
      </c>
      <c r="K121" s="44">
        <f t="shared" si="65"/>
        <v>6027479</v>
      </c>
      <c r="L121" s="257">
        <f t="shared" si="66"/>
        <v>79.5</v>
      </c>
      <c r="M121" s="27">
        <f>IFERROR(100/'Skjema total MA'!I121*K121,0)</f>
        <v>26.833723674872076</v>
      </c>
    </row>
    <row r="122" spans="1:14" x14ac:dyDescent="0.2">
      <c r="A122" s="21" t="s">
        <v>26</v>
      </c>
      <c r="B122" s="234"/>
      <c r="C122" s="145"/>
      <c r="D122" s="166"/>
      <c r="E122" s="27"/>
      <c r="F122" s="234"/>
      <c r="G122" s="145"/>
      <c r="H122" s="166"/>
      <c r="I122" s="27"/>
      <c r="J122" s="289"/>
      <c r="K122" s="44"/>
      <c r="L122" s="257"/>
      <c r="M122" s="27"/>
    </row>
    <row r="123" spans="1:14" x14ac:dyDescent="0.2">
      <c r="A123" s="298" t="s">
        <v>14</v>
      </c>
      <c r="B123" s="283"/>
      <c r="C123" s="283"/>
      <c r="D123" s="166"/>
      <c r="E123" s="418"/>
      <c r="F123" s="283"/>
      <c r="G123" s="283"/>
      <c r="H123" s="166"/>
      <c r="I123" s="418"/>
      <c r="J123" s="292"/>
      <c r="K123" s="292"/>
      <c r="L123" s="166"/>
      <c r="M123" s="23"/>
    </row>
    <row r="124" spans="1:14" ht="15.75" x14ac:dyDescent="0.2">
      <c r="A124" s="21" t="s">
        <v>472</v>
      </c>
      <c r="B124" s="234">
        <v>73212</v>
      </c>
      <c r="C124" s="234">
        <v>56060.413999999997</v>
      </c>
      <c r="D124" s="166">
        <f t="shared" si="64"/>
        <v>-23.4</v>
      </c>
      <c r="E124" s="27">
        <f>IFERROR(100/'Skjema total MA'!C124*C124,0)</f>
        <v>90.975305028321813</v>
      </c>
      <c r="F124" s="234"/>
      <c r="G124" s="234"/>
      <c r="H124" s="166"/>
      <c r="I124" s="27"/>
      <c r="J124" s="289">
        <f t="shared" si="65"/>
        <v>73212</v>
      </c>
      <c r="K124" s="44">
        <f t="shared" si="65"/>
        <v>56060.413999999997</v>
      </c>
      <c r="L124" s="257">
        <f t="shared" si="66"/>
        <v>-23.4</v>
      </c>
      <c r="M124" s="27">
        <f>IFERROR(100/'Skjema total MA'!I124*K124,0)</f>
        <v>61.083891546013703</v>
      </c>
    </row>
    <row r="125" spans="1:14" ht="15.75" x14ac:dyDescent="0.2">
      <c r="A125" s="21" t="s">
        <v>464</v>
      </c>
      <c r="B125" s="234"/>
      <c r="C125" s="234"/>
      <c r="D125" s="166"/>
      <c r="E125" s="27"/>
      <c r="F125" s="234">
        <v>764649</v>
      </c>
      <c r="G125" s="234">
        <v>1004527.12</v>
      </c>
      <c r="H125" s="166">
        <f t="shared" si="67"/>
        <v>31.4</v>
      </c>
      <c r="I125" s="27">
        <f>IFERROR(100/'Skjema total MA'!F125*G125,0)</f>
        <v>27.973900378164533</v>
      </c>
      <c r="J125" s="289">
        <f t="shared" si="65"/>
        <v>764649</v>
      </c>
      <c r="K125" s="44">
        <f t="shared" si="65"/>
        <v>1004527.12</v>
      </c>
      <c r="L125" s="257">
        <f t="shared" si="66"/>
        <v>31.4</v>
      </c>
      <c r="M125" s="27">
        <f>IFERROR(100/'Skjema total MA'!I125*K125,0)</f>
        <v>27.953840857367229</v>
      </c>
    </row>
    <row r="126" spans="1:14" ht="15.75" x14ac:dyDescent="0.2">
      <c r="A126" s="10" t="s">
        <v>465</v>
      </c>
      <c r="B126" s="45"/>
      <c r="C126" s="45"/>
      <c r="D126" s="167"/>
      <c r="E126" s="419"/>
      <c r="F126" s="45"/>
      <c r="G126" s="45"/>
      <c r="H126" s="167"/>
      <c r="I126" s="22"/>
      <c r="J126" s="290"/>
      <c r="K126" s="45"/>
      <c r="L126" s="258"/>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1022"/>
      <c r="C130" s="1022"/>
      <c r="D130" s="1022"/>
      <c r="E130" s="301"/>
      <c r="F130" s="1022"/>
      <c r="G130" s="1022"/>
      <c r="H130" s="1022"/>
      <c r="I130" s="301"/>
      <c r="J130" s="1022"/>
      <c r="K130" s="1022"/>
      <c r="L130" s="1022"/>
      <c r="M130" s="301"/>
    </row>
    <row r="131" spans="1:14" s="3" customFormat="1" x14ac:dyDescent="0.2">
      <c r="A131" s="144"/>
      <c r="B131" s="1023" t="s">
        <v>0</v>
      </c>
      <c r="C131" s="1024"/>
      <c r="D131" s="1024"/>
      <c r="E131" s="303"/>
      <c r="F131" s="1023" t="s">
        <v>1</v>
      </c>
      <c r="G131" s="1024"/>
      <c r="H131" s="1024"/>
      <c r="I131" s="306"/>
      <c r="J131" s="1023" t="s">
        <v>2</v>
      </c>
      <c r="K131" s="1024"/>
      <c r="L131" s="1024"/>
      <c r="M131" s="306"/>
      <c r="N131" s="148"/>
    </row>
    <row r="132" spans="1:14" s="3" customFormat="1" x14ac:dyDescent="0.2">
      <c r="A132" s="140"/>
      <c r="B132" s="152" t="s">
        <v>502</v>
      </c>
      <c r="C132" s="152" t="s">
        <v>503</v>
      </c>
      <c r="D132" s="245" t="s">
        <v>3</v>
      </c>
      <c r="E132" s="307" t="s">
        <v>29</v>
      </c>
      <c r="F132" s="152" t="s">
        <v>502</v>
      </c>
      <c r="G132" s="152" t="s">
        <v>503</v>
      </c>
      <c r="H132" s="206" t="s">
        <v>3</v>
      </c>
      <c r="I132" s="162" t="s">
        <v>29</v>
      </c>
      <c r="J132" s="152" t="s">
        <v>502</v>
      </c>
      <c r="K132" s="152" t="s">
        <v>503</v>
      </c>
      <c r="L132" s="246" t="s">
        <v>3</v>
      </c>
      <c r="M132" s="162" t="s">
        <v>29</v>
      </c>
      <c r="N132" s="148"/>
    </row>
    <row r="133" spans="1:14" s="3" customFormat="1" x14ac:dyDescent="0.2">
      <c r="A133" s="990"/>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468</v>
      </c>
      <c r="B134" s="236"/>
      <c r="C134" s="311"/>
      <c r="D134" s="351"/>
      <c r="E134" s="11"/>
      <c r="F134" s="318"/>
      <c r="G134" s="319"/>
      <c r="H134" s="432"/>
      <c r="I134" s="24"/>
      <c r="J134" s="320"/>
      <c r="K134" s="320"/>
      <c r="L134" s="428"/>
      <c r="M134" s="11"/>
      <c r="N134" s="148"/>
    </row>
    <row r="135" spans="1:14" s="3" customFormat="1" ht="15.75" x14ac:dyDescent="0.2">
      <c r="A135" s="13" t="s">
        <v>473</v>
      </c>
      <c r="B135" s="236"/>
      <c r="C135" s="311"/>
      <c r="D135" s="171"/>
      <c r="E135" s="11"/>
      <c r="F135" s="236"/>
      <c r="G135" s="311"/>
      <c r="H135" s="433"/>
      <c r="I135" s="24"/>
      <c r="J135" s="310"/>
      <c r="K135" s="310"/>
      <c r="L135" s="429"/>
      <c r="M135" s="11"/>
      <c r="N135" s="148"/>
    </row>
    <row r="136" spans="1:14" s="3" customFormat="1" ht="15.75" x14ac:dyDescent="0.2">
      <c r="A136" s="13" t="s">
        <v>470</v>
      </c>
      <c r="B136" s="236"/>
      <c r="C136" s="311"/>
      <c r="D136" s="171"/>
      <c r="E136" s="11"/>
      <c r="F136" s="236"/>
      <c r="G136" s="311"/>
      <c r="H136" s="433"/>
      <c r="I136" s="24"/>
      <c r="J136" s="310"/>
      <c r="K136" s="310"/>
      <c r="L136" s="429"/>
      <c r="M136" s="11"/>
      <c r="N136" s="148"/>
    </row>
    <row r="137" spans="1:14" s="3" customFormat="1" ht="15.75" x14ac:dyDescent="0.2">
      <c r="A137" s="41" t="s">
        <v>471</v>
      </c>
      <c r="B137" s="278"/>
      <c r="C137" s="317"/>
      <c r="D137" s="169"/>
      <c r="E137" s="9"/>
      <c r="F137" s="278"/>
      <c r="G137" s="317"/>
      <c r="H137" s="434"/>
      <c r="I137" s="36"/>
      <c r="J137" s="316"/>
      <c r="K137" s="316"/>
      <c r="L137" s="430"/>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2210" priority="132">
      <formula>kvartal &lt; 4</formula>
    </cfRule>
  </conditionalFormatting>
  <conditionalFormatting sqref="B69">
    <cfRule type="expression" dxfId="2209" priority="100">
      <formula>kvartal &lt; 4</formula>
    </cfRule>
  </conditionalFormatting>
  <conditionalFormatting sqref="C69">
    <cfRule type="expression" dxfId="2208" priority="99">
      <formula>kvartal &lt; 4</formula>
    </cfRule>
  </conditionalFormatting>
  <conditionalFormatting sqref="B72">
    <cfRule type="expression" dxfId="2207" priority="98">
      <formula>kvartal &lt; 4</formula>
    </cfRule>
  </conditionalFormatting>
  <conditionalFormatting sqref="C72">
    <cfRule type="expression" dxfId="2206" priority="97">
      <formula>kvartal &lt; 4</formula>
    </cfRule>
  </conditionalFormatting>
  <conditionalFormatting sqref="B80">
    <cfRule type="expression" dxfId="2205" priority="96">
      <formula>kvartal &lt; 4</formula>
    </cfRule>
  </conditionalFormatting>
  <conditionalFormatting sqref="C80">
    <cfRule type="expression" dxfId="2204" priority="95">
      <formula>kvartal &lt; 4</formula>
    </cfRule>
  </conditionalFormatting>
  <conditionalFormatting sqref="B83">
    <cfRule type="expression" dxfId="2203" priority="94">
      <formula>kvartal &lt; 4</formula>
    </cfRule>
  </conditionalFormatting>
  <conditionalFormatting sqref="C83">
    <cfRule type="expression" dxfId="2202" priority="93">
      <formula>kvartal &lt; 4</formula>
    </cfRule>
  </conditionalFormatting>
  <conditionalFormatting sqref="B90">
    <cfRule type="expression" dxfId="2201" priority="84">
      <formula>kvartal &lt; 4</formula>
    </cfRule>
  </conditionalFormatting>
  <conditionalFormatting sqref="C90">
    <cfRule type="expression" dxfId="2200" priority="83">
      <formula>kvartal &lt; 4</formula>
    </cfRule>
  </conditionalFormatting>
  <conditionalFormatting sqref="B93">
    <cfRule type="expression" dxfId="2199" priority="82">
      <formula>kvartal &lt; 4</formula>
    </cfRule>
  </conditionalFormatting>
  <conditionalFormatting sqref="C93">
    <cfRule type="expression" dxfId="2198" priority="81">
      <formula>kvartal &lt; 4</formula>
    </cfRule>
  </conditionalFormatting>
  <conditionalFormatting sqref="B101">
    <cfRule type="expression" dxfId="2197" priority="80">
      <formula>kvartal &lt; 4</formula>
    </cfRule>
  </conditionalFormatting>
  <conditionalFormatting sqref="C101">
    <cfRule type="expression" dxfId="2196" priority="79">
      <formula>kvartal &lt; 4</formula>
    </cfRule>
  </conditionalFormatting>
  <conditionalFormatting sqref="B104">
    <cfRule type="expression" dxfId="2195" priority="78">
      <formula>kvartal &lt; 4</formula>
    </cfRule>
  </conditionalFormatting>
  <conditionalFormatting sqref="C104">
    <cfRule type="expression" dxfId="2194" priority="77">
      <formula>kvartal &lt; 4</formula>
    </cfRule>
  </conditionalFormatting>
  <conditionalFormatting sqref="B115">
    <cfRule type="expression" dxfId="2193" priority="76">
      <formula>kvartal &lt; 4</formula>
    </cfRule>
  </conditionalFormatting>
  <conditionalFormatting sqref="C115">
    <cfRule type="expression" dxfId="2192" priority="75">
      <formula>kvartal &lt; 4</formula>
    </cfRule>
  </conditionalFormatting>
  <conditionalFormatting sqref="B123">
    <cfRule type="expression" dxfId="2191" priority="74">
      <formula>kvartal &lt; 4</formula>
    </cfRule>
  </conditionalFormatting>
  <conditionalFormatting sqref="C123">
    <cfRule type="expression" dxfId="2190" priority="73">
      <formula>kvartal &lt; 4</formula>
    </cfRule>
  </conditionalFormatting>
  <conditionalFormatting sqref="F70">
    <cfRule type="expression" dxfId="2189" priority="72">
      <formula>kvartal &lt; 4</formula>
    </cfRule>
  </conditionalFormatting>
  <conditionalFormatting sqref="G70">
    <cfRule type="expression" dxfId="2188" priority="71">
      <formula>kvartal &lt; 4</formula>
    </cfRule>
  </conditionalFormatting>
  <conditionalFormatting sqref="F71:G71">
    <cfRule type="expression" dxfId="2187" priority="70">
      <formula>kvartal &lt; 4</formula>
    </cfRule>
  </conditionalFormatting>
  <conditionalFormatting sqref="F73:G74">
    <cfRule type="expression" dxfId="2186" priority="69">
      <formula>kvartal &lt; 4</formula>
    </cfRule>
  </conditionalFormatting>
  <conditionalFormatting sqref="F81:G82">
    <cfRule type="expression" dxfId="2185" priority="68">
      <formula>kvartal &lt; 4</formula>
    </cfRule>
  </conditionalFormatting>
  <conditionalFormatting sqref="F84:G85">
    <cfRule type="expression" dxfId="2184" priority="67">
      <formula>kvartal &lt; 4</formula>
    </cfRule>
  </conditionalFormatting>
  <conditionalFormatting sqref="F91:G92">
    <cfRule type="expression" dxfId="2183" priority="62">
      <formula>kvartal &lt; 4</formula>
    </cfRule>
  </conditionalFormatting>
  <conditionalFormatting sqref="F94:G95">
    <cfRule type="expression" dxfId="2182" priority="61">
      <formula>kvartal &lt; 4</formula>
    </cfRule>
  </conditionalFormatting>
  <conditionalFormatting sqref="F102:G103">
    <cfRule type="expression" dxfId="2181" priority="60">
      <formula>kvartal &lt; 4</formula>
    </cfRule>
  </conditionalFormatting>
  <conditionalFormatting sqref="F105:G106">
    <cfRule type="expression" dxfId="2180" priority="59">
      <formula>kvartal &lt; 4</formula>
    </cfRule>
  </conditionalFormatting>
  <conditionalFormatting sqref="F115">
    <cfRule type="expression" dxfId="2179" priority="58">
      <formula>kvartal &lt; 4</formula>
    </cfRule>
  </conditionalFormatting>
  <conditionalFormatting sqref="G115">
    <cfRule type="expression" dxfId="2178" priority="57">
      <formula>kvartal &lt; 4</formula>
    </cfRule>
  </conditionalFormatting>
  <conditionalFormatting sqref="F123:G123">
    <cfRule type="expression" dxfId="2177" priority="56">
      <formula>kvartal &lt; 4</formula>
    </cfRule>
  </conditionalFormatting>
  <conditionalFormatting sqref="F69:G69">
    <cfRule type="expression" dxfId="2176" priority="55">
      <formula>kvartal &lt; 4</formula>
    </cfRule>
  </conditionalFormatting>
  <conditionalFormatting sqref="F72:G72">
    <cfRule type="expression" dxfId="2175" priority="54">
      <formula>kvartal &lt; 4</formula>
    </cfRule>
  </conditionalFormatting>
  <conditionalFormatting sqref="F80:G80">
    <cfRule type="expression" dxfId="2174" priority="53">
      <formula>kvartal &lt; 4</formula>
    </cfRule>
  </conditionalFormatting>
  <conditionalFormatting sqref="F83:G83">
    <cfRule type="expression" dxfId="2173" priority="52">
      <formula>kvartal &lt; 4</formula>
    </cfRule>
  </conditionalFormatting>
  <conditionalFormatting sqref="F90:G90">
    <cfRule type="expression" dxfId="2172" priority="46">
      <formula>kvartal &lt; 4</formula>
    </cfRule>
  </conditionalFormatting>
  <conditionalFormatting sqref="F93">
    <cfRule type="expression" dxfId="2171" priority="45">
      <formula>kvartal &lt; 4</formula>
    </cfRule>
  </conditionalFormatting>
  <conditionalFormatting sqref="G93">
    <cfRule type="expression" dxfId="2170" priority="44">
      <formula>kvartal &lt; 4</formula>
    </cfRule>
  </conditionalFormatting>
  <conditionalFormatting sqref="F101">
    <cfRule type="expression" dxfId="2169" priority="43">
      <formula>kvartal &lt; 4</formula>
    </cfRule>
  </conditionalFormatting>
  <conditionalFormatting sqref="G101">
    <cfRule type="expression" dxfId="2168" priority="42">
      <formula>kvartal &lt; 4</formula>
    </cfRule>
  </conditionalFormatting>
  <conditionalFormatting sqref="G104">
    <cfRule type="expression" dxfId="2167" priority="41">
      <formula>kvartal &lt; 4</formula>
    </cfRule>
  </conditionalFormatting>
  <conditionalFormatting sqref="F104">
    <cfRule type="expression" dxfId="2166" priority="40">
      <formula>kvartal &lt; 4</formula>
    </cfRule>
  </conditionalFormatting>
  <conditionalFormatting sqref="J69:K71 J73:K73">
    <cfRule type="expression" dxfId="2165" priority="39">
      <formula>kvartal &lt; 4</formula>
    </cfRule>
  </conditionalFormatting>
  <conditionalFormatting sqref="J80:K82 J84:K84">
    <cfRule type="expression" dxfId="2164" priority="37">
      <formula>kvartal &lt; 4</formula>
    </cfRule>
  </conditionalFormatting>
  <conditionalFormatting sqref="J92:K92 J94:K94">
    <cfRule type="expression" dxfId="2163" priority="34">
      <formula>kvartal &lt; 4</formula>
    </cfRule>
  </conditionalFormatting>
  <conditionalFormatting sqref="J101:K103 J105:K105">
    <cfRule type="expression" dxfId="2162" priority="33">
      <formula>kvartal &lt; 4</formula>
    </cfRule>
  </conditionalFormatting>
  <conditionalFormatting sqref="J115:K115">
    <cfRule type="expression" dxfId="2161" priority="32">
      <formula>kvartal &lt; 4</formula>
    </cfRule>
  </conditionalFormatting>
  <conditionalFormatting sqref="J123:K123">
    <cfRule type="expression" dxfId="2160" priority="31">
      <formula>kvartal &lt; 4</formula>
    </cfRule>
  </conditionalFormatting>
  <conditionalFormatting sqref="A50:A52">
    <cfRule type="expression" dxfId="2159" priority="12">
      <formula>kvartal &lt; 4</formula>
    </cfRule>
  </conditionalFormatting>
  <conditionalFormatting sqref="A69:A74">
    <cfRule type="expression" dxfId="2158" priority="10">
      <formula>kvartal &lt; 4</formula>
    </cfRule>
  </conditionalFormatting>
  <conditionalFormatting sqref="A80:A85">
    <cfRule type="expression" dxfId="2157" priority="9">
      <formula>kvartal &lt; 4</formula>
    </cfRule>
  </conditionalFormatting>
  <conditionalFormatting sqref="A90:A95">
    <cfRule type="expression" dxfId="2156" priority="6">
      <formula>kvartal &lt; 4</formula>
    </cfRule>
  </conditionalFormatting>
  <conditionalFormatting sqref="A101:A106">
    <cfRule type="expression" dxfId="2155" priority="5">
      <formula>kvartal &lt; 4</formula>
    </cfRule>
  </conditionalFormatting>
  <conditionalFormatting sqref="A115">
    <cfRule type="expression" dxfId="2154" priority="4">
      <formula>kvartal &lt; 4</formula>
    </cfRule>
  </conditionalFormatting>
  <conditionalFormatting sqref="A123">
    <cfRule type="expression" dxfId="2153" priority="3">
      <formula>kvartal &lt; 4</formula>
    </cfRule>
  </conditionalFormatting>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3"/>
  <dimension ref="A1:N144"/>
  <sheetViews>
    <sheetView showGridLines="0" zoomScale="120" zoomScaleNormal="120" workbookViewId="0"/>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133</v>
      </c>
      <c r="B1" s="988"/>
      <c r="C1" s="248" t="s">
        <v>122</v>
      </c>
      <c r="D1" s="26"/>
      <c r="E1" s="26"/>
      <c r="F1" s="26"/>
      <c r="G1" s="26"/>
      <c r="H1" s="26"/>
      <c r="I1" s="26"/>
      <c r="J1" s="26"/>
      <c r="K1" s="26"/>
      <c r="L1" s="26"/>
      <c r="M1" s="26"/>
    </row>
    <row r="2" spans="1:14" ht="15.75" x14ac:dyDescent="0.25">
      <c r="A2" s="165" t="s">
        <v>28</v>
      </c>
      <c r="B2" s="1027"/>
      <c r="C2" s="1027"/>
      <c r="D2" s="1027"/>
      <c r="E2" s="301"/>
      <c r="F2" s="1027"/>
      <c r="G2" s="1027"/>
      <c r="H2" s="1027"/>
      <c r="I2" s="301"/>
      <c r="J2" s="1027"/>
      <c r="K2" s="1027"/>
      <c r="L2" s="1027"/>
      <c r="M2" s="301"/>
    </row>
    <row r="3" spans="1:14" ht="15.75" x14ac:dyDescent="0.25">
      <c r="A3" s="163"/>
      <c r="B3" s="301"/>
      <c r="C3" s="301"/>
      <c r="D3" s="301"/>
      <c r="E3" s="301"/>
      <c r="F3" s="301"/>
      <c r="G3" s="301"/>
      <c r="H3" s="301"/>
      <c r="I3" s="301"/>
      <c r="J3" s="301"/>
      <c r="K3" s="301"/>
      <c r="L3" s="301"/>
      <c r="M3" s="301"/>
    </row>
    <row r="4" spans="1:14" x14ac:dyDescent="0.2">
      <c r="A4" s="144"/>
      <c r="B4" s="1023" t="s">
        <v>0</v>
      </c>
      <c r="C4" s="1024"/>
      <c r="D4" s="1024"/>
      <c r="E4" s="303"/>
      <c r="F4" s="1023" t="s">
        <v>1</v>
      </c>
      <c r="G4" s="1024"/>
      <c r="H4" s="1024"/>
      <c r="I4" s="306"/>
      <c r="J4" s="1023" t="s">
        <v>2</v>
      </c>
      <c r="K4" s="1024"/>
      <c r="L4" s="1024"/>
      <c r="M4" s="306"/>
    </row>
    <row r="5" spans="1:14" x14ac:dyDescent="0.2">
      <c r="A5" s="158"/>
      <c r="B5" s="152" t="s">
        <v>502</v>
      </c>
      <c r="C5" s="152" t="s">
        <v>503</v>
      </c>
      <c r="D5" s="245" t="s">
        <v>3</v>
      </c>
      <c r="E5" s="307" t="s">
        <v>29</v>
      </c>
      <c r="F5" s="152" t="s">
        <v>502</v>
      </c>
      <c r="G5" s="152" t="s">
        <v>503</v>
      </c>
      <c r="H5" s="245" t="s">
        <v>3</v>
      </c>
      <c r="I5" s="162" t="s">
        <v>29</v>
      </c>
      <c r="J5" s="152" t="s">
        <v>502</v>
      </c>
      <c r="K5" s="152" t="s">
        <v>503</v>
      </c>
      <c r="L5" s="245" t="s">
        <v>3</v>
      </c>
      <c r="M5" s="162" t="s">
        <v>29</v>
      </c>
    </row>
    <row r="6" spans="1:14" x14ac:dyDescent="0.2">
      <c r="A6" s="989"/>
      <c r="B6" s="156"/>
      <c r="C6" s="156"/>
      <c r="D6" s="246" t="s">
        <v>4</v>
      </c>
      <c r="E6" s="156" t="s">
        <v>30</v>
      </c>
      <c r="F6" s="161"/>
      <c r="G6" s="161"/>
      <c r="H6" s="245" t="s">
        <v>4</v>
      </c>
      <c r="I6" s="156" t="s">
        <v>30</v>
      </c>
      <c r="J6" s="161"/>
      <c r="K6" s="161"/>
      <c r="L6" s="245" t="s">
        <v>4</v>
      </c>
      <c r="M6" s="156" t="s">
        <v>30</v>
      </c>
    </row>
    <row r="7" spans="1:14" ht="15.75" x14ac:dyDescent="0.2">
      <c r="A7" s="14" t="s">
        <v>23</v>
      </c>
      <c r="B7" s="308">
        <v>323640</v>
      </c>
      <c r="C7" s="309">
        <v>335372</v>
      </c>
      <c r="D7" s="351">
        <f>IF(B7=0, "    ---- ", IF(ABS(ROUND(100/B7*C7-100,1))&lt;999,ROUND(100/B7*C7-100,1),IF(ROUND(100/B7*C7-100,1)&gt;999,999,-999)))</f>
        <v>3.6</v>
      </c>
      <c r="E7" s="11">
        <f>IFERROR(100/'Skjema total MA'!C7*C7,0)</f>
        <v>7.0540953496083292</v>
      </c>
      <c r="F7" s="308"/>
      <c r="G7" s="309"/>
      <c r="H7" s="351"/>
      <c r="I7" s="160"/>
      <c r="J7" s="310">
        <f t="shared" ref="J7:K10" si="0">SUM(B7,F7)</f>
        <v>323640</v>
      </c>
      <c r="K7" s="311">
        <f t="shared" si="0"/>
        <v>335372</v>
      </c>
      <c r="L7" s="428">
        <f>IF(J7=0, "    ---- ", IF(ABS(ROUND(100/J7*K7-100,1))&lt;999,ROUND(100/J7*K7-100,1),IF(ROUND(100/J7*K7-100,1)&gt;999,999,-999)))</f>
        <v>3.6</v>
      </c>
      <c r="M7" s="11">
        <f>IFERROR(100/'Skjema total MA'!I7*K7,0)</f>
        <v>2.227661855240215</v>
      </c>
    </row>
    <row r="8" spans="1:14" ht="15.75" x14ac:dyDescent="0.2">
      <c r="A8" s="21" t="s">
        <v>25</v>
      </c>
      <c r="B8" s="283">
        <v>159489</v>
      </c>
      <c r="C8" s="284">
        <v>165835</v>
      </c>
      <c r="D8" s="166">
        <f t="shared" ref="D8:D10" si="1">IF(B8=0, "    ---- ", IF(ABS(ROUND(100/B8*C8-100,1))&lt;999,ROUND(100/B8*C8-100,1),IF(ROUND(100/B8*C8-100,1)&gt;999,999,-999)))</f>
        <v>4</v>
      </c>
      <c r="E8" s="27">
        <f>IFERROR(100/'Skjema total MA'!C8*C8,0)</f>
        <v>5.344707205664152</v>
      </c>
      <c r="F8" s="287"/>
      <c r="G8" s="288"/>
      <c r="H8" s="166"/>
      <c r="I8" s="175"/>
      <c r="J8" s="234">
        <f t="shared" si="0"/>
        <v>159489</v>
      </c>
      <c r="K8" s="289">
        <f t="shared" si="0"/>
        <v>165835</v>
      </c>
      <c r="L8" s="166">
        <f t="shared" ref="L8:L9" si="2">IF(J8=0, "    ---- ", IF(ABS(ROUND(100/J8*K8-100,1))&lt;999,ROUND(100/J8*K8-100,1),IF(ROUND(100/J8*K8-100,1)&gt;999,999,-999)))</f>
        <v>4</v>
      </c>
      <c r="M8" s="27">
        <f>IFERROR(100/'Skjema total MA'!I8*K8,0)</f>
        <v>5.344707205664152</v>
      </c>
    </row>
    <row r="9" spans="1:14" ht="15.75" x14ac:dyDescent="0.2">
      <c r="A9" s="21" t="s">
        <v>24</v>
      </c>
      <c r="B9" s="283">
        <v>164151</v>
      </c>
      <c r="C9" s="284">
        <v>169537</v>
      </c>
      <c r="D9" s="166">
        <f t="shared" si="1"/>
        <v>3.3</v>
      </c>
      <c r="E9" s="27">
        <f>IFERROR(100/'Skjema total MA'!C9*C9,0)</f>
        <v>17.879344477420794</v>
      </c>
      <c r="F9" s="287"/>
      <c r="G9" s="288"/>
      <c r="H9" s="166"/>
      <c r="I9" s="175"/>
      <c r="J9" s="234">
        <f t="shared" si="0"/>
        <v>164151</v>
      </c>
      <c r="K9" s="289">
        <f t="shared" si="0"/>
        <v>169537</v>
      </c>
      <c r="L9" s="166">
        <f t="shared" si="2"/>
        <v>3.3</v>
      </c>
      <c r="M9" s="27">
        <f>IFERROR(100/'Skjema total MA'!I9*K9,0)</f>
        <v>17.879344477420794</v>
      </c>
    </row>
    <row r="10" spans="1:14" ht="15.75" x14ac:dyDescent="0.2">
      <c r="A10" s="13" t="s">
        <v>444</v>
      </c>
      <c r="B10" s="312">
        <v>503320</v>
      </c>
      <c r="C10" s="313">
        <v>543598</v>
      </c>
      <c r="D10" s="171">
        <f t="shared" si="1"/>
        <v>8</v>
      </c>
      <c r="E10" s="11">
        <f>IFERROR(100/'Skjema total MA'!C10*C10,0)</f>
        <v>2.7554005057039244</v>
      </c>
      <c r="F10" s="312"/>
      <c r="G10" s="313"/>
      <c r="H10" s="171"/>
      <c r="I10" s="160"/>
      <c r="J10" s="310">
        <f t="shared" si="0"/>
        <v>503320</v>
      </c>
      <c r="K10" s="311">
        <f t="shared" si="0"/>
        <v>543598</v>
      </c>
      <c r="L10" s="429">
        <f t="shared" ref="L10" si="3">IF(J10=0, "    ---- ", IF(ABS(ROUND(100/J10*K10-100,1))&lt;999,ROUND(100/J10*K10-100,1),IF(ROUND(100/J10*K10-100,1)&gt;999,999,-999)))</f>
        <v>8</v>
      </c>
      <c r="M10" s="11">
        <f>IFERROR(100/'Skjema total MA'!I10*K10,0)</f>
        <v>0.67595008621747654</v>
      </c>
    </row>
    <row r="11" spans="1:14" s="43" customFormat="1" ht="15.75" x14ac:dyDescent="0.2">
      <c r="A11" s="13" t="s">
        <v>445</v>
      </c>
      <c r="B11" s="312"/>
      <c r="C11" s="313"/>
      <c r="D11" s="171"/>
      <c r="E11" s="11"/>
      <c r="F11" s="312"/>
      <c r="G11" s="313"/>
      <c r="H11" s="171"/>
      <c r="I11" s="160"/>
      <c r="J11" s="310"/>
      <c r="K11" s="311"/>
      <c r="L11" s="429"/>
      <c r="M11" s="11"/>
      <c r="N11" s="143"/>
    </row>
    <row r="12" spans="1:14" s="43" customFormat="1" ht="15.75" x14ac:dyDescent="0.2">
      <c r="A12" s="41" t="s">
        <v>446</v>
      </c>
      <c r="B12" s="314"/>
      <c r="C12" s="315"/>
      <c r="D12" s="169"/>
      <c r="E12" s="36"/>
      <c r="F12" s="314"/>
      <c r="G12" s="315"/>
      <c r="H12" s="169"/>
      <c r="I12" s="169"/>
      <c r="J12" s="316"/>
      <c r="K12" s="317"/>
      <c r="L12" s="430"/>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1022"/>
      <c r="C18" s="1022"/>
      <c r="D18" s="1022"/>
      <c r="E18" s="301"/>
      <c r="F18" s="1022"/>
      <c r="G18" s="1022"/>
      <c r="H18" s="1022"/>
      <c r="I18" s="301"/>
      <c r="J18" s="1022"/>
      <c r="K18" s="1022"/>
      <c r="L18" s="1022"/>
      <c r="M18" s="301"/>
    </row>
    <row r="19" spans="1:14" x14ac:dyDescent="0.2">
      <c r="A19" s="144"/>
      <c r="B19" s="1023" t="s">
        <v>0</v>
      </c>
      <c r="C19" s="1024"/>
      <c r="D19" s="1024"/>
      <c r="E19" s="303"/>
      <c r="F19" s="1023" t="s">
        <v>1</v>
      </c>
      <c r="G19" s="1024"/>
      <c r="H19" s="1024"/>
      <c r="I19" s="306"/>
      <c r="J19" s="1023" t="s">
        <v>2</v>
      </c>
      <c r="K19" s="1024"/>
      <c r="L19" s="1024"/>
      <c r="M19" s="306"/>
    </row>
    <row r="20" spans="1:14" x14ac:dyDescent="0.2">
      <c r="A20" s="140" t="s">
        <v>5</v>
      </c>
      <c r="B20" s="152" t="s">
        <v>502</v>
      </c>
      <c r="C20" s="152" t="s">
        <v>503</v>
      </c>
      <c r="D20" s="162" t="s">
        <v>3</v>
      </c>
      <c r="E20" s="307" t="s">
        <v>29</v>
      </c>
      <c r="F20" s="152" t="s">
        <v>502</v>
      </c>
      <c r="G20" s="152" t="s">
        <v>503</v>
      </c>
      <c r="H20" s="162" t="s">
        <v>3</v>
      </c>
      <c r="I20" s="162" t="s">
        <v>29</v>
      </c>
      <c r="J20" s="152" t="s">
        <v>502</v>
      </c>
      <c r="K20" s="152" t="s">
        <v>503</v>
      </c>
      <c r="L20" s="162" t="s">
        <v>3</v>
      </c>
      <c r="M20" s="162" t="s">
        <v>29</v>
      </c>
    </row>
    <row r="21" spans="1:14" x14ac:dyDescent="0.2">
      <c r="A21" s="990"/>
      <c r="B21" s="156"/>
      <c r="C21" s="156"/>
      <c r="D21" s="246" t="s">
        <v>4</v>
      </c>
      <c r="E21" s="156" t="s">
        <v>30</v>
      </c>
      <c r="F21" s="161"/>
      <c r="G21" s="161"/>
      <c r="H21" s="245" t="s">
        <v>4</v>
      </c>
      <c r="I21" s="156" t="s">
        <v>30</v>
      </c>
      <c r="J21" s="161"/>
      <c r="K21" s="161"/>
      <c r="L21" s="156" t="s">
        <v>4</v>
      </c>
      <c r="M21" s="156" t="s">
        <v>30</v>
      </c>
    </row>
    <row r="22" spans="1:14" ht="15.75" x14ac:dyDescent="0.2">
      <c r="A22" s="14" t="s">
        <v>23</v>
      </c>
      <c r="B22" s="312"/>
      <c r="C22" s="312"/>
      <c r="D22" s="351"/>
      <c r="E22" s="11"/>
      <c r="F22" s="320"/>
      <c r="G22" s="320"/>
      <c r="H22" s="351"/>
      <c r="I22" s="11"/>
      <c r="J22" s="318"/>
      <c r="K22" s="318"/>
      <c r="L22" s="428"/>
      <c r="M22" s="24"/>
    </row>
    <row r="23" spans="1:14" ht="15.75" x14ac:dyDescent="0.2">
      <c r="A23" s="811" t="s">
        <v>447</v>
      </c>
      <c r="B23" s="283"/>
      <c r="C23" s="283"/>
      <c r="D23" s="166"/>
      <c r="E23" s="11"/>
      <c r="F23" s="292"/>
      <c r="G23" s="292"/>
      <c r="H23" s="166"/>
      <c r="I23" s="418"/>
      <c r="J23" s="292"/>
      <c r="K23" s="292"/>
      <c r="L23" s="166"/>
      <c r="M23" s="23"/>
    </row>
    <row r="24" spans="1:14" ht="15.75" x14ac:dyDescent="0.2">
      <c r="A24" s="811" t="s">
        <v>448</v>
      </c>
      <c r="B24" s="283"/>
      <c r="C24" s="283"/>
      <c r="D24" s="166"/>
      <c r="E24" s="11"/>
      <c r="F24" s="292"/>
      <c r="G24" s="292"/>
      <c r="H24" s="166"/>
      <c r="I24" s="418"/>
      <c r="J24" s="292"/>
      <c r="K24" s="292"/>
      <c r="L24" s="166"/>
      <c r="M24" s="23"/>
    </row>
    <row r="25" spans="1:14" ht="15.75" x14ac:dyDescent="0.2">
      <c r="A25" s="811" t="s">
        <v>449</v>
      </c>
      <c r="B25" s="283"/>
      <c r="C25" s="283"/>
      <c r="D25" s="166"/>
      <c r="E25" s="11"/>
      <c r="F25" s="292"/>
      <c r="G25" s="292"/>
      <c r="H25" s="166"/>
      <c r="I25" s="418"/>
      <c r="J25" s="292"/>
      <c r="K25" s="292"/>
      <c r="L25" s="166"/>
      <c r="M25" s="23"/>
    </row>
    <row r="26" spans="1:14" ht="15.75" x14ac:dyDescent="0.2">
      <c r="A26" s="811" t="s">
        <v>450</v>
      </c>
      <c r="B26" s="283"/>
      <c r="C26" s="283"/>
      <c r="D26" s="166"/>
      <c r="E26" s="11"/>
      <c r="F26" s="292"/>
      <c r="G26" s="292"/>
      <c r="H26" s="166"/>
      <c r="I26" s="418"/>
      <c r="J26" s="292"/>
      <c r="K26" s="292"/>
      <c r="L26" s="166"/>
      <c r="M26" s="23"/>
    </row>
    <row r="27" spans="1:14" x14ac:dyDescent="0.2">
      <c r="A27" s="811" t="s">
        <v>11</v>
      </c>
      <c r="B27" s="283"/>
      <c r="C27" s="283"/>
      <c r="D27" s="166"/>
      <c r="E27" s="11"/>
      <c r="F27" s="292"/>
      <c r="G27" s="292"/>
      <c r="H27" s="166"/>
      <c r="I27" s="418"/>
      <c r="J27" s="292"/>
      <c r="K27" s="292"/>
      <c r="L27" s="166"/>
      <c r="M27" s="23"/>
    </row>
    <row r="28" spans="1:14" ht="15.75" x14ac:dyDescent="0.2">
      <c r="A28" s="49" t="s">
        <v>272</v>
      </c>
      <c r="B28" s="44"/>
      <c r="C28" s="289"/>
      <c r="D28" s="166"/>
      <c r="E28" s="11"/>
      <c r="F28" s="234"/>
      <c r="G28" s="289"/>
      <c r="H28" s="166"/>
      <c r="I28" s="27"/>
      <c r="J28" s="44"/>
      <c r="K28" s="44"/>
      <c r="L28" s="257"/>
      <c r="M28" s="23"/>
    </row>
    <row r="29" spans="1:14" s="3" customFormat="1" ht="15.75" x14ac:dyDescent="0.2">
      <c r="A29" s="13" t="s">
        <v>444</v>
      </c>
      <c r="B29" s="236"/>
      <c r="C29" s="236"/>
      <c r="D29" s="171"/>
      <c r="E29" s="11"/>
      <c r="F29" s="310"/>
      <c r="G29" s="310"/>
      <c r="H29" s="171"/>
      <c r="I29" s="11"/>
      <c r="J29" s="236"/>
      <c r="K29" s="236"/>
      <c r="L29" s="429"/>
      <c r="M29" s="24"/>
      <c r="N29" s="148"/>
    </row>
    <row r="30" spans="1:14" s="3" customFormat="1" ht="15.75" x14ac:dyDescent="0.2">
      <c r="A30" s="811" t="s">
        <v>447</v>
      </c>
      <c r="B30" s="283"/>
      <c r="C30" s="283"/>
      <c r="D30" s="166"/>
      <c r="E30" s="11"/>
      <c r="F30" s="292"/>
      <c r="G30" s="292"/>
      <c r="H30" s="166"/>
      <c r="I30" s="418"/>
      <c r="J30" s="292"/>
      <c r="K30" s="292"/>
      <c r="L30" s="166"/>
      <c r="M30" s="23"/>
      <c r="N30" s="148"/>
    </row>
    <row r="31" spans="1:14" s="3" customFormat="1" ht="15.75" x14ac:dyDescent="0.2">
      <c r="A31" s="811" t="s">
        <v>448</v>
      </c>
      <c r="B31" s="283"/>
      <c r="C31" s="283"/>
      <c r="D31" s="166"/>
      <c r="E31" s="11"/>
      <c r="F31" s="292"/>
      <c r="G31" s="292"/>
      <c r="H31" s="166"/>
      <c r="I31" s="418"/>
      <c r="J31" s="292"/>
      <c r="K31" s="292"/>
      <c r="L31" s="166"/>
      <c r="M31" s="23"/>
      <c r="N31" s="148"/>
    </row>
    <row r="32" spans="1:14" ht="15.75" x14ac:dyDescent="0.2">
      <c r="A32" s="811" t="s">
        <v>449</v>
      </c>
      <c r="B32" s="283"/>
      <c r="C32" s="283"/>
      <c r="D32" s="166"/>
      <c r="E32" s="11"/>
      <c r="F32" s="292"/>
      <c r="G32" s="292"/>
      <c r="H32" s="166"/>
      <c r="I32" s="418"/>
      <c r="J32" s="292"/>
      <c r="K32" s="292"/>
      <c r="L32" s="166"/>
      <c r="M32" s="23"/>
    </row>
    <row r="33" spans="1:14" ht="15.75" x14ac:dyDescent="0.2">
      <c r="A33" s="811" t="s">
        <v>450</v>
      </c>
      <c r="B33" s="283"/>
      <c r="C33" s="283"/>
      <c r="D33" s="166"/>
      <c r="E33" s="11"/>
      <c r="F33" s="292"/>
      <c r="G33" s="292"/>
      <c r="H33" s="166"/>
      <c r="I33" s="418"/>
      <c r="J33" s="292"/>
      <c r="K33" s="292"/>
      <c r="L33" s="166"/>
      <c r="M33" s="23"/>
    </row>
    <row r="34" spans="1:14" ht="15.75" x14ac:dyDescent="0.2">
      <c r="A34" s="13" t="s">
        <v>445</v>
      </c>
      <c r="B34" s="236"/>
      <c r="C34" s="311"/>
      <c r="D34" s="171"/>
      <c r="E34" s="11"/>
      <c r="F34" s="310"/>
      <c r="G34" s="311"/>
      <c r="H34" s="171"/>
      <c r="I34" s="11"/>
      <c r="J34" s="236"/>
      <c r="K34" s="236"/>
      <c r="L34" s="429"/>
      <c r="M34" s="24"/>
    </row>
    <row r="35" spans="1:14" ht="15.75" x14ac:dyDescent="0.2">
      <c r="A35" s="13" t="s">
        <v>446</v>
      </c>
      <c r="B35" s="236"/>
      <c r="C35" s="311"/>
      <c r="D35" s="171"/>
      <c r="E35" s="11"/>
      <c r="F35" s="310"/>
      <c r="G35" s="311"/>
      <c r="H35" s="171"/>
      <c r="I35" s="11"/>
      <c r="J35" s="236"/>
      <c r="K35" s="236"/>
      <c r="L35" s="429"/>
      <c r="M35" s="24"/>
    </row>
    <row r="36" spans="1:14" ht="15.75" x14ac:dyDescent="0.2">
      <c r="A36" s="12" t="s">
        <v>280</v>
      </c>
      <c r="B36" s="236"/>
      <c r="C36" s="311"/>
      <c r="D36" s="171"/>
      <c r="E36" s="11"/>
      <c r="F36" s="321"/>
      <c r="G36" s="322"/>
      <c r="H36" s="171"/>
      <c r="I36" s="435"/>
      <c r="J36" s="236"/>
      <c r="K36" s="236"/>
      <c r="L36" s="429"/>
      <c r="M36" s="24"/>
    </row>
    <row r="37" spans="1:14" ht="15.75" x14ac:dyDescent="0.2">
      <c r="A37" s="12" t="s">
        <v>452</v>
      </c>
      <c r="B37" s="236"/>
      <c r="C37" s="311"/>
      <c r="D37" s="171"/>
      <c r="E37" s="11"/>
      <c r="F37" s="321"/>
      <c r="G37" s="323"/>
      <c r="H37" s="171"/>
      <c r="I37" s="435"/>
      <c r="J37" s="236"/>
      <c r="K37" s="236"/>
      <c r="L37" s="429"/>
      <c r="M37" s="24"/>
    </row>
    <row r="38" spans="1:14" ht="15.75" x14ac:dyDescent="0.2">
      <c r="A38" s="12" t="s">
        <v>453</v>
      </c>
      <c r="B38" s="236"/>
      <c r="C38" s="311"/>
      <c r="D38" s="171"/>
      <c r="E38" s="24"/>
      <c r="F38" s="321"/>
      <c r="G38" s="322"/>
      <c r="H38" s="171"/>
      <c r="I38" s="435"/>
      <c r="J38" s="236"/>
      <c r="K38" s="236"/>
      <c r="L38" s="429"/>
      <c r="M38" s="24"/>
    </row>
    <row r="39" spans="1:14" ht="15.75" x14ac:dyDescent="0.2">
      <c r="A39" s="18" t="s">
        <v>454</v>
      </c>
      <c r="B39" s="278"/>
      <c r="C39" s="317"/>
      <c r="D39" s="169"/>
      <c r="E39" s="36"/>
      <c r="F39" s="324"/>
      <c r="G39" s="325"/>
      <c r="H39" s="169"/>
      <c r="I39" s="36"/>
      <c r="J39" s="236"/>
      <c r="K39" s="236"/>
      <c r="L39" s="430"/>
      <c r="M39" s="36"/>
    </row>
    <row r="40" spans="1:14" ht="15.75" x14ac:dyDescent="0.25">
      <c r="A40" s="47"/>
      <c r="B40" s="256"/>
      <c r="C40" s="256"/>
      <c r="D40" s="1026"/>
      <c r="E40" s="1026"/>
      <c r="F40" s="1026"/>
      <c r="G40" s="1026"/>
      <c r="H40" s="1026"/>
      <c r="I40" s="1026"/>
      <c r="J40" s="1026"/>
      <c r="K40" s="1026"/>
      <c r="L40" s="1026"/>
      <c r="M40" s="304"/>
    </row>
    <row r="41" spans="1:14" x14ac:dyDescent="0.2">
      <c r="A41" s="155"/>
    </row>
    <row r="42" spans="1:14" ht="15.75" x14ac:dyDescent="0.25">
      <c r="A42" s="147" t="s">
        <v>269</v>
      </c>
      <c r="B42" s="1027"/>
      <c r="C42" s="1027"/>
      <c r="D42" s="1027"/>
      <c r="E42" s="301"/>
      <c r="F42" s="1028"/>
      <c r="G42" s="1028"/>
      <c r="H42" s="1028"/>
      <c r="I42" s="304"/>
      <c r="J42" s="1028"/>
      <c r="K42" s="1028"/>
      <c r="L42" s="1028"/>
      <c r="M42" s="304"/>
    </row>
    <row r="43" spans="1:14" ht="15.75" x14ac:dyDescent="0.25">
      <c r="A43" s="163"/>
      <c r="B43" s="305"/>
      <c r="C43" s="305"/>
      <c r="D43" s="305"/>
      <c r="E43" s="305"/>
      <c r="F43" s="304"/>
      <c r="G43" s="304"/>
      <c r="H43" s="304"/>
      <c r="I43" s="304"/>
      <c r="J43" s="304"/>
      <c r="K43" s="304"/>
      <c r="L43" s="304"/>
      <c r="M43" s="304"/>
    </row>
    <row r="44" spans="1:14" ht="15.75" x14ac:dyDescent="0.25">
      <c r="A44" s="247"/>
      <c r="B44" s="1023" t="s">
        <v>0</v>
      </c>
      <c r="C44" s="1024"/>
      <c r="D44" s="1024"/>
      <c r="E44" s="243"/>
      <c r="F44" s="304"/>
      <c r="G44" s="304"/>
      <c r="H44" s="304"/>
      <c r="I44" s="304"/>
      <c r="J44" s="304"/>
      <c r="K44" s="304"/>
      <c r="L44" s="304"/>
      <c r="M44" s="304"/>
    </row>
    <row r="45" spans="1:14" s="3" customFormat="1" x14ac:dyDescent="0.2">
      <c r="A45" s="140"/>
      <c r="B45" s="152" t="s">
        <v>502</v>
      </c>
      <c r="C45" s="152" t="s">
        <v>503</v>
      </c>
      <c r="D45" s="162" t="s">
        <v>3</v>
      </c>
      <c r="E45" s="162" t="s">
        <v>29</v>
      </c>
      <c r="F45" s="174"/>
      <c r="G45" s="174"/>
      <c r="H45" s="173"/>
      <c r="I45" s="173"/>
      <c r="J45" s="174"/>
      <c r="K45" s="174"/>
      <c r="L45" s="173"/>
      <c r="M45" s="173"/>
      <c r="N45" s="148"/>
    </row>
    <row r="46" spans="1:14" s="3" customFormat="1" x14ac:dyDescent="0.2">
      <c r="A46" s="990"/>
      <c r="B46" s="244"/>
      <c r="C46" s="244"/>
      <c r="D46" s="245" t="s">
        <v>4</v>
      </c>
      <c r="E46" s="156" t="s">
        <v>30</v>
      </c>
      <c r="F46" s="173"/>
      <c r="G46" s="173"/>
      <c r="H46" s="173"/>
      <c r="I46" s="173"/>
      <c r="J46" s="173"/>
      <c r="K46" s="173"/>
      <c r="L46" s="173"/>
      <c r="M46" s="173"/>
      <c r="N46" s="148"/>
    </row>
    <row r="47" spans="1:14" s="3" customFormat="1" ht="15.75" x14ac:dyDescent="0.2">
      <c r="A47" s="14" t="s">
        <v>23</v>
      </c>
      <c r="B47" s="312"/>
      <c r="C47" s="313"/>
      <c r="D47" s="428"/>
      <c r="E47" s="11"/>
      <c r="F47" s="145"/>
      <c r="G47" s="33"/>
      <c r="H47" s="159"/>
      <c r="I47" s="159"/>
      <c r="J47" s="37"/>
      <c r="K47" s="37"/>
      <c r="L47" s="159"/>
      <c r="M47" s="159"/>
      <c r="N47" s="148"/>
    </row>
    <row r="48" spans="1:14" s="3" customFormat="1" ht="15.75" x14ac:dyDescent="0.2">
      <c r="A48" s="38" t="s">
        <v>455</v>
      </c>
      <c r="B48" s="283"/>
      <c r="C48" s="284"/>
      <c r="D48" s="257"/>
      <c r="E48" s="27"/>
      <c r="F48" s="145"/>
      <c r="G48" s="33"/>
      <c r="H48" s="145"/>
      <c r="I48" s="145"/>
      <c r="J48" s="33"/>
      <c r="K48" s="33"/>
      <c r="L48" s="159"/>
      <c r="M48" s="159"/>
      <c r="N48" s="148"/>
    </row>
    <row r="49" spans="1:14" s="3" customFormat="1" ht="15.75" x14ac:dyDescent="0.2">
      <c r="A49" s="38" t="s">
        <v>456</v>
      </c>
      <c r="B49" s="44"/>
      <c r="C49" s="289"/>
      <c r="D49" s="257"/>
      <c r="E49" s="27"/>
      <c r="F49" s="145"/>
      <c r="G49" s="33"/>
      <c r="H49" s="145"/>
      <c r="I49" s="145"/>
      <c r="J49" s="37"/>
      <c r="K49" s="37"/>
      <c r="L49" s="159"/>
      <c r="M49" s="159"/>
      <c r="N49" s="148"/>
    </row>
    <row r="50" spans="1:14" s="3" customFormat="1" x14ac:dyDescent="0.2">
      <c r="A50" s="298" t="s">
        <v>6</v>
      </c>
      <c r="B50" s="292"/>
      <c r="C50" s="293"/>
      <c r="D50" s="257"/>
      <c r="E50" s="23"/>
      <c r="F50" s="145"/>
      <c r="G50" s="33"/>
      <c r="H50" s="145"/>
      <c r="I50" s="145"/>
      <c r="J50" s="33"/>
      <c r="K50" s="33"/>
      <c r="L50" s="159"/>
      <c r="M50" s="159"/>
      <c r="N50" s="148"/>
    </row>
    <row r="51" spans="1:14" s="3" customFormat="1" x14ac:dyDescent="0.2">
      <c r="A51" s="298" t="s">
        <v>7</v>
      </c>
      <c r="B51" s="292"/>
      <c r="C51" s="293"/>
      <c r="D51" s="257"/>
      <c r="E51" s="23"/>
      <c r="F51" s="145"/>
      <c r="G51" s="33"/>
      <c r="H51" s="145"/>
      <c r="I51" s="145"/>
      <c r="J51" s="33"/>
      <c r="K51" s="33"/>
      <c r="L51" s="159"/>
      <c r="M51" s="159"/>
      <c r="N51" s="148"/>
    </row>
    <row r="52" spans="1:14" s="3" customFormat="1" x14ac:dyDescent="0.2">
      <c r="A52" s="298" t="s">
        <v>8</v>
      </c>
      <c r="B52" s="292"/>
      <c r="C52" s="293"/>
      <c r="D52" s="257"/>
      <c r="E52" s="23"/>
      <c r="F52" s="145"/>
      <c r="G52" s="33"/>
      <c r="H52" s="145"/>
      <c r="I52" s="145"/>
      <c r="J52" s="33"/>
      <c r="K52" s="33"/>
      <c r="L52" s="159"/>
      <c r="M52" s="159"/>
      <c r="N52" s="148"/>
    </row>
    <row r="53" spans="1:14" s="3" customFormat="1" ht="15.75" x14ac:dyDescent="0.2">
      <c r="A53" s="39" t="s">
        <v>457</v>
      </c>
      <c r="B53" s="312"/>
      <c r="C53" s="313"/>
      <c r="D53" s="429"/>
      <c r="E53" s="11"/>
      <c r="F53" s="145"/>
      <c r="G53" s="33"/>
      <c r="H53" s="145"/>
      <c r="I53" s="145"/>
      <c r="J53" s="33"/>
      <c r="K53" s="33"/>
      <c r="L53" s="159"/>
      <c r="M53" s="159"/>
      <c r="N53" s="148"/>
    </row>
    <row r="54" spans="1:14" s="3" customFormat="1" ht="15.75" x14ac:dyDescent="0.2">
      <c r="A54" s="38" t="s">
        <v>455</v>
      </c>
      <c r="B54" s="283"/>
      <c r="C54" s="284"/>
      <c r="D54" s="257"/>
      <c r="E54" s="27"/>
      <c r="F54" s="145"/>
      <c r="G54" s="33"/>
      <c r="H54" s="145"/>
      <c r="I54" s="145"/>
      <c r="J54" s="33"/>
      <c r="K54" s="33"/>
      <c r="L54" s="159"/>
      <c r="M54" s="159"/>
      <c r="N54" s="148"/>
    </row>
    <row r="55" spans="1:14" s="3" customFormat="1" ht="15.75" x14ac:dyDescent="0.2">
      <c r="A55" s="38" t="s">
        <v>456</v>
      </c>
      <c r="B55" s="283"/>
      <c r="C55" s="284"/>
      <c r="D55" s="257"/>
      <c r="E55" s="27"/>
      <c r="F55" s="145"/>
      <c r="G55" s="33"/>
      <c r="H55" s="145"/>
      <c r="I55" s="145"/>
      <c r="J55" s="33"/>
      <c r="K55" s="33"/>
      <c r="L55" s="159"/>
      <c r="M55" s="159"/>
      <c r="N55" s="148"/>
    </row>
    <row r="56" spans="1:14" s="3" customFormat="1" ht="15.75" x14ac:dyDescent="0.2">
      <c r="A56" s="39" t="s">
        <v>458</v>
      </c>
      <c r="B56" s="312"/>
      <c r="C56" s="313"/>
      <c r="D56" s="429"/>
      <c r="E56" s="11"/>
      <c r="F56" s="145"/>
      <c r="G56" s="33"/>
      <c r="H56" s="145"/>
      <c r="I56" s="145"/>
      <c r="J56" s="33"/>
      <c r="K56" s="33"/>
      <c r="L56" s="159"/>
      <c r="M56" s="159"/>
      <c r="N56" s="148"/>
    </row>
    <row r="57" spans="1:14" s="3" customFormat="1" ht="15.75" x14ac:dyDescent="0.2">
      <c r="A57" s="38" t="s">
        <v>455</v>
      </c>
      <c r="B57" s="283"/>
      <c r="C57" s="284"/>
      <c r="D57" s="257"/>
      <c r="E57" s="27"/>
      <c r="F57" s="145"/>
      <c r="G57" s="33"/>
      <c r="H57" s="145"/>
      <c r="I57" s="145"/>
      <c r="J57" s="33"/>
      <c r="K57" s="33"/>
      <c r="L57" s="159"/>
      <c r="M57" s="159"/>
      <c r="N57" s="148"/>
    </row>
    <row r="58" spans="1:14" s="3" customFormat="1" ht="15.75" x14ac:dyDescent="0.2">
      <c r="A58" s="46" t="s">
        <v>456</v>
      </c>
      <c r="B58" s="285"/>
      <c r="C58" s="286"/>
      <c r="D58" s="258"/>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1022"/>
      <c r="C62" s="1022"/>
      <c r="D62" s="1022"/>
      <c r="E62" s="301"/>
      <c r="F62" s="1022"/>
      <c r="G62" s="1022"/>
      <c r="H62" s="1022"/>
      <c r="I62" s="301"/>
      <c r="J62" s="1022"/>
      <c r="K62" s="1022"/>
      <c r="L62" s="1022"/>
      <c r="M62" s="301"/>
    </row>
    <row r="63" spans="1:14" x14ac:dyDescent="0.2">
      <c r="A63" s="144"/>
      <c r="B63" s="1023" t="s">
        <v>0</v>
      </c>
      <c r="C63" s="1024"/>
      <c r="D63" s="1025"/>
      <c r="E63" s="302"/>
      <c r="F63" s="1024" t="s">
        <v>1</v>
      </c>
      <c r="G63" s="1024"/>
      <c r="H63" s="1024"/>
      <c r="I63" s="306"/>
      <c r="J63" s="1023" t="s">
        <v>2</v>
      </c>
      <c r="K63" s="1024"/>
      <c r="L63" s="1024"/>
      <c r="M63" s="306"/>
    </row>
    <row r="64" spans="1:14" x14ac:dyDescent="0.2">
      <c r="A64" s="140"/>
      <c r="B64" s="152" t="s">
        <v>502</v>
      </c>
      <c r="C64" s="152" t="s">
        <v>503</v>
      </c>
      <c r="D64" s="245" t="s">
        <v>3</v>
      </c>
      <c r="E64" s="307" t="s">
        <v>29</v>
      </c>
      <c r="F64" s="152" t="s">
        <v>502</v>
      </c>
      <c r="G64" s="152" t="s">
        <v>503</v>
      </c>
      <c r="H64" s="245" t="s">
        <v>3</v>
      </c>
      <c r="I64" s="307" t="s">
        <v>29</v>
      </c>
      <c r="J64" s="152" t="s">
        <v>502</v>
      </c>
      <c r="K64" s="152" t="s">
        <v>503</v>
      </c>
      <c r="L64" s="245" t="s">
        <v>3</v>
      </c>
      <c r="M64" s="162" t="s">
        <v>29</v>
      </c>
    </row>
    <row r="65" spans="1:14" x14ac:dyDescent="0.2">
      <c r="A65" s="990"/>
      <c r="B65" s="156"/>
      <c r="C65" s="156"/>
      <c r="D65" s="246" t="s">
        <v>4</v>
      </c>
      <c r="E65" s="156" t="s">
        <v>30</v>
      </c>
      <c r="F65" s="161"/>
      <c r="G65" s="161"/>
      <c r="H65" s="245"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9"/>
      <c r="M66" s="11"/>
    </row>
    <row r="67" spans="1:14" x14ac:dyDescent="0.2">
      <c r="A67" s="420" t="s">
        <v>9</v>
      </c>
      <c r="B67" s="44"/>
      <c r="C67" s="145"/>
      <c r="D67" s="166"/>
      <c r="E67" s="27"/>
      <c r="F67" s="234"/>
      <c r="G67" s="145"/>
      <c r="H67" s="166"/>
      <c r="I67" s="27"/>
      <c r="J67" s="289"/>
      <c r="K67" s="44"/>
      <c r="L67" s="257"/>
      <c r="M67" s="27"/>
    </row>
    <row r="68" spans="1:14" x14ac:dyDescent="0.2">
      <c r="A68" s="21" t="s">
        <v>10</v>
      </c>
      <c r="B68" s="294"/>
      <c r="C68" s="295"/>
      <c r="D68" s="166"/>
      <c r="E68" s="27"/>
      <c r="F68" s="294"/>
      <c r="G68" s="295"/>
      <c r="H68" s="166"/>
      <c r="I68" s="27"/>
      <c r="J68" s="289"/>
      <c r="K68" s="44"/>
      <c r="L68" s="257"/>
      <c r="M68" s="27"/>
    </row>
    <row r="69" spans="1:14" ht="15.75" x14ac:dyDescent="0.2">
      <c r="A69" s="298" t="s">
        <v>459</v>
      </c>
      <c r="B69" s="283"/>
      <c r="C69" s="283"/>
      <c r="D69" s="166"/>
      <c r="E69" s="418"/>
      <c r="F69" s="283"/>
      <c r="G69" s="283"/>
      <c r="H69" s="166"/>
      <c r="I69" s="418"/>
      <c r="J69" s="292"/>
      <c r="K69" s="292"/>
      <c r="L69" s="166"/>
      <c r="M69" s="23"/>
    </row>
    <row r="70" spans="1:14" x14ac:dyDescent="0.2">
      <c r="A70" s="298" t="s">
        <v>12</v>
      </c>
      <c r="B70" s="296"/>
      <c r="C70" s="297"/>
      <c r="D70" s="166"/>
      <c r="E70" s="418"/>
      <c r="F70" s="283"/>
      <c r="G70" s="283"/>
      <c r="H70" s="166"/>
      <c r="I70" s="418"/>
      <c r="J70" s="292"/>
      <c r="K70" s="292"/>
      <c r="L70" s="166"/>
      <c r="M70" s="23"/>
    </row>
    <row r="71" spans="1:14" x14ac:dyDescent="0.2">
      <c r="A71" s="298" t="s">
        <v>13</v>
      </c>
      <c r="B71" s="235"/>
      <c r="C71" s="291"/>
      <c r="D71" s="166"/>
      <c r="E71" s="418"/>
      <c r="F71" s="283"/>
      <c r="G71" s="283"/>
      <c r="H71" s="166"/>
      <c r="I71" s="418"/>
      <c r="J71" s="292"/>
      <c r="K71" s="292"/>
      <c r="L71" s="166"/>
      <c r="M71" s="23"/>
    </row>
    <row r="72" spans="1:14" ht="15.75" x14ac:dyDescent="0.2">
      <c r="A72" s="298" t="s">
        <v>460</v>
      </c>
      <c r="B72" s="283"/>
      <c r="C72" s="283"/>
      <c r="D72" s="166"/>
      <c r="E72" s="418"/>
      <c r="F72" s="283"/>
      <c r="G72" s="283"/>
      <c r="H72" s="166"/>
      <c r="I72" s="418"/>
      <c r="J72" s="292"/>
      <c r="K72" s="292"/>
      <c r="L72" s="166"/>
      <c r="M72" s="23"/>
    </row>
    <row r="73" spans="1:14" x14ac:dyDescent="0.2">
      <c r="A73" s="298" t="s">
        <v>12</v>
      </c>
      <c r="B73" s="235"/>
      <c r="C73" s="291"/>
      <c r="D73" s="166"/>
      <c r="E73" s="418"/>
      <c r="F73" s="283"/>
      <c r="G73" s="283"/>
      <c r="H73" s="166"/>
      <c r="I73" s="418"/>
      <c r="J73" s="292"/>
      <c r="K73" s="292"/>
      <c r="L73" s="166"/>
      <c r="M73" s="23"/>
    </row>
    <row r="74" spans="1:14" s="3" customFormat="1" x14ac:dyDescent="0.2">
      <c r="A74" s="298" t="s">
        <v>13</v>
      </c>
      <c r="B74" s="235"/>
      <c r="C74" s="291"/>
      <c r="D74" s="166"/>
      <c r="E74" s="418"/>
      <c r="F74" s="283"/>
      <c r="G74" s="283"/>
      <c r="H74" s="166"/>
      <c r="I74" s="418"/>
      <c r="J74" s="292"/>
      <c r="K74" s="292"/>
      <c r="L74" s="166"/>
      <c r="M74" s="23"/>
      <c r="N74" s="148"/>
    </row>
    <row r="75" spans="1:14" s="3" customFormat="1" x14ac:dyDescent="0.2">
      <c r="A75" s="21" t="s">
        <v>346</v>
      </c>
      <c r="B75" s="234"/>
      <c r="C75" s="145"/>
      <c r="D75" s="166"/>
      <c r="E75" s="27"/>
      <c r="F75" s="234"/>
      <c r="G75" s="145"/>
      <c r="H75" s="166"/>
      <c r="I75" s="27"/>
      <c r="J75" s="289"/>
      <c r="K75" s="44"/>
      <c r="L75" s="257"/>
      <c r="M75" s="27"/>
      <c r="N75" s="148"/>
    </row>
    <row r="76" spans="1:14" s="3" customFormat="1" x14ac:dyDescent="0.2">
      <c r="A76" s="21" t="s">
        <v>345</v>
      </c>
      <c r="B76" s="234"/>
      <c r="C76" s="145"/>
      <c r="D76" s="166"/>
      <c r="E76" s="27"/>
      <c r="F76" s="234"/>
      <c r="G76" s="145"/>
      <c r="H76" s="166"/>
      <c r="I76" s="27"/>
      <c r="J76" s="289"/>
      <c r="K76" s="44"/>
      <c r="L76" s="257"/>
      <c r="M76" s="27"/>
      <c r="N76" s="148"/>
    </row>
    <row r="77" spans="1:14" ht="15.75" x14ac:dyDescent="0.2">
      <c r="A77" s="21" t="s">
        <v>461</v>
      </c>
      <c r="B77" s="234"/>
      <c r="C77" s="234"/>
      <c r="D77" s="166"/>
      <c r="E77" s="27"/>
      <c r="F77" s="234"/>
      <c r="G77" s="145"/>
      <c r="H77" s="166"/>
      <c r="I77" s="27"/>
      <c r="J77" s="289"/>
      <c r="K77" s="44"/>
      <c r="L77" s="257"/>
      <c r="M77" s="27"/>
    </row>
    <row r="78" spans="1:14" x14ac:dyDescent="0.2">
      <c r="A78" s="21" t="s">
        <v>9</v>
      </c>
      <c r="B78" s="234"/>
      <c r="C78" s="145"/>
      <c r="D78" s="166"/>
      <c r="E78" s="27"/>
      <c r="F78" s="234"/>
      <c r="G78" s="145"/>
      <c r="H78" s="166"/>
      <c r="I78" s="27"/>
      <c r="J78" s="289"/>
      <c r="K78" s="44"/>
      <c r="L78" s="257"/>
      <c r="M78" s="27"/>
    </row>
    <row r="79" spans="1:14" x14ac:dyDescent="0.2">
      <c r="A79" s="21" t="s">
        <v>10</v>
      </c>
      <c r="B79" s="294"/>
      <c r="C79" s="295"/>
      <c r="D79" s="166"/>
      <c r="E79" s="27"/>
      <c r="F79" s="294"/>
      <c r="G79" s="295"/>
      <c r="H79" s="166"/>
      <c r="I79" s="27"/>
      <c r="J79" s="289"/>
      <c r="K79" s="44"/>
      <c r="L79" s="257"/>
      <c r="M79" s="27"/>
    </row>
    <row r="80" spans="1:14" ht="15.75" x14ac:dyDescent="0.2">
      <c r="A80" s="298" t="s">
        <v>459</v>
      </c>
      <c r="B80" s="283"/>
      <c r="C80" s="283"/>
      <c r="D80" s="166"/>
      <c r="E80" s="418"/>
      <c r="F80" s="283"/>
      <c r="G80" s="283"/>
      <c r="H80" s="166"/>
      <c r="I80" s="418"/>
      <c r="J80" s="292"/>
      <c r="K80" s="292"/>
      <c r="L80" s="166"/>
      <c r="M80" s="23"/>
    </row>
    <row r="81" spans="1:13" x14ac:dyDescent="0.2">
      <c r="A81" s="298" t="s">
        <v>12</v>
      </c>
      <c r="B81" s="235"/>
      <c r="C81" s="291"/>
      <c r="D81" s="166"/>
      <c r="E81" s="418"/>
      <c r="F81" s="283"/>
      <c r="G81" s="283"/>
      <c r="H81" s="166"/>
      <c r="I81" s="418"/>
      <c r="J81" s="292"/>
      <c r="K81" s="292"/>
      <c r="L81" s="166"/>
      <c r="M81" s="23"/>
    </row>
    <row r="82" spans="1:13" x14ac:dyDescent="0.2">
      <c r="A82" s="298" t="s">
        <v>13</v>
      </c>
      <c r="B82" s="235"/>
      <c r="C82" s="291"/>
      <c r="D82" s="166"/>
      <c r="E82" s="418"/>
      <c r="F82" s="283"/>
      <c r="G82" s="283"/>
      <c r="H82" s="166"/>
      <c r="I82" s="418"/>
      <c r="J82" s="292"/>
      <c r="K82" s="292"/>
      <c r="L82" s="166"/>
      <c r="M82" s="23"/>
    </row>
    <row r="83" spans="1:13" ht="15.75" x14ac:dyDescent="0.2">
      <c r="A83" s="298" t="s">
        <v>460</v>
      </c>
      <c r="B83" s="283"/>
      <c r="C83" s="283"/>
      <c r="D83" s="166"/>
      <c r="E83" s="418"/>
      <c r="F83" s="283"/>
      <c r="G83" s="283"/>
      <c r="H83" s="166"/>
      <c r="I83" s="418"/>
      <c r="J83" s="292"/>
      <c r="K83" s="292"/>
      <c r="L83" s="166"/>
      <c r="M83" s="23"/>
    </row>
    <row r="84" spans="1:13" x14ac:dyDescent="0.2">
      <c r="A84" s="298" t="s">
        <v>12</v>
      </c>
      <c r="B84" s="235"/>
      <c r="C84" s="291"/>
      <c r="D84" s="166"/>
      <c r="E84" s="418"/>
      <c r="F84" s="283"/>
      <c r="G84" s="283"/>
      <c r="H84" s="166"/>
      <c r="I84" s="418"/>
      <c r="J84" s="292"/>
      <c r="K84" s="292"/>
      <c r="L84" s="166"/>
      <c r="M84" s="23"/>
    </row>
    <row r="85" spans="1:13" x14ac:dyDescent="0.2">
      <c r="A85" s="298" t="s">
        <v>13</v>
      </c>
      <c r="B85" s="235"/>
      <c r="C85" s="291"/>
      <c r="D85" s="166"/>
      <c r="E85" s="418"/>
      <c r="F85" s="283"/>
      <c r="G85" s="283"/>
      <c r="H85" s="166"/>
      <c r="I85" s="418"/>
      <c r="J85" s="292"/>
      <c r="K85" s="292"/>
      <c r="L85" s="166"/>
      <c r="M85" s="23"/>
    </row>
    <row r="86" spans="1:13" ht="15.75" x14ac:dyDescent="0.2">
      <c r="A86" s="21" t="s">
        <v>462</v>
      </c>
      <c r="B86" s="234"/>
      <c r="C86" s="145"/>
      <c r="D86" s="166"/>
      <c r="E86" s="27"/>
      <c r="F86" s="234"/>
      <c r="G86" s="145"/>
      <c r="H86" s="166"/>
      <c r="I86" s="27"/>
      <c r="J86" s="289"/>
      <c r="K86" s="44"/>
      <c r="L86" s="257"/>
      <c r="M86" s="27"/>
    </row>
    <row r="87" spans="1:13" ht="15.75" x14ac:dyDescent="0.2">
      <c r="A87" s="13" t="s">
        <v>444</v>
      </c>
      <c r="B87" s="354"/>
      <c r="C87" s="354"/>
      <c r="D87" s="171"/>
      <c r="E87" s="11"/>
      <c r="F87" s="353"/>
      <c r="G87" s="353"/>
      <c r="H87" s="171"/>
      <c r="I87" s="11"/>
      <c r="J87" s="311"/>
      <c r="K87" s="236"/>
      <c r="L87" s="429"/>
      <c r="M87" s="11"/>
    </row>
    <row r="88" spans="1:13" x14ac:dyDescent="0.2">
      <c r="A88" s="21" t="s">
        <v>9</v>
      </c>
      <c r="B88" s="234"/>
      <c r="C88" s="145"/>
      <c r="D88" s="166"/>
      <c r="E88" s="27"/>
      <c r="F88" s="234"/>
      <c r="G88" s="145"/>
      <c r="H88" s="166"/>
      <c r="I88" s="27"/>
      <c r="J88" s="289"/>
      <c r="K88" s="44"/>
      <c r="L88" s="257"/>
      <c r="M88" s="27"/>
    </row>
    <row r="89" spans="1:13" x14ac:dyDescent="0.2">
      <c r="A89" s="21" t="s">
        <v>10</v>
      </c>
      <c r="B89" s="234"/>
      <c r="C89" s="145"/>
      <c r="D89" s="166"/>
      <c r="E89" s="27"/>
      <c r="F89" s="234"/>
      <c r="G89" s="145"/>
      <c r="H89" s="166"/>
      <c r="I89" s="27"/>
      <c r="J89" s="289"/>
      <c r="K89" s="44"/>
      <c r="L89" s="257"/>
      <c r="M89" s="27"/>
    </row>
    <row r="90" spans="1:13" ht="15.75" x14ac:dyDescent="0.2">
      <c r="A90" s="298" t="s">
        <v>459</v>
      </c>
      <c r="B90" s="283"/>
      <c r="C90" s="283"/>
      <c r="D90" s="166"/>
      <c r="E90" s="418"/>
      <c r="F90" s="283"/>
      <c r="G90" s="283"/>
      <c r="H90" s="166"/>
      <c r="I90" s="418"/>
      <c r="J90" s="292"/>
      <c r="K90" s="292"/>
      <c r="L90" s="166"/>
      <c r="M90" s="23"/>
    </row>
    <row r="91" spans="1:13" x14ac:dyDescent="0.2">
      <c r="A91" s="298" t="s">
        <v>12</v>
      </c>
      <c r="B91" s="235"/>
      <c r="C91" s="291"/>
      <c r="D91" s="166"/>
      <c r="E91" s="418"/>
      <c r="F91" s="283"/>
      <c r="G91" s="283"/>
      <c r="H91" s="166"/>
      <c r="I91" s="418"/>
      <c r="J91" s="292"/>
      <c r="K91" s="292"/>
      <c r="L91" s="166"/>
      <c r="M91" s="23"/>
    </row>
    <row r="92" spans="1:13" x14ac:dyDescent="0.2">
      <c r="A92" s="298" t="s">
        <v>13</v>
      </c>
      <c r="B92" s="235"/>
      <c r="C92" s="291"/>
      <c r="D92" s="166"/>
      <c r="E92" s="418"/>
      <c r="F92" s="283"/>
      <c r="G92" s="283"/>
      <c r="H92" s="166"/>
      <c r="I92" s="418"/>
      <c r="J92" s="292"/>
      <c r="K92" s="292"/>
      <c r="L92" s="166"/>
      <c r="M92" s="23"/>
    </row>
    <row r="93" spans="1:13" ht="15.75" x14ac:dyDescent="0.2">
      <c r="A93" s="298" t="s">
        <v>460</v>
      </c>
      <c r="B93" s="283"/>
      <c r="C93" s="283"/>
      <c r="D93" s="166"/>
      <c r="E93" s="418"/>
      <c r="F93" s="283"/>
      <c r="G93" s="283"/>
      <c r="H93" s="166"/>
      <c r="I93" s="418"/>
      <c r="J93" s="292"/>
      <c r="K93" s="292"/>
      <c r="L93" s="166"/>
      <c r="M93" s="23"/>
    </row>
    <row r="94" spans="1:13" x14ac:dyDescent="0.2">
      <c r="A94" s="298" t="s">
        <v>12</v>
      </c>
      <c r="B94" s="235"/>
      <c r="C94" s="291"/>
      <c r="D94" s="166"/>
      <c r="E94" s="418"/>
      <c r="F94" s="283"/>
      <c r="G94" s="283"/>
      <c r="H94" s="166"/>
      <c r="I94" s="418"/>
      <c r="J94" s="292"/>
      <c r="K94" s="292"/>
      <c r="L94" s="166"/>
      <c r="M94" s="23"/>
    </row>
    <row r="95" spans="1:13" x14ac:dyDescent="0.2">
      <c r="A95" s="298" t="s">
        <v>13</v>
      </c>
      <c r="B95" s="235"/>
      <c r="C95" s="291"/>
      <c r="D95" s="166"/>
      <c r="E95" s="418"/>
      <c r="F95" s="283"/>
      <c r="G95" s="283"/>
      <c r="H95" s="166"/>
      <c r="I95" s="418"/>
      <c r="J95" s="292"/>
      <c r="K95" s="292"/>
      <c r="L95" s="166"/>
      <c r="M95" s="23"/>
    </row>
    <row r="96" spans="1:13" x14ac:dyDescent="0.2">
      <c r="A96" s="21" t="s">
        <v>344</v>
      </c>
      <c r="B96" s="234"/>
      <c r="C96" s="145"/>
      <c r="D96" s="166"/>
      <c r="E96" s="27"/>
      <c r="F96" s="234"/>
      <c r="G96" s="145"/>
      <c r="H96" s="166"/>
      <c r="I96" s="27"/>
      <c r="J96" s="289"/>
      <c r="K96" s="44"/>
      <c r="L96" s="257"/>
      <c r="M96" s="27"/>
    </row>
    <row r="97" spans="1:13" x14ac:dyDescent="0.2">
      <c r="A97" s="21" t="s">
        <v>343</v>
      </c>
      <c r="B97" s="234"/>
      <c r="C97" s="145"/>
      <c r="D97" s="166"/>
      <c r="E97" s="27"/>
      <c r="F97" s="234"/>
      <c r="G97" s="145"/>
      <c r="H97" s="166"/>
      <c r="I97" s="27"/>
      <c r="J97" s="289"/>
      <c r="K97" s="44"/>
      <c r="L97" s="257"/>
      <c r="M97" s="27"/>
    </row>
    <row r="98" spans="1:13" ht="15.75" x14ac:dyDescent="0.2">
      <c r="A98" s="21" t="s">
        <v>461</v>
      </c>
      <c r="B98" s="234"/>
      <c r="C98" s="234"/>
      <c r="D98" s="166"/>
      <c r="E98" s="27"/>
      <c r="F98" s="294"/>
      <c r="G98" s="294"/>
      <c r="H98" s="166"/>
      <c r="I98" s="27"/>
      <c r="J98" s="289"/>
      <c r="K98" s="44"/>
      <c r="L98" s="257"/>
      <c r="M98" s="27"/>
    </row>
    <row r="99" spans="1:13" x14ac:dyDescent="0.2">
      <c r="A99" s="21" t="s">
        <v>9</v>
      </c>
      <c r="B99" s="294"/>
      <c r="C99" s="295"/>
      <c r="D99" s="166"/>
      <c r="E99" s="27"/>
      <c r="F99" s="234"/>
      <c r="G99" s="145"/>
      <c r="H99" s="166"/>
      <c r="I99" s="27"/>
      <c r="J99" s="289"/>
      <c r="K99" s="44"/>
      <c r="L99" s="257"/>
      <c r="M99" s="27"/>
    </row>
    <row r="100" spans="1:13" x14ac:dyDescent="0.2">
      <c r="A100" s="21" t="s">
        <v>10</v>
      </c>
      <c r="B100" s="294"/>
      <c r="C100" s="295"/>
      <c r="D100" s="166"/>
      <c r="E100" s="27"/>
      <c r="F100" s="234"/>
      <c r="G100" s="234"/>
      <c r="H100" s="166"/>
      <c r="I100" s="27"/>
      <c r="J100" s="289"/>
      <c r="K100" s="44"/>
      <c r="L100" s="257"/>
      <c r="M100" s="27"/>
    </row>
    <row r="101" spans="1:13" ht="15.75" x14ac:dyDescent="0.2">
      <c r="A101" s="298" t="s">
        <v>459</v>
      </c>
      <c r="B101" s="283"/>
      <c r="C101" s="283"/>
      <c r="D101" s="166"/>
      <c r="E101" s="418"/>
      <c r="F101" s="283"/>
      <c r="G101" s="283"/>
      <c r="H101" s="166"/>
      <c r="I101" s="418"/>
      <c r="J101" s="292"/>
      <c r="K101" s="292"/>
      <c r="L101" s="166"/>
      <c r="M101" s="23"/>
    </row>
    <row r="102" spans="1:13" x14ac:dyDescent="0.2">
      <c r="A102" s="298" t="s">
        <v>12</v>
      </c>
      <c r="B102" s="235"/>
      <c r="C102" s="291"/>
      <c r="D102" s="166"/>
      <c r="E102" s="418"/>
      <c r="F102" s="283"/>
      <c r="G102" s="283"/>
      <c r="H102" s="166"/>
      <c r="I102" s="418"/>
      <c r="J102" s="292"/>
      <c r="K102" s="292"/>
      <c r="L102" s="166"/>
      <c r="M102" s="23"/>
    </row>
    <row r="103" spans="1:13" x14ac:dyDescent="0.2">
      <c r="A103" s="298" t="s">
        <v>13</v>
      </c>
      <c r="B103" s="235"/>
      <c r="C103" s="291"/>
      <c r="D103" s="166"/>
      <c r="E103" s="418"/>
      <c r="F103" s="283"/>
      <c r="G103" s="283"/>
      <c r="H103" s="166"/>
      <c r="I103" s="418"/>
      <c r="J103" s="292"/>
      <c r="K103" s="292"/>
      <c r="L103" s="166"/>
      <c r="M103" s="23"/>
    </row>
    <row r="104" spans="1:13" ht="15.75" x14ac:dyDescent="0.2">
      <c r="A104" s="298" t="s">
        <v>460</v>
      </c>
      <c r="B104" s="283"/>
      <c r="C104" s="283"/>
      <c r="D104" s="166"/>
      <c r="E104" s="418"/>
      <c r="F104" s="283"/>
      <c r="G104" s="283"/>
      <c r="H104" s="166"/>
      <c r="I104" s="418"/>
      <c r="J104" s="292"/>
      <c r="K104" s="292"/>
      <c r="L104" s="166"/>
      <c r="M104" s="23"/>
    </row>
    <row r="105" spans="1:13" x14ac:dyDescent="0.2">
      <c r="A105" s="298" t="s">
        <v>12</v>
      </c>
      <c r="B105" s="235"/>
      <c r="C105" s="291"/>
      <c r="D105" s="166"/>
      <c r="E105" s="418"/>
      <c r="F105" s="283"/>
      <c r="G105" s="283"/>
      <c r="H105" s="166"/>
      <c r="I105" s="418"/>
      <c r="J105" s="292"/>
      <c r="K105" s="292"/>
      <c r="L105" s="166"/>
      <c r="M105" s="23"/>
    </row>
    <row r="106" spans="1:13" x14ac:dyDescent="0.2">
      <c r="A106" s="298" t="s">
        <v>13</v>
      </c>
      <c r="B106" s="235"/>
      <c r="C106" s="291"/>
      <c r="D106" s="166"/>
      <c r="E106" s="418"/>
      <c r="F106" s="283"/>
      <c r="G106" s="283"/>
      <c r="H106" s="166"/>
      <c r="I106" s="418"/>
      <c r="J106" s="292"/>
      <c r="K106" s="292"/>
      <c r="L106" s="166"/>
      <c r="M106" s="23"/>
    </row>
    <row r="107" spans="1:13" ht="15.75" x14ac:dyDescent="0.2">
      <c r="A107" s="21" t="s">
        <v>462</v>
      </c>
      <c r="B107" s="234"/>
      <c r="C107" s="145"/>
      <c r="D107" s="166"/>
      <c r="E107" s="27"/>
      <c r="F107" s="234"/>
      <c r="G107" s="145"/>
      <c r="H107" s="166"/>
      <c r="I107" s="27"/>
      <c r="J107" s="289"/>
      <c r="K107" s="44"/>
      <c r="L107" s="257"/>
      <c r="M107" s="27"/>
    </row>
    <row r="108" spans="1:13" ht="15.75" x14ac:dyDescent="0.2">
      <c r="A108" s="21" t="s">
        <v>463</v>
      </c>
      <c r="B108" s="234"/>
      <c r="C108" s="234"/>
      <c r="D108" s="166"/>
      <c r="E108" s="27"/>
      <c r="F108" s="234"/>
      <c r="G108" s="234"/>
      <c r="H108" s="166"/>
      <c r="I108" s="27"/>
      <c r="J108" s="289"/>
      <c r="K108" s="44"/>
      <c r="L108" s="257"/>
      <c r="M108" s="27"/>
    </row>
    <row r="109" spans="1:13" ht="15.75" x14ac:dyDescent="0.2">
      <c r="A109" s="21" t="s">
        <v>464</v>
      </c>
      <c r="B109" s="234"/>
      <c r="C109" s="234"/>
      <c r="D109" s="166"/>
      <c r="E109" s="27"/>
      <c r="F109" s="234"/>
      <c r="G109" s="234"/>
      <c r="H109" s="166"/>
      <c r="I109" s="27"/>
      <c r="J109" s="289"/>
      <c r="K109" s="44"/>
      <c r="L109" s="257"/>
      <c r="M109" s="27"/>
    </row>
    <row r="110" spans="1:13" ht="15.75" x14ac:dyDescent="0.2">
      <c r="A110" s="21" t="s">
        <v>465</v>
      </c>
      <c r="B110" s="234"/>
      <c r="C110" s="234"/>
      <c r="D110" s="166"/>
      <c r="E110" s="27"/>
      <c r="F110" s="234"/>
      <c r="G110" s="234"/>
      <c r="H110" s="166"/>
      <c r="I110" s="27"/>
      <c r="J110" s="289"/>
      <c r="K110" s="44"/>
      <c r="L110" s="257"/>
      <c r="M110" s="27"/>
    </row>
    <row r="111" spans="1:13" ht="15.75" x14ac:dyDescent="0.2">
      <c r="A111" s="13" t="s">
        <v>445</v>
      </c>
      <c r="B111" s="310"/>
      <c r="C111" s="159"/>
      <c r="D111" s="171"/>
      <c r="E111" s="11"/>
      <c r="F111" s="310"/>
      <c r="G111" s="159"/>
      <c r="H111" s="171"/>
      <c r="I111" s="11"/>
      <c r="J111" s="311"/>
      <c r="K111" s="236"/>
      <c r="L111" s="429"/>
      <c r="M111" s="11"/>
    </row>
    <row r="112" spans="1:13" x14ac:dyDescent="0.2">
      <c r="A112" s="21" t="s">
        <v>9</v>
      </c>
      <c r="B112" s="234"/>
      <c r="C112" s="145"/>
      <c r="D112" s="166"/>
      <c r="E112" s="27"/>
      <c r="F112" s="234"/>
      <c r="G112" s="145"/>
      <c r="H112" s="166"/>
      <c r="I112" s="27"/>
      <c r="J112" s="289"/>
      <c r="K112" s="44"/>
      <c r="L112" s="257"/>
      <c r="M112" s="27"/>
    </row>
    <row r="113" spans="1:14" x14ac:dyDescent="0.2">
      <c r="A113" s="21" t="s">
        <v>10</v>
      </c>
      <c r="B113" s="234"/>
      <c r="C113" s="145"/>
      <c r="D113" s="166"/>
      <c r="E113" s="27"/>
      <c r="F113" s="234"/>
      <c r="G113" s="145"/>
      <c r="H113" s="166"/>
      <c r="I113" s="27"/>
      <c r="J113" s="289"/>
      <c r="K113" s="44"/>
      <c r="L113" s="257"/>
      <c r="M113" s="27"/>
    </row>
    <row r="114" spans="1:14" x14ac:dyDescent="0.2">
      <c r="A114" s="21" t="s">
        <v>26</v>
      </c>
      <c r="B114" s="234"/>
      <c r="C114" s="145"/>
      <c r="D114" s="166"/>
      <c r="E114" s="27"/>
      <c r="F114" s="234"/>
      <c r="G114" s="145"/>
      <c r="H114" s="166"/>
      <c r="I114" s="27"/>
      <c r="J114" s="289"/>
      <c r="K114" s="44"/>
      <c r="L114" s="257"/>
      <c r="M114" s="27"/>
    </row>
    <row r="115" spans="1:14" x14ac:dyDescent="0.2">
      <c r="A115" s="298" t="s">
        <v>15</v>
      </c>
      <c r="B115" s="283"/>
      <c r="C115" s="283"/>
      <c r="D115" s="166"/>
      <c r="E115" s="418"/>
      <c r="F115" s="283"/>
      <c r="G115" s="283"/>
      <c r="H115" s="166"/>
      <c r="I115" s="418"/>
      <c r="J115" s="292"/>
      <c r="K115" s="292"/>
      <c r="L115" s="166"/>
      <c r="M115" s="23"/>
    </row>
    <row r="116" spans="1:14" ht="15.75" x14ac:dyDescent="0.2">
      <c r="A116" s="21" t="s">
        <v>466</v>
      </c>
      <c r="B116" s="234"/>
      <c r="C116" s="234"/>
      <c r="D116" s="166"/>
      <c r="E116" s="27"/>
      <c r="F116" s="234"/>
      <c r="G116" s="234"/>
      <c r="H116" s="166"/>
      <c r="I116" s="27"/>
      <c r="J116" s="289"/>
      <c r="K116" s="44"/>
      <c r="L116" s="257"/>
      <c r="M116" s="27"/>
    </row>
    <row r="117" spans="1:14" ht="15.75" x14ac:dyDescent="0.2">
      <c r="A117" s="21" t="s">
        <v>467</v>
      </c>
      <c r="B117" s="234"/>
      <c r="C117" s="234"/>
      <c r="D117" s="166"/>
      <c r="E117" s="27"/>
      <c r="F117" s="234"/>
      <c r="G117" s="234"/>
      <c r="H117" s="166"/>
      <c r="I117" s="27"/>
      <c r="J117" s="289"/>
      <c r="K117" s="44"/>
      <c r="L117" s="257"/>
      <c r="M117" s="27"/>
    </row>
    <row r="118" spans="1:14" ht="15.75" x14ac:dyDescent="0.2">
      <c r="A118" s="21" t="s">
        <v>465</v>
      </c>
      <c r="B118" s="234"/>
      <c r="C118" s="234"/>
      <c r="D118" s="166"/>
      <c r="E118" s="27"/>
      <c r="F118" s="234"/>
      <c r="G118" s="234"/>
      <c r="H118" s="166"/>
      <c r="I118" s="27"/>
      <c r="J118" s="289"/>
      <c r="K118" s="44"/>
      <c r="L118" s="257"/>
      <c r="M118" s="27"/>
    </row>
    <row r="119" spans="1:14" ht="15.75" x14ac:dyDescent="0.2">
      <c r="A119" s="13" t="s">
        <v>446</v>
      </c>
      <c r="B119" s="310"/>
      <c r="C119" s="159"/>
      <c r="D119" s="171"/>
      <c r="E119" s="11"/>
      <c r="F119" s="310"/>
      <c r="G119" s="159"/>
      <c r="H119" s="171"/>
      <c r="I119" s="11"/>
      <c r="J119" s="311"/>
      <c r="K119" s="236"/>
      <c r="L119" s="429"/>
      <c r="M119" s="11"/>
    </row>
    <row r="120" spans="1:14" x14ac:dyDescent="0.2">
      <c r="A120" s="21" t="s">
        <v>9</v>
      </c>
      <c r="B120" s="234"/>
      <c r="C120" s="145"/>
      <c r="D120" s="166"/>
      <c r="E120" s="27"/>
      <c r="F120" s="234"/>
      <c r="G120" s="145"/>
      <c r="H120" s="166"/>
      <c r="I120" s="27"/>
      <c r="J120" s="289"/>
      <c r="K120" s="44"/>
      <c r="L120" s="257"/>
      <c r="M120" s="27"/>
    </row>
    <row r="121" spans="1:14" x14ac:dyDescent="0.2">
      <c r="A121" s="21" t="s">
        <v>10</v>
      </c>
      <c r="B121" s="234"/>
      <c r="C121" s="145"/>
      <c r="D121" s="166"/>
      <c r="E121" s="27"/>
      <c r="F121" s="234"/>
      <c r="G121" s="145"/>
      <c r="H121" s="166"/>
      <c r="I121" s="27"/>
      <c r="J121" s="289"/>
      <c r="K121" s="44"/>
      <c r="L121" s="257"/>
      <c r="M121" s="27"/>
    </row>
    <row r="122" spans="1:14" x14ac:dyDescent="0.2">
      <c r="A122" s="21" t="s">
        <v>26</v>
      </c>
      <c r="B122" s="234"/>
      <c r="C122" s="145"/>
      <c r="D122" s="166"/>
      <c r="E122" s="27"/>
      <c r="F122" s="234"/>
      <c r="G122" s="145"/>
      <c r="H122" s="166"/>
      <c r="I122" s="27"/>
      <c r="J122" s="289"/>
      <c r="K122" s="44"/>
      <c r="L122" s="257"/>
      <c r="M122" s="27"/>
    </row>
    <row r="123" spans="1:14" x14ac:dyDescent="0.2">
      <c r="A123" s="298" t="s">
        <v>14</v>
      </c>
      <c r="B123" s="283"/>
      <c r="C123" s="283"/>
      <c r="D123" s="166"/>
      <c r="E123" s="418"/>
      <c r="F123" s="283"/>
      <c r="G123" s="283"/>
      <c r="H123" s="166"/>
      <c r="I123" s="418"/>
      <c r="J123" s="292"/>
      <c r="K123" s="292"/>
      <c r="L123" s="166"/>
      <c r="M123" s="23"/>
    </row>
    <row r="124" spans="1:14" ht="15.75" x14ac:dyDescent="0.2">
      <c r="A124" s="21" t="s">
        <v>472</v>
      </c>
      <c r="B124" s="234"/>
      <c r="C124" s="234"/>
      <c r="D124" s="166"/>
      <c r="E124" s="27"/>
      <c r="F124" s="234"/>
      <c r="G124" s="234"/>
      <c r="H124" s="166"/>
      <c r="I124" s="27"/>
      <c r="J124" s="289"/>
      <c r="K124" s="44"/>
      <c r="L124" s="257"/>
      <c r="M124" s="27"/>
    </row>
    <row r="125" spans="1:14" ht="15.75" x14ac:dyDescent="0.2">
      <c r="A125" s="21" t="s">
        <v>464</v>
      </c>
      <c r="B125" s="234"/>
      <c r="C125" s="234"/>
      <c r="D125" s="166"/>
      <c r="E125" s="27"/>
      <c r="F125" s="234"/>
      <c r="G125" s="234"/>
      <c r="H125" s="166"/>
      <c r="I125" s="27"/>
      <c r="J125" s="289"/>
      <c r="K125" s="44"/>
      <c r="L125" s="257"/>
      <c r="M125" s="27"/>
    </row>
    <row r="126" spans="1:14" ht="15.75" x14ac:dyDescent="0.2">
      <c r="A126" s="10" t="s">
        <v>465</v>
      </c>
      <c r="B126" s="45"/>
      <c r="C126" s="45"/>
      <c r="D126" s="167"/>
      <c r="E126" s="419"/>
      <c r="F126" s="45"/>
      <c r="G126" s="45"/>
      <c r="H126" s="167"/>
      <c r="I126" s="22"/>
      <c r="J126" s="290"/>
      <c r="K126" s="45"/>
      <c r="L126" s="258"/>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1022"/>
      <c r="C130" s="1022"/>
      <c r="D130" s="1022"/>
      <c r="E130" s="301"/>
      <c r="F130" s="1022"/>
      <c r="G130" s="1022"/>
      <c r="H130" s="1022"/>
      <c r="I130" s="301"/>
      <c r="J130" s="1022"/>
      <c r="K130" s="1022"/>
      <c r="L130" s="1022"/>
      <c r="M130" s="301"/>
    </row>
    <row r="131" spans="1:14" s="3" customFormat="1" x14ac:dyDescent="0.2">
      <c r="A131" s="144"/>
      <c r="B131" s="1023" t="s">
        <v>0</v>
      </c>
      <c r="C131" s="1024"/>
      <c r="D131" s="1024"/>
      <c r="E131" s="303"/>
      <c r="F131" s="1023" t="s">
        <v>1</v>
      </c>
      <c r="G131" s="1024"/>
      <c r="H131" s="1024"/>
      <c r="I131" s="306"/>
      <c r="J131" s="1023" t="s">
        <v>2</v>
      </c>
      <c r="K131" s="1024"/>
      <c r="L131" s="1024"/>
      <c r="M131" s="306"/>
      <c r="N131" s="148"/>
    </row>
    <row r="132" spans="1:14" s="3" customFormat="1" x14ac:dyDescent="0.2">
      <c r="A132" s="140"/>
      <c r="B132" s="152" t="s">
        <v>502</v>
      </c>
      <c r="C132" s="152" t="s">
        <v>503</v>
      </c>
      <c r="D132" s="245" t="s">
        <v>3</v>
      </c>
      <c r="E132" s="307" t="s">
        <v>29</v>
      </c>
      <c r="F132" s="152" t="s">
        <v>502</v>
      </c>
      <c r="G132" s="152" t="s">
        <v>503</v>
      </c>
      <c r="H132" s="206" t="s">
        <v>3</v>
      </c>
      <c r="I132" s="162" t="s">
        <v>29</v>
      </c>
      <c r="J132" s="152" t="s">
        <v>502</v>
      </c>
      <c r="K132" s="152" t="s">
        <v>503</v>
      </c>
      <c r="L132" s="246" t="s">
        <v>3</v>
      </c>
      <c r="M132" s="162" t="s">
        <v>29</v>
      </c>
      <c r="N132" s="148"/>
    </row>
    <row r="133" spans="1:14" s="3" customFormat="1" x14ac:dyDescent="0.2">
      <c r="A133" s="990"/>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468</v>
      </c>
      <c r="B134" s="236"/>
      <c r="C134" s="311"/>
      <c r="D134" s="351"/>
      <c r="E134" s="11"/>
      <c r="F134" s="318"/>
      <c r="G134" s="319"/>
      <c r="H134" s="432"/>
      <c r="I134" s="24"/>
      <c r="J134" s="320"/>
      <c r="K134" s="320"/>
      <c r="L134" s="428"/>
      <c r="M134" s="11"/>
      <c r="N134" s="148"/>
    </row>
    <row r="135" spans="1:14" s="3" customFormat="1" ht="15.75" x14ac:dyDescent="0.2">
      <c r="A135" s="13" t="s">
        <v>473</v>
      </c>
      <c r="B135" s="236"/>
      <c r="C135" s="311"/>
      <c r="D135" s="171"/>
      <c r="E135" s="11"/>
      <c r="F135" s="236"/>
      <c r="G135" s="311"/>
      <c r="H135" s="433"/>
      <c r="I135" s="24"/>
      <c r="J135" s="310"/>
      <c r="K135" s="310"/>
      <c r="L135" s="429"/>
      <c r="M135" s="11"/>
      <c r="N135" s="148"/>
    </row>
    <row r="136" spans="1:14" s="3" customFormat="1" ht="15.75" x14ac:dyDescent="0.2">
      <c r="A136" s="13" t="s">
        <v>470</v>
      </c>
      <c r="B136" s="236"/>
      <c r="C136" s="311"/>
      <c r="D136" s="171"/>
      <c r="E136" s="11"/>
      <c r="F136" s="236"/>
      <c r="G136" s="311"/>
      <c r="H136" s="433"/>
      <c r="I136" s="24"/>
      <c r="J136" s="310"/>
      <c r="K136" s="310"/>
      <c r="L136" s="429"/>
      <c r="M136" s="11"/>
      <c r="N136" s="148"/>
    </row>
    <row r="137" spans="1:14" s="3" customFormat="1" ht="15.75" x14ac:dyDescent="0.2">
      <c r="A137" s="41" t="s">
        <v>471</v>
      </c>
      <c r="B137" s="278"/>
      <c r="C137" s="317"/>
      <c r="D137" s="169"/>
      <c r="E137" s="9"/>
      <c r="F137" s="278"/>
      <c r="G137" s="317"/>
      <c r="H137" s="434"/>
      <c r="I137" s="36"/>
      <c r="J137" s="316"/>
      <c r="K137" s="316"/>
      <c r="L137" s="430"/>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2152" priority="132">
      <formula>kvartal &lt; 4</formula>
    </cfRule>
  </conditionalFormatting>
  <conditionalFormatting sqref="B69">
    <cfRule type="expression" dxfId="2151" priority="100">
      <formula>kvartal &lt; 4</formula>
    </cfRule>
  </conditionalFormatting>
  <conditionalFormatting sqref="C69">
    <cfRule type="expression" dxfId="2150" priority="99">
      <formula>kvartal &lt; 4</formula>
    </cfRule>
  </conditionalFormatting>
  <conditionalFormatting sqref="B72">
    <cfRule type="expression" dxfId="2149" priority="98">
      <formula>kvartal &lt; 4</formula>
    </cfRule>
  </conditionalFormatting>
  <conditionalFormatting sqref="C72">
    <cfRule type="expression" dxfId="2148" priority="97">
      <formula>kvartal &lt; 4</formula>
    </cfRule>
  </conditionalFormatting>
  <conditionalFormatting sqref="B80">
    <cfRule type="expression" dxfId="2147" priority="96">
      <formula>kvartal &lt; 4</formula>
    </cfRule>
  </conditionalFormatting>
  <conditionalFormatting sqref="C80">
    <cfRule type="expression" dxfId="2146" priority="95">
      <formula>kvartal &lt; 4</formula>
    </cfRule>
  </conditionalFormatting>
  <conditionalFormatting sqref="B83">
    <cfRule type="expression" dxfId="2145" priority="94">
      <formula>kvartal &lt; 4</formula>
    </cfRule>
  </conditionalFormatting>
  <conditionalFormatting sqref="C83">
    <cfRule type="expression" dxfId="2144" priority="93">
      <formula>kvartal &lt; 4</formula>
    </cfRule>
  </conditionalFormatting>
  <conditionalFormatting sqref="B90">
    <cfRule type="expression" dxfId="2143" priority="84">
      <formula>kvartal &lt; 4</formula>
    </cfRule>
  </conditionalFormatting>
  <conditionalFormatting sqref="C90">
    <cfRule type="expression" dxfId="2142" priority="83">
      <formula>kvartal &lt; 4</formula>
    </cfRule>
  </conditionalFormatting>
  <conditionalFormatting sqref="B93">
    <cfRule type="expression" dxfId="2141" priority="82">
      <formula>kvartal &lt; 4</formula>
    </cfRule>
  </conditionalFormatting>
  <conditionalFormatting sqref="C93">
    <cfRule type="expression" dxfId="2140" priority="81">
      <formula>kvartal &lt; 4</formula>
    </cfRule>
  </conditionalFormatting>
  <conditionalFormatting sqref="B101">
    <cfRule type="expression" dxfId="2139" priority="80">
      <formula>kvartal &lt; 4</formula>
    </cfRule>
  </conditionalFormatting>
  <conditionalFormatting sqref="C101">
    <cfRule type="expression" dxfId="2138" priority="79">
      <formula>kvartal &lt; 4</formula>
    </cfRule>
  </conditionalFormatting>
  <conditionalFormatting sqref="B104">
    <cfRule type="expression" dxfId="2137" priority="78">
      <formula>kvartal &lt; 4</formula>
    </cfRule>
  </conditionalFormatting>
  <conditionalFormatting sqref="C104">
    <cfRule type="expression" dxfId="2136" priority="77">
      <formula>kvartal &lt; 4</formula>
    </cfRule>
  </conditionalFormatting>
  <conditionalFormatting sqref="B115">
    <cfRule type="expression" dxfId="2135" priority="76">
      <formula>kvartal &lt; 4</formula>
    </cfRule>
  </conditionalFormatting>
  <conditionalFormatting sqref="C115">
    <cfRule type="expression" dxfId="2134" priority="75">
      <formula>kvartal &lt; 4</formula>
    </cfRule>
  </conditionalFormatting>
  <conditionalFormatting sqref="B123">
    <cfRule type="expression" dxfId="2133" priority="74">
      <formula>kvartal &lt; 4</formula>
    </cfRule>
  </conditionalFormatting>
  <conditionalFormatting sqref="C123">
    <cfRule type="expression" dxfId="2132" priority="73">
      <formula>kvartal &lt; 4</formula>
    </cfRule>
  </conditionalFormatting>
  <conditionalFormatting sqref="F70">
    <cfRule type="expression" dxfId="2131" priority="72">
      <formula>kvartal &lt; 4</formula>
    </cfRule>
  </conditionalFormatting>
  <conditionalFormatting sqref="G70">
    <cfRule type="expression" dxfId="2130" priority="71">
      <formula>kvartal &lt; 4</formula>
    </cfRule>
  </conditionalFormatting>
  <conditionalFormatting sqref="F71:G71">
    <cfRule type="expression" dxfId="2129" priority="70">
      <formula>kvartal &lt; 4</formula>
    </cfRule>
  </conditionalFormatting>
  <conditionalFormatting sqref="F73:G74">
    <cfRule type="expression" dxfId="2128" priority="69">
      <formula>kvartal &lt; 4</formula>
    </cfRule>
  </conditionalFormatting>
  <conditionalFormatting sqref="F81:G82">
    <cfRule type="expression" dxfId="2127" priority="68">
      <formula>kvartal &lt; 4</formula>
    </cfRule>
  </conditionalFormatting>
  <conditionalFormatting sqref="F84:G85">
    <cfRule type="expression" dxfId="2126" priority="67">
      <formula>kvartal &lt; 4</formula>
    </cfRule>
  </conditionalFormatting>
  <conditionalFormatting sqref="F91:G92">
    <cfRule type="expression" dxfId="2125" priority="62">
      <formula>kvartal &lt; 4</formula>
    </cfRule>
  </conditionalFormatting>
  <conditionalFormatting sqref="F94:G95">
    <cfRule type="expression" dxfId="2124" priority="61">
      <formula>kvartal &lt; 4</formula>
    </cfRule>
  </conditionalFormatting>
  <conditionalFormatting sqref="F102:G103">
    <cfRule type="expression" dxfId="2123" priority="60">
      <formula>kvartal &lt; 4</formula>
    </cfRule>
  </conditionalFormatting>
  <conditionalFormatting sqref="F105:G106">
    <cfRule type="expression" dxfId="2122" priority="59">
      <formula>kvartal &lt; 4</formula>
    </cfRule>
  </conditionalFormatting>
  <conditionalFormatting sqref="F115">
    <cfRule type="expression" dxfId="2121" priority="58">
      <formula>kvartal &lt; 4</formula>
    </cfRule>
  </conditionalFormatting>
  <conditionalFormatting sqref="G115">
    <cfRule type="expression" dxfId="2120" priority="57">
      <formula>kvartal &lt; 4</formula>
    </cfRule>
  </conditionalFormatting>
  <conditionalFormatting sqref="F123:G123">
    <cfRule type="expression" dxfId="2119" priority="56">
      <formula>kvartal &lt; 4</formula>
    </cfRule>
  </conditionalFormatting>
  <conditionalFormatting sqref="F69:G69">
    <cfRule type="expression" dxfId="2118" priority="55">
      <formula>kvartal &lt; 4</formula>
    </cfRule>
  </conditionalFormatting>
  <conditionalFormatting sqref="F72:G72">
    <cfRule type="expression" dxfId="2117" priority="54">
      <formula>kvartal &lt; 4</formula>
    </cfRule>
  </conditionalFormatting>
  <conditionalFormatting sqref="F80:G80">
    <cfRule type="expression" dxfId="2116" priority="53">
      <formula>kvartal &lt; 4</formula>
    </cfRule>
  </conditionalFormatting>
  <conditionalFormatting sqref="F83:G83">
    <cfRule type="expression" dxfId="2115" priority="52">
      <formula>kvartal &lt; 4</formula>
    </cfRule>
  </conditionalFormatting>
  <conditionalFormatting sqref="F90:G90">
    <cfRule type="expression" dxfId="2114" priority="46">
      <formula>kvartal &lt; 4</formula>
    </cfRule>
  </conditionalFormatting>
  <conditionalFormatting sqref="F93">
    <cfRule type="expression" dxfId="2113" priority="45">
      <formula>kvartal &lt; 4</formula>
    </cfRule>
  </conditionalFormatting>
  <conditionalFormatting sqref="G93">
    <cfRule type="expression" dxfId="2112" priority="44">
      <formula>kvartal &lt; 4</formula>
    </cfRule>
  </conditionalFormatting>
  <conditionalFormatting sqref="F101">
    <cfRule type="expression" dxfId="2111" priority="43">
      <formula>kvartal &lt; 4</formula>
    </cfRule>
  </conditionalFormatting>
  <conditionalFormatting sqref="G101">
    <cfRule type="expression" dxfId="2110" priority="42">
      <formula>kvartal &lt; 4</formula>
    </cfRule>
  </conditionalFormatting>
  <conditionalFormatting sqref="G104">
    <cfRule type="expression" dxfId="2109" priority="41">
      <formula>kvartal &lt; 4</formula>
    </cfRule>
  </conditionalFormatting>
  <conditionalFormatting sqref="F104">
    <cfRule type="expression" dxfId="2108" priority="40">
      <formula>kvartal &lt; 4</formula>
    </cfRule>
  </conditionalFormatting>
  <conditionalFormatting sqref="J69:K73">
    <cfRule type="expression" dxfId="2107" priority="39">
      <formula>kvartal &lt; 4</formula>
    </cfRule>
  </conditionalFormatting>
  <conditionalFormatting sqref="J74:K74">
    <cfRule type="expression" dxfId="2106" priority="38">
      <formula>kvartal &lt; 4</formula>
    </cfRule>
  </conditionalFormatting>
  <conditionalFormatting sqref="J80:K85">
    <cfRule type="expression" dxfId="2105" priority="37">
      <formula>kvartal &lt; 4</formula>
    </cfRule>
  </conditionalFormatting>
  <conditionalFormatting sqref="J90:K95">
    <cfRule type="expression" dxfId="2104" priority="34">
      <formula>kvartal &lt; 4</formula>
    </cfRule>
  </conditionalFormatting>
  <conditionalFormatting sqref="J101:K106">
    <cfRule type="expression" dxfId="2103" priority="33">
      <formula>kvartal &lt; 4</formula>
    </cfRule>
  </conditionalFormatting>
  <conditionalFormatting sqref="J115:K115">
    <cfRule type="expression" dxfId="2102" priority="32">
      <formula>kvartal &lt; 4</formula>
    </cfRule>
  </conditionalFormatting>
  <conditionalFormatting sqref="J123:K123">
    <cfRule type="expression" dxfId="2101" priority="31">
      <formula>kvartal &lt; 4</formula>
    </cfRule>
  </conditionalFormatting>
  <conditionalFormatting sqref="A50:A52">
    <cfRule type="expression" dxfId="2100" priority="12">
      <formula>kvartal &lt; 4</formula>
    </cfRule>
  </conditionalFormatting>
  <conditionalFormatting sqref="A69:A74">
    <cfRule type="expression" dxfId="2099" priority="10">
      <formula>kvartal &lt; 4</formula>
    </cfRule>
  </conditionalFormatting>
  <conditionalFormatting sqref="A80:A85">
    <cfRule type="expression" dxfId="2098" priority="9">
      <formula>kvartal &lt; 4</formula>
    </cfRule>
  </conditionalFormatting>
  <conditionalFormatting sqref="A90:A95">
    <cfRule type="expression" dxfId="2097" priority="6">
      <formula>kvartal &lt; 4</formula>
    </cfRule>
  </conditionalFormatting>
  <conditionalFormatting sqref="A101:A106">
    <cfRule type="expression" dxfId="2096" priority="5">
      <formula>kvartal &lt; 4</formula>
    </cfRule>
  </conditionalFormatting>
  <conditionalFormatting sqref="A115">
    <cfRule type="expression" dxfId="2095" priority="4">
      <formula>kvartal &lt; 4</formula>
    </cfRule>
  </conditionalFormatting>
  <conditionalFormatting sqref="A123">
    <cfRule type="expression" dxfId="2094" priority="3">
      <formula>kvartal &lt; 4</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12"/>
  <dimension ref="A1:N144"/>
  <sheetViews>
    <sheetView showGridLines="0" zoomScale="120" zoomScaleNormal="120" workbookViewId="0">
      <pane xSplit="1" topLeftCell="B1" activePane="topRight" state="frozen"/>
      <selection activeCell="J132" sqref="J132:K132"/>
      <selection pane="topRight"/>
    </sheetView>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133</v>
      </c>
      <c r="B1" s="988"/>
      <c r="C1" s="248" t="s">
        <v>485</v>
      </c>
      <c r="D1" s="26"/>
      <c r="E1" s="26"/>
      <c r="F1" s="26"/>
      <c r="G1" s="26"/>
      <c r="H1" s="26"/>
      <c r="I1" s="26"/>
      <c r="J1" s="26"/>
      <c r="K1" s="26"/>
      <c r="L1" s="26"/>
      <c r="M1" s="26"/>
    </row>
    <row r="2" spans="1:14" ht="15.75" x14ac:dyDescent="0.25">
      <c r="A2" s="165" t="s">
        <v>28</v>
      </c>
      <c r="B2" s="360"/>
      <c r="C2" s="360"/>
      <c r="D2" s="360"/>
      <c r="E2" s="360"/>
      <c r="F2" s="360"/>
      <c r="G2" s="360"/>
      <c r="H2" s="360"/>
      <c r="I2" s="360"/>
      <c r="J2" s="360"/>
      <c r="K2" s="360"/>
      <c r="L2" s="360"/>
      <c r="M2" s="360"/>
    </row>
    <row r="3" spans="1:14" ht="15.75" x14ac:dyDescent="0.25">
      <c r="A3" s="163"/>
      <c r="B3" s="360"/>
      <c r="C3" s="360"/>
      <c r="D3" s="360"/>
      <c r="E3" s="360"/>
      <c r="F3" s="360"/>
      <c r="G3" s="360"/>
      <c r="H3" s="360"/>
      <c r="I3" s="360"/>
      <c r="J3" s="360"/>
      <c r="K3" s="360"/>
      <c r="L3" s="360"/>
      <c r="M3" s="360"/>
    </row>
    <row r="4" spans="1:14" x14ac:dyDescent="0.2">
      <c r="A4" s="144"/>
      <c r="B4" s="1023" t="s">
        <v>0</v>
      </c>
      <c r="C4" s="1024"/>
      <c r="D4" s="1024"/>
      <c r="E4" s="357"/>
      <c r="F4" s="1023" t="s">
        <v>1</v>
      </c>
      <c r="G4" s="1024"/>
      <c r="H4" s="1024"/>
      <c r="I4" s="358"/>
      <c r="J4" s="1023" t="s">
        <v>2</v>
      </c>
      <c r="K4" s="1024"/>
      <c r="L4" s="1024"/>
      <c r="M4" s="358"/>
    </row>
    <row r="5" spans="1:14" x14ac:dyDescent="0.2">
      <c r="A5" s="158"/>
      <c r="B5" s="152" t="s">
        <v>502</v>
      </c>
      <c r="C5" s="152" t="s">
        <v>503</v>
      </c>
      <c r="D5" s="245" t="s">
        <v>3</v>
      </c>
      <c r="E5" s="307" t="s">
        <v>29</v>
      </c>
      <c r="F5" s="152" t="s">
        <v>502</v>
      </c>
      <c r="G5" s="152" t="s">
        <v>503</v>
      </c>
      <c r="H5" s="245" t="s">
        <v>3</v>
      </c>
      <c r="I5" s="307" t="s">
        <v>29</v>
      </c>
      <c r="J5" s="152" t="s">
        <v>502</v>
      </c>
      <c r="K5" s="152" t="s">
        <v>503</v>
      </c>
      <c r="L5" s="245" t="s">
        <v>3</v>
      </c>
      <c r="M5" s="162" t="s">
        <v>29</v>
      </c>
    </row>
    <row r="6" spans="1:14" x14ac:dyDescent="0.2">
      <c r="A6" s="989"/>
      <c r="B6" s="156"/>
      <c r="C6" s="156"/>
      <c r="D6" s="246" t="s">
        <v>4</v>
      </c>
      <c r="E6" s="156" t="s">
        <v>30</v>
      </c>
      <c r="F6" s="161"/>
      <c r="G6" s="161"/>
      <c r="H6" s="245" t="s">
        <v>4</v>
      </c>
      <c r="I6" s="156" t="s">
        <v>30</v>
      </c>
      <c r="J6" s="161"/>
      <c r="K6" s="161"/>
      <c r="L6" s="245" t="s">
        <v>4</v>
      </c>
      <c r="M6" s="156" t="s">
        <v>30</v>
      </c>
    </row>
    <row r="7" spans="1:14" ht="15.75" x14ac:dyDescent="0.2">
      <c r="A7" s="14" t="s">
        <v>23</v>
      </c>
      <c r="B7" s="363"/>
      <c r="C7" s="364">
        <v>1214360.5509299999</v>
      </c>
      <c r="D7" s="372" t="str">
        <f t="shared" ref="D7:D12" si="0">IF(AND(_xlfn.NUMBERVALUE(B7)=0,_xlfn.NUMBERVALUE(C7)=0),,IF(B7=0, "    ---- ", IF(ABS(ROUND(100/B7*C7-100,1))&lt;999,IF(ROUND(100/B7*C7-100,1)=0,"    ---- ",ROUND(100/B7*C7-100,1)),IF(ROUND(100/B7*C7-100,1)&gt;999,999,-999))))</f>
        <v xml:space="preserve">    ---- </v>
      </c>
      <c r="E7" s="373">
        <f>IFERROR(100/'Skjema total MA'!C7*C7,0)</f>
        <v>25.542427856419501</v>
      </c>
      <c r="F7" s="363"/>
      <c r="G7" s="364"/>
      <c r="H7" s="372"/>
      <c r="I7" s="373">
        <f>IFERROR(100/'Skjema total MA'!F7*G7,0)</f>
        <v>0</v>
      </c>
      <c r="J7" s="374">
        <f t="shared" ref="J7:K12" si="1">SUM(B7,F7)</f>
        <v>0</v>
      </c>
      <c r="K7" s="369">
        <f t="shared" si="1"/>
        <v>1214360.5509299999</v>
      </c>
      <c r="L7" s="372" t="str">
        <f t="shared" ref="L7:L12" si="2">IF(AND(_xlfn.NUMBERVALUE(J7)=0,_xlfn.NUMBERVALUE(K7)=0),,IF(J7=0, "    ---- ", IF(ABS(ROUND(100/J7*K7-100,1))&lt;999,IF(ROUND(100/J7*K7-100,1)=0,"    ---- ",ROUND(100/J7*K7-100,1)),IF(ROUND(100/J7*K7-100,1)&gt;999,999,-999))))</f>
        <v xml:space="preserve">    ---- </v>
      </c>
      <c r="M7" s="373">
        <f>IFERROR(100/'Skjema total MA'!I7*K7,0)</f>
        <v>8.066221025652867</v>
      </c>
    </row>
    <row r="8" spans="1:14" ht="15.75" x14ac:dyDescent="0.2">
      <c r="A8" s="21" t="s">
        <v>25</v>
      </c>
      <c r="B8" s="366"/>
      <c r="C8" s="367">
        <v>1119193.35821</v>
      </c>
      <c r="D8" s="375" t="str">
        <f t="shared" si="0"/>
        <v xml:space="preserve">    ---- </v>
      </c>
      <c r="E8" s="373">
        <f>IFERROR(100/'Skjema total MA'!C8*C8,0)</f>
        <v>36.070556915949268</v>
      </c>
      <c r="F8" s="376"/>
      <c r="G8" s="377"/>
      <c r="H8" s="375"/>
      <c r="I8" s="373">
        <f>IFERROR(100/'Skjema total MA'!F8*G8,0)</f>
        <v>0</v>
      </c>
      <c r="J8" s="378">
        <f t="shared" si="1"/>
        <v>0</v>
      </c>
      <c r="K8" s="367">
        <f t="shared" si="1"/>
        <v>1119193.35821</v>
      </c>
      <c r="L8" s="375" t="str">
        <f t="shared" si="2"/>
        <v xml:space="preserve">    ---- </v>
      </c>
      <c r="M8" s="373">
        <f>IFERROR(100/'Skjema total MA'!I8*K8,0)</f>
        <v>36.070556915949268</v>
      </c>
    </row>
    <row r="9" spans="1:14" ht="15.75" x14ac:dyDescent="0.2">
      <c r="A9" s="21" t="s">
        <v>24</v>
      </c>
      <c r="B9" s="366"/>
      <c r="C9" s="367">
        <v>95167.192720000006</v>
      </c>
      <c r="D9" s="375" t="str">
        <f t="shared" si="0"/>
        <v xml:space="preserve">    ---- </v>
      </c>
      <c r="E9" s="373">
        <f>IFERROR(100/'Skjema total MA'!C9*C9,0)</f>
        <v>10.036316683614624</v>
      </c>
      <c r="F9" s="376"/>
      <c r="G9" s="377"/>
      <c r="H9" s="375"/>
      <c r="I9" s="373">
        <f>IFERROR(100/'Skjema total MA'!F9*G9,0)</f>
        <v>0</v>
      </c>
      <c r="J9" s="378">
        <f t="shared" si="1"/>
        <v>0</v>
      </c>
      <c r="K9" s="367">
        <f t="shared" si="1"/>
        <v>95167.192720000006</v>
      </c>
      <c r="L9" s="375" t="str">
        <f t="shared" si="2"/>
        <v xml:space="preserve">    ---- </v>
      </c>
      <c r="M9" s="373">
        <f>IFERROR(100/'Skjema total MA'!I9*K9,0)</f>
        <v>10.036316683614624</v>
      </c>
    </row>
    <row r="10" spans="1:14" ht="15.75" x14ac:dyDescent="0.2">
      <c r="A10" s="13" t="s">
        <v>444</v>
      </c>
      <c r="B10" s="368"/>
      <c r="C10" s="369">
        <v>539261.14280000003</v>
      </c>
      <c r="D10" s="375" t="str">
        <f t="shared" si="0"/>
        <v xml:space="preserve">    ---- </v>
      </c>
      <c r="E10" s="373">
        <f>IFERROR(100/'Skjema total MA'!C10*C10,0)</f>
        <v>2.7334177564626732</v>
      </c>
      <c r="F10" s="368"/>
      <c r="G10" s="369"/>
      <c r="H10" s="375"/>
      <c r="I10" s="373">
        <f>IFERROR(100/'Skjema total MA'!F10*G10,0)</f>
        <v>0</v>
      </c>
      <c r="J10" s="374">
        <f t="shared" si="1"/>
        <v>0</v>
      </c>
      <c r="K10" s="369">
        <f t="shared" si="1"/>
        <v>539261.14280000003</v>
      </c>
      <c r="L10" s="375" t="str">
        <f t="shared" si="2"/>
        <v xml:space="preserve">    ---- </v>
      </c>
      <c r="M10" s="373">
        <f>IFERROR(100/'Skjema total MA'!I10*K10,0)</f>
        <v>0.67055731619578252</v>
      </c>
    </row>
    <row r="11" spans="1:14" s="43" customFormat="1" ht="15.75" x14ac:dyDescent="0.2">
      <c r="A11" s="13" t="s">
        <v>445</v>
      </c>
      <c r="B11" s="368"/>
      <c r="C11" s="369">
        <v>0</v>
      </c>
      <c r="D11" s="375">
        <f t="shared" si="0"/>
        <v>0</v>
      </c>
      <c r="E11" s="373">
        <f>IFERROR(100/'Skjema total MA'!C11*C11,0)</f>
        <v>0</v>
      </c>
      <c r="F11" s="368"/>
      <c r="G11" s="369"/>
      <c r="H11" s="375"/>
      <c r="I11" s="373">
        <f>IFERROR(100/'Skjema total MA'!F11*G11,0)</f>
        <v>0</v>
      </c>
      <c r="J11" s="374">
        <f t="shared" si="1"/>
        <v>0</v>
      </c>
      <c r="K11" s="369">
        <f t="shared" si="1"/>
        <v>0</v>
      </c>
      <c r="L11" s="375">
        <f t="shared" si="2"/>
        <v>0</v>
      </c>
      <c r="M11" s="373">
        <f>IFERROR(100/'Skjema total MA'!I11*K11,0)</f>
        <v>0</v>
      </c>
      <c r="N11" s="143"/>
    </row>
    <row r="12" spans="1:14" s="43" customFormat="1" ht="15.75" x14ac:dyDescent="0.2">
      <c r="A12" s="41" t="s">
        <v>446</v>
      </c>
      <c r="B12" s="370"/>
      <c r="C12" s="371">
        <v>0</v>
      </c>
      <c r="D12" s="379">
        <f t="shared" si="0"/>
        <v>0</v>
      </c>
      <c r="E12" s="379">
        <f>IFERROR(100/'Skjema total MA'!C12*C12,0)</f>
        <v>0</v>
      </c>
      <c r="F12" s="370"/>
      <c r="G12" s="371"/>
      <c r="H12" s="379"/>
      <c r="I12" s="379">
        <f>IFERROR(100/'Skjema total MA'!F12*G12,0)</f>
        <v>0</v>
      </c>
      <c r="J12" s="380">
        <f t="shared" si="1"/>
        <v>0</v>
      </c>
      <c r="K12" s="371">
        <f t="shared" si="1"/>
        <v>0</v>
      </c>
      <c r="L12" s="379">
        <f t="shared" si="2"/>
        <v>0</v>
      </c>
      <c r="M12" s="379">
        <f>IFERROR(100/'Skjema total MA'!I12*K12,0)</f>
        <v>0</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359"/>
      <c r="C18" s="359"/>
      <c r="D18" s="359"/>
      <c r="E18" s="360"/>
      <c r="F18" s="359"/>
      <c r="G18" s="359"/>
      <c r="H18" s="359"/>
      <c r="I18" s="360"/>
      <c r="J18" s="359"/>
      <c r="K18" s="359"/>
      <c r="L18" s="359"/>
      <c r="M18" s="360"/>
    </row>
    <row r="19" spans="1:14" x14ac:dyDescent="0.2">
      <c r="A19" s="144"/>
      <c r="B19" s="1023" t="s">
        <v>0</v>
      </c>
      <c r="C19" s="1024"/>
      <c r="D19" s="1024"/>
      <c r="E19" s="357"/>
      <c r="F19" s="1023" t="s">
        <v>1</v>
      </c>
      <c r="G19" s="1024"/>
      <c r="H19" s="1024"/>
      <c r="I19" s="358"/>
      <c r="J19" s="1023" t="s">
        <v>2</v>
      </c>
      <c r="K19" s="1024"/>
      <c r="L19" s="1024"/>
      <c r="M19" s="358"/>
    </row>
    <row r="20" spans="1:14" x14ac:dyDescent="0.2">
      <c r="A20" s="140" t="s">
        <v>5</v>
      </c>
      <c r="B20" s="152" t="s">
        <v>502</v>
      </c>
      <c r="C20" s="152" t="s">
        <v>503</v>
      </c>
      <c r="D20" s="162" t="s">
        <v>3</v>
      </c>
      <c r="E20" s="307" t="s">
        <v>29</v>
      </c>
      <c r="F20" s="152" t="s">
        <v>502</v>
      </c>
      <c r="G20" s="152" t="s">
        <v>503</v>
      </c>
      <c r="H20" s="162" t="s">
        <v>3</v>
      </c>
      <c r="I20" s="307" t="s">
        <v>29</v>
      </c>
      <c r="J20" s="152" t="s">
        <v>502</v>
      </c>
      <c r="K20" s="152" t="s">
        <v>503</v>
      </c>
      <c r="L20" s="162" t="s">
        <v>3</v>
      </c>
      <c r="M20" s="162" t="s">
        <v>29</v>
      </c>
    </row>
    <row r="21" spans="1:14" x14ac:dyDescent="0.2">
      <c r="A21" s="990"/>
      <c r="B21" s="156"/>
      <c r="C21" s="156"/>
      <c r="D21" s="246" t="s">
        <v>4</v>
      </c>
      <c r="E21" s="156" t="s">
        <v>30</v>
      </c>
      <c r="F21" s="161"/>
      <c r="G21" s="161"/>
      <c r="H21" s="245" t="s">
        <v>4</v>
      </c>
      <c r="I21" s="156" t="s">
        <v>30</v>
      </c>
      <c r="J21" s="161"/>
      <c r="K21" s="161"/>
      <c r="L21" s="156" t="s">
        <v>4</v>
      </c>
      <c r="M21" s="156" t="s">
        <v>30</v>
      </c>
    </row>
    <row r="22" spans="1:14" ht="15.75" x14ac:dyDescent="0.2">
      <c r="A22" s="14" t="s">
        <v>23</v>
      </c>
      <c r="B22" s="838"/>
      <c r="C22" s="838">
        <v>595048.67813999997</v>
      </c>
      <c r="D22" s="372" t="str">
        <f t="shared" ref="D22:D39" si="3">IF(AND(_xlfn.NUMBERVALUE(B22)=0,_xlfn.NUMBERVALUE(C22)=0),,IF(B22=0, "    ---- ", IF(ABS(ROUND(100/B22*C22-100,1))&lt;999,IF(ROUND(100/B22*C22-100,1)=0,"    ---- ",ROUND(100/B22*C22-100,1)),IF(ROUND(100/B22*C22-100,1)&gt;999,999,-999))))</f>
        <v xml:space="preserve">    ---- </v>
      </c>
      <c r="E22" s="373">
        <f>IFERROR(100/'Skjema total MA'!C22*C22,0)</f>
        <v>33.540187320701776</v>
      </c>
      <c r="F22" s="381"/>
      <c r="G22" s="381"/>
      <c r="H22" s="372"/>
      <c r="I22" s="373"/>
      <c r="J22" s="363">
        <f t="shared" ref="J22:K35" si="4">SUM(B22,F22)</f>
        <v>0</v>
      </c>
      <c r="K22" s="363">
        <f t="shared" si="4"/>
        <v>595048.67813999997</v>
      </c>
      <c r="L22" s="372" t="str">
        <f t="shared" ref="L22:L39" si="5">IF(AND(_xlfn.NUMBERVALUE(J22)=0,_xlfn.NUMBERVALUE(K22)=0),,IF(J22=0, "    ---- ", IF(ABS(ROUND(100/J22*K22-100,1))&lt;999,IF(ROUND(100/J22*K22-100,1)=0,"    ---- ",ROUND(100/J22*K22-100,1)),IF(ROUND(100/J22*K22-100,1)&gt;999,999,-999))))</f>
        <v xml:space="preserve">    ---- </v>
      </c>
      <c r="M22" s="373">
        <f>IFERROR(100/'Skjema total MA'!I22*K22,0)</f>
        <v>18.242155002843813</v>
      </c>
    </row>
    <row r="23" spans="1:14" ht="15.75" x14ac:dyDescent="0.2">
      <c r="A23" s="811" t="s">
        <v>447</v>
      </c>
      <c r="B23" s="365"/>
      <c r="C23" s="365">
        <v>0</v>
      </c>
      <c r="D23" s="375">
        <f t="shared" si="3"/>
        <v>0</v>
      </c>
      <c r="E23" s="373">
        <f>IFERROR(100/'Skjema total MA'!C23*C23,0)</f>
        <v>0</v>
      </c>
      <c r="F23" s="365"/>
      <c r="G23" s="365"/>
      <c r="H23" s="375"/>
      <c r="I23" s="373"/>
      <c r="J23" s="365">
        <f t="shared" ref="J23:J27" si="6">SUM(B23,F23)</f>
        <v>0</v>
      </c>
      <c r="K23" s="365">
        <f t="shared" ref="K23:K27" si="7">SUM(C23,G23)</f>
        <v>0</v>
      </c>
      <c r="L23" s="375">
        <f t="shared" si="5"/>
        <v>0</v>
      </c>
      <c r="M23" s="373">
        <f>IFERROR(100/'Skjema total MA'!I23*K23,0)</f>
        <v>0</v>
      </c>
    </row>
    <row r="24" spans="1:14" ht="15.75" x14ac:dyDescent="0.2">
      <c r="A24" s="811" t="s">
        <v>448</v>
      </c>
      <c r="B24" s="365"/>
      <c r="C24" s="365">
        <v>0</v>
      </c>
      <c r="D24" s="375">
        <f t="shared" si="3"/>
        <v>0</v>
      </c>
      <c r="E24" s="373">
        <f>IFERROR(100/'Skjema total MA'!C24*C24,0)</f>
        <v>0</v>
      </c>
      <c r="F24" s="365"/>
      <c r="G24" s="365"/>
      <c r="H24" s="375"/>
      <c r="I24" s="373"/>
      <c r="J24" s="365">
        <f t="shared" si="6"/>
        <v>0</v>
      </c>
      <c r="K24" s="365">
        <f t="shared" si="7"/>
        <v>0</v>
      </c>
      <c r="L24" s="375">
        <f t="shared" si="5"/>
        <v>0</v>
      </c>
      <c r="M24" s="373">
        <f>IFERROR(100/'Skjema total MA'!I24*K24,0)</f>
        <v>0</v>
      </c>
    </row>
    <row r="25" spans="1:14" ht="15.75" x14ac:dyDescent="0.2">
      <c r="A25" s="811" t="s">
        <v>449</v>
      </c>
      <c r="B25" s="365"/>
      <c r="C25" s="365">
        <v>0</v>
      </c>
      <c r="D25" s="375">
        <f t="shared" si="3"/>
        <v>0</v>
      </c>
      <c r="E25" s="373">
        <f>IFERROR(100/'Skjema total MA'!C25*C25,0)</f>
        <v>0</v>
      </c>
      <c r="F25" s="365"/>
      <c r="G25" s="365"/>
      <c r="H25" s="375"/>
      <c r="I25" s="373"/>
      <c r="J25" s="365">
        <f t="shared" si="6"/>
        <v>0</v>
      </c>
      <c r="K25" s="365">
        <f t="shared" si="7"/>
        <v>0</v>
      </c>
      <c r="L25" s="375">
        <f t="shared" si="5"/>
        <v>0</v>
      </c>
      <c r="M25" s="373">
        <f>IFERROR(100/'Skjema total MA'!I25*K25,0)</f>
        <v>0</v>
      </c>
    </row>
    <row r="26" spans="1:14" ht="15.75" x14ac:dyDescent="0.2">
      <c r="A26" s="811" t="s">
        <v>450</v>
      </c>
      <c r="B26" s="365"/>
      <c r="C26" s="365">
        <v>0</v>
      </c>
      <c r="D26" s="375">
        <f t="shared" si="3"/>
        <v>0</v>
      </c>
      <c r="E26" s="373">
        <f>IFERROR(100/'Skjema total MA'!C26*C26,0)</f>
        <v>0</v>
      </c>
      <c r="F26" s="365"/>
      <c r="G26" s="365"/>
      <c r="H26" s="375"/>
      <c r="I26" s="373"/>
      <c r="J26" s="365">
        <f t="shared" si="6"/>
        <v>0</v>
      </c>
      <c r="K26" s="365">
        <f t="shared" si="7"/>
        <v>0</v>
      </c>
      <c r="L26" s="375">
        <f t="shared" si="5"/>
        <v>0</v>
      </c>
      <c r="M26" s="373">
        <f>IFERROR(100/'Skjema total MA'!I26*K26,0)</f>
        <v>0</v>
      </c>
    </row>
    <row r="27" spans="1:14" x14ac:dyDescent="0.2">
      <c r="A27" s="811" t="s">
        <v>11</v>
      </c>
      <c r="B27" s="365"/>
      <c r="C27" s="365">
        <v>0</v>
      </c>
      <c r="D27" s="375">
        <f t="shared" si="3"/>
        <v>0</v>
      </c>
      <c r="E27" s="373">
        <f>IFERROR(100/'Skjema total MA'!C27*C27,0)</f>
        <v>0</v>
      </c>
      <c r="F27" s="365"/>
      <c r="G27" s="365"/>
      <c r="H27" s="375"/>
      <c r="I27" s="373"/>
      <c r="J27" s="365">
        <f t="shared" si="6"/>
        <v>0</v>
      </c>
      <c r="K27" s="365">
        <f t="shared" si="7"/>
        <v>0</v>
      </c>
      <c r="L27" s="375">
        <f t="shared" si="5"/>
        <v>0</v>
      </c>
      <c r="M27" s="373">
        <f>IFERROR(100/'Skjema total MA'!I27*K27,0)</f>
        <v>0</v>
      </c>
    </row>
    <row r="28" spans="1:14" ht="15.75" x14ac:dyDescent="0.2">
      <c r="A28" s="49" t="s">
        <v>272</v>
      </c>
      <c r="B28" s="365"/>
      <c r="C28" s="365">
        <v>595048.67813999997</v>
      </c>
      <c r="D28" s="375" t="str">
        <f t="shared" si="3"/>
        <v xml:space="preserve">    ---- </v>
      </c>
      <c r="E28" s="373">
        <f>IFERROR(100/'Skjema total MA'!C28*C28,0)</f>
        <v>31.213540551721799</v>
      </c>
      <c r="F28" s="378"/>
      <c r="G28" s="367"/>
      <c r="H28" s="375"/>
      <c r="I28" s="373"/>
      <c r="J28" s="366">
        <f t="shared" si="4"/>
        <v>0</v>
      </c>
      <c r="K28" s="366">
        <f t="shared" si="4"/>
        <v>595048.67813999997</v>
      </c>
      <c r="L28" s="375" t="str">
        <f t="shared" si="5"/>
        <v xml:space="preserve">    ---- </v>
      </c>
      <c r="M28" s="373">
        <f>IFERROR(100/'Skjema total MA'!I28*K28,0)</f>
        <v>31.213540551721799</v>
      </c>
    </row>
    <row r="29" spans="1:14" s="3" customFormat="1" ht="15.75" x14ac:dyDescent="0.2">
      <c r="A29" s="13" t="s">
        <v>444</v>
      </c>
      <c r="B29" s="368"/>
      <c r="C29" s="368">
        <v>3283454.98979</v>
      </c>
      <c r="D29" s="375" t="str">
        <f t="shared" si="3"/>
        <v xml:space="preserve">    ---- </v>
      </c>
      <c r="E29" s="373">
        <f>IFERROR(100/'Skjema total MA'!C29*C29,0)</f>
        <v>7.1769900868496386</v>
      </c>
      <c r="F29" s="374"/>
      <c r="G29" s="374"/>
      <c r="H29" s="375"/>
      <c r="I29" s="373"/>
      <c r="J29" s="368">
        <f t="shared" si="4"/>
        <v>0</v>
      </c>
      <c r="K29" s="368">
        <f t="shared" si="4"/>
        <v>3283454.98979</v>
      </c>
      <c r="L29" s="375" t="str">
        <f t="shared" si="5"/>
        <v xml:space="preserve">    ---- </v>
      </c>
      <c r="M29" s="373">
        <f>IFERROR(100/'Skjema total MA'!I29*K29,0)</f>
        <v>4.6714210066929924</v>
      </c>
      <c r="N29" s="148"/>
    </row>
    <row r="30" spans="1:14" s="3" customFormat="1" ht="15.75" x14ac:dyDescent="0.2">
      <c r="A30" s="811" t="s">
        <v>447</v>
      </c>
      <c r="B30" s="365"/>
      <c r="C30" s="365">
        <v>0</v>
      </c>
      <c r="D30" s="375">
        <f t="shared" si="3"/>
        <v>0</v>
      </c>
      <c r="E30" s="373">
        <f>IFERROR(100/'Skjema total MA'!C30*C30,0)</f>
        <v>0</v>
      </c>
      <c r="F30" s="365"/>
      <c r="G30" s="365"/>
      <c r="H30" s="375"/>
      <c r="I30" s="373"/>
      <c r="J30" s="365">
        <f t="shared" ref="J30:J33" si="8">SUM(B30,F30)</f>
        <v>0</v>
      </c>
      <c r="K30" s="365">
        <f t="shared" ref="K30:K33" si="9">SUM(C30,G30)</f>
        <v>0</v>
      </c>
      <c r="L30" s="375">
        <f t="shared" si="5"/>
        <v>0</v>
      </c>
      <c r="M30" s="373">
        <f>IFERROR(100/'Skjema total MA'!I30*K30,0)</f>
        <v>0</v>
      </c>
      <c r="N30" s="148"/>
    </row>
    <row r="31" spans="1:14" s="3" customFormat="1" ht="15.75" x14ac:dyDescent="0.2">
      <c r="A31" s="811" t="s">
        <v>448</v>
      </c>
      <c r="B31" s="365"/>
      <c r="C31" s="365">
        <v>0</v>
      </c>
      <c r="D31" s="375">
        <f t="shared" si="3"/>
        <v>0</v>
      </c>
      <c r="E31" s="373">
        <f>IFERROR(100/'Skjema total MA'!C31*C31,0)</f>
        <v>0</v>
      </c>
      <c r="F31" s="365"/>
      <c r="G31" s="365"/>
      <c r="H31" s="375"/>
      <c r="I31" s="373"/>
      <c r="J31" s="365">
        <f t="shared" si="8"/>
        <v>0</v>
      </c>
      <c r="K31" s="365">
        <f t="shared" si="9"/>
        <v>0</v>
      </c>
      <c r="L31" s="375">
        <f t="shared" si="5"/>
        <v>0</v>
      </c>
      <c r="M31" s="373">
        <f>IFERROR(100/'Skjema total MA'!I31*K31,0)</f>
        <v>0</v>
      </c>
      <c r="N31" s="148"/>
    </row>
    <row r="32" spans="1:14" ht="15.75" x14ac:dyDescent="0.2">
      <c r="A32" s="811" t="s">
        <v>449</v>
      </c>
      <c r="B32" s="365"/>
      <c r="C32" s="365">
        <v>0</v>
      </c>
      <c r="D32" s="375">
        <f t="shared" si="3"/>
        <v>0</v>
      </c>
      <c r="E32" s="373">
        <f>IFERROR(100/'Skjema total MA'!C32*C32,0)</f>
        <v>0</v>
      </c>
      <c r="F32" s="365"/>
      <c r="G32" s="365"/>
      <c r="H32" s="375"/>
      <c r="I32" s="373"/>
      <c r="J32" s="365">
        <f t="shared" si="8"/>
        <v>0</v>
      </c>
      <c r="K32" s="365">
        <f t="shared" si="9"/>
        <v>0</v>
      </c>
      <c r="L32" s="375">
        <f t="shared" si="5"/>
        <v>0</v>
      </c>
      <c r="M32" s="373">
        <f>IFERROR(100/'Skjema total MA'!I32*K32,0)</f>
        <v>0</v>
      </c>
    </row>
    <row r="33" spans="1:14" ht="15.75" x14ac:dyDescent="0.2">
      <c r="A33" s="811" t="s">
        <v>450</v>
      </c>
      <c r="B33" s="365"/>
      <c r="C33" s="365">
        <v>0</v>
      </c>
      <c r="D33" s="375">
        <f t="shared" si="3"/>
        <v>0</v>
      </c>
      <c r="E33" s="373">
        <f>IFERROR(100/'Skjema total MA'!C33*C33,0)</f>
        <v>0</v>
      </c>
      <c r="F33" s="365"/>
      <c r="G33" s="365"/>
      <c r="H33" s="375"/>
      <c r="I33" s="373"/>
      <c r="J33" s="365">
        <f t="shared" si="8"/>
        <v>0</v>
      </c>
      <c r="K33" s="365">
        <f t="shared" si="9"/>
        <v>0</v>
      </c>
      <c r="L33" s="375">
        <f t="shared" si="5"/>
        <v>0</v>
      </c>
      <c r="M33" s="373">
        <f>IFERROR(100/'Skjema total MA'!I34*K33,0)</f>
        <v>0</v>
      </c>
    </row>
    <row r="34" spans="1:14" ht="15.75" x14ac:dyDescent="0.2">
      <c r="A34" s="13" t="s">
        <v>445</v>
      </c>
      <c r="B34" s="368"/>
      <c r="C34" s="369">
        <v>0</v>
      </c>
      <c r="D34" s="375">
        <f t="shared" si="3"/>
        <v>0</v>
      </c>
      <c r="E34" s="373">
        <f>IFERROR(100/'Skjema total MA'!C34*C34,0)</f>
        <v>0</v>
      </c>
      <c r="F34" s="374"/>
      <c r="G34" s="369"/>
      <c r="H34" s="375"/>
      <c r="I34" s="373"/>
      <c r="J34" s="368">
        <f t="shared" si="4"/>
        <v>0</v>
      </c>
      <c r="K34" s="368">
        <f t="shared" si="4"/>
        <v>0</v>
      </c>
      <c r="L34" s="375">
        <f t="shared" si="5"/>
        <v>0</v>
      </c>
      <c r="M34" s="373">
        <f>IFERROR(100/'Skjema total MA'!I34*K34,0)</f>
        <v>0</v>
      </c>
    </row>
    <row r="35" spans="1:14" ht="15.75" x14ac:dyDescent="0.2">
      <c r="A35" s="13" t="s">
        <v>446</v>
      </c>
      <c r="B35" s="368"/>
      <c r="C35" s="369">
        <v>0</v>
      </c>
      <c r="D35" s="375">
        <f t="shared" si="3"/>
        <v>0</v>
      </c>
      <c r="E35" s="373">
        <f>IFERROR(100/'Skjema total MA'!C35*C35,0)</f>
        <v>0</v>
      </c>
      <c r="F35" s="374"/>
      <c r="G35" s="369"/>
      <c r="H35" s="375"/>
      <c r="I35" s="373"/>
      <c r="J35" s="368">
        <f t="shared" si="4"/>
        <v>0</v>
      </c>
      <c r="K35" s="368">
        <f t="shared" si="4"/>
        <v>0</v>
      </c>
      <c r="L35" s="375">
        <f t="shared" si="5"/>
        <v>0</v>
      </c>
      <c r="M35" s="373">
        <f>IFERROR(100/'Skjema total MA'!I35*K35,0)</f>
        <v>0</v>
      </c>
    </row>
    <row r="36" spans="1:14" ht="15.75" x14ac:dyDescent="0.2">
      <c r="A36" s="12" t="s">
        <v>280</v>
      </c>
      <c r="B36" s="368"/>
      <c r="C36" s="369">
        <v>0</v>
      </c>
      <c r="D36" s="375">
        <f t="shared" si="3"/>
        <v>0</v>
      </c>
      <c r="E36" s="373">
        <f>100/'Skjema total MA'!C36*C36</f>
        <v>0</v>
      </c>
      <c r="F36" s="382"/>
      <c r="G36" s="383"/>
      <c r="H36" s="375"/>
      <c r="I36" s="373"/>
      <c r="J36" s="368">
        <f t="shared" ref="J36:J39" si="10">SUM(B36,F36)</f>
        <v>0</v>
      </c>
      <c r="K36" s="368">
        <f t="shared" ref="K36:K39" si="11">SUM(C36,G36)</f>
        <v>0</v>
      </c>
      <c r="L36" s="375">
        <f t="shared" si="5"/>
        <v>0</v>
      </c>
      <c r="M36" s="373">
        <f>IFERROR(100/'Skjema total MA'!I36*K36,0)</f>
        <v>0</v>
      </c>
    </row>
    <row r="37" spans="1:14" ht="15.75" x14ac:dyDescent="0.2">
      <c r="A37" s="12" t="s">
        <v>452</v>
      </c>
      <c r="B37" s="368"/>
      <c r="C37" s="369">
        <v>0</v>
      </c>
      <c r="D37" s="375">
        <f t="shared" si="3"/>
        <v>0</v>
      </c>
      <c r="E37" s="373">
        <f>100/'Skjema total MA'!C37*C37</f>
        <v>0</v>
      </c>
      <c r="F37" s="382"/>
      <c r="G37" s="384"/>
      <c r="H37" s="375"/>
      <c r="I37" s="373"/>
      <c r="J37" s="368">
        <f t="shared" si="10"/>
        <v>0</v>
      </c>
      <c r="K37" s="368">
        <f t="shared" si="11"/>
        <v>0</v>
      </c>
      <c r="L37" s="375">
        <f t="shared" si="5"/>
        <v>0</v>
      </c>
      <c r="M37" s="373">
        <f>IFERROR(100/'Skjema total MA'!I37*K37,0)</f>
        <v>0</v>
      </c>
    </row>
    <row r="38" spans="1:14" ht="15.75" x14ac:dyDescent="0.2">
      <c r="A38" s="12" t="s">
        <v>453</v>
      </c>
      <c r="B38" s="368"/>
      <c r="C38" s="369">
        <v>0</v>
      </c>
      <c r="D38" s="375">
        <f t="shared" si="3"/>
        <v>0</v>
      </c>
      <c r="E38" s="166">
        <f>IFERROR(100/'Skjema total MA'!C37*C38,0)</f>
        <v>0</v>
      </c>
      <c r="F38" s="382"/>
      <c r="G38" s="383"/>
      <c r="H38" s="375"/>
      <c r="I38" s="373"/>
      <c r="J38" s="368">
        <f t="shared" si="10"/>
        <v>0</v>
      </c>
      <c r="K38" s="368">
        <f t="shared" si="11"/>
        <v>0</v>
      </c>
      <c r="L38" s="375">
        <f t="shared" si="5"/>
        <v>0</v>
      </c>
      <c r="M38" s="373">
        <f>IFERROR(100/'Skjema total MA'!I38*K38,0)</f>
        <v>0</v>
      </c>
    </row>
    <row r="39" spans="1:14" ht="15.75" x14ac:dyDescent="0.2">
      <c r="A39" s="18" t="s">
        <v>454</v>
      </c>
      <c r="B39" s="370"/>
      <c r="C39" s="371">
        <v>0</v>
      </c>
      <c r="D39" s="379">
        <f t="shared" si="3"/>
        <v>0</v>
      </c>
      <c r="E39" s="167">
        <f>IFERROR(100/'Skjema total MA'!C38*C39,0)</f>
        <v>0</v>
      </c>
      <c r="F39" s="385"/>
      <c r="G39" s="386"/>
      <c r="H39" s="379"/>
      <c r="I39" s="373"/>
      <c r="J39" s="368">
        <f t="shared" si="10"/>
        <v>0</v>
      </c>
      <c r="K39" s="368">
        <f t="shared" si="11"/>
        <v>0</v>
      </c>
      <c r="L39" s="379">
        <f t="shared" si="5"/>
        <v>0</v>
      </c>
      <c r="M39" s="379">
        <f>IFERROR(100/'Skjema total MA'!I39*K39,0)</f>
        <v>0</v>
      </c>
    </row>
    <row r="40" spans="1:14" ht="15.75" x14ac:dyDescent="0.25">
      <c r="A40" s="47"/>
      <c r="B40" s="256"/>
      <c r="C40" s="256"/>
      <c r="D40" s="362"/>
      <c r="E40" s="362"/>
      <c r="F40" s="362"/>
      <c r="G40" s="362"/>
      <c r="H40" s="362"/>
      <c r="I40" s="362"/>
      <c r="J40" s="362"/>
      <c r="K40" s="362"/>
      <c r="L40" s="362"/>
      <c r="M40" s="361"/>
    </row>
    <row r="41" spans="1:14" x14ac:dyDescent="0.2">
      <c r="A41" s="155"/>
    </row>
    <row r="42" spans="1:14" ht="15.75" x14ac:dyDescent="0.25">
      <c r="A42" s="147" t="s">
        <v>269</v>
      </c>
      <c r="B42" s="360"/>
      <c r="C42" s="360"/>
      <c r="D42" s="360"/>
      <c r="E42" s="360"/>
      <c r="F42" s="361"/>
      <c r="G42" s="361"/>
      <c r="H42" s="361"/>
      <c r="I42" s="361"/>
      <c r="J42" s="361"/>
      <c r="K42" s="361"/>
      <c r="L42" s="361"/>
      <c r="M42" s="361"/>
    </row>
    <row r="43" spans="1:14" ht="15.75" x14ac:dyDescent="0.25">
      <c r="A43" s="163"/>
      <c r="B43" s="359"/>
      <c r="C43" s="359"/>
      <c r="D43" s="359"/>
      <c r="E43" s="359"/>
      <c r="F43" s="361"/>
      <c r="G43" s="361"/>
      <c r="H43" s="361"/>
      <c r="I43" s="361"/>
      <c r="J43" s="361"/>
      <c r="K43" s="361"/>
      <c r="L43" s="361"/>
      <c r="M43" s="361"/>
    </row>
    <row r="44" spans="1:14" ht="15.75" x14ac:dyDescent="0.25">
      <c r="A44" s="247"/>
      <c r="B44" s="1023" t="s">
        <v>0</v>
      </c>
      <c r="C44" s="1024"/>
      <c r="D44" s="1024"/>
      <c r="E44" s="243"/>
      <c r="F44" s="361"/>
      <c r="G44" s="361"/>
      <c r="H44" s="361"/>
      <c r="I44" s="361"/>
      <c r="J44" s="361"/>
      <c r="K44" s="361"/>
      <c r="L44" s="361"/>
      <c r="M44" s="361"/>
    </row>
    <row r="45" spans="1:14" s="3" customFormat="1" x14ac:dyDescent="0.2">
      <c r="A45" s="140"/>
      <c r="B45" s="152" t="s">
        <v>502</v>
      </c>
      <c r="C45" s="152" t="s">
        <v>503</v>
      </c>
      <c r="D45" s="162" t="s">
        <v>3</v>
      </c>
      <c r="E45" s="162" t="s">
        <v>29</v>
      </c>
      <c r="F45" s="174"/>
      <c r="G45" s="174"/>
      <c r="H45" s="173"/>
      <c r="I45" s="173"/>
      <c r="J45" s="174"/>
      <c r="K45" s="174"/>
      <c r="L45" s="173"/>
      <c r="M45" s="173"/>
      <c r="N45" s="148"/>
    </row>
    <row r="46" spans="1:14" s="3" customFormat="1" x14ac:dyDescent="0.2">
      <c r="A46" s="990"/>
      <c r="B46" s="244"/>
      <c r="C46" s="244"/>
      <c r="D46" s="245" t="s">
        <v>4</v>
      </c>
      <c r="E46" s="156" t="s">
        <v>30</v>
      </c>
      <c r="F46" s="173"/>
      <c r="G46" s="173"/>
      <c r="H46" s="173"/>
      <c r="I46" s="173"/>
      <c r="J46" s="173"/>
      <c r="K46" s="173"/>
      <c r="L46" s="173"/>
      <c r="M46" s="173"/>
      <c r="N46" s="148"/>
    </row>
    <row r="47" spans="1:14" s="421" customFormat="1" ht="15.75" x14ac:dyDescent="0.2">
      <c r="A47" s="14" t="s">
        <v>23</v>
      </c>
      <c r="B47" s="368"/>
      <c r="C47" s="369">
        <v>1102873.7127700001</v>
      </c>
      <c r="D47" s="425" t="str">
        <f>IF(AND(_xlfn.NUMBERVALUE(B47)=0,_xlfn.NUMBERVALUE(C47)=0),,IF(B47=0, "    ---- ", IF(ABS(ROUND(100/B47*C47-100,1))&lt;999,IF(ROUND(100/B47*C47-100,1)=0,"    ---- ",ROUND(100/B47*C47-100,1)),IF(ROUND(100/B47*C47-100,1)&gt;999,999,-999))))</f>
        <v xml:space="preserve">    ---- </v>
      </c>
      <c r="E47" s="426">
        <f>IFERROR(100/'Skjema total MA'!C47*C47,0)</f>
        <v>23.086794793372619</v>
      </c>
      <c r="F47" s="159"/>
      <c r="G47" s="173"/>
      <c r="H47" s="159"/>
      <c r="I47" s="159"/>
      <c r="J47" s="424"/>
      <c r="K47" s="424"/>
      <c r="L47" s="159"/>
      <c r="M47" s="159"/>
      <c r="N47" s="427"/>
    </row>
    <row r="48" spans="1:14" s="3" customFormat="1" ht="15.75" x14ac:dyDescent="0.2">
      <c r="A48" s="38" t="s">
        <v>455</v>
      </c>
      <c r="B48" s="366"/>
      <c r="C48" s="367">
        <v>103863.00747</v>
      </c>
      <c r="D48" s="375" t="str">
        <f t="shared" ref="D48:D58" si="12">IF(AND(_xlfn.NUMBERVALUE(B48)=0,_xlfn.NUMBERVALUE(C48)=0),,IF(B48=0, "    ---- ", IF(ABS(ROUND(100/B48*C48-100,1))&lt;999,IF(ROUND(100/B48*C48-100,1)=0,"    ---- ",ROUND(100/B48*C48-100,1)),IF(ROUND(100/B48*C48-100,1)&gt;999,999,-999))))</f>
        <v xml:space="preserve">    ---- </v>
      </c>
      <c r="E48" s="414">
        <f>IFERROR(100/'Skjema total MA'!C48*C48,0)</f>
        <v>3.898210952835603</v>
      </c>
      <c r="F48" s="145"/>
      <c r="G48" s="33"/>
      <c r="H48" s="145"/>
      <c r="I48" s="145"/>
      <c r="J48" s="33"/>
      <c r="K48" s="33"/>
      <c r="L48" s="159"/>
      <c r="M48" s="159"/>
      <c r="N48" s="148"/>
    </row>
    <row r="49" spans="1:14" s="3" customFormat="1" ht="15.75" x14ac:dyDescent="0.2">
      <c r="A49" s="38" t="s">
        <v>456</v>
      </c>
      <c r="B49" s="366"/>
      <c r="C49" s="367">
        <v>999010.70530000003</v>
      </c>
      <c r="D49" s="375" t="str">
        <f t="shared" si="12"/>
        <v xml:space="preserve">    ---- </v>
      </c>
      <c r="E49" s="414">
        <f>IFERROR(100/'Skjema total MA'!C49*C49,0)</f>
        <v>47.285978773523972</v>
      </c>
      <c r="F49" s="145"/>
      <c r="G49" s="33"/>
      <c r="H49" s="145"/>
      <c r="I49" s="145"/>
      <c r="J49" s="37"/>
      <c r="K49" s="37"/>
      <c r="L49" s="159"/>
      <c r="M49" s="159"/>
      <c r="N49" s="148"/>
    </row>
    <row r="50" spans="1:14" s="3" customFormat="1" x14ac:dyDescent="0.2">
      <c r="A50" s="298" t="s">
        <v>6</v>
      </c>
      <c r="B50" s="365"/>
      <c r="C50" s="387">
        <v>0</v>
      </c>
      <c r="D50" s="375">
        <f t="shared" si="12"/>
        <v>0</v>
      </c>
      <c r="E50" s="415"/>
      <c r="F50" s="145"/>
      <c r="G50" s="33"/>
      <c r="H50" s="145"/>
      <c r="I50" s="145"/>
      <c r="J50" s="33"/>
      <c r="K50" s="33"/>
      <c r="L50" s="159"/>
      <c r="M50" s="159"/>
      <c r="N50" s="148"/>
    </row>
    <row r="51" spans="1:14" s="3" customFormat="1" x14ac:dyDescent="0.2">
      <c r="A51" s="298" t="s">
        <v>7</v>
      </c>
      <c r="B51" s="365"/>
      <c r="C51" s="387">
        <v>990523.00832000002</v>
      </c>
      <c r="D51" s="375" t="str">
        <f t="shared" si="12"/>
        <v xml:space="preserve">    ---- </v>
      </c>
      <c r="E51" s="414">
        <f>IFERROR(100/'Skjema total MA'!C51*C51,0)</f>
        <v>48.591517377439928</v>
      </c>
      <c r="F51" s="145"/>
      <c r="G51" s="33"/>
      <c r="H51" s="145"/>
      <c r="I51" s="145"/>
      <c r="J51" s="33"/>
      <c r="K51" s="33"/>
      <c r="L51" s="159"/>
      <c r="M51" s="159"/>
      <c r="N51" s="148"/>
    </row>
    <row r="52" spans="1:14" s="3" customFormat="1" x14ac:dyDescent="0.2">
      <c r="A52" s="298" t="s">
        <v>8</v>
      </c>
      <c r="B52" s="365"/>
      <c r="C52" s="387">
        <v>8487.6969800000006</v>
      </c>
      <c r="D52" s="375" t="str">
        <f t="shared" si="12"/>
        <v xml:space="preserve">    ---- </v>
      </c>
      <c r="E52" s="414">
        <f>IFERROR(100/'Skjema total MA'!C52*C52,0)</f>
        <v>11.673829404899205</v>
      </c>
      <c r="F52" s="145"/>
      <c r="G52" s="33"/>
      <c r="H52" s="145"/>
      <c r="I52" s="145"/>
      <c r="J52" s="33"/>
      <c r="K52" s="33"/>
      <c r="L52" s="159"/>
      <c r="M52" s="159"/>
      <c r="N52" s="148"/>
    </row>
    <row r="53" spans="1:14" s="3" customFormat="1" ht="15.75" x14ac:dyDescent="0.2">
      <c r="A53" s="39" t="s">
        <v>457</v>
      </c>
      <c r="B53" s="368"/>
      <c r="C53" s="369">
        <v>2576</v>
      </c>
      <c r="D53" s="375" t="str">
        <f t="shared" si="12"/>
        <v xml:space="preserve">    ---- </v>
      </c>
      <c r="E53" s="414">
        <f>IFERROR(100/'Skjema total MA'!C53*C53,0)</f>
        <v>1.574129293817476</v>
      </c>
      <c r="F53" s="145"/>
      <c r="G53" s="33"/>
      <c r="H53" s="145"/>
      <c r="I53" s="145"/>
      <c r="J53" s="33"/>
      <c r="K53" s="33"/>
      <c r="L53" s="159"/>
      <c r="M53" s="159"/>
      <c r="N53" s="148"/>
    </row>
    <row r="54" spans="1:14" s="3" customFormat="1" ht="15.75" x14ac:dyDescent="0.2">
      <c r="A54" s="38" t="s">
        <v>455</v>
      </c>
      <c r="B54" s="366"/>
      <c r="C54" s="367">
        <v>2576</v>
      </c>
      <c r="D54" s="375" t="str">
        <f t="shared" si="12"/>
        <v xml:space="preserve">    ---- </v>
      </c>
      <c r="E54" s="414">
        <f>IFERROR(100/'Skjema total MA'!C54*C54,0)</f>
        <v>1.574129293817476</v>
      </c>
      <c r="F54" s="145"/>
      <c r="G54" s="33"/>
      <c r="H54" s="145"/>
      <c r="I54" s="145"/>
      <c r="J54" s="33"/>
      <c r="K54" s="33"/>
      <c r="L54" s="159"/>
      <c r="M54" s="159"/>
      <c r="N54" s="148"/>
    </row>
    <row r="55" spans="1:14" s="3" customFormat="1" ht="15.75" x14ac:dyDescent="0.2">
      <c r="A55" s="38" t="s">
        <v>456</v>
      </c>
      <c r="B55" s="366"/>
      <c r="C55" s="367">
        <v>0</v>
      </c>
      <c r="D55" s="375">
        <f t="shared" si="12"/>
        <v>0</v>
      </c>
      <c r="E55" s="414">
        <f>IFERROR(100/'Skjema total MA'!C55*C55,0)</f>
        <v>0</v>
      </c>
      <c r="F55" s="145"/>
      <c r="G55" s="33"/>
      <c r="H55" s="145"/>
      <c r="I55" s="145"/>
      <c r="J55" s="33"/>
      <c r="K55" s="33"/>
      <c r="L55" s="159"/>
      <c r="M55" s="159"/>
      <c r="N55" s="148"/>
    </row>
    <row r="56" spans="1:14" s="3" customFormat="1" ht="15.75" x14ac:dyDescent="0.2">
      <c r="A56" s="39" t="s">
        <v>458</v>
      </c>
      <c r="B56" s="368"/>
      <c r="C56" s="369">
        <v>2259</v>
      </c>
      <c r="D56" s="375" t="str">
        <f t="shared" si="12"/>
        <v xml:space="preserve">    ---- </v>
      </c>
      <c r="E56" s="414">
        <f>IFERROR(100/'Skjema total MA'!C56*C56,0)</f>
        <v>1.7803291362802942</v>
      </c>
      <c r="F56" s="145"/>
      <c r="G56" s="33"/>
      <c r="H56" s="145"/>
      <c r="I56" s="145"/>
      <c r="J56" s="33"/>
      <c r="K56" s="33"/>
      <c r="L56" s="159"/>
      <c r="M56" s="159"/>
      <c r="N56" s="148"/>
    </row>
    <row r="57" spans="1:14" s="3" customFormat="1" ht="15.75" x14ac:dyDescent="0.2">
      <c r="A57" s="38" t="s">
        <v>455</v>
      </c>
      <c r="B57" s="366"/>
      <c r="C57" s="367">
        <v>2259</v>
      </c>
      <c r="D57" s="375" t="str">
        <f t="shared" si="12"/>
        <v xml:space="preserve">    ---- </v>
      </c>
      <c r="E57" s="414">
        <f>IFERROR(100/'Skjema total MA'!C57*C57,0)</f>
        <v>1.7803712298629495</v>
      </c>
      <c r="F57" s="145"/>
      <c r="G57" s="33"/>
      <c r="H57" s="145"/>
      <c r="I57" s="145"/>
      <c r="J57" s="33"/>
      <c r="K57" s="33"/>
      <c r="L57" s="159"/>
      <c r="M57" s="159"/>
      <c r="N57" s="148"/>
    </row>
    <row r="58" spans="1:14" s="3" customFormat="1" ht="15.75" x14ac:dyDescent="0.2">
      <c r="A58" s="46" t="s">
        <v>456</v>
      </c>
      <c r="B58" s="388"/>
      <c r="C58" s="389">
        <v>0</v>
      </c>
      <c r="D58" s="379">
        <f t="shared" si="12"/>
        <v>0</v>
      </c>
      <c r="E58" s="416">
        <f>IFERROR(100/'Skjema total MA'!C58*C58,0)</f>
        <v>0</v>
      </c>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359"/>
      <c r="C62" s="359"/>
      <c r="D62" s="359"/>
      <c r="E62" s="360"/>
      <c r="F62" s="359"/>
      <c r="G62" s="359"/>
      <c r="H62" s="359"/>
      <c r="I62" s="360"/>
      <c r="J62" s="359"/>
      <c r="K62" s="359"/>
      <c r="L62" s="359"/>
      <c r="M62" s="360"/>
    </row>
    <row r="63" spans="1:14" x14ac:dyDescent="0.2">
      <c r="A63" s="144"/>
      <c r="B63" s="1023" t="s">
        <v>0</v>
      </c>
      <c r="C63" s="1024"/>
      <c r="D63" s="1025"/>
      <c r="E63" s="356"/>
      <c r="F63" s="1024" t="s">
        <v>1</v>
      </c>
      <c r="G63" s="1024"/>
      <c r="H63" s="1024"/>
      <c r="I63" s="358"/>
      <c r="J63" s="1023" t="s">
        <v>2</v>
      </c>
      <c r="K63" s="1024"/>
      <c r="L63" s="1024"/>
      <c r="M63" s="358"/>
    </row>
    <row r="64" spans="1:14" x14ac:dyDescent="0.2">
      <c r="A64" s="140"/>
      <c r="B64" s="152" t="s">
        <v>502</v>
      </c>
      <c r="C64" s="152" t="s">
        <v>503</v>
      </c>
      <c r="D64" s="245" t="s">
        <v>3</v>
      </c>
      <c r="E64" s="307" t="s">
        <v>29</v>
      </c>
      <c r="F64" s="152" t="s">
        <v>502</v>
      </c>
      <c r="G64" s="152" t="s">
        <v>503</v>
      </c>
      <c r="H64" s="245" t="s">
        <v>3</v>
      </c>
      <c r="I64" s="307" t="s">
        <v>29</v>
      </c>
      <c r="J64" s="152" t="s">
        <v>502</v>
      </c>
      <c r="K64" s="152" t="s">
        <v>503</v>
      </c>
      <c r="L64" s="245" t="s">
        <v>3</v>
      </c>
      <c r="M64" s="162" t="s">
        <v>29</v>
      </c>
    </row>
    <row r="65" spans="1:14" x14ac:dyDescent="0.2">
      <c r="A65" s="990"/>
      <c r="B65" s="156"/>
      <c r="C65" s="156"/>
      <c r="D65" s="246" t="s">
        <v>4</v>
      </c>
      <c r="E65" s="156" t="s">
        <v>30</v>
      </c>
      <c r="F65" s="161"/>
      <c r="G65" s="161"/>
      <c r="H65" s="245" t="s">
        <v>4</v>
      </c>
      <c r="I65" s="156" t="s">
        <v>30</v>
      </c>
      <c r="J65" s="161"/>
      <c r="K65" s="206"/>
      <c r="L65" s="156" t="s">
        <v>4</v>
      </c>
      <c r="M65" s="156" t="s">
        <v>30</v>
      </c>
    </row>
    <row r="66" spans="1:14" ht="15.75" x14ac:dyDescent="0.2">
      <c r="A66" s="14" t="s">
        <v>23</v>
      </c>
      <c r="B66" s="390"/>
      <c r="C66" s="390"/>
      <c r="D66" s="372"/>
      <c r="E66" s="373"/>
      <c r="F66" s="390"/>
      <c r="G66" s="390"/>
      <c r="H66" s="372"/>
      <c r="I66" s="373"/>
      <c r="J66" s="369"/>
      <c r="K66" s="363"/>
      <c r="L66" s="375"/>
      <c r="M66" s="373"/>
    </row>
    <row r="67" spans="1:14" x14ac:dyDescent="0.2">
      <c r="A67" s="21" t="s">
        <v>9</v>
      </c>
      <c r="B67" s="366"/>
      <c r="C67" s="391"/>
      <c r="D67" s="375"/>
      <c r="E67" s="373"/>
      <c r="F67" s="378"/>
      <c r="G67" s="391"/>
      <c r="H67" s="375"/>
      <c r="I67" s="373"/>
      <c r="J67" s="367"/>
      <c r="K67" s="366"/>
      <c r="L67" s="375"/>
      <c r="M67" s="373"/>
    </row>
    <row r="68" spans="1:14" x14ac:dyDescent="0.2">
      <c r="A68" s="21" t="s">
        <v>10</v>
      </c>
      <c r="B68" s="392"/>
      <c r="C68" s="393"/>
      <c r="D68" s="375"/>
      <c r="E68" s="373"/>
      <c r="F68" s="392"/>
      <c r="G68" s="393"/>
      <c r="H68" s="375"/>
      <c r="I68" s="373"/>
      <c r="J68" s="367"/>
      <c r="K68" s="366"/>
      <c r="L68" s="375"/>
      <c r="M68" s="373"/>
    </row>
    <row r="69" spans="1:14" ht="15.75" x14ac:dyDescent="0.2">
      <c r="A69" s="298" t="s">
        <v>459</v>
      </c>
      <c r="B69" s="366"/>
      <c r="C69" s="366"/>
      <c r="D69" s="375"/>
      <c r="E69" s="400"/>
      <c r="F69" s="366"/>
      <c r="G69" s="366"/>
      <c r="H69" s="375"/>
      <c r="I69" s="373"/>
      <c r="J69" s="365"/>
      <c r="K69" s="365"/>
      <c r="L69" s="375"/>
      <c r="M69" s="373"/>
    </row>
    <row r="70" spans="1:14" x14ac:dyDescent="0.2">
      <c r="A70" s="298" t="s">
        <v>12</v>
      </c>
      <c r="B70" s="394"/>
      <c r="C70" s="395"/>
      <c r="D70" s="375"/>
      <c r="E70" s="400"/>
      <c r="F70" s="366"/>
      <c r="G70" s="366"/>
      <c r="H70" s="375"/>
      <c r="I70" s="373"/>
      <c r="J70" s="365"/>
      <c r="K70" s="365"/>
      <c r="L70" s="375"/>
      <c r="M70" s="373"/>
    </row>
    <row r="71" spans="1:14" x14ac:dyDescent="0.2">
      <c r="A71" s="298" t="s">
        <v>13</v>
      </c>
      <c r="B71" s="396"/>
      <c r="C71" s="397"/>
      <c r="D71" s="375"/>
      <c r="E71" s="400"/>
      <c r="F71" s="366"/>
      <c r="G71" s="366"/>
      <c r="H71" s="375"/>
      <c r="I71" s="373"/>
      <c r="J71" s="365"/>
      <c r="K71" s="365"/>
      <c r="L71" s="375"/>
      <c r="M71" s="373"/>
    </row>
    <row r="72" spans="1:14" ht="15.75" x14ac:dyDescent="0.2">
      <c r="A72" s="298" t="s">
        <v>460</v>
      </c>
      <c r="B72" s="366"/>
      <c r="C72" s="366"/>
      <c r="D72" s="375"/>
      <c r="E72" s="400"/>
      <c r="F72" s="366"/>
      <c r="G72" s="366"/>
      <c r="H72" s="375"/>
      <c r="I72" s="373"/>
      <c r="J72" s="365"/>
      <c r="K72" s="365"/>
      <c r="L72" s="375"/>
      <c r="M72" s="373"/>
    </row>
    <row r="73" spans="1:14" x14ac:dyDescent="0.2">
      <c r="A73" s="298" t="s">
        <v>12</v>
      </c>
      <c r="B73" s="396"/>
      <c r="C73" s="397"/>
      <c r="D73" s="375"/>
      <c r="E73" s="400"/>
      <c r="F73" s="366"/>
      <c r="G73" s="366"/>
      <c r="H73" s="375"/>
      <c r="I73" s="373"/>
      <c r="J73" s="365"/>
      <c r="K73" s="365"/>
      <c r="L73" s="375"/>
      <c r="M73" s="373"/>
    </row>
    <row r="74" spans="1:14" s="3" customFormat="1" x14ac:dyDescent="0.2">
      <c r="A74" s="298" t="s">
        <v>13</v>
      </c>
      <c r="B74" s="396"/>
      <c r="C74" s="397"/>
      <c r="D74" s="375"/>
      <c r="E74" s="400"/>
      <c r="F74" s="366"/>
      <c r="G74" s="366"/>
      <c r="H74" s="375"/>
      <c r="I74" s="373"/>
      <c r="J74" s="365"/>
      <c r="K74" s="365"/>
      <c r="L74" s="375"/>
      <c r="M74" s="373"/>
      <c r="N74" s="148"/>
    </row>
    <row r="75" spans="1:14" s="3" customFormat="1" x14ac:dyDescent="0.2">
      <c r="A75" s="21" t="s">
        <v>346</v>
      </c>
      <c r="B75" s="378"/>
      <c r="C75" s="391"/>
      <c r="D75" s="375"/>
      <c r="E75" s="373"/>
      <c r="F75" s="378"/>
      <c r="G75" s="391"/>
      <c r="H75" s="375"/>
      <c r="I75" s="373"/>
      <c r="J75" s="367"/>
      <c r="K75" s="366"/>
      <c r="L75" s="375"/>
      <c r="M75" s="373"/>
      <c r="N75" s="148"/>
    </row>
    <row r="76" spans="1:14" s="3" customFormat="1" x14ac:dyDescent="0.2">
      <c r="A76" s="21" t="s">
        <v>345</v>
      </c>
      <c r="B76" s="378"/>
      <c r="C76" s="391"/>
      <c r="D76" s="375"/>
      <c r="E76" s="373"/>
      <c r="F76" s="378"/>
      <c r="G76" s="391"/>
      <c r="H76" s="375"/>
      <c r="I76" s="373"/>
      <c r="J76" s="367"/>
      <c r="K76" s="366"/>
      <c r="L76" s="375"/>
      <c r="M76" s="373"/>
      <c r="N76" s="148"/>
    </row>
    <row r="77" spans="1:14" ht="15.75" x14ac:dyDescent="0.2">
      <c r="A77" s="21" t="s">
        <v>461</v>
      </c>
      <c r="B77" s="378"/>
      <c r="C77" s="378"/>
      <c r="D77" s="375"/>
      <c r="E77" s="373"/>
      <c r="F77" s="378"/>
      <c r="G77" s="391"/>
      <c r="H77" s="375"/>
      <c r="I77" s="373"/>
      <c r="J77" s="367"/>
      <c r="K77" s="366"/>
      <c r="L77" s="375"/>
      <c r="M77" s="373"/>
    </row>
    <row r="78" spans="1:14" x14ac:dyDescent="0.2">
      <c r="A78" s="21" t="s">
        <v>9</v>
      </c>
      <c r="B78" s="378"/>
      <c r="C78" s="391"/>
      <c r="D78" s="375"/>
      <c r="E78" s="373"/>
      <c r="F78" s="378"/>
      <c r="G78" s="391"/>
      <c r="H78" s="375"/>
      <c r="I78" s="373"/>
      <c r="J78" s="367"/>
      <c r="K78" s="366"/>
      <c r="L78" s="375"/>
      <c r="M78" s="373"/>
    </row>
    <row r="79" spans="1:14" x14ac:dyDescent="0.2">
      <c r="A79" s="21" t="s">
        <v>10</v>
      </c>
      <c r="B79" s="392"/>
      <c r="C79" s="393"/>
      <c r="D79" s="375"/>
      <c r="E79" s="373"/>
      <c r="F79" s="392"/>
      <c r="G79" s="393"/>
      <c r="H79" s="375"/>
      <c r="I79" s="373"/>
      <c r="J79" s="367"/>
      <c r="K79" s="366"/>
      <c r="L79" s="375"/>
      <c r="M79" s="373"/>
    </row>
    <row r="80" spans="1:14" ht="15.75" x14ac:dyDescent="0.2">
      <c r="A80" s="298" t="s">
        <v>459</v>
      </c>
      <c r="B80" s="366"/>
      <c r="C80" s="366"/>
      <c r="D80" s="375"/>
      <c r="E80" s="400"/>
      <c r="F80" s="366"/>
      <c r="G80" s="366"/>
      <c r="H80" s="375"/>
      <c r="I80" s="373"/>
      <c r="J80" s="365"/>
      <c r="K80" s="365"/>
      <c r="L80" s="375"/>
      <c r="M80" s="373"/>
    </row>
    <row r="81" spans="1:13" x14ac:dyDescent="0.2">
      <c r="A81" s="298" t="s">
        <v>12</v>
      </c>
      <c r="B81" s="396"/>
      <c r="C81" s="397"/>
      <c r="D81" s="375"/>
      <c r="E81" s="400"/>
      <c r="F81" s="366"/>
      <c r="G81" s="366"/>
      <c r="H81" s="375"/>
      <c r="I81" s="373"/>
      <c r="J81" s="365"/>
      <c r="K81" s="365"/>
      <c r="L81" s="375"/>
      <c r="M81" s="373"/>
    </row>
    <row r="82" spans="1:13" x14ac:dyDescent="0.2">
      <c r="A82" s="298" t="s">
        <v>13</v>
      </c>
      <c r="B82" s="396"/>
      <c r="C82" s="397"/>
      <c r="D82" s="375"/>
      <c r="E82" s="400"/>
      <c r="F82" s="366"/>
      <c r="G82" s="366"/>
      <c r="H82" s="375"/>
      <c r="I82" s="373"/>
      <c r="J82" s="365"/>
      <c r="K82" s="365"/>
      <c r="L82" s="375"/>
      <c r="M82" s="373"/>
    </row>
    <row r="83" spans="1:13" ht="15.75" x14ac:dyDescent="0.2">
      <c r="A83" s="298" t="s">
        <v>460</v>
      </c>
      <c r="B83" s="366"/>
      <c r="C83" s="366"/>
      <c r="D83" s="375"/>
      <c r="E83" s="400"/>
      <c r="F83" s="366"/>
      <c r="G83" s="366"/>
      <c r="H83" s="375"/>
      <c r="I83" s="373"/>
      <c r="J83" s="365"/>
      <c r="K83" s="365"/>
      <c r="L83" s="375"/>
      <c r="M83" s="373"/>
    </row>
    <row r="84" spans="1:13" x14ac:dyDescent="0.2">
      <c r="A84" s="298" t="s">
        <v>12</v>
      </c>
      <c r="B84" s="396"/>
      <c r="C84" s="397"/>
      <c r="D84" s="375"/>
      <c r="E84" s="400"/>
      <c r="F84" s="366"/>
      <c r="G84" s="366"/>
      <c r="H84" s="375"/>
      <c r="I84" s="373"/>
      <c r="J84" s="365"/>
      <c r="K84" s="365"/>
      <c r="L84" s="375"/>
      <c r="M84" s="373"/>
    </row>
    <row r="85" spans="1:13" x14ac:dyDescent="0.2">
      <c r="A85" s="298" t="s">
        <v>13</v>
      </c>
      <c r="B85" s="396"/>
      <c r="C85" s="397"/>
      <c r="D85" s="375"/>
      <c r="E85" s="400"/>
      <c r="F85" s="366"/>
      <c r="G85" s="366"/>
      <c r="H85" s="375"/>
      <c r="I85" s="373"/>
      <c r="J85" s="365"/>
      <c r="K85" s="365"/>
      <c r="L85" s="375"/>
      <c r="M85" s="373"/>
    </row>
    <row r="86" spans="1:13" ht="15.75" x14ac:dyDescent="0.2">
      <c r="A86" s="21" t="s">
        <v>462</v>
      </c>
      <c r="B86" s="378"/>
      <c r="C86" s="391"/>
      <c r="D86" s="375"/>
      <c r="E86" s="373"/>
      <c r="F86" s="378"/>
      <c r="G86" s="391"/>
      <c r="H86" s="375"/>
      <c r="I86" s="373"/>
      <c r="J86" s="367"/>
      <c r="K86" s="366"/>
      <c r="L86" s="375"/>
      <c r="M86" s="373"/>
    </row>
    <row r="87" spans="1:13" ht="15.75" x14ac:dyDescent="0.2">
      <c r="A87" s="13" t="s">
        <v>444</v>
      </c>
      <c r="B87" s="390"/>
      <c r="C87" s="390"/>
      <c r="D87" s="375"/>
      <c r="E87" s="373"/>
      <c r="F87" s="390"/>
      <c r="G87" s="390"/>
      <c r="H87" s="375"/>
      <c r="I87" s="373"/>
      <c r="J87" s="369"/>
      <c r="K87" s="368"/>
      <c r="L87" s="375"/>
      <c r="M87" s="373"/>
    </row>
    <row r="88" spans="1:13" x14ac:dyDescent="0.2">
      <c r="A88" s="21" t="s">
        <v>9</v>
      </c>
      <c r="B88" s="378"/>
      <c r="C88" s="391"/>
      <c r="D88" s="375"/>
      <c r="E88" s="373"/>
      <c r="F88" s="378"/>
      <c r="G88" s="391"/>
      <c r="H88" s="375"/>
      <c r="I88" s="373"/>
      <c r="J88" s="367"/>
      <c r="K88" s="366"/>
      <c r="L88" s="375"/>
      <c r="M88" s="373"/>
    </row>
    <row r="89" spans="1:13" x14ac:dyDescent="0.2">
      <c r="A89" s="21" t="s">
        <v>10</v>
      </c>
      <c r="B89" s="378"/>
      <c r="C89" s="391"/>
      <c r="D89" s="375"/>
      <c r="E89" s="373"/>
      <c r="F89" s="378"/>
      <c r="G89" s="391"/>
      <c r="H89" s="375"/>
      <c r="I89" s="373"/>
      <c r="J89" s="367"/>
      <c r="K89" s="366"/>
      <c r="L89" s="375"/>
      <c r="M89" s="373"/>
    </row>
    <row r="90" spans="1:13" ht="15.75" x14ac:dyDescent="0.2">
      <c r="A90" s="298" t="s">
        <v>459</v>
      </c>
      <c r="B90" s="366"/>
      <c r="C90" s="366"/>
      <c r="D90" s="375"/>
      <c r="E90" s="400"/>
      <c r="F90" s="366"/>
      <c r="G90" s="366"/>
      <c r="H90" s="375"/>
      <c r="I90" s="373"/>
      <c r="J90" s="365"/>
      <c r="K90" s="365"/>
      <c r="L90" s="375"/>
      <c r="M90" s="373"/>
    </row>
    <row r="91" spans="1:13" x14ac:dyDescent="0.2">
      <c r="A91" s="298" t="s">
        <v>12</v>
      </c>
      <c r="B91" s="396"/>
      <c r="C91" s="397"/>
      <c r="D91" s="375"/>
      <c r="E91" s="400"/>
      <c r="F91" s="366"/>
      <c r="G91" s="366"/>
      <c r="H91" s="375"/>
      <c r="I91" s="373"/>
      <c r="J91" s="365"/>
      <c r="K91" s="365"/>
      <c r="L91" s="375"/>
      <c r="M91" s="373"/>
    </row>
    <row r="92" spans="1:13" x14ac:dyDescent="0.2">
      <c r="A92" s="298" t="s">
        <v>13</v>
      </c>
      <c r="B92" s="396"/>
      <c r="C92" s="397"/>
      <c r="D92" s="375"/>
      <c r="E92" s="400"/>
      <c r="F92" s="366"/>
      <c r="G92" s="366"/>
      <c r="H92" s="375"/>
      <c r="I92" s="373"/>
      <c r="J92" s="365"/>
      <c r="K92" s="365"/>
      <c r="L92" s="375"/>
      <c r="M92" s="373"/>
    </row>
    <row r="93" spans="1:13" ht="15.75" x14ac:dyDescent="0.2">
      <c r="A93" s="298" t="s">
        <v>460</v>
      </c>
      <c r="B93" s="366"/>
      <c r="C93" s="366"/>
      <c r="D93" s="375"/>
      <c r="E93" s="400"/>
      <c r="F93" s="366"/>
      <c r="G93" s="366"/>
      <c r="H93" s="375"/>
      <c r="I93" s="373"/>
      <c r="J93" s="365"/>
      <c r="K93" s="365"/>
      <c r="L93" s="375"/>
      <c r="M93" s="373"/>
    </row>
    <row r="94" spans="1:13" x14ac:dyDescent="0.2">
      <c r="A94" s="298" t="s">
        <v>12</v>
      </c>
      <c r="B94" s="396"/>
      <c r="C94" s="397"/>
      <c r="D94" s="375"/>
      <c r="E94" s="400"/>
      <c r="F94" s="366"/>
      <c r="G94" s="366"/>
      <c r="H94" s="375"/>
      <c r="I94" s="373"/>
      <c r="J94" s="365"/>
      <c r="K94" s="365"/>
      <c r="L94" s="375"/>
      <c r="M94" s="373"/>
    </row>
    <row r="95" spans="1:13" x14ac:dyDescent="0.2">
      <c r="A95" s="298" t="s">
        <v>13</v>
      </c>
      <c r="B95" s="396"/>
      <c r="C95" s="397"/>
      <c r="D95" s="375"/>
      <c r="E95" s="400"/>
      <c r="F95" s="366"/>
      <c r="G95" s="366"/>
      <c r="H95" s="375"/>
      <c r="I95" s="373"/>
      <c r="J95" s="365"/>
      <c r="K95" s="365"/>
      <c r="L95" s="375"/>
      <c r="M95" s="373"/>
    </row>
    <row r="96" spans="1:13" x14ac:dyDescent="0.2">
      <c r="A96" s="21" t="s">
        <v>344</v>
      </c>
      <c r="B96" s="378"/>
      <c r="C96" s="391"/>
      <c r="D96" s="375"/>
      <c r="E96" s="373"/>
      <c r="F96" s="378"/>
      <c r="G96" s="391"/>
      <c r="H96" s="375"/>
      <c r="I96" s="373"/>
      <c r="J96" s="367"/>
      <c r="K96" s="366"/>
      <c r="L96" s="375"/>
      <c r="M96" s="373"/>
    </row>
    <row r="97" spans="1:13" x14ac:dyDescent="0.2">
      <c r="A97" s="21" t="s">
        <v>343</v>
      </c>
      <c r="B97" s="378"/>
      <c r="C97" s="391"/>
      <c r="D97" s="375"/>
      <c r="E97" s="373"/>
      <c r="F97" s="378"/>
      <c r="G97" s="391"/>
      <c r="H97" s="375"/>
      <c r="I97" s="373"/>
      <c r="J97" s="367"/>
      <c r="K97" s="366"/>
      <c r="L97" s="375"/>
      <c r="M97" s="373"/>
    </row>
    <row r="98" spans="1:13" ht="15.75" x14ac:dyDescent="0.2">
      <c r="A98" s="21" t="s">
        <v>461</v>
      </c>
      <c r="B98" s="378"/>
      <c r="C98" s="378"/>
      <c r="D98" s="375"/>
      <c r="E98" s="373"/>
      <c r="F98" s="392"/>
      <c r="G98" s="392"/>
      <c r="H98" s="375"/>
      <c r="I98" s="373"/>
      <c r="J98" s="367"/>
      <c r="K98" s="366"/>
      <c r="L98" s="375"/>
      <c r="M98" s="373"/>
    </row>
    <row r="99" spans="1:13" x14ac:dyDescent="0.2">
      <c r="A99" s="21" t="s">
        <v>9</v>
      </c>
      <c r="B99" s="392"/>
      <c r="C99" s="393"/>
      <c r="D99" s="375"/>
      <c r="E99" s="373"/>
      <c r="F99" s="378"/>
      <c r="G99" s="391"/>
      <c r="H99" s="375"/>
      <c r="I99" s="373"/>
      <c r="J99" s="367"/>
      <c r="K99" s="366"/>
      <c r="L99" s="375"/>
      <c r="M99" s="373"/>
    </row>
    <row r="100" spans="1:13" x14ac:dyDescent="0.2">
      <c r="A100" s="21" t="s">
        <v>10</v>
      </c>
      <c r="B100" s="392"/>
      <c r="C100" s="393"/>
      <c r="D100" s="375"/>
      <c r="E100" s="373"/>
      <c r="F100" s="378"/>
      <c r="G100" s="378"/>
      <c r="H100" s="375"/>
      <c r="I100" s="373"/>
      <c r="J100" s="367"/>
      <c r="K100" s="366"/>
      <c r="L100" s="375"/>
      <c r="M100" s="373"/>
    </row>
    <row r="101" spans="1:13" ht="15.75" x14ac:dyDescent="0.2">
      <c r="A101" s="298" t="s">
        <v>459</v>
      </c>
      <c r="B101" s="366"/>
      <c r="C101" s="366"/>
      <c r="D101" s="375"/>
      <c r="E101" s="400"/>
      <c r="F101" s="366"/>
      <c r="G101" s="366"/>
      <c r="H101" s="375"/>
      <c r="I101" s="373"/>
      <c r="J101" s="365"/>
      <c r="K101" s="365"/>
      <c r="L101" s="375"/>
      <c r="M101" s="373"/>
    </row>
    <row r="102" spans="1:13" x14ac:dyDescent="0.2">
      <c r="A102" s="298" t="s">
        <v>12</v>
      </c>
      <c r="B102" s="396"/>
      <c r="C102" s="397"/>
      <c r="D102" s="375"/>
      <c r="E102" s="400"/>
      <c r="F102" s="366"/>
      <c r="G102" s="366"/>
      <c r="H102" s="375"/>
      <c r="I102" s="373"/>
      <c r="J102" s="365"/>
      <c r="K102" s="365"/>
      <c r="L102" s="375"/>
      <c r="M102" s="373"/>
    </row>
    <row r="103" spans="1:13" x14ac:dyDescent="0.2">
      <c r="A103" s="298" t="s">
        <v>13</v>
      </c>
      <c r="B103" s="396"/>
      <c r="C103" s="397"/>
      <c r="D103" s="375"/>
      <c r="E103" s="400"/>
      <c r="F103" s="366"/>
      <c r="G103" s="366"/>
      <c r="H103" s="375"/>
      <c r="I103" s="373"/>
      <c r="J103" s="365"/>
      <c r="K103" s="365"/>
      <c r="L103" s="375"/>
      <c r="M103" s="373"/>
    </row>
    <row r="104" spans="1:13" ht="15.75" x14ac:dyDescent="0.2">
      <c r="A104" s="298" t="s">
        <v>460</v>
      </c>
      <c r="B104" s="366"/>
      <c r="C104" s="366"/>
      <c r="D104" s="375"/>
      <c r="E104" s="400"/>
      <c r="F104" s="366"/>
      <c r="G104" s="366"/>
      <c r="H104" s="375"/>
      <c r="I104" s="373"/>
      <c r="J104" s="365"/>
      <c r="K104" s="365"/>
      <c r="L104" s="375"/>
      <c r="M104" s="373"/>
    </row>
    <row r="105" spans="1:13" x14ac:dyDescent="0.2">
      <c r="A105" s="298" t="s">
        <v>12</v>
      </c>
      <c r="B105" s="396"/>
      <c r="C105" s="397"/>
      <c r="D105" s="375"/>
      <c r="E105" s="400"/>
      <c r="F105" s="366"/>
      <c r="G105" s="366"/>
      <c r="H105" s="375"/>
      <c r="I105" s="373"/>
      <c r="J105" s="365"/>
      <c r="K105" s="365"/>
      <c r="L105" s="375"/>
      <c r="M105" s="373"/>
    </row>
    <row r="106" spans="1:13" x14ac:dyDescent="0.2">
      <c r="A106" s="298" t="s">
        <v>13</v>
      </c>
      <c r="B106" s="396"/>
      <c r="C106" s="397"/>
      <c r="D106" s="375"/>
      <c r="E106" s="400"/>
      <c r="F106" s="366"/>
      <c r="G106" s="366"/>
      <c r="H106" s="375"/>
      <c r="I106" s="373"/>
      <c r="J106" s="365"/>
      <c r="K106" s="365"/>
      <c r="L106" s="375"/>
      <c r="M106" s="373"/>
    </row>
    <row r="107" spans="1:13" ht="15.75" x14ac:dyDescent="0.2">
      <c r="A107" s="21" t="s">
        <v>462</v>
      </c>
      <c r="B107" s="378"/>
      <c r="C107" s="391"/>
      <c r="D107" s="375"/>
      <c r="E107" s="373"/>
      <c r="F107" s="378"/>
      <c r="G107" s="391"/>
      <c r="H107" s="375"/>
      <c r="I107" s="373"/>
      <c r="J107" s="367"/>
      <c r="K107" s="366"/>
      <c r="L107" s="375"/>
      <c r="M107" s="373"/>
    </row>
    <row r="108" spans="1:13" ht="15.75" x14ac:dyDescent="0.2">
      <c r="A108" s="21" t="s">
        <v>463</v>
      </c>
      <c r="B108" s="378"/>
      <c r="C108" s="378"/>
      <c r="D108" s="375"/>
      <c r="E108" s="373"/>
      <c r="F108" s="378"/>
      <c r="G108" s="378"/>
      <c r="H108" s="375"/>
      <c r="I108" s="373"/>
      <c r="J108" s="367"/>
      <c r="K108" s="366"/>
      <c r="L108" s="375"/>
      <c r="M108" s="373"/>
    </row>
    <row r="109" spans="1:13" ht="15.75" x14ac:dyDescent="0.2">
      <c r="A109" s="21" t="s">
        <v>464</v>
      </c>
      <c r="B109" s="378"/>
      <c r="C109" s="378"/>
      <c r="D109" s="375"/>
      <c r="E109" s="373"/>
      <c r="F109" s="378"/>
      <c r="G109" s="378"/>
      <c r="H109" s="375"/>
      <c r="I109" s="373"/>
      <c r="J109" s="367"/>
      <c r="K109" s="366"/>
      <c r="L109" s="375"/>
      <c r="M109" s="373"/>
    </row>
    <row r="110" spans="1:13" ht="15.75" x14ac:dyDescent="0.2">
      <c r="A110" s="21" t="s">
        <v>465</v>
      </c>
      <c r="B110" s="378"/>
      <c r="C110" s="378"/>
      <c r="D110" s="375"/>
      <c r="E110" s="373"/>
      <c r="F110" s="378"/>
      <c r="G110" s="378"/>
      <c r="H110" s="375"/>
      <c r="I110" s="373"/>
      <c r="J110" s="367"/>
      <c r="K110" s="366"/>
      <c r="L110" s="375"/>
      <c r="M110" s="373"/>
    </row>
    <row r="111" spans="1:13" ht="15.75" x14ac:dyDescent="0.2">
      <c r="A111" s="13" t="s">
        <v>445</v>
      </c>
      <c r="B111" s="374"/>
      <c r="C111" s="398"/>
      <c r="D111" s="375"/>
      <c r="E111" s="373"/>
      <c r="F111" s="374"/>
      <c r="G111" s="398"/>
      <c r="H111" s="375"/>
      <c r="I111" s="373"/>
      <c r="J111" s="369"/>
      <c r="K111" s="368"/>
      <c r="L111" s="375"/>
      <c r="M111" s="373"/>
    </row>
    <row r="112" spans="1:13" x14ac:dyDescent="0.2">
      <c r="A112" s="21" t="s">
        <v>9</v>
      </c>
      <c r="B112" s="378"/>
      <c r="C112" s="391"/>
      <c r="D112" s="375"/>
      <c r="E112" s="373"/>
      <c r="F112" s="378"/>
      <c r="G112" s="391"/>
      <c r="H112" s="375"/>
      <c r="I112" s="373"/>
      <c r="J112" s="367"/>
      <c r="K112" s="366"/>
      <c r="L112" s="375"/>
      <c r="M112" s="373"/>
    </row>
    <row r="113" spans="1:14" x14ac:dyDescent="0.2">
      <c r="A113" s="21" t="s">
        <v>10</v>
      </c>
      <c r="B113" s="378"/>
      <c r="C113" s="391"/>
      <c r="D113" s="375"/>
      <c r="E113" s="373"/>
      <c r="F113" s="378"/>
      <c r="G113" s="391"/>
      <c r="H113" s="375"/>
      <c r="I113" s="373"/>
      <c r="J113" s="367"/>
      <c r="K113" s="366"/>
      <c r="L113" s="375"/>
      <c r="M113" s="373"/>
    </row>
    <row r="114" spans="1:14" x14ac:dyDescent="0.2">
      <c r="A114" s="21" t="s">
        <v>26</v>
      </c>
      <c r="B114" s="378"/>
      <c r="C114" s="391"/>
      <c r="D114" s="375"/>
      <c r="E114" s="373"/>
      <c r="F114" s="378"/>
      <c r="G114" s="391"/>
      <c r="H114" s="375"/>
      <c r="I114" s="373"/>
      <c r="J114" s="367"/>
      <c r="K114" s="366"/>
      <c r="L114" s="375"/>
      <c r="M114" s="373"/>
    </row>
    <row r="115" spans="1:14" x14ac:dyDescent="0.2">
      <c r="A115" s="298" t="s">
        <v>15</v>
      </c>
      <c r="B115" s="366"/>
      <c r="C115" s="366"/>
      <c r="D115" s="375"/>
      <c r="E115" s="400"/>
      <c r="F115" s="366"/>
      <c r="G115" s="366"/>
      <c r="H115" s="375"/>
      <c r="I115" s="373"/>
      <c r="J115" s="365"/>
      <c r="K115" s="365"/>
      <c r="L115" s="375"/>
      <c r="M115" s="373"/>
    </row>
    <row r="116" spans="1:14" ht="15.75" x14ac:dyDescent="0.2">
      <c r="A116" s="21" t="s">
        <v>466</v>
      </c>
      <c r="B116" s="378"/>
      <c r="C116" s="378"/>
      <c r="D116" s="375"/>
      <c r="E116" s="373"/>
      <c r="F116" s="378"/>
      <c r="G116" s="378"/>
      <c r="H116" s="375"/>
      <c r="I116" s="373"/>
      <c r="J116" s="367"/>
      <c r="K116" s="366"/>
      <c r="L116" s="375"/>
      <c r="M116" s="373"/>
    </row>
    <row r="117" spans="1:14" ht="15.75" x14ac:dyDescent="0.2">
      <c r="A117" s="21" t="s">
        <v>467</v>
      </c>
      <c r="B117" s="378"/>
      <c r="C117" s="378"/>
      <c r="D117" s="375"/>
      <c r="E117" s="373"/>
      <c r="F117" s="378"/>
      <c r="G117" s="378"/>
      <c r="H117" s="375"/>
      <c r="I117" s="373"/>
      <c r="J117" s="367"/>
      <c r="K117" s="366"/>
      <c r="L117" s="375"/>
      <c r="M117" s="373"/>
    </row>
    <row r="118" spans="1:14" ht="15.75" x14ac:dyDescent="0.2">
      <c r="A118" s="21" t="s">
        <v>465</v>
      </c>
      <c r="B118" s="378"/>
      <c r="C118" s="378"/>
      <c r="D118" s="375"/>
      <c r="E118" s="373"/>
      <c r="F118" s="378"/>
      <c r="G118" s="378"/>
      <c r="H118" s="375"/>
      <c r="I118" s="373"/>
      <c r="J118" s="367"/>
      <c r="K118" s="366"/>
      <c r="L118" s="375"/>
      <c r="M118" s="373"/>
    </row>
    <row r="119" spans="1:14" ht="15.75" x14ac:dyDescent="0.2">
      <c r="A119" s="13" t="s">
        <v>446</v>
      </c>
      <c r="B119" s="374"/>
      <c r="C119" s="398"/>
      <c r="D119" s="375"/>
      <c r="E119" s="373"/>
      <c r="F119" s="374"/>
      <c r="G119" s="398"/>
      <c r="H119" s="375"/>
      <c r="I119" s="373"/>
      <c r="J119" s="369"/>
      <c r="K119" s="368"/>
      <c r="L119" s="375"/>
      <c r="M119" s="373"/>
    </row>
    <row r="120" spans="1:14" x14ac:dyDescent="0.2">
      <c r="A120" s="21" t="s">
        <v>9</v>
      </c>
      <c r="B120" s="378"/>
      <c r="C120" s="391"/>
      <c r="D120" s="375"/>
      <c r="E120" s="373"/>
      <c r="F120" s="378"/>
      <c r="G120" s="391"/>
      <c r="H120" s="375"/>
      <c r="I120" s="373"/>
      <c r="J120" s="367"/>
      <c r="K120" s="366"/>
      <c r="L120" s="375"/>
      <c r="M120" s="373"/>
    </row>
    <row r="121" spans="1:14" x14ac:dyDescent="0.2">
      <c r="A121" s="21" t="s">
        <v>10</v>
      </c>
      <c r="B121" s="378"/>
      <c r="C121" s="391"/>
      <c r="D121" s="375"/>
      <c r="E121" s="373"/>
      <c r="F121" s="378"/>
      <c r="G121" s="391"/>
      <c r="H121" s="375"/>
      <c r="I121" s="373"/>
      <c r="J121" s="367"/>
      <c r="K121" s="366"/>
      <c r="L121" s="375"/>
      <c r="M121" s="373"/>
    </row>
    <row r="122" spans="1:14" x14ac:dyDescent="0.2">
      <c r="A122" s="21" t="s">
        <v>26</v>
      </c>
      <c r="B122" s="378"/>
      <c r="C122" s="391"/>
      <c r="D122" s="375"/>
      <c r="E122" s="373"/>
      <c r="F122" s="378"/>
      <c r="G122" s="391"/>
      <c r="H122" s="375"/>
      <c r="I122" s="373"/>
      <c r="J122" s="367"/>
      <c r="K122" s="366"/>
      <c r="L122" s="375"/>
      <c r="M122" s="373"/>
    </row>
    <row r="123" spans="1:14" x14ac:dyDescent="0.2">
      <c r="A123" s="298" t="s">
        <v>14</v>
      </c>
      <c r="B123" s="366"/>
      <c r="C123" s="366"/>
      <c r="D123" s="375"/>
      <c r="E123" s="400"/>
      <c r="F123" s="366"/>
      <c r="G123" s="366"/>
      <c r="H123" s="375"/>
      <c r="I123" s="373"/>
      <c r="J123" s="365"/>
      <c r="K123" s="365"/>
      <c r="L123" s="375"/>
      <c r="M123" s="373"/>
    </row>
    <row r="124" spans="1:14" ht="15.75" x14ac:dyDescent="0.2">
      <c r="A124" s="21" t="s">
        <v>472</v>
      </c>
      <c r="B124" s="378"/>
      <c r="C124" s="378"/>
      <c r="D124" s="375"/>
      <c r="E124" s="373"/>
      <c r="F124" s="378"/>
      <c r="G124" s="378"/>
      <c r="H124" s="375"/>
      <c r="I124" s="373"/>
      <c r="J124" s="367"/>
      <c r="K124" s="366"/>
      <c r="L124" s="375"/>
      <c r="M124" s="373"/>
    </row>
    <row r="125" spans="1:14" ht="15.75" x14ac:dyDescent="0.2">
      <c r="A125" s="21" t="s">
        <v>464</v>
      </c>
      <c r="B125" s="378"/>
      <c r="C125" s="378"/>
      <c r="D125" s="375"/>
      <c r="E125" s="373"/>
      <c r="F125" s="378"/>
      <c r="G125" s="378"/>
      <c r="H125" s="375"/>
      <c r="I125" s="373"/>
      <c r="J125" s="367"/>
      <c r="K125" s="366"/>
      <c r="L125" s="375"/>
      <c r="M125" s="373"/>
    </row>
    <row r="126" spans="1:14" ht="15.75" x14ac:dyDescent="0.2">
      <c r="A126" s="10" t="s">
        <v>465</v>
      </c>
      <c r="B126" s="388"/>
      <c r="C126" s="388"/>
      <c r="D126" s="379"/>
      <c r="E126" s="399"/>
      <c r="F126" s="388"/>
      <c r="G126" s="388"/>
      <c r="H126" s="379"/>
      <c r="I126" s="379"/>
      <c r="J126" s="389"/>
      <c r="K126" s="388"/>
      <c r="L126" s="379"/>
      <c r="M126" s="379"/>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359"/>
      <c r="C130" s="359"/>
      <c r="D130" s="359"/>
      <c r="E130" s="360"/>
      <c r="F130" s="359"/>
      <c r="G130" s="359"/>
      <c r="H130" s="359"/>
      <c r="I130" s="360"/>
      <c r="J130" s="359"/>
      <c r="K130" s="359"/>
      <c r="L130" s="359"/>
      <c r="M130" s="360"/>
    </row>
    <row r="131" spans="1:14" s="3" customFormat="1" x14ac:dyDescent="0.2">
      <c r="A131" s="144"/>
      <c r="B131" s="1023" t="s">
        <v>0</v>
      </c>
      <c r="C131" s="1024"/>
      <c r="D131" s="1024"/>
      <c r="E131" s="357"/>
      <c r="F131" s="1023" t="s">
        <v>1</v>
      </c>
      <c r="G131" s="1024"/>
      <c r="H131" s="1024"/>
      <c r="I131" s="358"/>
      <c r="J131" s="1023" t="s">
        <v>2</v>
      </c>
      <c r="K131" s="1024"/>
      <c r="L131" s="1024"/>
      <c r="M131" s="358"/>
      <c r="N131" s="148"/>
    </row>
    <row r="132" spans="1:14" s="3" customFormat="1" x14ac:dyDescent="0.2">
      <c r="A132" s="140"/>
      <c r="B132" s="152" t="s">
        <v>502</v>
      </c>
      <c r="C132" s="152" t="s">
        <v>503</v>
      </c>
      <c r="D132" s="245" t="s">
        <v>3</v>
      </c>
      <c r="E132" s="307" t="s">
        <v>29</v>
      </c>
      <c r="F132" s="152" t="s">
        <v>502</v>
      </c>
      <c r="G132" s="152" t="s">
        <v>503</v>
      </c>
      <c r="H132" s="206" t="s">
        <v>3</v>
      </c>
      <c r="I132" s="307" t="s">
        <v>29</v>
      </c>
      <c r="J132" s="152" t="s">
        <v>502</v>
      </c>
      <c r="K132" s="152" t="s">
        <v>503</v>
      </c>
      <c r="L132" s="246" t="s">
        <v>3</v>
      </c>
      <c r="M132" s="162" t="s">
        <v>29</v>
      </c>
      <c r="N132" s="148"/>
    </row>
    <row r="133" spans="1:14" s="3" customFormat="1" x14ac:dyDescent="0.2">
      <c r="A133" s="990"/>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468</v>
      </c>
      <c r="B134" s="368"/>
      <c r="C134" s="369"/>
      <c r="D134" s="372"/>
      <c r="E134" s="373"/>
      <c r="F134" s="363"/>
      <c r="G134" s="364"/>
      <c r="H134" s="401"/>
      <c r="I134" s="373"/>
      <c r="J134" s="381"/>
      <c r="K134" s="381"/>
      <c r="L134" s="372"/>
      <c r="M134" s="373"/>
      <c r="N134" s="148"/>
    </row>
    <row r="135" spans="1:14" s="3" customFormat="1" ht="15.75" x14ac:dyDescent="0.2">
      <c r="A135" s="13" t="s">
        <v>473</v>
      </c>
      <c r="B135" s="368"/>
      <c r="C135" s="369"/>
      <c r="D135" s="375"/>
      <c r="E135" s="373"/>
      <c r="F135" s="368"/>
      <c r="G135" s="369"/>
      <c r="H135" s="402"/>
      <c r="I135" s="373"/>
      <c r="J135" s="374"/>
      <c r="K135" s="374"/>
      <c r="L135" s="375"/>
      <c r="M135" s="373"/>
      <c r="N135" s="148"/>
    </row>
    <row r="136" spans="1:14" s="3" customFormat="1" ht="15.75" x14ac:dyDescent="0.2">
      <c r="A136" s="13" t="s">
        <v>470</v>
      </c>
      <c r="B136" s="368"/>
      <c r="C136" s="369"/>
      <c r="D136" s="375"/>
      <c r="E136" s="373"/>
      <c r="F136" s="368"/>
      <c r="G136" s="369"/>
      <c r="H136" s="402"/>
      <c r="I136" s="373"/>
      <c r="J136" s="374"/>
      <c r="K136" s="374"/>
      <c r="L136" s="375"/>
      <c r="M136" s="373"/>
      <c r="N136" s="148"/>
    </row>
    <row r="137" spans="1:14" s="3" customFormat="1" ht="15.75" x14ac:dyDescent="0.2">
      <c r="A137" s="41" t="s">
        <v>471</v>
      </c>
      <c r="B137" s="370"/>
      <c r="C137" s="371"/>
      <c r="D137" s="379"/>
      <c r="E137" s="399"/>
      <c r="F137" s="370"/>
      <c r="G137" s="371"/>
      <c r="H137" s="403"/>
      <c r="I137" s="399"/>
      <c r="J137" s="380"/>
      <c r="K137" s="380"/>
      <c r="L137" s="379"/>
      <c r="M137" s="379"/>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13">
    <mergeCell ref="B44:D44"/>
    <mergeCell ref="J19:L19"/>
    <mergeCell ref="F19:H19"/>
    <mergeCell ref="B19:D19"/>
    <mergeCell ref="J4:L4"/>
    <mergeCell ref="F4:H4"/>
    <mergeCell ref="B4:D4"/>
    <mergeCell ref="J131:L131"/>
    <mergeCell ref="F131:H131"/>
    <mergeCell ref="B131:D131"/>
    <mergeCell ref="J63:L63"/>
    <mergeCell ref="F63:H63"/>
    <mergeCell ref="B63:D63"/>
  </mergeCells>
  <conditionalFormatting sqref="B50:C52">
    <cfRule type="expression" dxfId="2093" priority="132">
      <formula>kvartal &lt; 4</formula>
    </cfRule>
  </conditionalFormatting>
  <conditionalFormatting sqref="B69">
    <cfRule type="expression" dxfId="2092" priority="100">
      <formula>kvartal &lt; 4</formula>
    </cfRule>
  </conditionalFormatting>
  <conditionalFormatting sqref="C69">
    <cfRule type="expression" dxfId="2091" priority="99">
      <formula>kvartal &lt; 4</formula>
    </cfRule>
  </conditionalFormatting>
  <conditionalFormatting sqref="B72">
    <cfRule type="expression" dxfId="2090" priority="98">
      <formula>kvartal &lt; 4</formula>
    </cfRule>
  </conditionalFormatting>
  <conditionalFormatting sqref="C72">
    <cfRule type="expression" dxfId="2089" priority="97">
      <formula>kvartal &lt; 4</formula>
    </cfRule>
  </conditionalFormatting>
  <conditionalFormatting sqref="B80">
    <cfRule type="expression" dxfId="2088" priority="96">
      <formula>kvartal &lt; 4</formula>
    </cfRule>
  </conditionalFormatting>
  <conditionalFormatting sqref="C80">
    <cfRule type="expression" dxfId="2087" priority="95">
      <formula>kvartal &lt; 4</formula>
    </cfRule>
  </conditionalFormatting>
  <conditionalFormatting sqref="B83">
    <cfRule type="expression" dxfId="2086" priority="94">
      <formula>kvartal &lt; 4</formula>
    </cfRule>
  </conditionalFormatting>
  <conditionalFormatting sqref="C83">
    <cfRule type="expression" dxfId="2085" priority="93">
      <formula>kvartal &lt; 4</formula>
    </cfRule>
  </conditionalFormatting>
  <conditionalFormatting sqref="B90">
    <cfRule type="expression" dxfId="2084" priority="84">
      <formula>kvartal &lt; 4</formula>
    </cfRule>
  </conditionalFormatting>
  <conditionalFormatting sqref="C90">
    <cfRule type="expression" dxfId="2083" priority="83">
      <formula>kvartal &lt; 4</formula>
    </cfRule>
  </conditionalFormatting>
  <conditionalFormatting sqref="B93">
    <cfRule type="expression" dxfId="2082" priority="82">
      <formula>kvartal &lt; 4</formula>
    </cfRule>
  </conditionalFormatting>
  <conditionalFormatting sqref="C93">
    <cfRule type="expression" dxfId="2081" priority="81">
      <formula>kvartal &lt; 4</formula>
    </cfRule>
  </conditionalFormatting>
  <conditionalFormatting sqref="B101">
    <cfRule type="expression" dxfId="2080" priority="80">
      <formula>kvartal &lt; 4</formula>
    </cfRule>
  </conditionalFormatting>
  <conditionalFormatting sqref="C101">
    <cfRule type="expression" dxfId="2079" priority="79">
      <formula>kvartal &lt; 4</formula>
    </cfRule>
  </conditionalFormatting>
  <conditionalFormatting sqref="B104">
    <cfRule type="expression" dxfId="2078" priority="78">
      <formula>kvartal &lt; 4</formula>
    </cfRule>
  </conditionalFormatting>
  <conditionalFormatting sqref="C104">
    <cfRule type="expression" dxfId="2077" priority="77">
      <formula>kvartal &lt; 4</formula>
    </cfRule>
  </conditionalFormatting>
  <conditionalFormatting sqref="B115">
    <cfRule type="expression" dxfId="2076" priority="76">
      <formula>kvartal &lt; 4</formula>
    </cfRule>
  </conditionalFormatting>
  <conditionalFormatting sqref="C115">
    <cfRule type="expression" dxfId="2075" priority="75">
      <formula>kvartal &lt; 4</formula>
    </cfRule>
  </conditionalFormatting>
  <conditionalFormatting sqref="B123">
    <cfRule type="expression" dxfId="2074" priority="74">
      <formula>kvartal &lt; 4</formula>
    </cfRule>
  </conditionalFormatting>
  <conditionalFormatting sqref="C123">
    <cfRule type="expression" dxfId="2073" priority="73">
      <formula>kvartal &lt; 4</formula>
    </cfRule>
  </conditionalFormatting>
  <conditionalFormatting sqref="F70">
    <cfRule type="expression" dxfId="2072" priority="72">
      <formula>kvartal &lt; 4</formula>
    </cfRule>
  </conditionalFormatting>
  <conditionalFormatting sqref="G70">
    <cfRule type="expression" dxfId="2071" priority="71">
      <formula>kvartal &lt; 4</formula>
    </cfRule>
  </conditionalFormatting>
  <conditionalFormatting sqref="F71:G71">
    <cfRule type="expression" dxfId="2070" priority="70">
      <formula>kvartal &lt; 4</formula>
    </cfRule>
  </conditionalFormatting>
  <conditionalFormatting sqref="F73:G74">
    <cfRule type="expression" dxfId="2069" priority="69">
      <formula>kvartal &lt; 4</formula>
    </cfRule>
  </conditionalFormatting>
  <conditionalFormatting sqref="F81:G82">
    <cfRule type="expression" dxfId="2068" priority="68">
      <formula>kvartal &lt; 4</formula>
    </cfRule>
  </conditionalFormatting>
  <conditionalFormatting sqref="F84:G85">
    <cfRule type="expression" dxfId="2067" priority="67">
      <formula>kvartal &lt; 4</formula>
    </cfRule>
  </conditionalFormatting>
  <conditionalFormatting sqref="F91:G92">
    <cfRule type="expression" dxfId="2066" priority="62">
      <formula>kvartal &lt; 4</formula>
    </cfRule>
  </conditionalFormatting>
  <conditionalFormatting sqref="F94:G95">
    <cfRule type="expression" dxfId="2065" priority="61">
      <formula>kvartal &lt; 4</formula>
    </cfRule>
  </conditionalFormatting>
  <conditionalFormatting sqref="F102:G103">
    <cfRule type="expression" dxfId="2064" priority="60">
      <formula>kvartal &lt; 4</formula>
    </cfRule>
  </conditionalFormatting>
  <conditionalFormatting sqref="F105:G106">
    <cfRule type="expression" dxfId="2063" priority="59">
      <formula>kvartal &lt; 4</formula>
    </cfRule>
  </conditionalFormatting>
  <conditionalFormatting sqref="F115">
    <cfRule type="expression" dxfId="2062" priority="58">
      <formula>kvartal &lt; 4</formula>
    </cfRule>
  </conditionalFormatting>
  <conditionalFormatting sqref="G115">
    <cfRule type="expression" dxfId="2061" priority="57">
      <formula>kvartal &lt; 4</formula>
    </cfRule>
  </conditionalFormatting>
  <conditionalFormatting sqref="F123:G123">
    <cfRule type="expression" dxfId="2060" priority="56">
      <formula>kvartal &lt; 4</formula>
    </cfRule>
  </conditionalFormatting>
  <conditionalFormatting sqref="F69:G69">
    <cfRule type="expression" dxfId="2059" priority="55">
      <formula>kvartal &lt; 4</formula>
    </cfRule>
  </conditionalFormatting>
  <conditionalFormatting sqref="F72:G72">
    <cfRule type="expression" dxfId="2058" priority="54">
      <formula>kvartal &lt; 4</formula>
    </cfRule>
  </conditionalFormatting>
  <conditionalFormatting sqref="F80:G80">
    <cfRule type="expression" dxfId="2057" priority="53">
      <formula>kvartal &lt; 4</formula>
    </cfRule>
  </conditionalFormatting>
  <conditionalFormatting sqref="F83:G83">
    <cfRule type="expression" dxfId="2056" priority="52">
      <formula>kvartal &lt; 4</formula>
    </cfRule>
  </conditionalFormatting>
  <conditionalFormatting sqref="F90:G90">
    <cfRule type="expression" dxfId="2055" priority="46">
      <formula>kvartal &lt; 4</formula>
    </cfRule>
  </conditionalFormatting>
  <conditionalFormatting sqref="F93">
    <cfRule type="expression" dxfId="2054" priority="45">
      <formula>kvartal &lt; 4</formula>
    </cfRule>
  </conditionalFormatting>
  <conditionalFormatting sqref="G93">
    <cfRule type="expression" dxfId="2053" priority="44">
      <formula>kvartal &lt; 4</formula>
    </cfRule>
  </conditionalFormatting>
  <conditionalFormatting sqref="F101">
    <cfRule type="expression" dxfId="2052" priority="43">
      <formula>kvartal &lt; 4</formula>
    </cfRule>
  </conditionalFormatting>
  <conditionalFormatting sqref="G101">
    <cfRule type="expression" dxfId="2051" priority="42">
      <formula>kvartal &lt; 4</formula>
    </cfRule>
  </conditionalFormatting>
  <conditionalFormatting sqref="G104">
    <cfRule type="expression" dxfId="2050" priority="41">
      <formula>kvartal &lt; 4</formula>
    </cfRule>
  </conditionalFormatting>
  <conditionalFormatting sqref="F104">
    <cfRule type="expression" dxfId="2049" priority="40">
      <formula>kvartal &lt; 4</formula>
    </cfRule>
  </conditionalFormatting>
  <conditionalFormatting sqref="J69:K73">
    <cfRule type="expression" dxfId="2048" priority="39">
      <formula>kvartal &lt; 4</formula>
    </cfRule>
  </conditionalFormatting>
  <conditionalFormatting sqref="J74:K74">
    <cfRule type="expression" dxfId="2047" priority="38">
      <formula>kvartal &lt; 4</formula>
    </cfRule>
  </conditionalFormatting>
  <conditionalFormatting sqref="J80:K85">
    <cfRule type="expression" dxfId="2046" priority="37">
      <formula>kvartal &lt; 4</formula>
    </cfRule>
  </conditionalFormatting>
  <conditionalFormatting sqref="J90:K95">
    <cfRule type="expression" dxfId="2045" priority="34">
      <formula>kvartal &lt; 4</formula>
    </cfRule>
  </conditionalFormatting>
  <conditionalFormatting sqref="J101:K106">
    <cfRule type="expression" dxfId="2044" priority="33">
      <formula>kvartal &lt; 4</formula>
    </cfRule>
  </conditionalFormatting>
  <conditionalFormatting sqref="J115:K115">
    <cfRule type="expression" dxfId="2043" priority="32">
      <formula>kvartal &lt; 4</formula>
    </cfRule>
  </conditionalFormatting>
  <conditionalFormatting sqref="J123:K123">
    <cfRule type="expression" dxfId="2042" priority="31">
      <formula>kvartal &lt; 4</formula>
    </cfRule>
  </conditionalFormatting>
  <conditionalFormatting sqref="A50:A52">
    <cfRule type="expression" dxfId="2041" priority="12">
      <formula>kvartal &lt; 4</formula>
    </cfRule>
  </conditionalFormatting>
  <conditionalFormatting sqref="A69:A74">
    <cfRule type="expression" dxfId="2040" priority="10">
      <formula>kvartal &lt; 4</formula>
    </cfRule>
  </conditionalFormatting>
  <conditionalFormatting sqref="A80:A85">
    <cfRule type="expression" dxfId="2039" priority="9">
      <formula>kvartal &lt; 4</formula>
    </cfRule>
  </conditionalFormatting>
  <conditionalFormatting sqref="A90:A95">
    <cfRule type="expression" dxfId="2038" priority="6">
      <formula>kvartal &lt; 4</formula>
    </cfRule>
  </conditionalFormatting>
  <conditionalFormatting sqref="A101:A106">
    <cfRule type="expression" dxfId="2037" priority="5">
      <formula>kvartal &lt; 4</formula>
    </cfRule>
  </conditionalFormatting>
  <conditionalFormatting sqref="A115">
    <cfRule type="expression" dxfId="2036" priority="4">
      <formula>kvartal &lt; 4</formula>
    </cfRule>
  </conditionalFormatting>
  <conditionalFormatting sqref="A123">
    <cfRule type="expression" dxfId="2035" priority="3">
      <formula>kvartal &lt; 4</formula>
    </cfRule>
  </conditionalFormatting>
  <pageMargins left="0.70866141732283472" right="0.70866141732283472" top="0.78740157480314965" bottom="0.78740157480314965" header="0.31496062992125984" footer="0.31496062992125984"/>
  <pageSetup paperSize="9" scale="55" orientation="portrait" r:id="rId1"/>
  <rowBreaks count="1" manualBreakCount="1">
    <brk id="59"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4"/>
  <dimension ref="A1:Q144"/>
  <sheetViews>
    <sheetView showGridLines="0" zoomScale="120" zoomScaleNormal="120" workbookViewId="0"/>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7" x14ac:dyDescent="0.2">
      <c r="A1" s="172" t="s">
        <v>133</v>
      </c>
      <c r="B1" s="988"/>
      <c r="C1" s="248" t="s">
        <v>123</v>
      </c>
      <c r="D1" s="26"/>
      <c r="E1" s="26"/>
      <c r="F1" s="26"/>
      <c r="G1" s="26"/>
      <c r="H1" s="26"/>
      <c r="I1" s="26"/>
      <c r="J1" s="26"/>
      <c r="K1" s="26"/>
      <c r="L1" s="26"/>
      <c r="M1" s="26"/>
    </row>
    <row r="2" spans="1:17" ht="15.75" x14ac:dyDescent="0.25">
      <c r="A2" s="165" t="s">
        <v>28</v>
      </c>
      <c r="B2" s="1027"/>
      <c r="C2" s="1027"/>
      <c r="D2" s="1027"/>
      <c r="E2" s="301"/>
      <c r="F2" s="1027"/>
      <c r="G2" s="1027"/>
      <c r="H2" s="1027"/>
      <c r="I2" s="301"/>
      <c r="J2" s="1027"/>
      <c r="K2" s="1027"/>
      <c r="L2" s="1027"/>
      <c r="M2" s="301"/>
    </row>
    <row r="3" spans="1:17" ht="15.75" x14ac:dyDescent="0.25">
      <c r="A3" s="163"/>
      <c r="B3" s="301"/>
      <c r="C3" s="301"/>
      <c r="D3" s="301"/>
      <c r="E3" s="301"/>
      <c r="F3" s="301"/>
      <c r="G3" s="301"/>
      <c r="H3" s="301"/>
      <c r="I3" s="301"/>
      <c r="J3" s="301"/>
      <c r="K3" s="301"/>
      <c r="L3" s="301"/>
      <c r="M3" s="301"/>
    </row>
    <row r="4" spans="1:17" x14ac:dyDescent="0.2">
      <c r="A4" s="144"/>
      <c r="B4" s="1023" t="s">
        <v>0</v>
      </c>
      <c r="C4" s="1024"/>
      <c r="D4" s="1024"/>
      <c r="E4" s="303"/>
      <c r="F4" s="1023" t="s">
        <v>1</v>
      </c>
      <c r="G4" s="1024"/>
      <c r="H4" s="1024"/>
      <c r="I4" s="306"/>
      <c r="J4" s="1023" t="s">
        <v>2</v>
      </c>
      <c r="K4" s="1024"/>
      <c r="L4" s="1024"/>
      <c r="M4" s="306"/>
    </row>
    <row r="5" spans="1:17" x14ac:dyDescent="0.2">
      <c r="A5" s="158"/>
      <c r="B5" s="152" t="s">
        <v>502</v>
      </c>
      <c r="C5" s="152" t="s">
        <v>503</v>
      </c>
      <c r="D5" s="245" t="s">
        <v>3</v>
      </c>
      <c r="E5" s="307" t="s">
        <v>29</v>
      </c>
      <c r="F5" s="152" t="s">
        <v>502</v>
      </c>
      <c r="G5" s="152" t="s">
        <v>503</v>
      </c>
      <c r="H5" s="245" t="s">
        <v>3</v>
      </c>
      <c r="I5" s="162" t="s">
        <v>29</v>
      </c>
      <c r="J5" s="152" t="s">
        <v>502</v>
      </c>
      <c r="K5" s="152" t="s">
        <v>503</v>
      </c>
      <c r="L5" s="245" t="s">
        <v>3</v>
      </c>
      <c r="M5" s="162" t="s">
        <v>29</v>
      </c>
    </row>
    <row r="6" spans="1:17" x14ac:dyDescent="0.2">
      <c r="A6" s="989"/>
      <c r="B6" s="156"/>
      <c r="C6" s="156"/>
      <c r="D6" s="246" t="s">
        <v>4</v>
      </c>
      <c r="E6" s="156" t="s">
        <v>30</v>
      </c>
      <c r="F6" s="161"/>
      <c r="G6" s="161"/>
      <c r="H6" s="245" t="s">
        <v>4</v>
      </c>
      <c r="I6" s="156" t="s">
        <v>30</v>
      </c>
      <c r="J6" s="161"/>
      <c r="K6" s="161"/>
      <c r="L6" s="245" t="s">
        <v>4</v>
      </c>
      <c r="M6" s="156" t="s">
        <v>30</v>
      </c>
    </row>
    <row r="7" spans="1:17" ht="15.75" x14ac:dyDescent="0.2">
      <c r="A7" s="14" t="s">
        <v>23</v>
      </c>
      <c r="B7" s="308">
        <v>194464</v>
      </c>
      <c r="C7" s="309">
        <v>203847</v>
      </c>
      <c r="D7" s="351">
        <f>IF(B7=0, "    ---- ", IF(ABS(ROUND(100/B7*C7-100,1))&lt;999,ROUND(100/B7*C7-100,1),IF(ROUND(100/B7*C7-100,1)&gt;999,999,-999)))</f>
        <v>4.8</v>
      </c>
      <c r="E7" s="11">
        <f>IFERROR(100/'Skjema total MA'!C7*C7,0)</f>
        <v>4.287645285627927</v>
      </c>
      <c r="F7" s="308"/>
      <c r="G7" s="309"/>
      <c r="H7" s="351"/>
      <c r="I7" s="160"/>
      <c r="J7" s="310">
        <f t="shared" ref="J7:K10" si="0">SUM(B7,F7)</f>
        <v>194464</v>
      </c>
      <c r="K7" s="311">
        <f t="shared" si="0"/>
        <v>203847</v>
      </c>
      <c r="L7" s="428">
        <f>IF(J7=0, "    ---- ", IF(ABS(ROUND(100/J7*K7-100,1))&lt;999,ROUND(100/J7*K7-100,1),IF(ROUND(100/J7*K7-100,1)&gt;999,999,-999)))</f>
        <v>4.8</v>
      </c>
      <c r="M7" s="11">
        <f>IFERROR(100/'Skjema total MA'!I7*K7,0)</f>
        <v>1.3540253396382291</v>
      </c>
    </row>
    <row r="8" spans="1:17" ht="15.75" x14ac:dyDescent="0.2">
      <c r="A8" s="21" t="s">
        <v>25</v>
      </c>
      <c r="B8" s="283">
        <v>167478</v>
      </c>
      <c r="C8" s="284">
        <v>176335</v>
      </c>
      <c r="D8" s="166">
        <f t="shared" ref="D8:D10" si="1">IF(B8=0, "    ---- ", IF(ABS(ROUND(100/B8*C8-100,1))&lt;999,ROUND(100/B8*C8-100,1),IF(ROUND(100/B8*C8-100,1)&gt;999,999,-999)))</f>
        <v>5.3</v>
      </c>
      <c r="E8" s="27">
        <f>IFERROR(100/'Skjema total MA'!C8*C8,0)</f>
        <v>5.6831124015484562</v>
      </c>
      <c r="F8" s="287"/>
      <c r="G8" s="288"/>
      <c r="H8" s="166"/>
      <c r="I8" s="175"/>
      <c r="J8" s="234">
        <f t="shared" si="0"/>
        <v>167478</v>
      </c>
      <c r="K8" s="289">
        <f t="shared" si="0"/>
        <v>176335</v>
      </c>
      <c r="L8" s="166">
        <f t="shared" ref="L8:L9" si="2">IF(J8=0, "    ---- ", IF(ABS(ROUND(100/J8*K8-100,1))&lt;999,ROUND(100/J8*K8-100,1),IF(ROUND(100/J8*K8-100,1)&gt;999,999,-999)))</f>
        <v>5.3</v>
      </c>
      <c r="M8" s="27">
        <f>IFERROR(100/'Skjema total MA'!I8*K8,0)</f>
        <v>5.6831124015484562</v>
      </c>
    </row>
    <row r="9" spans="1:17" ht="15.75" x14ac:dyDescent="0.2">
      <c r="A9" s="21" t="s">
        <v>24</v>
      </c>
      <c r="B9" s="283">
        <v>26986</v>
      </c>
      <c r="C9" s="284">
        <v>27512</v>
      </c>
      <c r="D9" s="166">
        <f t="shared" si="1"/>
        <v>1.9</v>
      </c>
      <c r="E9" s="27">
        <f>IFERROR(100/'Skjema total MA'!C9*C9,0)</f>
        <v>2.9014110504656854</v>
      </c>
      <c r="F9" s="287"/>
      <c r="G9" s="288"/>
      <c r="H9" s="166"/>
      <c r="I9" s="175"/>
      <c r="J9" s="234">
        <f t="shared" si="0"/>
        <v>26986</v>
      </c>
      <c r="K9" s="289">
        <f t="shared" si="0"/>
        <v>27512</v>
      </c>
      <c r="L9" s="166">
        <f t="shared" si="2"/>
        <v>1.9</v>
      </c>
      <c r="M9" s="27">
        <f>IFERROR(100/'Skjema total MA'!I9*K9,0)</f>
        <v>2.9014110504656854</v>
      </c>
    </row>
    <row r="10" spans="1:17" ht="15.75" x14ac:dyDescent="0.2">
      <c r="A10" s="13" t="s">
        <v>444</v>
      </c>
      <c r="B10" s="312">
        <v>59343</v>
      </c>
      <c r="C10" s="313">
        <v>57824</v>
      </c>
      <c r="D10" s="171">
        <f t="shared" si="1"/>
        <v>-2.6</v>
      </c>
      <c r="E10" s="11">
        <f>IFERROR(100/'Skjema total MA'!C10*C10,0)</f>
        <v>0.29309945739650206</v>
      </c>
      <c r="F10" s="312"/>
      <c r="G10" s="313"/>
      <c r="H10" s="171"/>
      <c r="I10" s="160"/>
      <c r="J10" s="310">
        <f t="shared" si="0"/>
        <v>59343</v>
      </c>
      <c r="K10" s="311">
        <f t="shared" si="0"/>
        <v>57824</v>
      </c>
      <c r="L10" s="429">
        <f t="shared" ref="L10" si="3">IF(J10=0, "    ---- ", IF(ABS(ROUND(100/J10*K10-100,1))&lt;999,ROUND(100/J10*K10-100,1),IF(ROUND(100/J10*K10-100,1)&gt;999,999,-999)))</f>
        <v>-2.6</v>
      </c>
      <c r="M10" s="11">
        <f>IFERROR(100/'Skjema total MA'!I10*K10,0)</f>
        <v>7.1902651932934575E-2</v>
      </c>
    </row>
    <row r="11" spans="1:17" s="43" customFormat="1" ht="15.75" x14ac:dyDescent="0.2">
      <c r="A11" s="13" t="s">
        <v>445</v>
      </c>
      <c r="B11" s="312"/>
      <c r="C11" s="313"/>
      <c r="D11" s="171"/>
      <c r="E11" s="11"/>
      <c r="F11" s="312"/>
      <c r="G11" s="313"/>
      <c r="H11" s="171"/>
      <c r="I11" s="160"/>
      <c r="J11" s="310"/>
      <c r="K11" s="311"/>
      <c r="L11" s="429"/>
      <c r="M11" s="11"/>
      <c r="N11" s="143"/>
      <c r="Q11" s="143"/>
    </row>
    <row r="12" spans="1:17" s="43" customFormat="1" ht="15.75" x14ac:dyDescent="0.2">
      <c r="A12" s="41" t="s">
        <v>446</v>
      </c>
      <c r="B12" s="314"/>
      <c r="C12" s="315"/>
      <c r="D12" s="169"/>
      <c r="E12" s="36"/>
      <c r="F12" s="314"/>
      <c r="G12" s="315"/>
      <c r="H12" s="169"/>
      <c r="I12" s="169"/>
      <c r="J12" s="316"/>
      <c r="K12" s="317"/>
      <c r="L12" s="430"/>
      <c r="M12" s="36"/>
      <c r="N12" s="143"/>
    </row>
    <row r="13" spans="1:17" s="43" customFormat="1" x14ac:dyDescent="0.2">
      <c r="A13" s="168"/>
      <c r="B13" s="145"/>
      <c r="C13" s="33"/>
      <c r="D13" s="159"/>
      <c r="E13" s="159"/>
      <c r="F13" s="145"/>
      <c r="G13" s="33"/>
      <c r="H13" s="159"/>
      <c r="I13" s="159"/>
      <c r="J13" s="48"/>
      <c r="K13" s="48"/>
      <c r="L13" s="159"/>
      <c r="M13" s="159"/>
      <c r="N13" s="143"/>
    </row>
    <row r="14" spans="1:17" x14ac:dyDescent="0.2">
      <c r="A14" s="153" t="s">
        <v>271</v>
      </c>
      <c r="B14" s="26"/>
    </row>
    <row r="15" spans="1:17" x14ac:dyDescent="0.2">
      <c r="F15" s="146"/>
      <c r="G15" s="146"/>
      <c r="H15" s="146"/>
      <c r="I15" s="146"/>
      <c r="J15" s="146"/>
      <c r="K15" s="146"/>
      <c r="L15" s="146"/>
      <c r="M15" s="146"/>
    </row>
    <row r="16" spans="1:17"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1022"/>
      <c r="C18" s="1022"/>
      <c r="D18" s="1022"/>
      <c r="E18" s="301"/>
      <c r="F18" s="1022"/>
      <c r="G18" s="1022"/>
      <c r="H18" s="1022"/>
      <c r="I18" s="301"/>
      <c r="J18" s="1022"/>
      <c r="K18" s="1022"/>
      <c r="L18" s="1022"/>
      <c r="M18" s="301"/>
    </row>
    <row r="19" spans="1:14" x14ac:dyDescent="0.2">
      <c r="A19" s="144"/>
      <c r="B19" s="1023" t="s">
        <v>0</v>
      </c>
      <c r="C19" s="1024"/>
      <c r="D19" s="1024"/>
      <c r="E19" s="303"/>
      <c r="F19" s="1023" t="s">
        <v>1</v>
      </c>
      <c r="G19" s="1024"/>
      <c r="H19" s="1024"/>
      <c r="I19" s="306"/>
      <c r="J19" s="1023" t="s">
        <v>2</v>
      </c>
      <c r="K19" s="1024"/>
      <c r="L19" s="1024"/>
      <c r="M19" s="306"/>
    </row>
    <row r="20" spans="1:14" x14ac:dyDescent="0.2">
      <c r="A20" s="140" t="s">
        <v>5</v>
      </c>
      <c r="B20" s="152" t="s">
        <v>502</v>
      </c>
      <c r="C20" s="152" t="s">
        <v>503</v>
      </c>
      <c r="D20" s="162" t="s">
        <v>3</v>
      </c>
      <c r="E20" s="307" t="s">
        <v>29</v>
      </c>
      <c r="F20" s="152" t="s">
        <v>502</v>
      </c>
      <c r="G20" s="152" t="s">
        <v>503</v>
      </c>
      <c r="H20" s="162" t="s">
        <v>3</v>
      </c>
      <c r="I20" s="162" t="s">
        <v>29</v>
      </c>
      <c r="J20" s="152" t="s">
        <v>502</v>
      </c>
      <c r="K20" s="152" t="s">
        <v>503</v>
      </c>
      <c r="L20" s="162" t="s">
        <v>3</v>
      </c>
      <c r="M20" s="162" t="s">
        <v>29</v>
      </c>
    </row>
    <row r="21" spans="1:14" x14ac:dyDescent="0.2">
      <c r="A21" s="990"/>
      <c r="B21" s="156"/>
      <c r="C21" s="156"/>
      <c r="D21" s="246" t="s">
        <v>4</v>
      </c>
      <c r="E21" s="156" t="s">
        <v>30</v>
      </c>
      <c r="F21" s="161"/>
      <c r="G21" s="161"/>
      <c r="H21" s="245" t="s">
        <v>4</v>
      </c>
      <c r="I21" s="156" t="s">
        <v>30</v>
      </c>
      <c r="J21" s="161"/>
      <c r="K21" s="161"/>
      <c r="L21" s="156" t="s">
        <v>4</v>
      </c>
      <c r="M21" s="156" t="s">
        <v>30</v>
      </c>
    </row>
    <row r="22" spans="1:14" ht="15.75" x14ac:dyDescent="0.2">
      <c r="A22" s="14" t="s">
        <v>23</v>
      </c>
      <c r="B22" s="312">
        <v>181770</v>
      </c>
      <c r="C22" s="312">
        <v>191838</v>
      </c>
      <c r="D22" s="351">
        <f t="shared" ref="D22:D32" si="4">IF(B22=0, "    ---- ", IF(ABS(ROUND(100/B22*C22-100,1))&lt;999,ROUND(100/B22*C22-100,1),IF(ROUND(100/B22*C22-100,1)&gt;999,999,-999)))</f>
        <v>5.5</v>
      </c>
      <c r="E22" s="11">
        <f>IFERROR(100/'Skjema total MA'!C22*C22,0)</f>
        <v>10.813035456764704</v>
      </c>
      <c r="F22" s="320">
        <v>15640</v>
      </c>
      <c r="G22" s="320">
        <v>10271.700000000001</v>
      </c>
      <c r="H22" s="351">
        <f t="shared" ref="H22:H33" si="5">IF(F22=0, "    ---- ", IF(ABS(ROUND(100/F22*G22-100,1))&lt;999,ROUND(100/F22*G22-100,1),IF(ROUND(100/F22*G22-100,1)&gt;999,999,-999)))</f>
        <v>-34.299999999999997</v>
      </c>
      <c r="I22" s="11">
        <f>IFERROR(100/'Skjema total MA'!F22*G22,0)</f>
        <v>0.69039221136683215</v>
      </c>
      <c r="J22" s="318">
        <f t="shared" ref="J22:K29" si="6">SUM(B22,F22)</f>
        <v>197410</v>
      </c>
      <c r="K22" s="318">
        <f t="shared" si="6"/>
        <v>202109.7</v>
      </c>
      <c r="L22" s="428">
        <f t="shared" ref="L22:L33" si="7">IF(J22=0, "    ---- ", IF(ABS(ROUND(100/J22*K22-100,1))&lt;999,ROUND(100/J22*K22-100,1),IF(ROUND(100/J22*K22-100,1)&gt;999,999,-999)))</f>
        <v>2.4</v>
      </c>
      <c r="M22" s="24">
        <f>IFERROR(100/'Skjema total MA'!I22*K22,0)</f>
        <v>6.1959913708283603</v>
      </c>
    </row>
    <row r="23" spans="1:14" ht="15.75" x14ac:dyDescent="0.2">
      <c r="A23" s="811" t="s">
        <v>447</v>
      </c>
      <c r="B23" s="283">
        <v>181401</v>
      </c>
      <c r="C23" s="283">
        <v>191561</v>
      </c>
      <c r="D23" s="166">
        <f t="shared" si="4"/>
        <v>5.6</v>
      </c>
      <c r="E23" s="11">
        <f>IFERROR(100/'Skjema total MA'!C23*C23,0)</f>
        <v>17.854885854192297</v>
      </c>
      <c r="F23" s="292"/>
      <c r="G23" s="292"/>
      <c r="H23" s="166"/>
      <c r="I23" s="418"/>
      <c r="J23" s="292">
        <f t="shared" ref="J23:J26" si="8">SUM(B23,F23)</f>
        <v>181401</v>
      </c>
      <c r="K23" s="292">
        <f t="shared" ref="K23:K26" si="9">SUM(C23,G23)</f>
        <v>191561</v>
      </c>
      <c r="L23" s="166">
        <f t="shared" si="7"/>
        <v>5.6</v>
      </c>
      <c r="M23" s="23">
        <f>IFERROR(100/'Skjema total MA'!I23*K23,0)</f>
        <v>15.299796881749991</v>
      </c>
    </row>
    <row r="24" spans="1:14" ht="15.75" x14ac:dyDescent="0.2">
      <c r="A24" s="811" t="s">
        <v>448</v>
      </c>
      <c r="B24" s="283"/>
      <c r="C24" s="283"/>
      <c r="D24" s="166"/>
      <c r="E24" s="11"/>
      <c r="F24" s="292"/>
      <c r="G24" s="292"/>
      <c r="H24" s="166"/>
      <c r="I24" s="418"/>
      <c r="J24" s="292"/>
      <c r="K24" s="292"/>
      <c r="L24" s="166"/>
      <c r="M24" s="23"/>
    </row>
    <row r="25" spans="1:14" ht="15.75" x14ac:dyDescent="0.2">
      <c r="A25" s="811" t="s">
        <v>449</v>
      </c>
      <c r="B25" s="283">
        <v>369</v>
      </c>
      <c r="C25" s="283">
        <v>277</v>
      </c>
      <c r="D25" s="166">
        <f t="shared" si="4"/>
        <v>-24.9</v>
      </c>
      <c r="E25" s="11">
        <f>IFERROR(100/'Skjema total MA'!C25*C25,0)</f>
        <v>0.71501420316376507</v>
      </c>
      <c r="F25" s="292">
        <v>3841</v>
      </c>
      <c r="G25" s="292">
        <v>2901.5</v>
      </c>
      <c r="H25" s="166">
        <f t="shared" si="5"/>
        <v>-24.5</v>
      </c>
      <c r="I25" s="418">
        <f>IFERROR(100/'Skjema total MA'!F25*G25,0)</f>
        <v>11.381042857716842</v>
      </c>
      <c r="J25" s="292">
        <f t="shared" si="8"/>
        <v>4210</v>
      </c>
      <c r="K25" s="292">
        <f t="shared" si="9"/>
        <v>3178.5</v>
      </c>
      <c r="L25" s="166">
        <f t="shared" si="7"/>
        <v>-24.5</v>
      </c>
      <c r="M25" s="23">
        <f>IFERROR(100/'Skjema total MA'!I25*K25,0)</f>
        <v>4.9482648311466582</v>
      </c>
    </row>
    <row r="26" spans="1:14" ht="15.75" x14ac:dyDescent="0.2">
      <c r="A26" s="811" t="s">
        <v>450</v>
      </c>
      <c r="B26" s="283"/>
      <c r="C26" s="283"/>
      <c r="D26" s="166"/>
      <c r="E26" s="11"/>
      <c r="F26" s="292">
        <v>11799</v>
      </c>
      <c r="G26" s="292">
        <v>7370.2</v>
      </c>
      <c r="H26" s="166">
        <f t="shared" si="5"/>
        <v>-37.5</v>
      </c>
      <c r="I26" s="418">
        <f>IFERROR(100/'Skjema total MA'!F26*G26,0)</f>
        <v>0.5748774143747466</v>
      </c>
      <c r="J26" s="292">
        <f t="shared" si="8"/>
        <v>11799</v>
      </c>
      <c r="K26" s="292">
        <f t="shared" si="9"/>
        <v>7370.2</v>
      </c>
      <c r="L26" s="166">
        <f t="shared" si="7"/>
        <v>-37.5</v>
      </c>
      <c r="M26" s="23">
        <f>IFERROR(100/'Skjema total MA'!I26*K26,0)</f>
        <v>0.5748774143747466</v>
      </c>
    </row>
    <row r="27" spans="1:14" x14ac:dyDescent="0.2">
      <c r="A27" s="811" t="s">
        <v>11</v>
      </c>
      <c r="B27" s="283"/>
      <c r="C27" s="283"/>
      <c r="D27" s="166"/>
      <c r="E27" s="11"/>
      <c r="F27" s="292"/>
      <c r="G27" s="292"/>
      <c r="H27" s="166"/>
      <c r="I27" s="418"/>
      <c r="J27" s="292"/>
      <c r="K27" s="292"/>
      <c r="L27" s="166"/>
      <c r="M27" s="23"/>
    </row>
    <row r="28" spans="1:14" ht="15.75" x14ac:dyDescent="0.2">
      <c r="A28" s="49" t="s">
        <v>272</v>
      </c>
      <c r="B28" s="44">
        <v>181401</v>
      </c>
      <c r="C28" s="289">
        <v>191561</v>
      </c>
      <c r="D28" s="166">
        <f t="shared" si="4"/>
        <v>5.6</v>
      </c>
      <c r="E28" s="11">
        <f>IFERROR(100/'Skjema total MA'!C28*C28,0)</f>
        <v>10.048416644363339</v>
      </c>
      <c r="F28" s="234"/>
      <c r="G28" s="289"/>
      <c r="H28" s="166"/>
      <c r="I28" s="27"/>
      <c r="J28" s="44">
        <f t="shared" si="6"/>
        <v>181401</v>
      </c>
      <c r="K28" s="44">
        <f t="shared" si="6"/>
        <v>191561</v>
      </c>
      <c r="L28" s="257">
        <f t="shared" si="7"/>
        <v>5.6</v>
      </c>
      <c r="M28" s="23">
        <f>IFERROR(100/'Skjema total MA'!I28*K28,0)</f>
        <v>10.048416644363339</v>
      </c>
    </row>
    <row r="29" spans="1:14" s="3" customFormat="1" ht="15.75" x14ac:dyDescent="0.2">
      <c r="A29" s="13" t="s">
        <v>444</v>
      </c>
      <c r="B29" s="236">
        <v>621201</v>
      </c>
      <c r="C29" s="236">
        <v>732781</v>
      </c>
      <c r="D29" s="171">
        <f t="shared" si="4"/>
        <v>18</v>
      </c>
      <c r="E29" s="11">
        <f>IFERROR(100/'Skjema total MA'!C29*C29,0)</f>
        <v>1.6017158722093905</v>
      </c>
      <c r="F29" s="310">
        <v>156001</v>
      </c>
      <c r="G29" s="310">
        <v>0</v>
      </c>
      <c r="H29" s="171">
        <f t="shared" si="5"/>
        <v>-100</v>
      </c>
      <c r="I29" s="11">
        <f>IFERROR(100/'Skjema total MA'!F29*G29,0)</f>
        <v>0</v>
      </c>
      <c r="J29" s="236">
        <f t="shared" si="6"/>
        <v>777202</v>
      </c>
      <c r="K29" s="236">
        <f t="shared" si="6"/>
        <v>732781</v>
      </c>
      <c r="L29" s="429">
        <f t="shared" si="7"/>
        <v>-5.7</v>
      </c>
      <c r="M29" s="24">
        <f>IFERROR(100/'Skjema total MA'!I29*K29,0)</f>
        <v>1.0425385964935767</v>
      </c>
      <c r="N29" s="148"/>
    </row>
    <row r="30" spans="1:14" s="3" customFormat="1" ht="15.75" x14ac:dyDescent="0.2">
      <c r="A30" s="811" t="s">
        <v>447</v>
      </c>
      <c r="B30" s="283">
        <v>619594</v>
      </c>
      <c r="C30" s="283">
        <v>732781</v>
      </c>
      <c r="D30" s="166">
        <f t="shared" si="4"/>
        <v>18.3</v>
      </c>
      <c r="E30" s="11">
        <f>IFERROR(100/'Skjema total MA'!C30*C30,0)</f>
        <v>4.6337428744863107</v>
      </c>
      <c r="F30" s="292"/>
      <c r="G30" s="292"/>
      <c r="H30" s="166"/>
      <c r="I30" s="418"/>
      <c r="J30" s="292">
        <f t="shared" ref="J30:J33" si="10">SUM(B30,F30)</f>
        <v>619594</v>
      </c>
      <c r="K30" s="292">
        <f t="shared" ref="K30:K33" si="11">SUM(C30,G30)</f>
        <v>732781</v>
      </c>
      <c r="L30" s="166">
        <f t="shared" si="7"/>
        <v>18.3</v>
      </c>
      <c r="M30" s="23">
        <f>IFERROR(100/'Skjema total MA'!I30*K30,0)</f>
        <v>3.5752923671503303</v>
      </c>
      <c r="N30" s="148"/>
    </row>
    <row r="31" spans="1:14" s="3" customFormat="1" ht="15.75" x14ac:dyDescent="0.2">
      <c r="A31" s="811" t="s">
        <v>448</v>
      </c>
      <c r="B31" s="283"/>
      <c r="C31" s="283"/>
      <c r="D31" s="166"/>
      <c r="E31" s="11"/>
      <c r="F31" s="292"/>
      <c r="G31" s="292"/>
      <c r="H31" s="166"/>
      <c r="I31" s="418"/>
      <c r="J31" s="292"/>
      <c r="K31" s="292"/>
      <c r="L31" s="166"/>
      <c r="M31" s="23"/>
      <c r="N31" s="148"/>
    </row>
    <row r="32" spans="1:14" ht="15.75" x14ac:dyDescent="0.2">
      <c r="A32" s="811" t="s">
        <v>449</v>
      </c>
      <c r="B32" s="283">
        <v>1607</v>
      </c>
      <c r="C32" s="283">
        <v>0</v>
      </c>
      <c r="D32" s="166">
        <f t="shared" si="4"/>
        <v>-100</v>
      </c>
      <c r="E32" s="11">
        <f>IFERROR(100/'Skjema total MA'!C32*C32,0)</f>
        <v>0</v>
      </c>
      <c r="F32" s="292">
        <v>116988</v>
      </c>
      <c r="G32" s="292">
        <v>0</v>
      </c>
      <c r="H32" s="166">
        <f t="shared" si="5"/>
        <v>-100</v>
      </c>
      <c r="I32" s="418">
        <f>IFERROR(100/'Skjema total MA'!F32*G32,0)</f>
        <v>0</v>
      </c>
      <c r="J32" s="292">
        <f t="shared" si="10"/>
        <v>118595</v>
      </c>
      <c r="K32" s="292">
        <f t="shared" si="11"/>
        <v>0</v>
      </c>
      <c r="L32" s="166">
        <f t="shared" si="7"/>
        <v>-100</v>
      </c>
      <c r="M32" s="23">
        <f>IFERROR(100/'Skjema total MA'!I32*K32,0)</f>
        <v>0</v>
      </c>
    </row>
    <row r="33" spans="1:14" ht="15.75" x14ac:dyDescent="0.2">
      <c r="A33" s="811" t="s">
        <v>450</v>
      </c>
      <c r="B33" s="283"/>
      <c r="C33" s="283"/>
      <c r="D33" s="166"/>
      <c r="E33" s="11"/>
      <c r="F33" s="292">
        <v>39013</v>
      </c>
      <c r="G33" s="292">
        <v>0</v>
      </c>
      <c r="H33" s="166">
        <f t="shared" si="5"/>
        <v>-100</v>
      </c>
      <c r="I33" s="418">
        <f>IFERROR(100/'Skjema total MA'!F34*G33,0)</f>
        <v>0</v>
      </c>
      <c r="J33" s="292">
        <f t="shared" si="10"/>
        <v>39013</v>
      </c>
      <c r="K33" s="292">
        <f t="shared" si="11"/>
        <v>0</v>
      </c>
      <c r="L33" s="166">
        <f t="shared" si="7"/>
        <v>-100</v>
      </c>
      <c r="M33" s="23">
        <f>IFERROR(100/'Skjema total MA'!I33*K33,0)</f>
        <v>0</v>
      </c>
    </row>
    <row r="34" spans="1:14" ht="15.75" x14ac:dyDescent="0.2">
      <c r="A34" s="13" t="s">
        <v>445</v>
      </c>
      <c r="B34" s="236"/>
      <c r="C34" s="311"/>
      <c r="D34" s="171"/>
      <c r="E34" s="11"/>
      <c r="F34" s="310"/>
      <c r="G34" s="311"/>
      <c r="H34" s="171"/>
      <c r="I34" s="11"/>
      <c r="J34" s="236"/>
      <c r="K34" s="236"/>
      <c r="L34" s="429"/>
      <c r="M34" s="24"/>
    </row>
    <row r="35" spans="1:14" ht="15.75" x14ac:dyDescent="0.2">
      <c r="A35" s="13" t="s">
        <v>446</v>
      </c>
      <c r="B35" s="236"/>
      <c r="C35" s="311"/>
      <c r="D35" s="171"/>
      <c r="E35" s="11"/>
      <c r="F35" s="310"/>
      <c r="G35" s="311"/>
      <c r="H35" s="171"/>
      <c r="I35" s="11"/>
      <c r="J35" s="236"/>
      <c r="K35" s="236"/>
      <c r="L35" s="429"/>
      <c r="M35" s="24"/>
    </row>
    <row r="36" spans="1:14" ht="15.75" x14ac:dyDescent="0.2">
      <c r="A36" s="12" t="s">
        <v>280</v>
      </c>
      <c r="B36" s="236"/>
      <c r="C36" s="311"/>
      <c r="D36" s="171"/>
      <c r="E36" s="11"/>
      <c r="F36" s="321"/>
      <c r="G36" s="322"/>
      <c r="H36" s="171"/>
      <c r="I36" s="435"/>
      <c r="J36" s="236"/>
      <c r="K36" s="236"/>
      <c r="L36" s="429"/>
      <c r="M36" s="24"/>
    </row>
    <row r="37" spans="1:14" ht="15.75" x14ac:dyDescent="0.2">
      <c r="A37" s="12" t="s">
        <v>452</v>
      </c>
      <c r="B37" s="236"/>
      <c r="C37" s="311"/>
      <c r="D37" s="171"/>
      <c r="E37" s="11"/>
      <c r="F37" s="321"/>
      <c r="G37" s="323"/>
      <c r="H37" s="171"/>
      <c r="I37" s="435"/>
      <c r="J37" s="236"/>
      <c r="K37" s="236"/>
      <c r="L37" s="429"/>
      <c r="M37" s="24"/>
    </row>
    <row r="38" spans="1:14" ht="15.75" x14ac:dyDescent="0.2">
      <c r="A38" s="12" t="s">
        <v>453</v>
      </c>
      <c r="B38" s="236"/>
      <c r="C38" s="311"/>
      <c r="D38" s="171"/>
      <c r="E38" s="24"/>
      <c r="F38" s="321"/>
      <c r="G38" s="322"/>
      <c r="H38" s="171"/>
      <c r="I38" s="435"/>
      <c r="J38" s="236"/>
      <c r="K38" s="236"/>
      <c r="L38" s="429"/>
      <c r="M38" s="24"/>
    </row>
    <row r="39" spans="1:14" ht="15.75" x14ac:dyDescent="0.2">
      <c r="A39" s="18" t="s">
        <v>454</v>
      </c>
      <c r="B39" s="278"/>
      <c r="C39" s="317"/>
      <c r="D39" s="169"/>
      <c r="E39" s="36"/>
      <c r="F39" s="324"/>
      <c r="G39" s="325"/>
      <c r="H39" s="169"/>
      <c r="I39" s="36"/>
      <c r="J39" s="236"/>
      <c r="K39" s="236"/>
      <c r="L39" s="430"/>
      <c r="M39" s="36"/>
    </row>
    <row r="40" spans="1:14" ht="15.75" x14ac:dyDescent="0.25">
      <c r="A40" s="47"/>
      <c r="B40" s="256"/>
      <c r="C40" s="256"/>
      <c r="D40" s="1026"/>
      <c r="E40" s="1026"/>
      <c r="F40" s="1026"/>
      <c r="G40" s="1026"/>
      <c r="H40" s="1026"/>
      <c r="I40" s="1026"/>
      <c r="J40" s="1026"/>
      <c r="K40" s="1026"/>
      <c r="L40" s="1026"/>
      <c r="M40" s="304"/>
    </row>
    <row r="41" spans="1:14" x14ac:dyDescent="0.2">
      <c r="A41" s="155"/>
    </row>
    <row r="42" spans="1:14" ht="15.75" x14ac:dyDescent="0.25">
      <c r="A42" s="147" t="s">
        <v>269</v>
      </c>
      <c r="B42" s="1027"/>
      <c r="C42" s="1027"/>
      <c r="D42" s="1027"/>
      <c r="E42" s="301"/>
      <c r="F42" s="1028"/>
      <c r="G42" s="1028"/>
      <c r="H42" s="1028"/>
      <c r="I42" s="304"/>
      <c r="J42" s="1028"/>
      <c r="K42" s="1028"/>
      <c r="L42" s="1028"/>
      <c r="M42" s="304"/>
    </row>
    <row r="43" spans="1:14" ht="15.75" x14ac:dyDescent="0.25">
      <c r="A43" s="163"/>
      <c r="B43" s="305"/>
      <c r="C43" s="305"/>
      <c r="D43" s="305"/>
      <c r="E43" s="305"/>
      <c r="F43" s="304"/>
      <c r="G43" s="304"/>
      <c r="H43" s="304"/>
      <c r="I43" s="304"/>
      <c r="J43" s="304"/>
      <c r="K43" s="304"/>
      <c r="L43" s="304"/>
      <c r="M43" s="304"/>
    </row>
    <row r="44" spans="1:14" ht="15.75" x14ac:dyDescent="0.25">
      <c r="A44" s="247"/>
      <c r="B44" s="1023" t="s">
        <v>0</v>
      </c>
      <c r="C44" s="1024"/>
      <c r="D44" s="1024"/>
      <c r="E44" s="243"/>
      <c r="F44" s="304"/>
      <c r="G44" s="304"/>
      <c r="H44" s="304"/>
      <c r="I44" s="304"/>
      <c r="J44" s="304"/>
      <c r="K44" s="304"/>
      <c r="L44" s="304"/>
      <c r="M44" s="304"/>
    </row>
    <row r="45" spans="1:14" s="3" customFormat="1" x14ac:dyDescent="0.2">
      <c r="A45" s="140"/>
      <c r="B45" s="152" t="s">
        <v>502</v>
      </c>
      <c r="C45" s="152" t="s">
        <v>503</v>
      </c>
      <c r="D45" s="162" t="s">
        <v>3</v>
      </c>
      <c r="E45" s="162" t="s">
        <v>29</v>
      </c>
      <c r="F45" s="174"/>
      <c r="G45" s="174"/>
      <c r="H45" s="173"/>
      <c r="I45" s="173"/>
      <c r="J45" s="174"/>
      <c r="K45" s="174"/>
      <c r="L45" s="173"/>
      <c r="M45" s="173"/>
      <c r="N45" s="148"/>
    </row>
    <row r="46" spans="1:14" s="3" customFormat="1" x14ac:dyDescent="0.2">
      <c r="A46" s="990"/>
      <c r="B46" s="244"/>
      <c r="C46" s="244"/>
      <c r="D46" s="245" t="s">
        <v>4</v>
      </c>
      <c r="E46" s="156" t="s">
        <v>30</v>
      </c>
      <c r="F46" s="173"/>
      <c r="G46" s="173"/>
      <c r="H46" s="173"/>
      <c r="I46" s="173"/>
      <c r="J46" s="173"/>
      <c r="K46" s="173"/>
      <c r="L46" s="173"/>
      <c r="M46" s="173"/>
      <c r="N46" s="148"/>
    </row>
    <row r="47" spans="1:14" s="3" customFormat="1" ht="15.75" x14ac:dyDescent="0.2">
      <c r="A47" s="14" t="s">
        <v>23</v>
      </c>
      <c r="B47" s="312">
        <v>32245</v>
      </c>
      <c r="C47" s="313">
        <v>34378</v>
      </c>
      <c r="D47" s="428">
        <f t="shared" ref="D47:D48" si="12">IF(B47=0, "    ---- ", IF(ABS(ROUND(100/B47*C47-100,1))&lt;999,ROUND(100/B47*C47-100,1),IF(ROUND(100/B47*C47-100,1)&gt;999,999,-999)))</f>
        <v>6.6</v>
      </c>
      <c r="E47" s="11">
        <f>IFERROR(100/'Skjema total MA'!C47*C47,0)</f>
        <v>0.71964525241348476</v>
      </c>
      <c r="F47" s="145"/>
      <c r="G47" s="33"/>
      <c r="H47" s="159"/>
      <c r="I47" s="159"/>
      <c r="J47" s="37"/>
      <c r="K47" s="37"/>
      <c r="L47" s="159"/>
      <c r="M47" s="159"/>
      <c r="N47" s="148"/>
    </row>
    <row r="48" spans="1:14" s="3" customFormat="1" ht="15.75" x14ac:dyDescent="0.2">
      <c r="A48" s="38" t="s">
        <v>455</v>
      </c>
      <c r="B48" s="283">
        <v>32245</v>
      </c>
      <c r="C48" s="284">
        <v>34378</v>
      </c>
      <c r="D48" s="257">
        <f t="shared" si="12"/>
        <v>6.6</v>
      </c>
      <c r="E48" s="27">
        <f>IFERROR(100/'Skjema total MA'!C48*C48,0)</f>
        <v>1.2902832240371132</v>
      </c>
      <c r="F48" s="145"/>
      <c r="G48" s="33"/>
      <c r="H48" s="145"/>
      <c r="I48" s="145"/>
      <c r="J48" s="33"/>
      <c r="K48" s="33"/>
      <c r="L48" s="159"/>
      <c r="M48" s="159"/>
      <c r="N48" s="148"/>
    </row>
    <row r="49" spans="1:14" s="3" customFormat="1" ht="15.75" x14ac:dyDescent="0.2">
      <c r="A49" s="38" t="s">
        <v>456</v>
      </c>
      <c r="B49" s="44"/>
      <c r="C49" s="289"/>
      <c r="D49" s="257"/>
      <c r="E49" s="27"/>
      <c r="F49" s="145"/>
      <c r="G49" s="33"/>
      <c r="H49" s="145"/>
      <c r="I49" s="145"/>
      <c r="J49" s="37"/>
      <c r="K49" s="37"/>
      <c r="L49" s="159"/>
      <c r="M49" s="159"/>
      <c r="N49" s="148"/>
    </row>
    <row r="50" spans="1:14" s="3" customFormat="1" x14ac:dyDescent="0.2">
      <c r="A50" s="298" t="s">
        <v>6</v>
      </c>
      <c r="B50" s="292"/>
      <c r="C50" s="293"/>
      <c r="D50" s="257"/>
      <c r="E50" s="23"/>
      <c r="F50" s="145"/>
      <c r="G50" s="33"/>
      <c r="H50" s="145"/>
      <c r="I50" s="145"/>
      <c r="J50" s="33"/>
      <c r="K50" s="33"/>
      <c r="L50" s="159"/>
      <c r="M50" s="159"/>
      <c r="N50" s="148"/>
    </row>
    <row r="51" spans="1:14" s="3" customFormat="1" x14ac:dyDescent="0.2">
      <c r="A51" s="298" t="s">
        <v>7</v>
      </c>
      <c r="B51" s="292"/>
      <c r="C51" s="293"/>
      <c r="D51" s="257"/>
      <c r="E51" s="23"/>
      <c r="F51" s="145"/>
      <c r="G51" s="33"/>
      <c r="H51" s="145"/>
      <c r="I51" s="145"/>
      <c r="J51" s="33"/>
      <c r="K51" s="33"/>
      <c r="L51" s="159"/>
      <c r="M51" s="159"/>
      <c r="N51" s="148"/>
    </row>
    <row r="52" spans="1:14" s="3" customFormat="1" x14ac:dyDescent="0.2">
      <c r="A52" s="298" t="s">
        <v>8</v>
      </c>
      <c r="B52" s="292"/>
      <c r="C52" s="293"/>
      <c r="D52" s="257"/>
      <c r="E52" s="23"/>
      <c r="F52" s="145"/>
      <c r="G52" s="33"/>
      <c r="H52" s="145"/>
      <c r="I52" s="145"/>
      <c r="J52" s="33"/>
      <c r="K52" s="33"/>
      <c r="L52" s="159"/>
      <c r="M52" s="159"/>
      <c r="N52" s="148"/>
    </row>
    <row r="53" spans="1:14" s="3" customFormat="1" ht="15.75" x14ac:dyDescent="0.2">
      <c r="A53" s="39" t="s">
        <v>457</v>
      </c>
      <c r="B53" s="312"/>
      <c r="C53" s="313"/>
      <c r="D53" s="429"/>
      <c r="E53" s="11"/>
      <c r="F53" s="145"/>
      <c r="G53" s="33"/>
      <c r="H53" s="145"/>
      <c r="I53" s="145"/>
      <c r="J53" s="33"/>
      <c r="K53" s="33"/>
      <c r="L53" s="159"/>
      <c r="M53" s="159"/>
      <c r="N53" s="148"/>
    </row>
    <row r="54" spans="1:14" s="3" customFormat="1" ht="15.75" x14ac:dyDescent="0.2">
      <c r="A54" s="38" t="s">
        <v>455</v>
      </c>
      <c r="B54" s="283"/>
      <c r="C54" s="284"/>
      <c r="D54" s="257"/>
      <c r="E54" s="27"/>
      <c r="F54" s="145"/>
      <c r="G54" s="33"/>
      <c r="H54" s="145"/>
      <c r="I54" s="145"/>
      <c r="J54" s="33"/>
      <c r="K54" s="33"/>
      <c r="L54" s="159"/>
      <c r="M54" s="159"/>
      <c r="N54" s="148"/>
    </row>
    <row r="55" spans="1:14" s="3" customFormat="1" ht="15.75" x14ac:dyDescent="0.2">
      <c r="A55" s="38" t="s">
        <v>456</v>
      </c>
      <c r="B55" s="283"/>
      <c r="C55" s="284"/>
      <c r="D55" s="257"/>
      <c r="E55" s="27"/>
      <c r="F55" s="145"/>
      <c r="G55" s="33"/>
      <c r="H55" s="145"/>
      <c r="I55" s="145"/>
      <c r="J55" s="33"/>
      <c r="K55" s="33"/>
      <c r="L55" s="159"/>
      <c r="M55" s="159"/>
      <c r="N55" s="148"/>
    </row>
    <row r="56" spans="1:14" s="3" customFormat="1" ht="15.75" x14ac:dyDescent="0.2">
      <c r="A56" s="39" t="s">
        <v>458</v>
      </c>
      <c r="B56" s="312"/>
      <c r="C56" s="313"/>
      <c r="D56" s="429"/>
      <c r="E56" s="11"/>
      <c r="F56" s="145"/>
      <c r="G56" s="33"/>
      <c r="H56" s="145"/>
      <c r="I56" s="145"/>
      <c r="J56" s="33"/>
      <c r="K56" s="33"/>
      <c r="L56" s="159"/>
      <c r="M56" s="159"/>
      <c r="N56" s="148"/>
    </row>
    <row r="57" spans="1:14" s="3" customFormat="1" ht="15.75" x14ac:dyDescent="0.2">
      <c r="A57" s="38" t="s">
        <v>455</v>
      </c>
      <c r="B57" s="283"/>
      <c r="C57" s="284"/>
      <c r="D57" s="257"/>
      <c r="E57" s="27"/>
      <c r="F57" s="145"/>
      <c r="G57" s="33"/>
      <c r="H57" s="145"/>
      <c r="I57" s="145"/>
      <c r="J57" s="33"/>
      <c r="K57" s="33"/>
      <c r="L57" s="159"/>
      <c r="M57" s="159"/>
      <c r="N57" s="148"/>
    </row>
    <row r="58" spans="1:14" s="3" customFormat="1" ht="15.75" x14ac:dyDescent="0.2">
      <c r="A58" s="46" t="s">
        <v>456</v>
      </c>
      <c r="B58" s="285"/>
      <c r="C58" s="286"/>
      <c r="D58" s="258"/>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1022"/>
      <c r="C62" s="1022"/>
      <c r="D62" s="1022"/>
      <c r="E62" s="301"/>
      <c r="F62" s="1022"/>
      <c r="G62" s="1022"/>
      <c r="H62" s="1022"/>
      <c r="I62" s="301"/>
      <c r="J62" s="1022"/>
      <c r="K62" s="1022"/>
      <c r="L62" s="1022"/>
      <c r="M62" s="301"/>
    </row>
    <row r="63" spans="1:14" x14ac:dyDescent="0.2">
      <c r="A63" s="144"/>
      <c r="B63" s="1023" t="s">
        <v>0</v>
      </c>
      <c r="C63" s="1024"/>
      <c r="D63" s="1025"/>
      <c r="E63" s="302"/>
      <c r="F63" s="1024" t="s">
        <v>1</v>
      </c>
      <c r="G63" s="1024"/>
      <c r="H63" s="1024"/>
      <c r="I63" s="306"/>
      <c r="J63" s="1023" t="s">
        <v>2</v>
      </c>
      <c r="K63" s="1024"/>
      <c r="L63" s="1024"/>
      <c r="M63" s="306"/>
    </row>
    <row r="64" spans="1:14" x14ac:dyDescent="0.2">
      <c r="A64" s="140"/>
      <c r="B64" s="152" t="s">
        <v>502</v>
      </c>
      <c r="C64" s="152" t="s">
        <v>503</v>
      </c>
      <c r="D64" s="245" t="s">
        <v>3</v>
      </c>
      <c r="E64" s="307" t="s">
        <v>29</v>
      </c>
      <c r="F64" s="152" t="s">
        <v>502</v>
      </c>
      <c r="G64" s="152" t="s">
        <v>503</v>
      </c>
      <c r="H64" s="245" t="s">
        <v>3</v>
      </c>
      <c r="I64" s="307" t="s">
        <v>29</v>
      </c>
      <c r="J64" s="152" t="s">
        <v>502</v>
      </c>
      <c r="K64" s="152" t="s">
        <v>503</v>
      </c>
      <c r="L64" s="245" t="s">
        <v>3</v>
      </c>
      <c r="M64" s="162" t="s">
        <v>29</v>
      </c>
    </row>
    <row r="65" spans="1:14" x14ac:dyDescent="0.2">
      <c r="A65" s="990"/>
      <c r="B65" s="156"/>
      <c r="C65" s="156"/>
      <c r="D65" s="246" t="s">
        <v>4</v>
      </c>
      <c r="E65" s="156" t="s">
        <v>30</v>
      </c>
      <c r="F65" s="161"/>
      <c r="G65" s="161"/>
      <c r="H65" s="245" t="s">
        <v>4</v>
      </c>
      <c r="I65" s="156" t="s">
        <v>30</v>
      </c>
      <c r="J65" s="161"/>
      <c r="K65" s="206"/>
      <c r="L65" s="156" t="s">
        <v>4</v>
      </c>
      <c r="M65" s="156" t="s">
        <v>30</v>
      </c>
    </row>
    <row r="66" spans="1:14" ht="15.75" x14ac:dyDescent="0.2">
      <c r="A66" s="14" t="s">
        <v>23</v>
      </c>
      <c r="B66" s="354">
        <v>81568</v>
      </c>
      <c r="C66" s="354">
        <v>66711</v>
      </c>
      <c r="D66" s="351">
        <f t="shared" ref="D66:D111" si="13">IF(B66=0, "    ---- ", IF(ABS(ROUND(100/B66*C66-100,1))&lt;999,ROUND(100/B66*C66-100,1),IF(ROUND(100/B66*C66-100,1)&gt;999,999,-999)))</f>
        <v>-18.2</v>
      </c>
      <c r="E66" s="11">
        <f>IFERROR(100/'Skjema total MA'!C66*C66,0)</f>
        <v>0.89822327924873591</v>
      </c>
      <c r="F66" s="353">
        <v>407379</v>
      </c>
      <c r="G66" s="353">
        <v>356050</v>
      </c>
      <c r="H66" s="351">
        <f t="shared" ref="H66:H111" si="14">IF(F66=0, "    ---- ", IF(ABS(ROUND(100/F66*G66-100,1))&lt;999,ROUND(100/F66*G66-100,1),IF(ROUND(100/F66*G66-100,1)&gt;999,999,-999)))</f>
        <v>-12.6</v>
      </c>
      <c r="I66" s="11">
        <f>IFERROR(100/'Skjema total MA'!F66*G66,0)</f>
        <v>1.0169327513806488</v>
      </c>
      <c r="J66" s="311">
        <f t="shared" ref="J66:K79" si="15">SUM(B66,F66)</f>
        <v>488947</v>
      </c>
      <c r="K66" s="318">
        <f t="shared" si="15"/>
        <v>422761</v>
      </c>
      <c r="L66" s="429">
        <f t="shared" ref="L66:L111" si="16">IF(J66=0, "    ---- ", IF(ABS(ROUND(100/J66*K66-100,1))&lt;999,ROUND(100/J66*K66-100,1),IF(ROUND(100/J66*K66-100,1)&gt;999,999,-999)))</f>
        <v>-13.5</v>
      </c>
      <c r="M66" s="11">
        <f>IFERROR(100/'Skjema total MA'!I66*K66,0)</f>
        <v>0.99615818773528886</v>
      </c>
    </row>
    <row r="67" spans="1:14" x14ac:dyDescent="0.2">
      <c r="A67" s="420" t="s">
        <v>9</v>
      </c>
      <c r="B67" s="44"/>
      <c r="C67" s="145"/>
      <c r="D67" s="166"/>
      <c r="E67" s="27"/>
      <c r="F67" s="234"/>
      <c r="G67" s="145"/>
      <c r="H67" s="166"/>
      <c r="I67" s="27"/>
      <c r="J67" s="289"/>
      <c r="K67" s="44"/>
      <c r="L67" s="257"/>
      <c r="M67" s="27"/>
    </row>
    <row r="68" spans="1:14" x14ac:dyDescent="0.2">
      <c r="A68" s="21" t="s">
        <v>10</v>
      </c>
      <c r="B68" s="294">
        <v>81568</v>
      </c>
      <c r="C68" s="295">
        <v>66711</v>
      </c>
      <c r="D68" s="166">
        <f t="shared" si="13"/>
        <v>-18.2</v>
      </c>
      <c r="E68" s="27">
        <f>IFERROR(100/'Skjema total MA'!C68*C68,0)</f>
        <v>54.113201375856811</v>
      </c>
      <c r="F68" s="294">
        <v>407379</v>
      </c>
      <c r="G68" s="295">
        <v>356050</v>
      </c>
      <c r="H68" s="166">
        <f t="shared" si="14"/>
        <v>-12.6</v>
      </c>
      <c r="I68" s="27">
        <f>IFERROR(100/'Skjema total MA'!F68*G68,0)</f>
        <v>1.0586278049397835</v>
      </c>
      <c r="J68" s="289">
        <f t="shared" si="15"/>
        <v>488947</v>
      </c>
      <c r="K68" s="44">
        <f t="shared" si="15"/>
        <v>422761</v>
      </c>
      <c r="L68" s="257">
        <f t="shared" si="16"/>
        <v>-13.5</v>
      </c>
      <c r="M68" s="27">
        <f>IFERROR(100/'Skjema total MA'!I68*K68,0)</f>
        <v>1.2523861364845645</v>
      </c>
    </row>
    <row r="69" spans="1:14" ht="15.75" x14ac:dyDescent="0.2">
      <c r="A69" s="298" t="s">
        <v>459</v>
      </c>
      <c r="B69" s="283"/>
      <c r="C69" s="283"/>
      <c r="D69" s="166"/>
      <c r="E69" s="418"/>
      <c r="F69" s="283"/>
      <c r="G69" s="283"/>
      <c r="H69" s="166"/>
      <c r="I69" s="418"/>
      <c r="J69" s="292"/>
      <c r="K69" s="292"/>
      <c r="L69" s="166"/>
      <c r="M69" s="23"/>
    </row>
    <row r="70" spans="1:14" x14ac:dyDescent="0.2">
      <c r="A70" s="298" t="s">
        <v>12</v>
      </c>
      <c r="B70" s="296"/>
      <c r="C70" s="297"/>
      <c r="D70" s="166"/>
      <c r="E70" s="418"/>
      <c r="F70" s="283"/>
      <c r="G70" s="283"/>
      <c r="H70" s="166"/>
      <c r="I70" s="418"/>
      <c r="J70" s="292"/>
      <c r="K70" s="292"/>
      <c r="L70" s="166"/>
      <c r="M70" s="23"/>
    </row>
    <row r="71" spans="1:14" x14ac:dyDescent="0.2">
      <c r="A71" s="298" t="s">
        <v>13</v>
      </c>
      <c r="B71" s="235"/>
      <c r="C71" s="291"/>
      <c r="D71" s="166"/>
      <c r="E71" s="418"/>
      <c r="F71" s="283"/>
      <c r="G71" s="283"/>
      <c r="H71" s="166"/>
      <c r="I71" s="418"/>
      <c r="J71" s="292"/>
      <c r="K71" s="292"/>
      <c r="L71" s="166"/>
      <c r="M71" s="23"/>
    </row>
    <row r="72" spans="1:14" ht="15.75" x14ac:dyDescent="0.2">
      <c r="A72" s="298" t="s">
        <v>460</v>
      </c>
      <c r="B72" s="283">
        <v>81568</v>
      </c>
      <c r="C72" s="283">
        <v>66711</v>
      </c>
      <c r="D72" s="166">
        <f t="shared" ref="D72" si="17">IF(B72=0, "    ---- ", IF(ABS(ROUND(100/B72*C72-100,1))&lt;999,ROUND(100/B72*C72-100,1),IF(ROUND(100/B72*C72-100,1)&gt;999,999,-999)))</f>
        <v>-18.2</v>
      </c>
      <c r="E72" s="27">
        <f>IFERROR(100/'Skjema total MA'!C72*C72,0)</f>
        <v>59.17849309011973</v>
      </c>
      <c r="F72" s="283">
        <v>407379</v>
      </c>
      <c r="G72" s="283">
        <v>356050</v>
      </c>
      <c r="H72" s="166">
        <f t="shared" ref="H72" si="18">IF(F72=0, "    ---- ", IF(ABS(ROUND(100/F72*G72-100,1))&lt;999,ROUND(100/F72*G72-100,1),IF(ROUND(100/F72*G72-100,1)&gt;999,999,-999)))</f>
        <v>-12.6</v>
      </c>
      <c r="I72" s="27">
        <f>IFERROR(100/'Skjema total MA'!F72*G72,0)</f>
        <v>1.0587063741550158</v>
      </c>
      <c r="J72" s="289">
        <f t="shared" ref="J72" si="19">SUM(B72,F72)</f>
        <v>488947</v>
      </c>
      <c r="K72" s="44">
        <f t="shared" ref="K72" si="20">SUM(C72,G72)</f>
        <v>422761</v>
      </c>
      <c r="L72" s="257">
        <f t="shared" ref="L72" si="21">IF(J72=0, "    ---- ", IF(ABS(ROUND(100/J72*K72-100,1))&lt;999,ROUND(100/J72*K72-100,1),IF(ROUND(100/J72*K72-100,1)&gt;999,999,-999)))</f>
        <v>-13.5</v>
      </c>
      <c r="M72" s="27">
        <f>IFERROR(100/'Skjema total MA'!I72*K72,0)</f>
        <v>1.2528704130306727</v>
      </c>
    </row>
    <row r="73" spans="1:14" x14ac:dyDescent="0.2">
      <c r="A73" s="298" t="s">
        <v>12</v>
      </c>
      <c r="B73" s="235"/>
      <c r="C73" s="291"/>
      <c r="D73" s="166"/>
      <c r="E73" s="418"/>
      <c r="F73" s="283"/>
      <c r="G73" s="283"/>
      <c r="H73" s="166"/>
      <c r="I73" s="418"/>
      <c r="J73" s="292"/>
      <c r="K73" s="292"/>
      <c r="L73" s="166"/>
      <c r="M73" s="23"/>
    </row>
    <row r="74" spans="1:14" s="3" customFormat="1" x14ac:dyDescent="0.2">
      <c r="A74" s="298" t="s">
        <v>13</v>
      </c>
      <c r="B74" s="235"/>
      <c r="C74" s="291"/>
      <c r="D74" s="166"/>
      <c r="E74" s="418"/>
      <c r="F74" s="283">
        <v>407379</v>
      </c>
      <c r="G74" s="283">
        <v>356050</v>
      </c>
      <c r="H74" s="166">
        <f t="shared" ref="H74" si="22">IF(F74=0, "    ---- ", IF(ABS(ROUND(100/F74*G74-100,1))&lt;999,ROUND(100/F74*G74-100,1),IF(ROUND(100/F74*G74-100,1)&gt;999,999,-999)))</f>
        <v>-12.6</v>
      </c>
      <c r="I74" s="27">
        <f>IFERROR(100/'Skjema total MA'!F74*G74,0)</f>
        <v>1.058738390676998</v>
      </c>
      <c r="J74" s="289">
        <f t="shared" ref="J74" si="23">SUM(B74,F74)</f>
        <v>407379</v>
      </c>
      <c r="K74" s="44">
        <f t="shared" ref="K74" si="24">SUM(C74,G74)</f>
        <v>356050</v>
      </c>
      <c r="L74" s="257">
        <f t="shared" ref="L74" si="25">IF(J74=0, "    ---- ", IF(ABS(ROUND(100/J74*K74-100,1))&lt;999,ROUND(100/J74*K74-100,1),IF(ROUND(100/J74*K74-100,1)&gt;999,999,-999)))</f>
        <v>-12.6</v>
      </c>
      <c r="M74" s="27">
        <f>IFERROR(100/'Skjema total MA'!I74*K74,0)</f>
        <v>1.058738390676998</v>
      </c>
      <c r="N74" s="148"/>
    </row>
    <row r="75" spans="1:14" s="3" customFormat="1" x14ac:dyDescent="0.2">
      <c r="A75" s="21" t="s">
        <v>346</v>
      </c>
      <c r="B75" s="234"/>
      <c r="C75" s="145"/>
      <c r="D75" s="166"/>
      <c r="E75" s="27"/>
      <c r="F75" s="234"/>
      <c r="G75" s="145"/>
      <c r="H75" s="166"/>
      <c r="I75" s="27"/>
      <c r="J75" s="289"/>
      <c r="K75" s="44"/>
      <c r="L75" s="257"/>
      <c r="M75" s="27"/>
      <c r="N75" s="148"/>
    </row>
    <row r="76" spans="1:14" s="3" customFormat="1" x14ac:dyDescent="0.2">
      <c r="A76" s="21" t="s">
        <v>345</v>
      </c>
      <c r="B76" s="234"/>
      <c r="C76" s="145"/>
      <c r="D76" s="166"/>
      <c r="E76" s="27"/>
      <c r="F76" s="234"/>
      <c r="G76" s="145"/>
      <c r="H76" s="166"/>
      <c r="I76" s="27"/>
      <c r="J76" s="289"/>
      <c r="K76" s="44"/>
      <c r="L76" s="257"/>
      <c r="M76" s="27"/>
      <c r="N76" s="148"/>
    </row>
    <row r="77" spans="1:14" ht="15.75" x14ac:dyDescent="0.2">
      <c r="A77" s="21" t="s">
        <v>461</v>
      </c>
      <c r="B77" s="234">
        <v>81568</v>
      </c>
      <c r="C77" s="234">
        <v>66711</v>
      </c>
      <c r="D77" s="166">
        <f t="shared" si="13"/>
        <v>-18.2</v>
      </c>
      <c r="E77" s="27">
        <f>IFERROR(100/'Skjema total MA'!C77*C77,0)</f>
        <v>1.3034678771901629</v>
      </c>
      <c r="F77" s="234">
        <v>407379</v>
      </c>
      <c r="G77" s="145">
        <v>356050</v>
      </c>
      <c r="H77" s="166">
        <f t="shared" si="14"/>
        <v>-12.6</v>
      </c>
      <c r="I77" s="27">
        <f>IFERROR(100/'Skjema total MA'!F77*G77,0)</f>
        <v>1.0590745296775539</v>
      </c>
      <c r="J77" s="289">
        <f t="shared" si="15"/>
        <v>488947</v>
      </c>
      <c r="K77" s="44">
        <f t="shared" si="15"/>
        <v>422761</v>
      </c>
      <c r="L77" s="257">
        <f t="shared" si="16"/>
        <v>-13.5</v>
      </c>
      <c r="M77" s="27">
        <f>IFERROR(100/'Skjema total MA'!I77*K77,0)</f>
        <v>1.0913640218008076</v>
      </c>
    </row>
    <row r="78" spans="1:14" x14ac:dyDescent="0.2">
      <c r="A78" s="21" t="s">
        <v>9</v>
      </c>
      <c r="B78" s="234"/>
      <c r="C78" s="145"/>
      <c r="D78" s="166"/>
      <c r="E78" s="27"/>
      <c r="F78" s="234"/>
      <c r="G78" s="145"/>
      <c r="H78" s="166"/>
      <c r="I78" s="27"/>
      <c r="J78" s="289"/>
      <c r="K78" s="44"/>
      <c r="L78" s="257"/>
      <c r="M78" s="27"/>
    </row>
    <row r="79" spans="1:14" x14ac:dyDescent="0.2">
      <c r="A79" s="21" t="s">
        <v>10</v>
      </c>
      <c r="B79" s="294">
        <v>81568</v>
      </c>
      <c r="C79" s="295">
        <v>66711</v>
      </c>
      <c r="D79" s="166">
        <f t="shared" si="13"/>
        <v>-18.2</v>
      </c>
      <c r="E79" s="27">
        <f>IFERROR(100/'Skjema total MA'!C79*C79,0)</f>
        <v>55.234765875527856</v>
      </c>
      <c r="F79" s="294">
        <v>407379</v>
      </c>
      <c r="G79" s="295">
        <v>356050</v>
      </c>
      <c r="H79" s="166">
        <f t="shared" si="14"/>
        <v>-12.6</v>
      </c>
      <c r="I79" s="27">
        <f>IFERROR(100/'Skjema total MA'!F79*G79,0)</f>
        <v>1.0590745296775539</v>
      </c>
      <c r="J79" s="289">
        <f t="shared" si="15"/>
        <v>488947</v>
      </c>
      <c r="K79" s="44">
        <f t="shared" si="15"/>
        <v>422761</v>
      </c>
      <c r="L79" s="257">
        <f t="shared" si="16"/>
        <v>-13.5</v>
      </c>
      <c r="M79" s="27">
        <f>IFERROR(100/'Skjema total MA'!I79*K79,0)</f>
        <v>1.2530056509905068</v>
      </c>
    </row>
    <row r="80" spans="1:14" ht="15.75" x14ac:dyDescent="0.2">
      <c r="A80" s="298" t="s">
        <v>459</v>
      </c>
      <c r="B80" s="283"/>
      <c r="C80" s="283"/>
      <c r="D80" s="166"/>
      <c r="E80" s="418"/>
      <c r="F80" s="283"/>
      <c r="G80" s="283"/>
      <c r="H80" s="166"/>
      <c r="I80" s="418"/>
      <c r="J80" s="292"/>
      <c r="K80" s="292"/>
      <c r="L80" s="166"/>
      <c r="M80" s="23"/>
    </row>
    <row r="81" spans="1:13" x14ac:dyDescent="0.2">
      <c r="A81" s="298" t="s">
        <v>12</v>
      </c>
      <c r="B81" s="235"/>
      <c r="C81" s="291"/>
      <c r="D81" s="166"/>
      <c r="E81" s="418"/>
      <c r="F81" s="283"/>
      <c r="G81" s="283"/>
      <c r="H81" s="166"/>
      <c r="I81" s="418"/>
      <c r="J81" s="292"/>
      <c r="K81" s="292"/>
      <c r="L81" s="166"/>
      <c r="M81" s="23"/>
    </row>
    <row r="82" spans="1:13" x14ac:dyDescent="0.2">
      <c r="A82" s="298" t="s">
        <v>13</v>
      </c>
      <c r="B82" s="235"/>
      <c r="C82" s="291"/>
      <c r="D82" s="166"/>
      <c r="E82" s="418"/>
      <c r="F82" s="283"/>
      <c r="G82" s="283"/>
      <c r="H82" s="166"/>
      <c r="I82" s="418"/>
      <c r="J82" s="292"/>
      <c r="K82" s="292"/>
      <c r="L82" s="166"/>
      <c r="M82" s="23"/>
    </row>
    <row r="83" spans="1:13" ht="15.75" x14ac:dyDescent="0.2">
      <c r="A83" s="298" t="s">
        <v>460</v>
      </c>
      <c r="B83" s="283">
        <v>81568</v>
      </c>
      <c r="C83" s="283">
        <v>66711</v>
      </c>
      <c r="D83" s="166">
        <f t="shared" ref="D83" si="26">IF(B83=0, "    ---- ", IF(ABS(ROUND(100/B83*C83-100,1))&lt;999,ROUND(100/B83*C83-100,1),IF(ROUND(100/B83*C83-100,1)&gt;999,999,-999)))</f>
        <v>-18.2</v>
      </c>
      <c r="E83" s="27">
        <f>IFERROR(100/'Skjema total MA'!C83*C83,0)</f>
        <v>55.234765875527856</v>
      </c>
      <c r="F83" s="283">
        <v>407379</v>
      </c>
      <c r="G83" s="283">
        <v>356050</v>
      </c>
      <c r="H83" s="166">
        <f t="shared" ref="H83" si="27">IF(F83=0, "    ---- ", IF(ABS(ROUND(100/F83*G83-100,1))&lt;999,ROUND(100/F83*G83-100,1),IF(ROUND(100/F83*G83-100,1)&gt;999,999,-999)))</f>
        <v>-12.6</v>
      </c>
      <c r="I83" s="27">
        <f>IFERROR(100/'Skjema total MA'!F83*G83,0)</f>
        <v>1.0590745296775539</v>
      </c>
      <c r="J83" s="289">
        <f t="shared" ref="J83" si="28">SUM(B83,F83)</f>
        <v>488947</v>
      </c>
      <c r="K83" s="44">
        <f t="shared" ref="K83" si="29">SUM(C83,G83)</f>
        <v>422761</v>
      </c>
      <c r="L83" s="257">
        <f t="shared" ref="L83" si="30">IF(J83=0, "    ---- ", IF(ABS(ROUND(100/J83*K83-100,1))&lt;999,ROUND(100/J83*K83-100,1),IF(ROUND(100/J83*K83-100,1)&gt;999,999,-999)))</f>
        <v>-13.5</v>
      </c>
      <c r="M83" s="27">
        <f>IFERROR(100/'Skjema total MA'!I83*K83,0)</f>
        <v>1.2530056509905068</v>
      </c>
    </row>
    <row r="84" spans="1:13" x14ac:dyDescent="0.2">
      <c r="A84" s="298" t="s">
        <v>12</v>
      </c>
      <c r="B84" s="235"/>
      <c r="C84" s="291"/>
      <c r="D84" s="166"/>
      <c r="E84" s="418"/>
      <c r="F84" s="283"/>
      <c r="G84" s="283"/>
      <c r="H84" s="166"/>
      <c r="I84" s="418"/>
      <c r="J84" s="292"/>
      <c r="K84" s="292"/>
      <c r="L84" s="166"/>
      <c r="M84" s="23"/>
    </row>
    <row r="85" spans="1:13" x14ac:dyDescent="0.2">
      <c r="A85" s="298" t="s">
        <v>13</v>
      </c>
      <c r="B85" s="235"/>
      <c r="C85" s="291"/>
      <c r="D85" s="166"/>
      <c r="E85" s="418"/>
      <c r="F85" s="283">
        <v>407379</v>
      </c>
      <c r="G85" s="283">
        <v>356050</v>
      </c>
      <c r="H85" s="166">
        <f t="shared" ref="H85" si="31">IF(F85=0, "    ---- ", IF(ABS(ROUND(100/F85*G85-100,1))&lt;999,ROUND(100/F85*G85-100,1),IF(ROUND(100/F85*G85-100,1)&gt;999,999,-999)))</f>
        <v>-12.6</v>
      </c>
      <c r="I85" s="27">
        <f>IFERROR(100/'Skjema total MA'!F85*G85,0)</f>
        <v>1.0591065684706538</v>
      </c>
      <c r="J85" s="289">
        <f t="shared" ref="J85" si="32">SUM(B85,F85)</f>
        <v>407379</v>
      </c>
      <c r="K85" s="44">
        <f t="shared" ref="K85" si="33">SUM(C85,G85)</f>
        <v>356050</v>
      </c>
      <c r="L85" s="257">
        <f t="shared" ref="L85" si="34">IF(J85=0, "    ---- ", IF(ABS(ROUND(100/J85*K85-100,1))&lt;999,ROUND(100/J85*K85-100,1),IF(ROUND(100/J85*K85-100,1)&gt;999,999,-999)))</f>
        <v>-12.6</v>
      </c>
      <c r="M85" s="27">
        <f>IFERROR(100/'Skjema total MA'!I85*K85,0)</f>
        <v>1.0591065684706538</v>
      </c>
    </row>
    <row r="86" spans="1:13" ht="15.75" x14ac:dyDescent="0.2">
      <c r="A86" s="21" t="s">
        <v>462</v>
      </c>
      <c r="B86" s="234"/>
      <c r="C86" s="145"/>
      <c r="D86" s="166"/>
      <c r="E86" s="27"/>
      <c r="F86" s="234"/>
      <c r="G86" s="145"/>
      <c r="H86" s="166"/>
      <c r="I86" s="27"/>
      <c r="J86" s="289"/>
      <c r="K86" s="44"/>
      <c r="L86" s="257"/>
      <c r="M86" s="27"/>
    </row>
    <row r="87" spans="1:13" ht="15.75" x14ac:dyDescent="0.2">
      <c r="A87" s="13" t="s">
        <v>444</v>
      </c>
      <c r="B87" s="354">
        <v>168183</v>
      </c>
      <c r="C87" s="354">
        <v>0</v>
      </c>
      <c r="D87" s="171">
        <f t="shared" si="13"/>
        <v>-100</v>
      </c>
      <c r="E87" s="11">
        <f>IFERROR(100/'Skjema total MA'!C87*C87,0)</f>
        <v>0</v>
      </c>
      <c r="F87" s="353">
        <v>4110126</v>
      </c>
      <c r="G87" s="353">
        <v>0</v>
      </c>
      <c r="H87" s="171">
        <f t="shared" si="14"/>
        <v>-100</v>
      </c>
      <c r="I87" s="11">
        <f>IFERROR(100/'Skjema total MA'!F87*G87,0)</f>
        <v>0</v>
      </c>
      <c r="J87" s="311">
        <f t="shared" ref="J87:K111" si="35">SUM(B87,F87)</f>
        <v>4278309</v>
      </c>
      <c r="K87" s="236">
        <f t="shared" si="35"/>
        <v>0</v>
      </c>
      <c r="L87" s="429">
        <f t="shared" si="16"/>
        <v>-100</v>
      </c>
      <c r="M87" s="11">
        <f>IFERROR(100/'Skjema total MA'!I87*K87,0)</f>
        <v>0</v>
      </c>
    </row>
    <row r="88" spans="1:13" x14ac:dyDescent="0.2">
      <c r="A88" s="21" t="s">
        <v>9</v>
      </c>
      <c r="B88" s="234"/>
      <c r="C88" s="145"/>
      <c r="D88" s="166"/>
      <c r="E88" s="27"/>
      <c r="F88" s="234"/>
      <c r="G88" s="145"/>
      <c r="H88" s="166"/>
      <c r="I88" s="27"/>
      <c r="J88" s="289"/>
      <c r="K88" s="44"/>
      <c r="L88" s="257"/>
      <c r="M88" s="27"/>
    </row>
    <row r="89" spans="1:13" x14ac:dyDescent="0.2">
      <c r="A89" s="21" t="s">
        <v>10</v>
      </c>
      <c r="B89" s="234">
        <v>168183</v>
      </c>
      <c r="C89" s="145">
        <v>0</v>
      </c>
      <c r="D89" s="166">
        <f t="shared" si="13"/>
        <v>-100</v>
      </c>
      <c r="E89" s="27">
        <f>IFERROR(100/'Skjema total MA'!C89*C89,0)</f>
        <v>0</v>
      </c>
      <c r="F89" s="234">
        <v>4110126</v>
      </c>
      <c r="G89" s="145">
        <v>0</v>
      </c>
      <c r="H89" s="166">
        <f t="shared" si="14"/>
        <v>-100</v>
      </c>
      <c r="I89" s="27">
        <f>IFERROR(100/'Skjema total MA'!F89*G89,0)</f>
        <v>0</v>
      </c>
      <c r="J89" s="289">
        <f t="shared" si="35"/>
        <v>4278309</v>
      </c>
      <c r="K89" s="44">
        <f t="shared" si="35"/>
        <v>0</v>
      </c>
      <c r="L89" s="257">
        <f t="shared" si="16"/>
        <v>-100</v>
      </c>
      <c r="M89" s="27">
        <f>IFERROR(100/'Skjema total MA'!I89*K89,0)</f>
        <v>0</v>
      </c>
    </row>
    <row r="90" spans="1:13" ht="15.75" x14ac:dyDescent="0.2">
      <c r="A90" s="298" t="s">
        <v>459</v>
      </c>
      <c r="B90" s="283"/>
      <c r="C90" s="283"/>
      <c r="D90" s="166"/>
      <c r="E90" s="418"/>
      <c r="F90" s="283"/>
      <c r="G90" s="283"/>
      <c r="H90" s="166"/>
      <c r="I90" s="418"/>
      <c r="J90" s="292"/>
      <c r="K90" s="292"/>
      <c r="L90" s="166"/>
      <c r="M90" s="23"/>
    </row>
    <row r="91" spans="1:13" x14ac:dyDescent="0.2">
      <c r="A91" s="298" t="s">
        <v>12</v>
      </c>
      <c r="B91" s="235"/>
      <c r="C91" s="291"/>
      <c r="D91" s="166"/>
      <c r="E91" s="418"/>
      <c r="F91" s="283"/>
      <c r="G91" s="283"/>
      <c r="H91" s="166"/>
      <c r="I91" s="418"/>
      <c r="J91" s="292"/>
      <c r="K91" s="292"/>
      <c r="L91" s="166"/>
      <c r="M91" s="23"/>
    </row>
    <row r="92" spans="1:13" x14ac:dyDescent="0.2">
      <c r="A92" s="298" t="s">
        <v>13</v>
      </c>
      <c r="B92" s="235"/>
      <c r="C92" s="291"/>
      <c r="D92" s="166"/>
      <c r="E92" s="418"/>
      <c r="F92" s="283"/>
      <c r="G92" s="283"/>
      <c r="H92" s="166"/>
      <c r="I92" s="418"/>
      <c r="J92" s="292"/>
      <c r="K92" s="292"/>
      <c r="L92" s="166"/>
      <c r="M92" s="23"/>
    </row>
    <row r="93" spans="1:13" ht="15.75" x14ac:dyDescent="0.2">
      <c r="A93" s="298" t="s">
        <v>460</v>
      </c>
      <c r="B93" s="283">
        <v>168183</v>
      </c>
      <c r="C93" s="283">
        <v>0</v>
      </c>
      <c r="D93" s="166">
        <f t="shared" ref="D93" si="36">IF(B93=0, "    ---- ", IF(ABS(ROUND(100/B93*C93-100,1))&lt;999,ROUND(100/B93*C93-100,1),IF(ROUND(100/B93*C93-100,1)&gt;999,999,-999)))</f>
        <v>-100</v>
      </c>
      <c r="E93" s="27">
        <f>IFERROR(100/'Skjema total MA'!C93*C93,0)</f>
        <v>0</v>
      </c>
      <c r="F93" s="283">
        <v>4110126</v>
      </c>
      <c r="G93" s="283">
        <v>0</v>
      </c>
      <c r="H93" s="166">
        <f t="shared" ref="H93" si="37">IF(F93=0, "    ---- ", IF(ABS(ROUND(100/F93*G93-100,1))&lt;999,ROUND(100/F93*G93-100,1),IF(ROUND(100/F93*G93-100,1)&gt;999,999,-999)))</f>
        <v>-100</v>
      </c>
      <c r="I93" s="27">
        <f>IFERROR(100/'Skjema total MA'!G93*G93,0)</f>
        <v>0</v>
      </c>
      <c r="J93" s="289">
        <f t="shared" ref="J93" si="38">SUM(B93,F93)</f>
        <v>4278309</v>
      </c>
      <c r="K93" s="44">
        <f t="shared" ref="K93" si="39">SUM(C93,G93)</f>
        <v>0</v>
      </c>
      <c r="L93" s="257">
        <f t="shared" ref="L93" si="40">IF(J93=0, "    ---- ", IF(ABS(ROUND(100/J93*K93-100,1))&lt;999,ROUND(100/J93*K93-100,1),IF(ROUND(100/J93*K93-100,1)&gt;999,999,-999)))</f>
        <v>-100</v>
      </c>
      <c r="M93" s="27">
        <f>IFERROR(100/'Skjema total MA'!I93*K93,0)</f>
        <v>0</v>
      </c>
    </row>
    <row r="94" spans="1:13" x14ac:dyDescent="0.2">
      <c r="A94" s="298" t="s">
        <v>12</v>
      </c>
      <c r="B94" s="235"/>
      <c r="C94" s="291"/>
      <c r="D94" s="166"/>
      <c r="E94" s="418"/>
      <c r="F94" s="283"/>
      <c r="G94" s="283"/>
      <c r="H94" s="166"/>
      <c r="I94" s="418"/>
      <c r="J94" s="292"/>
      <c r="K94" s="292"/>
      <c r="L94" s="166"/>
      <c r="M94" s="23"/>
    </row>
    <row r="95" spans="1:13" x14ac:dyDescent="0.2">
      <c r="A95" s="298" t="s">
        <v>13</v>
      </c>
      <c r="B95" s="235"/>
      <c r="C95" s="291"/>
      <c r="D95" s="166"/>
      <c r="E95" s="418"/>
      <c r="F95" s="283">
        <v>4110126</v>
      </c>
      <c r="G95" s="283">
        <v>0</v>
      </c>
      <c r="H95" s="166">
        <f t="shared" ref="H95" si="41">IF(F95=0, "    ---- ", IF(ABS(ROUND(100/F95*G95-100,1))&lt;999,ROUND(100/F95*G95-100,1),IF(ROUND(100/F95*G95-100,1)&gt;999,999,-999)))</f>
        <v>-100</v>
      </c>
      <c r="I95" s="27">
        <f>IFERROR(100/'Skjema total MA'!G95*G95,0)</f>
        <v>0</v>
      </c>
      <c r="J95" s="289">
        <f t="shared" ref="J95" si="42">SUM(B95,F95)</f>
        <v>4110126</v>
      </c>
      <c r="K95" s="44">
        <f t="shared" ref="K95" si="43">SUM(C95,G95)</f>
        <v>0</v>
      </c>
      <c r="L95" s="257">
        <f t="shared" ref="L95" si="44">IF(J95=0, "    ---- ", IF(ABS(ROUND(100/J95*K95-100,1))&lt;999,ROUND(100/J95*K95-100,1),IF(ROUND(100/J95*K95-100,1)&gt;999,999,-999)))</f>
        <v>-100</v>
      </c>
      <c r="M95" s="27">
        <f>IFERROR(100/'Skjema total MA'!I95*K95,0)</f>
        <v>0</v>
      </c>
    </row>
    <row r="96" spans="1:13" x14ac:dyDescent="0.2">
      <c r="A96" s="21" t="s">
        <v>344</v>
      </c>
      <c r="B96" s="234"/>
      <c r="C96" s="145"/>
      <c r="D96" s="166"/>
      <c r="E96" s="27"/>
      <c r="F96" s="234"/>
      <c r="G96" s="145"/>
      <c r="H96" s="166"/>
      <c r="I96" s="27"/>
      <c r="J96" s="289"/>
      <c r="K96" s="44"/>
      <c r="L96" s="257"/>
      <c r="M96" s="27"/>
    </row>
    <row r="97" spans="1:13" x14ac:dyDescent="0.2">
      <c r="A97" s="21" t="s">
        <v>343</v>
      </c>
      <c r="B97" s="234"/>
      <c r="C97" s="145"/>
      <c r="D97" s="166"/>
      <c r="E97" s="27"/>
      <c r="F97" s="234"/>
      <c r="G97" s="145"/>
      <c r="H97" s="166"/>
      <c r="I97" s="27"/>
      <c r="J97" s="289"/>
      <c r="K97" s="44"/>
      <c r="L97" s="257"/>
      <c r="M97" s="27"/>
    </row>
    <row r="98" spans="1:13" ht="15.75" x14ac:dyDescent="0.2">
      <c r="A98" s="21" t="s">
        <v>461</v>
      </c>
      <c r="B98" s="234">
        <v>168183</v>
      </c>
      <c r="C98" s="234">
        <v>0</v>
      </c>
      <c r="D98" s="166">
        <f t="shared" si="13"/>
        <v>-100</v>
      </c>
      <c r="E98" s="27">
        <f>IFERROR(100/'Skjema total MA'!C98*C98,0)</f>
        <v>0</v>
      </c>
      <c r="F98" s="294">
        <v>4110126</v>
      </c>
      <c r="G98" s="294">
        <v>0</v>
      </c>
      <c r="H98" s="166">
        <f t="shared" si="14"/>
        <v>-100</v>
      </c>
      <c r="I98" s="27">
        <f>IFERROR(100/'Skjema total MA'!F98*G98,0)</f>
        <v>0</v>
      </c>
      <c r="J98" s="289">
        <f t="shared" si="35"/>
        <v>4278309</v>
      </c>
      <c r="K98" s="44">
        <f t="shared" si="35"/>
        <v>0</v>
      </c>
      <c r="L98" s="257">
        <f t="shared" si="16"/>
        <v>-100</v>
      </c>
      <c r="M98" s="27">
        <f>IFERROR(100/'Skjema total MA'!I98*K98,0)</f>
        <v>0</v>
      </c>
    </row>
    <row r="99" spans="1:13" x14ac:dyDescent="0.2">
      <c r="A99" s="21" t="s">
        <v>9</v>
      </c>
      <c r="B99" s="294"/>
      <c r="C99" s="295"/>
      <c r="D99" s="166"/>
      <c r="E99" s="27"/>
      <c r="F99" s="234"/>
      <c r="G99" s="145"/>
      <c r="H99" s="166"/>
      <c r="I99" s="27"/>
      <c r="J99" s="289"/>
      <c r="K99" s="44"/>
      <c r="L99" s="257"/>
      <c r="M99" s="27"/>
    </row>
    <row r="100" spans="1:13" x14ac:dyDescent="0.2">
      <c r="A100" s="21" t="s">
        <v>10</v>
      </c>
      <c r="B100" s="294">
        <v>168183</v>
      </c>
      <c r="C100" s="295">
        <v>0</v>
      </c>
      <c r="D100" s="166">
        <f t="shared" si="13"/>
        <v>-100</v>
      </c>
      <c r="E100" s="27">
        <f>IFERROR(100/'Skjema total MA'!C100*C100,0)</f>
        <v>0</v>
      </c>
      <c r="F100" s="234">
        <v>4110126</v>
      </c>
      <c r="G100" s="234">
        <v>0</v>
      </c>
      <c r="H100" s="166">
        <f t="shared" si="14"/>
        <v>-100</v>
      </c>
      <c r="I100" s="27">
        <f>IFERROR(100/'Skjema total MA'!F100*G100,0)</f>
        <v>0</v>
      </c>
      <c r="J100" s="289">
        <f t="shared" si="35"/>
        <v>4278309</v>
      </c>
      <c r="K100" s="44">
        <f t="shared" si="35"/>
        <v>0</v>
      </c>
      <c r="L100" s="257">
        <f t="shared" si="16"/>
        <v>-100</v>
      </c>
      <c r="M100" s="27">
        <f>IFERROR(100/'Skjema total MA'!I100*K100,0)</f>
        <v>0</v>
      </c>
    </row>
    <row r="101" spans="1:13" ht="15.75" x14ac:dyDescent="0.2">
      <c r="A101" s="298" t="s">
        <v>459</v>
      </c>
      <c r="B101" s="283"/>
      <c r="C101" s="283"/>
      <c r="D101" s="166"/>
      <c r="E101" s="418"/>
      <c r="F101" s="283"/>
      <c r="G101" s="283"/>
      <c r="H101" s="166"/>
      <c r="I101" s="418"/>
      <c r="J101" s="292"/>
      <c r="K101" s="292"/>
      <c r="L101" s="166"/>
      <c r="M101" s="23"/>
    </row>
    <row r="102" spans="1:13" x14ac:dyDescent="0.2">
      <c r="A102" s="298" t="s">
        <v>12</v>
      </c>
      <c r="B102" s="235"/>
      <c r="C102" s="291"/>
      <c r="D102" s="166"/>
      <c r="E102" s="418"/>
      <c r="F102" s="283"/>
      <c r="G102" s="283"/>
      <c r="H102" s="166"/>
      <c r="I102" s="418"/>
      <c r="J102" s="292"/>
      <c r="K102" s="292"/>
      <c r="L102" s="166"/>
      <c r="M102" s="23"/>
    </row>
    <row r="103" spans="1:13" x14ac:dyDescent="0.2">
      <c r="A103" s="298" t="s">
        <v>13</v>
      </c>
      <c r="B103" s="235"/>
      <c r="C103" s="291"/>
      <c r="D103" s="166"/>
      <c r="E103" s="418"/>
      <c r="F103" s="283"/>
      <c r="G103" s="283"/>
      <c r="H103" s="166"/>
      <c r="I103" s="418"/>
      <c r="J103" s="292"/>
      <c r="K103" s="292"/>
      <c r="L103" s="166"/>
      <c r="M103" s="23"/>
    </row>
    <row r="104" spans="1:13" ht="15.75" x14ac:dyDescent="0.2">
      <c r="A104" s="298" t="s">
        <v>460</v>
      </c>
      <c r="B104" s="283">
        <v>168183</v>
      </c>
      <c r="C104" s="283">
        <v>0</v>
      </c>
      <c r="D104" s="166">
        <f t="shared" ref="D104" si="45">IF(B104=0, "    ---- ", IF(ABS(ROUND(100/B104*C104-100,1))&lt;999,ROUND(100/B104*C104-100,1),IF(ROUND(100/B104*C104-100,1)&gt;999,999,-999)))</f>
        <v>-100</v>
      </c>
      <c r="E104" s="27">
        <f>IFERROR(100/'Skjema total MA'!C104*C104,0)</f>
        <v>0</v>
      </c>
      <c r="F104" s="283">
        <v>4110126</v>
      </c>
      <c r="G104" s="283">
        <v>0</v>
      </c>
      <c r="H104" s="166">
        <f t="shared" ref="H104" si="46">IF(F104=0, "    ---- ", IF(ABS(ROUND(100/F104*G104-100,1))&lt;999,ROUND(100/F104*G104-100,1),IF(ROUND(100/F104*G104-100,1)&gt;999,999,-999)))</f>
        <v>-100</v>
      </c>
      <c r="I104" s="27">
        <f>IFERROR(100/'Skjema total MA'!G104*G104,0)</f>
        <v>0</v>
      </c>
      <c r="J104" s="289">
        <f t="shared" ref="J104" si="47">SUM(B104,F104)</f>
        <v>4278309</v>
      </c>
      <c r="K104" s="44">
        <f t="shared" ref="K104" si="48">SUM(C104,G104)</f>
        <v>0</v>
      </c>
      <c r="L104" s="257">
        <f t="shared" ref="L104" si="49">IF(J104=0, "    ---- ", IF(ABS(ROUND(100/J104*K104-100,1))&lt;999,ROUND(100/J104*K104-100,1),IF(ROUND(100/J104*K104-100,1)&gt;999,999,-999)))</f>
        <v>-100</v>
      </c>
      <c r="M104" s="27">
        <f>IFERROR(100/'Skjema total MA'!I104*K104,0)</f>
        <v>0</v>
      </c>
    </row>
    <row r="105" spans="1:13" x14ac:dyDescent="0.2">
      <c r="A105" s="298" t="s">
        <v>12</v>
      </c>
      <c r="B105" s="235"/>
      <c r="C105" s="291"/>
      <c r="D105" s="166"/>
      <c r="E105" s="418"/>
      <c r="F105" s="283"/>
      <c r="G105" s="283"/>
      <c r="H105" s="166"/>
      <c r="I105" s="418"/>
      <c r="J105" s="292"/>
      <c r="K105" s="292"/>
      <c r="L105" s="166"/>
      <c r="M105" s="23"/>
    </row>
    <row r="106" spans="1:13" x14ac:dyDescent="0.2">
      <c r="A106" s="298" t="s">
        <v>13</v>
      </c>
      <c r="B106" s="235"/>
      <c r="C106" s="291"/>
      <c r="D106" s="166"/>
      <c r="E106" s="418"/>
      <c r="F106" s="283">
        <v>4110126</v>
      </c>
      <c r="G106" s="283">
        <v>0</v>
      </c>
      <c r="H106" s="166">
        <f t="shared" ref="H106" si="50">IF(F106=0, "    ---- ", IF(ABS(ROUND(100/F106*G106-100,1))&lt;999,ROUND(100/F106*G106-100,1),IF(ROUND(100/F106*G106-100,1)&gt;999,999,-999)))</f>
        <v>-100</v>
      </c>
      <c r="I106" s="27">
        <f>IFERROR(100/'Skjema total MA'!G106*G106,0)</f>
        <v>0</v>
      </c>
      <c r="J106" s="289">
        <f t="shared" ref="J106" si="51">SUM(B106,F106)</f>
        <v>4110126</v>
      </c>
      <c r="K106" s="44">
        <f t="shared" ref="K106" si="52">SUM(C106,G106)</f>
        <v>0</v>
      </c>
      <c r="L106" s="257">
        <f t="shared" ref="L106" si="53">IF(J106=0, "    ---- ", IF(ABS(ROUND(100/J106*K106-100,1))&lt;999,ROUND(100/J106*K106-100,1),IF(ROUND(100/J106*K106-100,1)&gt;999,999,-999)))</f>
        <v>-100</v>
      </c>
      <c r="M106" s="27">
        <f>IFERROR(100/'Skjema total MA'!I106*K106,0)</f>
        <v>0</v>
      </c>
    </row>
    <row r="107" spans="1:13" ht="15.75" x14ac:dyDescent="0.2">
      <c r="A107" s="21" t="s">
        <v>462</v>
      </c>
      <c r="B107" s="234"/>
      <c r="C107" s="145"/>
      <c r="D107" s="166"/>
      <c r="E107" s="27"/>
      <c r="F107" s="234"/>
      <c r="G107" s="145"/>
      <c r="H107" s="166"/>
      <c r="I107" s="27"/>
      <c r="J107" s="289"/>
      <c r="K107" s="44"/>
      <c r="L107" s="257"/>
      <c r="M107" s="27"/>
    </row>
    <row r="108" spans="1:13" ht="15.75" x14ac:dyDescent="0.2">
      <c r="A108" s="21" t="s">
        <v>463</v>
      </c>
      <c r="B108" s="234"/>
      <c r="C108" s="234"/>
      <c r="D108" s="166"/>
      <c r="E108" s="27"/>
      <c r="F108" s="234"/>
      <c r="G108" s="234"/>
      <c r="H108" s="166"/>
      <c r="I108" s="27"/>
      <c r="J108" s="289"/>
      <c r="K108" s="44"/>
      <c r="L108" s="257"/>
      <c r="M108" s="27"/>
    </row>
    <row r="109" spans="1:13" ht="15.75" x14ac:dyDescent="0.2">
      <c r="A109" s="21" t="s">
        <v>464</v>
      </c>
      <c r="B109" s="234"/>
      <c r="C109" s="234"/>
      <c r="D109" s="166"/>
      <c r="E109" s="27"/>
      <c r="F109" s="234">
        <v>1393370</v>
      </c>
      <c r="G109" s="234">
        <v>0</v>
      </c>
      <c r="H109" s="166">
        <f t="shared" si="14"/>
        <v>-100</v>
      </c>
      <c r="I109" s="27">
        <f>IFERROR(100/'Skjema total MA'!F109*G109,0)</f>
        <v>0</v>
      </c>
      <c r="J109" s="289">
        <f t="shared" si="35"/>
        <v>1393370</v>
      </c>
      <c r="K109" s="44">
        <f t="shared" si="35"/>
        <v>0</v>
      </c>
      <c r="L109" s="257">
        <f t="shared" si="16"/>
        <v>-100</v>
      </c>
      <c r="M109" s="27">
        <f>IFERROR(100/'Skjema total MA'!I109*K109,0)</f>
        <v>0</v>
      </c>
    </row>
    <row r="110" spans="1:13" ht="15.75" x14ac:dyDescent="0.2">
      <c r="A110" s="21" t="s">
        <v>465</v>
      </c>
      <c r="B110" s="234"/>
      <c r="C110" s="234"/>
      <c r="D110" s="166"/>
      <c r="E110" s="27"/>
      <c r="F110" s="234"/>
      <c r="G110" s="234"/>
      <c r="H110" s="166"/>
      <c r="I110" s="27"/>
      <c r="J110" s="289"/>
      <c r="K110" s="44"/>
      <c r="L110" s="257"/>
      <c r="M110" s="27"/>
    </row>
    <row r="111" spans="1:13" ht="15.75" x14ac:dyDescent="0.2">
      <c r="A111" s="13" t="s">
        <v>445</v>
      </c>
      <c r="B111" s="310">
        <v>1417</v>
      </c>
      <c r="C111" s="159">
        <v>1371</v>
      </c>
      <c r="D111" s="171">
        <f t="shared" si="13"/>
        <v>-3.2</v>
      </c>
      <c r="E111" s="11">
        <f>IFERROR(100/'Skjema total MA'!C111*C111,0)</f>
        <v>0.14874261622085178</v>
      </c>
      <c r="F111" s="310">
        <v>134008</v>
      </c>
      <c r="G111" s="159">
        <v>100218</v>
      </c>
      <c r="H111" s="171">
        <f t="shared" si="14"/>
        <v>-25.2</v>
      </c>
      <c r="I111" s="11">
        <f>IFERROR(100/'Skjema total MA'!F111*G111,0)</f>
        <v>0.45128170316414473</v>
      </c>
      <c r="J111" s="311">
        <f t="shared" si="35"/>
        <v>135425</v>
      </c>
      <c r="K111" s="236">
        <f t="shared" si="35"/>
        <v>101589</v>
      </c>
      <c r="L111" s="429">
        <f t="shared" si="16"/>
        <v>-25</v>
      </c>
      <c r="M111" s="11">
        <f>IFERROR(100/'Skjema total MA'!I111*K111,0)</f>
        <v>0.43922512623268861</v>
      </c>
    </row>
    <row r="112" spans="1:13" x14ac:dyDescent="0.2">
      <c r="A112" s="21" t="s">
        <v>9</v>
      </c>
      <c r="B112" s="234"/>
      <c r="C112" s="145"/>
      <c r="D112" s="166"/>
      <c r="E112" s="27"/>
      <c r="F112" s="234"/>
      <c r="G112" s="145"/>
      <c r="H112" s="166"/>
      <c r="I112" s="27"/>
      <c r="J112" s="289"/>
      <c r="K112" s="44"/>
      <c r="L112" s="257"/>
      <c r="M112" s="27"/>
    </row>
    <row r="113" spans="1:14" x14ac:dyDescent="0.2">
      <c r="A113" s="21" t="s">
        <v>10</v>
      </c>
      <c r="B113" s="234">
        <v>1417</v>
      </c>
      <c r="C113" s="145">
        <v>1371</v>
      </c>
      <c r="D113" s="166">
        <f t="shared" ref="D113:D121" si="54">IF(B113=0, "    ---- ", IF(ABS(ROUND(100/B113*C113-100,1))&lt;999,ROUND(100/B113*C113-100,1),IF(ROUND(100/B113*C113-100,1)&gt;999,999,-999)))</f>
        <v>-3.2</v>
      </c>
      <c r="E113" s="27">
        <f>IFERROR(100/'Skjema total MA'!C113*C113,0)</f>
        <v>26.905527199312594</v>
      </c>
      <c r="F113" s="234">
        <v>134008</v>
      </c>
      <c r="G113" s="145">
        <v>100218</v>
      </c>
      <c r="H113" s="166">
        <f t="shared" ref="H113:H121" si="55">IF(F113=0, "    ---- ", IF(ABS(ROUND(100/F113*G113-100,1))&lt;999,ROUND(100/F113*G113-100,1),IF(ROUND(100/F113*G113-100,1)&gt;999,999,-999)))</f>
        <v>-25.2</v>
      </c>
      <c r="I113" s="27">
        <f>IFERROR(100/'Skjema total MA'!F113*G113,0)</f>
        <v>0.45307804933717821</v>
      </c>
      <c r="J113" s="289">
        <f t="shared" ref="J113:K121" si="56">SUM(B113,F113)</f>
        <v>135425</v>
      </c>
      <c r="K113" s="44">
        <f t="shared" si="56"/>
        <v>101589</v>
      </c>
      <c r="L113" s="257">
        <f t="shared" ref="L113:L121" si="57">IF(J113=0, "    ---- ", IF(ABS(ROUND(100/J113*K113-100,1))&lt;999,ROUND(100/J113*K113-100,1),IF(ROUND(100/J113*K113-100,1)&gt;999,999,-999)))</f>
        <v>-25</v>
      </c>
      <c r="M113" s="27">
        <f>IFERROR(100/'Skjema total MA'!I113*K113,0)</f>
        <v>0.4591704588986526</v>
      </c>
    </row>
    <row r="114" spans="1:14" x14ac:dyDescent="0.2">
      <c r="A114" s="21" t="s">
        <v>26</v>
      </c>
      <c r="B114" s="234"/>
      <c r="C114" s="145"/>
      <c r="D114" s="166"/>
      <c r="E114" s="27"/>
      <c r="F114" s="234"/>
      <c r="G114" s="145"/>
      <c r="H114" s="166"/>
      <c r="I114" s="27"/>
      <c r="J114" s="289"/>
      <c r="K114" s="44"/>
      <c r="L114" s="257"/>
      <c r="M114" s="27"/>
    </row>
    <row r="115" spans="1:14" x14ac:dyDescent="0.2">
      <c r="A115" s="298" t="s">
        <v>15</v>
      </c>
      <c r="B115" s="283"/>
      <c r="C115" s="283"/>
      <c r="D115" s="166"/>
      <c r="E115" s="418"/>
      <c r="F115" s="283"/>
      <c r="G115" s="283"/>
      <c r="H115" s="166"/>
      <c r="I115" s="418"/>
      <c r="J115" s="292"/>
      <c r="K115" s="292"/>
      <c r="L115" s="166"/>
      <c r="M115" s="23"/>
    </row>
    <row r="116" spans="1:14" ht="15.75" x14ac:dyDescent="0.2">
      <c r="A116" s="21" t="s">
        <v>466</v>
      </c>
      <c r="B116" s="234"/>
      <c r="C116" s="234"/>
      <c r="D116" s="166"/>
      <c r="E116" s="27"/>
      <c r="F116" s="234"/>
      <c r="G116" s="234"/>
      <c r="H116" s="166"/>
      <c r="I116" s="27"/>
      <c r="J116" s="289"/>
      <c r="K116" s="44"/>
      <c r="L116" s="257"/>
      <c r="M116" s="27"/>
    </row>
    <row r="117" spans="1:14" ht="15.75" x14ac:dyDescent="0.2">
      <c r="A117" s="21" t="s">
        <v>467</v>
      </c>
      <c r="B117" s="234"/>
      <c r="C117" s="234"/>
      <c r="D117" s="166"/>
      <c r="E117" s="27"/>
      <c r="F117" s="234"/>
      <c r="G117" s="234"/>
      <c r="H117" s="166"/>
      <c r="I117" s="27"/>
      <c r="J117" s="289"/>
      <c r="K117" s="44"/>
      <c r="L117" s="257"/>
      <c r="M117" s="27"/>
    </row>
    <row r="118" spans="1:14" ht="15.75" x14ac:dyDescent="0.2">
      <c r="A118" s="21" t="s">
        <v>465</v>
      </c>
      <c r="B118" s="234"/>
      <c r="C118" s="234"/>
      <c r="D118" s="166"/>
      <c r="E118" s="27"/>
      <c r="F118" s="234"/>
      <c r="G118" s="234"/>
      <c r="H118" s="166"/>
      <c r="I118" s="27"/>
      <c r="J118" s="289"/>
      <c r="K118" s="44"/>
      <c r="L118" s="257"/>
      <c r="M118" s="27"/>
    </row>
    <row r="119" spans="1:14" ht="15.75" x14ac:dyDescent="0.2">
      <c r="A119" s="13" t="s">
        <v>446</v>
      </c>
      <c r="B119" s="310">
        <v>2033</v>
      </c>
      <c r="C119" s="159">
        <v>2419</v>
      </c>
      <c r="D119" s="171">
        <f t="shared" si="54"/>
        <v>19</v>
      </c>
      <c r="E119" s="11">
        <f>IFERROR(100/'Skjema total MA'!C119*C119,0)</f>
        <v>0.28402884825652536</v>
      </c>
      <c r="F119" s="310">
        <v>81406</v>
      </c>
      <c r="G119" s="159">
        <v>4740280</v>
      </c>
      <c r="H119" s="171">
        <f t="shared" si="55"/>
        <v>999</v>
      </c>
      <c r="I119" s="11">
        <f>IFERROR(100/'Skjema total MA'!F119*G119,0)</f>
        <v>21.12657004990654</v>
      </c>
      <c r="J119" s="289">
        <f t="shared" ref="J119" si="58">SUM(B119,F119)</f>
        <v>83439</v>
      </c>
      <c r="K119" s="44">
        <f t="shared" ref="K119" si="59">SUM(C119,G119)</f>
        <v>4742699</v>
      </c>
      <c r="L119" s="257">
        <f t="shared" ref="L119" si="60">IF(J119=0, "    ---- ", IF(ABS(ROUND(100/J119*K119-100,1))&lt;999,ROUND(100/J119*K119-100,1),IF(ROUND(100/J119*K119-100,1)&gt;999,999,-999)))</f>
        <v>999</v>
      </c>
      <c r="M119" s="27">
        <f>IFERROR(100/'Skjema total MA'!I119*K119,0)</f>
        <v>20.364369106831212</v>
      </c>
    </row>
    <row r="120" spans="1:14" x14ac:dyDescent="0.2">
      <c r="A120" s="21" t="s">
        <v>9</v>
      </c>
      <c r="B120" s="234"/>
      <c r="C120" s="145"/>
      <c r="D120" s="166"/>
      <c r="E120" s="27"/>
      <c r="F120" s="234"/>
      <c r="G120" s="145"/>
      <c r="H120" s="166"/>
      <c r="I120" s="27"/>
      <c r="J120" s="289"/>
      <c r="K120" s="44"/>
      <c r="L120" s="257"/>
      <c r="M120" s="27"/>
    </row>
    <row r="121" spans="1:14" x14ac:dyDescent="0.2">
      <c r="A121" s="21" t="s">
        <v>10</v>
      </c>
      <c r="B121" s="234">
        <v>2033</v>
      </c>
      <c r="C121" s="145">
        <v>2419</v>
      </c>
      <c r="D121" s="166">
        <f t="shared" si="54"/>
        <v>19</v>
      </c>
      <c r="E121" s="27">
        <f>IFERROR(100/'Skjema total MA'!C121*C121,0)</f>
        <v>9.7539400086036672</v>
      </c>
      <c r="F121" s="234">
        <v>81406</v>
      </c>
      <c r="G121" s="145">
        <v>4740280</v>
      </c>
      <c r="H121" s="166">
        <f t="shared" si="55"/>
        <v>999</v>
      </c>
      <c r="I121" s="27">
        <f>IFERROR(100/'Skjema total MA'!F121*G121,0)</f>
        <v>21.12657004990654</v>
      </c>
      <c r="J121" s="289">
        <f t="shared" si="56"/>
        <v>83439</v>
      </c>
      <c r="K121" s="44">
        <f t="shared" si="56"/>
        <v>4742699</v>
      </c>
      <c r="L121" s="257">
        <f t="shared" si="57"/>
        <v>999</v>
      </c>
      <c r="M121" s="27">
        <f>IFERROR(100/'Skjema total MA'!I121*K121,0)</f>
        <v>21.114013742576642</v>
      </c>
    </row>
    <row r="122" spans="1:14" x14ac:dyDescent="0.2">
      <c r="A122" s="21" t="s">
        <v>26</v>
      </c>
      <c r="B122" s="234"/>
      <c r="C122" s="145"/>
      <c r="D122" s="166"/>
      <c r="E122" s="27"/>
      <c r="F122" s="234"/>
      <c r="G122" s="145"/>
      <c r="H122" s="166"/>
      <c r="I122" s="27"/>
      <c r="J122" s="289"/>
      <c r="K122" s="44"/>
      <c r="L122" s="257"/>
      <c r="M122" s="27"/>
    </row>
    <row r="123" spans="1:14" x14ac:dyDescent="0.2">
      <c r="A123" s="298" t="s">
        <v>14</v>
      </c>
      <c r="B123" s="283"/>
      <c r="C123" s="283"/>
      <c r="D123" s="166"/>
      <c r="E123" s="418"/>
      <c r="F123" s="283"/>
      <c r="G123" s="283"/>
      <c r="H123" s="166"/>
      <c r="I123" s="418"/>
      <c r="J123" s="292"/>
      <c r="K123" s="292"/>
      <c r="L123" s="166"/>
      <c r="M123" s="23"/>
    </row>
    <row r="124" spans="1:14" ht="15.75" x14ac:dyDescent="0.2">
      <c r="A124" s="21" t="s">
        <v>472</v>
      </c>
      <c r="B124" s="234"/>
      <c r="C124" s="234"/>
      <c r="D124" s="166"/>
      <c r="E124" s="27"/>
      <c r="F124" s="234"/>
      <c r="G124" s="234"/>
      <c r="H124" s="166"/>
      <c r="I124" s="27"/>
      <c r="J124" s="289"/>
      <c r="K124" s="44"/>
      <c r="L124" s="257"/>
      <c r="M124" s="27"/>
    </row>
    <row r="125" spans="1:14" ht="15.75" x14ac:dyDescent="0.2">
      <c r="A125" s="21" t="s">
        <v>464</v>
      </c>
      <c r="B125" s="234"/>
      <c r="C125" s="234"/>
      <c r="D125" s="166"/>
      <c r="E125" s="27"/>
      <c r="F125" s="234"/>
      <c r="G125" s="234"/>
      <c r="H125" s="166"/>
      <c r="I125" s="27"/>
      <c r="J125" s="289"/>
      <c r="K125" s="44"/>
      <c r="L125" s="257"/>
      <c r="M125" s="27"/>
    </row>
    <row r="126" spans="1:14" ht="15.75" x14ac:dyDescent="0.2">
      <c r="A126" s="10" t="s">
        <v>465</v>
      </c>
      <c r="B126" s="45"/>
      <c r="C126" s="45"/>
      <c r="D126" s="167"/>
      <c r="E126" s="419"/>
      <c r="F126" s="45"/>
      <c r="G126" s="45"/>
      <c r="H126" s="167"/>
      <c r="I126" s="22"/>
      <c r="J126" s="290"/>
      <c r="K126" s="45"/>
      <c r="L126" s="258"/>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1022"/>
      <c r="C130" s="1022"/>
      <c r="D130" s="1022"/>
      <c r="E130" s="301"/>
      <c r="F130" s="1022"/>
      <c r="G130" s="1022"/>
      <c r="H130" s="1022"/>
      <c r="I130" s="301"/>
      <c r="J130" s="1022"/>
      <c r="K130" s="1022"/>
      <c r="L130" s="1022"/>
      <c r="M130" s="301"/>
    </row>
    <row r="131" spans="1:14" s="3" customFormat="1" x14ac:dyDescent="0.2">
      <c r="A131" s="144"/>
      <c r="B131" s="1023" t="s">
        <v>0</v>
      </c>
      <c r="C131" s="1024"/>
      <c r="D131" s="1024"/>
      <c r="E131" s="303"/>
      <c r="F131" s="1023" t="s">
        <v>1</v>
      </c>
      <c r="G131" s="1024"/>
      <c r="H131" s="1024"/>
      <c r="I131" s="306"/>
      <c r="J131" s="1023" t="s">
        <v>2</v>
      </c>
      <c r="K131" s="1024"/>
      <c r="L131" s="1024"/>
      <c r="M131" s="306"/>
      <c r="N131" s="148"/>
    </row>
    <row r="132" spans="1:14" s="3" customFormat="1" x14ac:dyDescent="0.2">
      <c r="A132" s="140"/>
      <c r="B132" s="152" t="s">
        <v>502</v>
      </c>
      <c r="C132" s="152" t="s">
        <v>503</v>
      </c>
      <c r="D132" s="245" t="s">
        <v>3</v>
      </c>
      <c r="E132" s="307" t="s">
        <v>29</v>
      </c>
      <c r="F132" s="152" t="s">
        <v>502</v>
      </c>
      <c r="G132" s="152" t="s">
        <v>503</v>
      </c>
      <c r="H132" s="206" t="s">
        <v>3</v>
      </c>
      <c r="I132" s="162" t="s">
        <v>29</v>
      </c>
      <c r="J132" s="152" t="s">
        <v>502</v>
      </c>
      <c r="K132" s="152" t="s">
        <v>503</v>
      </c>
      <c r="L132" s="246" t="s">
        <v>3</v>
      </c>
      <c r="M132" s="162" t="s">
        <v>29</v>
      </c>
      <c r="N132" s="148"/>
    </row>
    <row r="133" spans="1:14" s="3" customFormat="1" x14ac:dyDescent="0.2">
      <c r="A133" s="990"/>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468</v>
      </c>
      <c r="B134" s="236"/>
      <c r="C134" s="311"/>
      <c r="D134" s="351"/>
      <c r="E134" s="11"/>
      <c r="F134" s="318"/>
      <c r="G134" s="319"/>
      <c r="H134" s="432"/>
      <c r="I134" s="24"/>
      <c r="J134" s="320"/>
      <c r="K134" s="320"/>
      <c r="L134" s="428"/>
      <c r="M134" s="11"/>
      <c r="N134" s="148"/>
    </row>
    <row r="135" spans="1:14" s="3" customFormat="1" ht="15.75" x14ac:dyDescent="0.2">
      <c r="A135" s="13" t="s">
        <v>473</v>
      </c>
      <c r="B135" s="236"/>
      <c r="C135" s="311"/>
      <c r="D135" s="171"/>
      <c r="E135" s="11"/>
      <c r="F135" s="236"/>
      <c r="G135" s="311"/>
      <c r="H135" s="433"/>
      <c r="I135" s="24"/>
      <c r="J135" s="310"/>
      <c r="K135" s="310"/>
      <c r="L135" s="429"/>
      <c r="M135" s="11"/>
      <c r="N135" s="148"/>
    </row>
    <row r="136" spans="1:14" s="3" customFormat="1" ht="15.75" x14ac:dyDescent="0.2">
      <c r="A136" s="13" t="s">
        <v>470</v>
      </c>
      <c r="B136" s="236"/>
      <c r="C136" s="311"/>
      <c r="D136" s="171"/>
      <c r="E136" s="11"/>
      <c r="F136" s="236"/>
      <c r="G136" s="311"/>
      <c r="H136" s="433"/>
      <c r="I136" s="24"/>
      <c r="J136" s="310"/>
      <c r="K136" s="310"/>
      <c r="L136" s="429"/>
      <c r="M136" s="11"/>
      <c r="N136" s="148"/>
    </row>
    <row r="137" spans="1:14" s="3" customFormat="1" ht="15.75" x14ac:dyDescent="0.2">
      <c r="A137" s="41" t="s">
        <v>471</v>
      </c>
      <c r="B137" s="278"/>
      <c r="C137" s="317"/>
      <c r="D137" s="169"/>
      <c r="E137" s="9"/>
      <c r="F137" s="278"/>
      <c r="G137" s="317"/>
      <c r="H137" s="434"/>
      <c r="I137" s="36"/>
      <c r="J137" s="316"/>
      <c r="K137" s="316"/>
      <c r="L137" s="430"/>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2034" priority="132">
      <formula>kvartal &lt; 4</formula>
    </cfRule>
  </conditionalFormatting>
  <conditionalFormatting sqref="B69">
    <cfRule type="expression" dxfId="2033" priority="100">
      <formula>kvartal &lt; 4</formula>
    </cfRule>
  </conditionalFormatting>
  <conditionalFormatting sqref="C69">
    <cfRule type="expression" dxfId="2032" priority="99">
      <formula>kvartal &lt; 4</formula>
    </cfRule>
  </conditionalFormatting>
  <conditionalFormatting sqref="B72">
    <cfRule type="expression" dxfId="2031" priority="98">
      <formula>kvartal &lt; 4</formula>
    </cfRule>
  </conditionalFormatting>
  <conditionalFormatting sqref="C72">
    <cfRule type="expression" dxfId="2030" priority="97">
      <formula>kvartal &lt; 4</formula>
    </cfRule>
  </conditionalFormatting>
  <conditionalFormatting sqref="B80">
    <cfRule type="expression" dxfId="2029" priority="96">
      <formula>kvartal &lt; 4</formula>
    </cfRule>
  </conditionalFormatting>
  <conditionalFormatting sqref="C80">
    <cfRule type="expression" dxfId="2028" priority="95">
      <formula>kvartal &lt; 4</formula>
    </cfRule>
  </conditionalFormatting>
  <conditionalFormatting sqref="B83">
    <cfRule type="expression" dxfId="2027" priority="94">
      <formula>kvartal &lt; 4</formula>
    </cfRule>
  </conditionalFormatting>
  <conditionalFormatting sqref="C83">
    <cfRule type="expression" dxfId="2026" priority="93">
      <formula>kvartal &lt; 4</formula>
    </cfRule>
  </conditionalFormatting>
  <conditionalFormatting sqref="B90">
    <cfRule type="expression" dxfId="2025" priority="84">
      <formula>kvartal &lt; 4</formula>
    </cfRule>
  </conditionalFormatting>
  <conditionalFormatting sqref="C90">
    <cfRule type="expression" dxfId="2024" priority="83">
      <formula>kvartal &lt; 4</formula>
    </cfRule>
  </conditionalFormatting>
  <conditionalFormatting sqref="B93">
    <cfRule type="expression" dxfId="2023" priority="82">
      <formula>kvartal &lt; 4</formula>
    </cfRule>
  </conditionalFormatting>
  <conditionalFormatting sqref="C93">
    <cfRule type="expression" dxfId="2022" priority="81">
      <formula>kvartal &lt; 4</formula>
    </cfRule>
  </conditionalFormatting>
  <conditionalFormatting sqref="B101">
    <cfRule type="expression" dxfId="2021" priority="80">
      <formula>kvartal &lt; 4</formula>
    </cfRule>
  </conditionalFormatting>
  <conditionalFormatting sqref="C101">
    <cfRule type="expression" dxfId="2020" priority="79">
      <formula>kvartal &lt; 4</formula>
    </cfRule>
  </conditionalFormatting>
  <conditionalFormatting sqref="B104">
    <cfRule type="expression" dxfId="2019" priority="78">
      <formula>kvartal &lt; 4</formula>
    </cfRule>
  </conditionalFormatting>
  <conditionalFormatting sqref="C104">
    <cfRule type="expression" dxfId="2018" priority="77">
      <formula>kvartal &lt; 4</formula>
    </cfRule>
  </conditionalFormatting>
  <conditionalFormatting sqref="B115">
    <cfRule type="expression" dxfId="2017" priority="76">
      <formula>kvartal &lt; 4</formula>
    </cfRule>
  </conditionalFormatting>
  <conditionalFormatting sqref="C115">
    <cfRule type="expression" dxfId="2016" priority="75">
      <formula>kvartal &lt; 4</formula>
    </cfRule>
  </conditionalFormatting>
  <conditionalFormatting sqref="B123">
    <cfRule type="expression" dxfId="2015" priority="74">
      <formula>kvartal &lt; 4</formula>
    </cfRule>
  </conditionalFormatting>
  <conditionalFormatting sqref="C123">
    <cfRule type="expression" dxfId="2014" priority="73">
      <formula>kvartal &lt; 4</formula>
    </cfRule>
  </conditionalFormatting>
  <conditionalFormatting sqref="F70">
    <cfRule type="expression" dxfId="2013" priority="72">
      <formula>kvartal &lt; 4</formula>
    </cfRule>
  </conditionalFormatting>
  <conditionalFormatting sqref="G70">
    <cfRule type="expression" dxfId="2012" priority="71">
      <formula>kvartal &lt; 4</formula>
    </cfRule>
  </conditionalFormatting>
  <conditionalFormatting sqref="F71:G71">
    <cfRule type="expression" dxfId="2011" priority="70">
      <formula>kvartal &lt; 4</formula>
    </cfRule>
  </conditionalFormatting>
  <conditionalFormatting sqref="F73:G74">
    <cfRule type="expression" dxfId="2010" priority="69">
      <formula>kvartal &lt; 4</formula>
    </cfRule>
  </conditionalFormatting>
  <conditionalFormatting sqref="F81:G82">
    <cfRule type="expression" dxfId="2009" priority="68">
      <formula>kvartal &lt; 4</formula>
    </cfRule>
  </conditionalFormatting>
  <conditionalFormatting sqref="F84:G85">
    <cfRule type="expression" dxfId="2008" priority="67">
      <formula>kvartal &lt; 4</formula>
    </cfRule>
  </conditionalFormatting>
  <conditionalFormatting sqref="F91:G92">
    <cfRule type="expression" dxfId="2007" priority="62">
      <formula>kvartal &lt; 4</formula>
    </cfRule>
  </conditionalFormatting>
  <conditionalFormatting sqref="F94:G95">
    <cfRule type="expression" dxfId="2006" priority="61">
      <formula>kvartal &lt; 4</formula>
    </cfRule>
  </conditionalFormatting>
  <conditionalFormatting sqref="F102:G103">
    <cfRule type="expression" dxfId="2005" priority="60">
      <formula>kvartal &lt; 4</formula>
    </cfRule>
  </conditionalFormatting>
  <conditionalFormatting sqref="F105:G106">
    <cfRule type="expression" dxfId="2004" priority="59">
      <formula>kvartal &lt; 4</formula>
    </cfRule>
  </conditionalFormatting>
  <conditionalFormatting sqref="F115">
    <cfRule type="expression" dxfId="2003" priority="58">
      <formula>kvartal &lt; 4</formula>
    </cfRule>
  </conditionalFormatting>
  <conditionalFormatting sqref="G115">
    <cfRule type="expression" dxfId="2002" priority="57">
      <formula>kvartal &lt; 4</formula>
    </cfRule>
  </conditionalFormatting>
  <conditionalFormatting sqref="F123:G123">
    <cfRule type="expression" dxfId="2001" priority="56">
      <formula>kvartal &lt; 4</formula>
    </cfRule>
  </conditionalFormatting>
  <conditionalFormatting sqref="F69:G69">
    <cfRule type="expression" dxfId="2000" priority="55">
      <formula>kvartal &lt; 4</formula>
    </cfRule>
  </conditionalFormatting>
  <conditionalFormatting sqref="F72:G72">
    <cfRule type="expression" dxfId="1999" priority="54">
      <formula>kvartal &lt; 4</formula>
    </cfRule>
  </conditionalFormatting>
  <conditionalFormatting sqref="F80:G80">
    <cfRule type="expression" dxfId="1998" priority="53">
      <formula>kvartal &lt; 4</formula>
    </cfRule>
  </conditionalFormatting>
  <conditionalFormatting sqref="F83:G83">
    <cfRule type="expression" dxfId="1997" priority="52">
      <formula>kvartal &lt; 4</formula>
    </cfRule>
  </conditionalFormatting>
  <conditionalFormatting sqref="F90:G90">
    <cfRule type="expression" dxfId="1996" priority="46">
      <formula>kvartal &lt; 4</formula>
    </cfRule>
  </conditionalFormatting>
  <conditionalFormatting sqref="F93">
    <cfRule type="expression" dxfId="1995" priority="45">
      <formula>kvartal &lt; 4</formula>
    </cfRule>
  </conditionalFormatting>
  <conditionalFormatting sqref="G93">
    <cfRule type="expression" dxfId="1994" priority="44">
      <formula>kvartal &lt; 4</formula>
    </cfRule>
  </conditionalFormatting>
  <conditionalFormatting sqref="F101">
    <cfRule type="expression" dxfId="1993" priority="43">
      <formula>kvartal &lt; 4</formula>
    </cfRule>
  </conditionalFormatting>
  <conditionalFormatting sqref="G101">
    <cfRule type="expression" dxfId="1992" priority="42">
      <formula>kvartal &lt; 4</formula>
    </cfRule>
  </conditionalFormatting>
  <conditionalFormatting sqref="G104">
    <cfRule type="expression" dxfId="1991" priority="41">
      <formula>kvartal &lt; 4</formula>
    </cfRule>
  </conditionalFormatting>
  <conditionalFormatting sqref="F104">
    <cfRule type="expression" dxfId="1990" priority="40">
      <formula>kvartal &lt; 4</formula>
    </cfRule>
  </conditionalFormatting>
  <conditionalFormatting sqref="J69:K71 J73:K73">
    <cfRule type="expression" dxfId="1989" priority="39">
      <formula>kvartal &lt; 4</formula>
    </cfRule>
  </conditionalFormatting>
  <conditionalFormatting sqref="J80:K82 J84:K84">
    <cfRule type="expression" dxfId="1988" priority="37">
      <formula>kvartal &lt; 4</formula>
    </cfRule>
  </conditionalFormatting>
  <conditionalFormatting sqref="J90:K92 J94:K94">
    <cfRule type="expression" dxfId="1987" priority="34">
      <formula>kvartal &lt; 4</formula>
    </cfRule>
  </conditionalFormatting>
  <conditionalFormatting sqref="J101:K103 J105:K105">
    <cfRule type="expression" dxfId="1986" priority="33">
      <formula>kvartal &lt; 4</formula>
    </cfRule>
  </conditionalFormatting>
  <conditionalFormatting sqref="J115:K115">
    <cfRule type="expression" dxfId="1985" priority="32">
      <formula>kvartal &lt; 4</formula>
    </cfRule>
  </conditionalFormatting>
  <conditionalFormatting sqref="J123:K123">
    <cfRule type="expression" dxfId="1984" priority="31">
      <formula>kvartal &lt; 4</formula>
    </cfRule>
  </conditionalFormatting>
  <conditionalFormatting sqref="A50:A52">
    <cfRule type="expression" dxfId="1983" priority="12">
      <formula>kvartal &lt; 4</formula>
    </cfRule>
  </conditionalFormatting>
  <conditionalFormatting sqref="A69:A74">
    <cfRule type="expression" dxfId="1982" priority="10">
      <formula>kvartal &lt; 4</formula>
    </cfRule>
  </conditionalFormatting>
  <conditionalFormatting sqref="A80:A85">
    <cfRule type="expression" dxfId="1981" priority="9">
      <formula>kvartal &lt; 4</formula>
    </cfRule>
  </conditionalFormatting>
  <conditionalFormatting sqref="A90:A95">
    <cfRule type="expression" dxfId="1980" priority="6">
      <formula>kvartal &lt; 4</formula>
    </cfRule>
  </conditionalFormatting>
  <conditionalFormatting sqref="A101:A106">
    <cfRule type="expression" dxfId="1979" priority="5">
      <formula>kvartal &lt; 4</formula>
    </cfRule>
  </conditionalFormatting>
  <conditionalFormatting sqref="A115">
    <cfRule type="expression" dxfId="1978" priority="4">
      <formula>kvartal &lt; 4</formula>
    </cfRule>
  </conditionalFormatting>
  <conditionalFormatting sqref="A123">
    <cfRule type="expression" dxfId="1977" priority="3">
      <formula>kvartal &lt; 4</formula>
    </cfRule>
  </conditionalFormatting>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5"/>
  <dimension ref="A1:N144"/>
  <sheetViews>
    <sheetView showGridLines="0" zoomScale="120" zoomScaleNormal="120" workbookViewId="0"/>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133</v>
      </c>
      <c r="B1" s="988"/>
      <c r="C1" s="248" t="s">
        <v>124</v>
      </c>
      <c r="D1" s="26"/>
      <c r="E1" s="26"/>
      <c r="F1" s="26"/>
      <c r="G1" s="26"/>
      <c r="H1" s="26"/>
      <c r="I1" s="26"/>
      <c r="J1" s="26"/>
      <c r="K1" s="26"/>
      <c r="L1" s="26"/>
      <c r="M1" s="26"/>
    </row>
    <row r="2" spans="1:14" ht="15.75" x14ac:dyDescent="0.25">
      <c r="A2" s="165" t="s">
        <v>28</v>
      </c>
      <c r="B2" s="1027"/>
      <c r="C2" s="1027"/>
      <c r="D2" s="1027"/>
      <c r="E2" s="301"/>
      <c r="F2" s="1027"/>
      <c r="G2" s="1027"/>
      <c r="H2" s="1027"/>
      <c r="I2" s="301"/>
      <c r="J2" s="1027"/>
      <c r="K2" s="1027"/>
      <c r="L2" s="1027"/>
      <c r="M2" s="301"/>
    </row>
    <row r="3" spans="1:14" ht="15.75" x14ac:dyDescent="0.25">
      <c r="A3" s="163"/>
      <c r="B3" s="301"/>
      <c r="C3" s="301"/>
      <c r="D3" s="301"/>
      <c r="E3" s="301"/>
      <c r="F3" s="301"/>
      <c r="G3" s="301"/>
      <c r="H3" s="301"/>
      <c r="I3" s="301"/>
      <c r="J3" s="301"/>
      <c r="K3" s="301"/>
      <c r="L3" s="301"/>
      <c r="M3" s="301"/>
    </row>
    <row r="4" spans="1:14" x14ac:dyDescent="0.2">
      <c r="A4" s="144"/>
      <c r="B4" s="1023" t="s">
        <v>0</v>
      </c>
      <c r="C4" s="1024"/>
      <c r="D4" s="1024"/>
      <c r="E4" s="303"/>
      <c r="F4" s="1023" t="s">
        <v>1</v>
      </c>
      <c r="G4" s="1024"/>
      <c r="H4" s="1024"/>
      <c r="I4" s="306"/>
      <c r="J4" s="1023" t="s">
        <v>2</v>
      </c>
      <c r="K4" s="1024"/>
      <c r="L4" s="1024"/>
      <c r="M4" s="306"/>
    </row>
    <row r="5" spans="1:14" x14ac:dyDescent="0.2">
      <c r="A5" s="158"/>
      <c r="B5" s="152" t="s">
        <v>502</v>
      </c>
      <c r="C5" s="152" t="s">
        <v>503</v>
      </c>
      <c r="D5" s="245" t="s">
        <v>3</v>
      </c>
      <c r="E5" s="307" t="s">
        <v>29</v>
      </c>
      <c r="F5" s="152" t="s">
        <v>502</v>
      </c>
      <c r="G5" s="152" t="s">
        <v>503</v>
      </c>
      <c r="H5" s="245" t="s">
        <v>3</v>
      </c>
      <c r="I5" s="162" t="s">
        <v>29</v>
      </c>
      <c r="J5" s="152" t="s">
        <v>502</v>
      </c>
      <c r="K5" s="152" t="s">
        <v>503</v>
      </c>
      <c r="L5" s="245" t="s">
        <v>3</v>
      </c>
      <c r="M5" s="162" t="s">
        <v>29</v>
      </c>
    </row>
    <row r="6" spans="1:14" x14ac:dyDescent="0.2">
      <c r="A6" s="989"/>
      <c r="B6" s="156"/>
      <c r="C6" s="156"/>
      <c r="D6" s="246" t="s">
        <v>4</v>
      </c>
      <c r="E6" s="156" t="s">
        <v>30</v>
      </c>
      <c r="F6" s="161"/>
      <c r="G6" s="161"/>
      <c r="H6" s="245" t="s">
        <v>4</v>
      </c>
      <c r="I6" s="156" t="s">
        <v>30</v>
      </c>
      <c r="J6" s="161"/>
      <c r="K6" s="161"/>
      <c r="L6" s="245" t="s">
        <v>4</v>
      </c>
      <c r="M6" s="156" t="s">
        <v>30</v>
      </c>
    </row>
    <row r="7" spans="1:14" ht="15.75" x14ac:dyDescent="0.2">
      <c r="A7" s="14" t="s">
        <v>23</v>
      </c>
      <c r="B7" s="308"/>
      <c r="C7" s="309"/>
      <c r="D7" s="351"/>
      <c r="E7" s="11"/>
      <c r="F7" s="308"/>
      <c r="G7" s="309"/>
      <c r="H7" s="351"/>
      <c r="I7" s="160"/>
      <c r="J7" s="310"/>
      <c r="K7" s="311"/>
      <c r="L7" s="428"/>
      <c r="M7" s="11"/>
    </row>
    <row r="8" spans="1:14" ht="15.75" x14ac:dyDescent="0.2">
      <c r="A8" s="21" t="s">
        <v>25</v>
      </c>
      <c r="B8" s="283"/>
      <c r="C8" s="284"/>
      <c r="D8" s="166"/>
      <c r="E8" s="27"/>
      <c r="F8" s="287"/>
      <c r="G8" s="288"/>
      <c r="H8" s="166"/>
      <c r="I8" s="175"/>
      <c r="J8" s="234"/>
      <c r="K8" s="289"/>
      <c r="L8" s="166"/>
      <c r="M8" s="27"/>
    </row>
    <row r="9" spans="1:14" ht="15.75" x14ac:dyDescent="0.2">
      <c r="A9" s="21" t="s">
        <v>24</v>
      </c>
      <c r="B9" s="283"/>
      <c r="C9" s="284"/>
      <c r="D9" s="166"/>
      <c r="E9" s="27"/>
      <c r="F9" s="287"/>
      <c r="G9" s="288"/>
      <c r="H9" s="166"/>
      <c r="I9" s="175"/>
      <c r="J9" s="234"/>
      <c r="K9" s="289"/>
      <c r="L9" s="166"/>
      <c r="M9" s="27"/>
    </row>
    <row r="10" spans="1:14" ht="15.75" x14ac:dyDescent="0.2">
      <c r="A10" s="13" t="s">
        <v>444</v>
      </c>
      <c r="B10" s="312"/>
      <c r="C10" s="313"/>
      <c r="D10" s="171"/>
      <c r="E10" s="11"/>
      <c r="F10" s="312"/>
      <c r="G10" s="313"/>
      <c r="H10" s="171"/>
      <c r="I10" s="160"/>
      <c r="J10" s="310"/>
      <c r="K10" s="311"/>
      <c r="L10" s="429"/>
      <c r="M10" s="11"/>
    </row>
    <row r="11" spans="1:14" s="43" customFormat="1" ht="15.75" x14ac:dyDescent="0.2">
      <c r="A11" s="13" t="s">
        <v>445</v>
      </c>
      <c r="B11" s="312"/>
      <c r="C11" s="313"/>
      <c r="D11" s="171"/>
      <c r="E11" s="11"/>
      <c r="F11" s="312"/>
      <c r="G11" s="313"/>
      <c r="H11" s="171"/>
      <c r="I11" s="160"/>
      <c r="J11" s="310"/>
      <c r="K11" s="311"/>
      <c r="L11" s="429"/>
      <c r="M11" s="11"/>
      <c r="N11" s="143"/>
    </row>
    <row r="12" spans="1:14" s="43" customFormat="1" ht="15.75" x14ac:dyDescent="0.2">
      <c r="A12" s="41" t="s">
        <v>446</v>
      </c>
      <c r="B12" s="314"/>
      <c r="C12" s="315"/>
      <c r="D12" s="169"/>
      <c r="E12" s="36"/>
      <c r="F12" s="314"/>
      <c r="G12" s="315"/>
      <c r="H12" s="169"/>
      <c r="I12" s="169"/>
      <c r="J12" s="316"/>
      <c r="K12" s="317"/>
      <c r="L12" s="430"/>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1022"/>
      <c r="C18" s="1022"/>
      <c r="D18" s="1022"/>
      <c r="E18" s="301"/>
      <c r="F18" s="1022"/>
      <c r="G18" s="1022"/>
      <c r="H18" s="1022"/>
      <c r="I18" s="301"/>
      <c r="J18" s="1022"/>
      <c r="K18" s="1022"/>
      <c r="L18" s="1022"/>
      <c r="M18" s="301"/>
    </row>
    <row r="19" spans="1:14" x14ac:dyDescent="0.2">
      <c r="A19" s="144"/>
      <c r="B19" s="1023" t="s">
        <v>0</v>
      </c>
      <c r="C19" s="1024"/>
      <c r="D19" s="1024"/>
      <c r="E19" s="303"/>
      <c r="F19" s="1023" t="s">
        <v>1</v>
      </c>
      <c r="G19" s="1024"/>
      <c r="H19" s="1024"/>
      <c r="I19" s="306"/>
      <c r="J19" s="1023" t="s">
        <v>2</v>
      </c>
      <c r="K19" s="1024"/>
      <c r="L19" s="1024"/>
      <c r="M19" s="306"/>
    </row>
    <row r="20" spans="1:14" x14ac:dyDescent="0.2">
      <c r="A20" s="140" t="s">
        <v>5</v>
      </c>
      <c r="B20" s="152" t="s">
        <v>502</v>
      </c>
      <c r="C20" s="152" t="s">
        <v>503</v>
      </c>
      <c r="D20" s="162" t="s">
        <v>3</v>
      </c>
      <c r="E20" s="307" t="s">
        <v>29</v>
      </c>
      <c r="F20" s="152" t="s">
        <v>502</v>
      </c>
      <c r="G20" s="152" t="s">
        <v>503</v>
      </c>
      <c r="H20" s="162" t="s">
        <v>3</v>
      </c>
      <c r="I20" s="162" t="s">
        <v>29</v>
      </c>
      <c r="J20" s="152" t="s">
        <v>502</v>
      </c>
      <c r="K20" s="152" t="s">
        <v>503</v>
      </c>
      <c r="L20" s="162" t="s">
        <v>3</v>
      </c>
      <c r="M20" s="162" t="s">
        <v>29</v>
      </c>
    </row>
    <row r="21" spans="1:14" x14ac:dyDescent="0.2">
      <c r="A21" s="990"/>
      <c r="B21" s="156"/>
      <c r="C21" s="156"/>
      <c r="D21" s="246" t="s">
        <v>4</v>
      </c>
      <c r="E21" s="156" t="s">
        <v>30</v>
      </c>
      <c r="F21" s="161"/>
      <c r="G21" s="161"/>
      <c r="H21" s="245" t="s">
        <v>4</v>
      </c>
      <c r="I21" s="156" t="s">
        <v>30</v>
      </c>
      <c r="J21" s="161"/>
      <c r="K21" s="161"/>
      <c r="L21" s="156" t="s">
        <v>4</v>
      </c>
      <c r="M21" s="156" t="s">
        <v>30</v>
      </c>
    </row>
    <row r="22" spans="1:14" ht="15.75" x14ac:dyDescent="0.2">
      <c r="A22" s="14" t="s">
        <v>23</v>
      </c>
      <c r="B22" s="312"/>
      <c r="C22" s="312"/>
      <c r="D22" s="351"/>
      <c r="E22" s="11"/>
      <c r="F22" s="320"/>
      <c r="G22" s="320"/>
      <c r="H22" s="351"/>
      <c r="I22" s="11"/>
      <c r="J22" s="318"/>
      <c r="K22" s="318"/>
      <c r="L22" s="428"/>
      <c r="M22" s="24"/>
    </row>
    <row r="23" spans="1:14" ht="15.75" x14ac:dyDescent="0.2">
      <c r="A23" s="811" t="s">
        <v>447</v>
      </c>
      <c r="B23" s="283"/>
      <c r="C23" s="283"/>
      <c r="D23" s="166"/>
      <c r="E23" s="11"/>
      <c r="F23" s="292"/>
      <c r="G23" s="292"/>
      <c r="H23" s="166"/>
      <c r="I23" s="418"/>
      <c r="J23" s="292"/>
      <c r="K23" s="292"/>
      <c r="L23" s="166"/>
      <c r="M23" s="23"/>
    </row>
    <row r="24" spans="1:14" ht="15.75" x14ac:dyDescent="0.2">
      <c r="A24" s="811" t="s">
        <v>448</v>
      </c>
      <c r="B24" s="283"/>
      <c r="C24" s="283"/>
      <c r="D24" s="166"/>
      <c r="E24" s="11"/>
      <c r="F24" s="292"/>
      <c r="G24" s="292"/>
      <c r="H24" s="166"/>
      <c r="I24" s="418"/>
      <c r="J24" s="292"/>
      <c r="K24" s="292"/>
      <c r="L24" s="166"/>
      <c r="M24" s="23"/>
    </row>
    <row r="25" spans="1:14" ht="15.75" x14ac:dyDescent="0.2">
      <c r="A25" s="811" t="s">
        <v>449</v>
      </c>
      <c r="B25" s="283"/>
      <c r="C25" s="283"/>
      <c r="D25" s="166"/>
      <c r="E25" s="11"/>
      <c r="F25" s="292"/>
      <c r="G25" s="292"/>
      <c r="H25" s="166"/>
      <c r="I25" s="418"/>
      <c r="J25" s="292"/>
      <c r="K25" s="292"/>
      <c r="L25" s="166"/>
      <c r="M25" s="23"/>
    </row>
    <row r="26" spans="1:14" ht="15.75" x14ac:dyDescent="0.2">
      <c r="A26" s="811" t="s">
        <v>450</v>
      </c>
      <c r="B26" s="283"/>
      <c r="C26" s="283"/>
      <c r="D26" s="166"/>
      <c r="E26" s="11"/>
      <c r="F26" s="292"/>
      <c r="G26" s="292"/>
      <c r="H26" s="166"/>
      <c r="I26" s="418"/>
      <c r="J26" s="292"/>
      <c r="K26" s="292"/>
      <c r="L26" s="166"/>
      <c r="M26" s="23"/>
    </row>
    <row r="27" spans="1:14" x14ac:dyDescent="0.2">
      <c r="A27" s="811" t="s">
        <v>11</v>
      </c>
      <c r="B27" s="283"/>
      <c r="C27" s="283"/>
      <c r="D27" s="166"/>
      <c r="E27" s="11"/>
      <c r="F27" s="292"/>
      <c r="G27" s="292"/>
      <c r="H27" s="166"/>
      <c r="I27" s="418"/>
      <c r="J27" s="292"/>
      <c r="K27" s="292"/>
      <c r="L27" s="166"/>
      <c r="M27" s="23"/>
    </row>
    <row r="28" spans="1:14" ht="15.75" x14ac:dyDescent="0.2">
      <c r="A28" s="49" t="s">
        <v>272</v>
      </c>
      <c r="B28" s="44"/>
      <c r="C28" s="289"/>
      <c r="D28" s="166"/>
      <c r="E28" s="11"/>
      <c r="F28" s="234"/>
      <c r="G28" s="289"/>
      <c r="H28" s="166"/>
      <c r="I28" s="27"/>
      <c r="J28" s="44"/>
      <c r="K28" s="44"/>
      <c r="L28" s="257"/>
      <c r="M28" s="23"/>
    </row>
    <row r="29" spans="1:14" s="3" customFormat="1" ht="15.75" x14ac:dyDescent="0.2">
      <c r="A29" s="13" t="s">
        <v>444</v>
      </c>
      <c r="B29" s="236"/>
      <c r="C29" s="236"/>
      <c r="D29" s="171"/>
      <c r="E29" s="11"/>
      <c r="F29" s="310"/>
      <c r="G29" s="310"/>
      <c r="H29" s="171"/>
      <c r="I29" s="11"/>
      <c r="J29" s="236"/>
      <c r="K29" s="236"/>
      <c r="L29" s="429"/>
      <c r="M29" s="24"/>
      <c r="N29" s="148"/>
    </row>
    <row r="30" spans="1:14" s="3" customFormat="1" ht="15.75" x14ac:dyDescent="0.2">
      <c r="A30" s="811" t="s">
        <v>447</v>
      </c>
      <c r="B30" s="283"/>
      <c r="C30" s="283"/>
      <c r="D30" s="166"/>
      <c r="E30" s="11"/>
      <c r="F30" s="292"/>
      <c r="G30" s="292"/>
      <c r="H30" s="166"/>
      <c r="I30" s="418"/>
      <c r="J30" s="292"/>
      <c r="K30" s="292"/>
      <c r="L30" s="166"/>
      <c r="M30" s="23"/>
      <c r="N30" s="148"/>
    </row>
    <row r="31" spans="1:14" s="3" customFormat="1" ht="15.75" x14ac:dyDescent="0.2">
      <c r="A31" s="811" t="s">
        <v>448</v>
      </c>
      <c r="B31" s="283"/>
      <c r="C31" s="283"/>
      <c r="D31" s="166"/>
      <c r="E31" s="11"/>
      <c r="F31" s="292"/>
      <c r="G31" s="292"/>
      <c r="H31" s="166"/>
      <c r="I31" s="418"/>
      <c r="J31" s="292"/>
      <c r="K31" s="292"/>
      <c r="L31" s="166"/>
      <c r="M31" s="23"/>
      <c r="N31" s="148"/>
    </row>
    <row r="32" spans="1:14" ht="15.75" x14ac:dyDescent="0.2">
      <c r="A32" s="811" t="s">
        <v>449</v>
      </c>
      <c r="B32" s="283"/>
      <c r="C32" s="283"/>
      <c r="D32" s="166"/>
      <c r="E32" s="11"/>
      <c r="F32" s="292"/>
      <c r="G32" s="292"/>
      <c r="H32" s="166"/>
      <c r="I32" s="418"/>
      <c r="J32" s="292"/>
      <c r="K32" s="292"/>
      <c r="L32" s="166"/>
      <c r="M32" s="23"/>
    </row>
    <row r="33" spans="1:14" ht="15.75" x14ac:dyDescent="0.2">
      <c r="A33" s="811" t="s">
        <v>450</v>
      </c>
      <c r="B33" s="283"/>
      <c r="C33" s="283"/>
      <c r="D33" s="166"/>
      <c r="E33" s="11"/>
      <c r="F33" s="292"/>
      <c r="G33" s="292"/>
      <c r="H33" s="166"/>
      <c r="I33" s="418"/>
      <c r="J33" s="292"/>
      <c r="K33" s="292"/>
      <c r="L33" s="166"/>
      <c r="M33" s="23"/>
    </row>
    <row r="34" spans="1:14" ht="15.75" x14ac:dyDescent="0.2">
      <c r="A34" s="13" t="s">
        <v>445</v>
      </c>
      <c r="B34" s="236"/>
      <c r="C34" s="311"/>
      <c r="D34" s="171"/>
      <c r="E34" s="11"/>
      <c r="F34" s="310"/>
      <c r="G34" s="311"/>
      <c r="H34" s="171"/>
      <c r="I34" s="11"/>
      <c r="J34" s="236"/>
      <c r="K34" s="236"/>
      <c r="L34" s="429"/>
      <c r="M34" s="24"/>
    </row>
    <row r="35" spans="1:14" ht="15.75" x14ac:dyDescent="0.2">
      <c r="A35" s="13" t="s">
        <v>446</v>
      </c>
      <c r="B35" s="236"/>
      <c r="C35" s="311"/>
      <c r="D35" s="171"/>
      <c r="E35" s="11"/>
      <c r="F35" s="310"/>
      <c r="G35" s="311"/>
      <c r="H35" s="171"/>
      <c r="I35" s="11"/>
      <c r="J35" s="236"/>
      <c r="K35" s="236"/>
      <c r="L35" s="429"/>
      <c r="M35" s="24"/>
    </row>
    <row r="36" spans="1:14" ht="15.75" x14ac:dyDescent="0.2">
      <c r="A36" s="12" t="s">
        <v>280</v>
      </c>
      <c r="B36" s="236"/>
      <c r="C36" s="311"/>
      <c r="D36" s="171"/>
      <c r="E36" s="11"/>
      <c r="F36" s="321"/>
      <c r="G36" s="322"/>
      <c r="H36" s="171"/>
      <c r="I36" s="435"/>
      <c r="J36" s="236"/>
      <c r="K36" s="236"/>
      <c r="L36" s="429"/>
      <c r="M36" s="24"/>
    </row>
    <row r="37" spans="1:14" ht="15.75" x14ac:dyDescent="0.2">
      <c r="A37" s="12" t="s">
        <v>452</v>
      </c>
      <c r="B37" s="236"/>
      <c r="C37" s="311"/>
      <c r="D37" s="171"/>
      <c r="E37" s="11"/>
      <c r="F37" s="321"/>
      <c r="G37" s="323"/>
      <c r="H37" s="171"/>
      <c r="I37" s="435"/>
      <c r="J37" s="236"/>
      <c r="K37" s="236"/>
      <c r="L37" s="429"/>
      <c r="M37" s="24"/>
    </row>
    <row r="38" spans="1:14" ht="15.75" x14ac:dyDescent="0.2">
      <c r="A38" s="12" t="s">
        <v>453</v>
      </c>
      <c r="B38" s="236"/>
      <c r="C38" s="311"/>
      <c r="D38" s="171"/>
      <c r="E38" s="24"/>
      <c r="F38" s="321"/>
      <c r="G38" s="322"/>
      <c r="H38" s="171"/>
      <c r="I38" s="435"/>
      <c r="J38" s="236"/>
      <c r="K38" s="236"/>
      <c r="L38" s="429"/>
      <c r="M38" s="24"/>
    </row>
    <row r="39" spans="1:14" ht="15.75" x14ac:dyDescent="0.2">
      <c r="A39" s="18" t="s">
        <v>454</v>
      </c>
      <c r="B39" s="278"/>
      <c r="C39" s="317"/>
      <c r="D39" s="169"/>
      <c r="E39" s="36"/>
      <c r="F39" s="324"/>
      <c r="G39" s="325"/>
      <c r="H39" s="169"/>
      <c r="I39" s="36"/>
      <c r="J39" s="236"/>
      <c r="K39" s="236"/>
      <c r="L39" s="430"/>
      <c r="M39" s="36"/>
    </row>
    <row r="40" spans="1:14" ht="15.75" x14ac:dyDescent="0.25">
      <c r="A40" s="47"/>
      <c r="B40" s="256"/>
      <c r="C40" s="256"/>
      <c r="D40" s="1026"/>
      <c r="E40" s="1026"/>
      <c r="F40" s="1026"/>
      <c r="G40" s="1026"/>
      <c r="H40" s="1026"/>
      <c r="I40" s="1026"/>
      <c r="J40" s="1026"/>
      <c r="K40" s="1026"/>
      <c r="L40" s="1026"/>
      <c r="M40" s="304"/>
    </row>
    <row r="41" spans="1:14" x14ac:dyDescent="0.2">
      <c r="A41" s="155"/>
    </row>
    <row r="42" spans="1:14" ht="15.75" x14ac:dyDescent="0.25">
      <c r="A42" s="147" t="s">
        <v>269</v>
      </c>
      <c r="B42" s="1027"/>
      <c r="C42" s="1027"/>
      <c r="D42" s="1027"/>
      <c r="E42" s="301"/>
      <c r="F42" s="1028"/>
      <c r="G42" s="1028"/>
      <c r="H42" s="1028"/>
      <c r="I42" s="304"/>
      <c r="J42" s="1028"/>
      <c r="K42" s="1028"/>
      <c r="L42" s="1028"/>
      <c r="M42" s="304"/>
    </row>
    <row r="43" spans="1:14" ht="15.75" x14ac:dyDescent="0.25">
      <c r="A43" s="163"/>
      <c r="B43" s="305"/>
      <c r="C43" s="305"/>
      <c r="D43" s="305"/>
      <c r="E43" s="305"/>
      <c r="F43" s="304"/>
      <c r="G43" s="304"/>
      <c r="H43" s="304"/>
      <c r="I43" s="304"/>
      <c r="J43" s="304"/>
      <c r="K43" s="304"/>
      <c r="L43" s="304"/>
      <c r="M43" s="304"/>
    </row>
    <row r="44" spans="1:14" ht="15.75" x14ac:dyDescent="0.25">
      <c r="A44" s="247"/>
      <c r="B44" s="1023" t="s">
        <v>0</v>
      </c>
      <c r="C44" s="1024"/>
      <c r="D44" s="1024"/>
      <c r="E44" s="243"/>
      <c r="F44" s="304"/>
      <c r="G44" s="304"/>
      <c r="H44" s="304"/>
      <c r="I44" s="304"/>
      <c r="J44" s="304"/>
      <c r="K44" s="304"/>
      <c r="L44" s="304"/>
      <c r="M44" s="304"/>
    </row>
    <row r="45" spans="1:14" s="3" customFormat="1" x14ac:dyDescent="0.2">
      <c r="A45" s="140"/>
      <c r="B45" s="152" t="s">
        <v>502</v>
      </c>
      <c r="C45" s="152" t="s">
        <v>503</v>
      </c>
      <c r="D45" s="162" t="s">
        <v>3</v>
      </c>
      <c r="E45" s="162" t="s">
        <v>29</v>
      </c>
      <c r="F45" s="174"/>
      <c r="G45" s="174"/>
      <c r="H45" s="173"/>
      <c r="I45" s="173"/>
      <c r="J45" s="174"/>
      <c r="K45" s="174"/>
      <c r="L45" s="173"/>
      <c r="M45" s="173"/>
      <c r="N45" s="148"/>
    </row>
    <row r="46" spans="1:14" s="3" customFormat="1" x14ac:dyDescent="0.2">
      <c r="A46" s="990"/>
      <c r="B46" s="244"/>
      <c r="C46" s="244"/>
      <c r="D46" s="245" t="s">
        <v>4</v>
      </c>
      <c r="E46" s="156" t="s">
        <v>30</v>
      </c>
      <c r="F46" s="173"/>
      <c r="G46" s="173"/>
      <c r="H46" s="173"/>
      <c r="I46" s="173"/>
      <c r="J46" s="173"/>
      <c r="K46" s="173"/>
      <c r="L46" s="173"/>
      <c r="M46" s="173"/>
      <c r="N46" s="148"/>
    </row>
    <row r="47" spans="1:14" s="3" customFormat="1" ht="15.75" x14ac:dyDescent="0.2">
      <c r="A47" s="14" t="s">
        <v>23</v>
      </c>
      <c r="B47" s="312">
        <v>8197</v>
      </c>
      <c r="C47" s="313">
        <v>6351.5640000000003</v>
      </c>
      <c r="D47" s="428">
        <f t="shared" ref="D47:D54" si="0">IF(B47=0, "    ---- ", IF(ABS(ROUND(100/B47*C47-100,1))&lt;999,ROUND(100/B47*C47-100,1),IF(ROUND(100/B47*C47-100,1)&gt;999,999,-999)))</f>
        <v>-22.5</v>
      </c>
      <c r="E47" s="11">
        <f>IFERROR(100/'Skjema total MA'!C47*C47,0)</f>
        <v>0.13295924364420278</v>
      </c>
      <c r="F47" s="145"/>
      <c r="G47" s="33"/>
      <c r="H47" s="159"/>
      <c r="I47" s="159"/>
      <c r="J47" s="37"/>
      <c r="K47" s="37"/>
      <c r="L47" s="159"/>
      <c r="M47" s="159"/>
      <c r="N47" s="148"/>
    </row>
    <row r="48" spans="1:14" s="3" customFormat="1" ht="15.75" x14ac:dyDescent="0.2">
      <c r="A48" s="38" t="s">
        <v>455</v>
      </c>
      <c r="B48" s="283">
        <v>8197</v>
      </c>
      <c r="C48" s="284">
        <v>6351.5640000000003</v>
      </c>
      <c r="D48" s="257">
        <f t="shared" si="0"/>
        <v>-22.5</v>
      </c>
      <c r="E48" s="27">
        <f>IFERROR(100/'Skjema total MA'!C48*C48,0)</f>
        <v>0.23838840175688125</v>
      </c>
      <c r="F48" s="145"/>
      <c r="G48" s="33"/>
      <c r="H48" s="145"/>
      <c r="I48" s="145"/>
      <c r="J48" s="33"/>
      <c r="K48" s="33"/>
      <c r="L48" s="159"/>
      <c r="M48" s="159"/>
      <c r="N48" s="148"/>
    </row>
    <row r="49" spans="1:14" s="3" customFormat="1" ht="15.75" x14ac:dyDescent="0.2">
      <c r="A49" s="38" t="s">
        <v>456</v>
      </c>
      <c r="B49" s="44"/>
      <c r="C49" s="289"/>
      <c r="D49" s="257"/>
      <c r="E49" s="27"/>
      <c r="F49" s="145"/>
      <c r="G49" s="33"/>
      <c r="H49" s="145"/>
      <c r="I49" s="145"/>
      <c r="J49" s="37"/>
      <c r="K49" s="37"/>
      <c r="L49" s="159"/>
      <c r="M49" s="159"/>
      <c r="N49" s="148"/>
    </row>
    <row r="50" spans="1:14" s="3" customFormat="1" x14ac:dyDescent="0.2">
      <c r="A50" s="298" t="s">
        <v>6</v>
      </c>
      <c r="B50" s="292"/>
      <c r="C50" s="293"/>
      <c r="D50" s="257"/>
      <c r="E50" s="23"/>
      <c r="F50" s="145"/>
      <c r="G50" s="33"/>
      <c r="H50" s="145"/>
      <c r="I50" s="145"/>
      <c r="J50" s="33"/>
      <c r="K50" s="33"/>
      <c r="L50" s="159"/>
      <c r="M50" s="159"/>
      <c r="N50" s="148"/>
    </row>
    <row r="51" spans="1:14" s="3" customFormat="1" x14ac:dyDescent="0.2">
      <c r="A51" s="298" t="s">
        <v>7</v>
      </c>
      <c r="B51" s="292"/>
      <c r="C51" s="293"/>
      <c r="D51" s="257"/>
      <c r="E51" s="23"/>
      <c r="F51" s="145"/>
      <c r="G51" s="33"/>
      <c r="H51" s="145"/>
      <c r="I51" s="145"/>
      <c r="J51" s="33"/>
      <c r="K51" s="33"/>
      <c r="L51" s="159"/>
      <c r="M51" s="159"/>
      <c r="N51" s="148"/>
    </row>
    <row r="52" spans="1:14" s="3" customFormat="1" x14ac:dyDescent="0.2">
      <c r="A52" s="298" t="s">
        <v>8</v>
      </c>
      <c r="B52" s="292"/>
      <c r="C52" s="293"/>
      <c r="D52" s="257"/>
      <c r="E52" s="23"/>
      <c r="F52" s="145"/>
      <c r="G52" s="33"/>
      <c r="H52" s="145"/>
      <c r="I52" s="145"/>
      <c r="J52" s="33"/>
      <c r="K52" s="33"/>
      <c r="L52" s="159"/>
      <c r="M52" s="159"/>
      <c r="N52" s="148"/>
    </row>
    <row r="53" spans="1:14" s="3" customFormat="1" ht="15.75" x14ac:dyDescent="0.2">
      <c r="A53" s="39" t="s">
        <v>457</v>
      </c>
      <c r="B53" s="312">
        <v>0</v>
      </c>
      <c r="C53" s="313">
        <v>177.88800000000001</v>
      </c>
      <c r="D53" s="429" t="str">
        <f t="shared" si="0"/>
        <v xml:space="preserve">    ---- </v>
      </c>
      <c r="E53" s="11">
        <f>IFERROR(100/'Skjema total MA'!C53*C53,0)</f>
        <v>0.10870291607865031</v>
      </c>
      <c r="F53" s="145"/>
      <c r="G53" s="33"/>
      <c r="H53" s="145"/>
      <c r="I53" s="145"/>
      <c r="J53" s="33"/>
      <c r="K53" s="33"/>
      <c r="L53" s="159"/>
      <c r="M53" s="159"/>
      <c r="N53" s="148"/>
    </row>
    <row r="54" spans="1:14" s="3" customFormat="1" ht="15.75" x14ac:dyDescent="0.2">
      <c r="A54" s="38" t="s">
        <v>455</v>
      </c>
      <c r="B54" s="283">
        <v>0</v>
      </c>
      <c r="C54" s="284">
        <v>177.88800000000001</v>
      </c>
      <c r="D54" s="257" t="str">
        <f t="shared" si="0"/>
        <v xml:space="preserve">    ---- </v>
      </c>
      <c r="E54" s="27">
        <f>IFERROR(100/'Skjema total MA'!C54*C54,0)</f>
        <v>0.10870291607865031</v>
      </c>
      <c r="F54" s="145"/>
      <c r="G54" s="33"/>
      <c r="H54" s="145"/>
      <c r="I54" s="145"/>
      <c r="J54" s="33"/>
      <c r="K54" s="33"/>
      <c r="L54" s="159"/>
      <c r="M54" s="159"/>
      <c r="N54" s="148"/>
    </row>
    <row r="55" spans="1:14" s="3" customFormat="1" ht="15.75" x14ac:dyDescent="0.2">
      <c r="A55" s="38" t="s">
        <v>456</v>
      </c>
      <c r="B55" s="283"/>
      <c r="C55" s="284"/>
      <c r="D55" s="257"/>
      <c r="E55" s="27"/>
      <c r="F55" s="145"/>
      <c r="G55" s="33"/>
      <c r="H55" s="145"/>
      <c r="I55" s="145"/>
      <c r="J55" s="33"/>
      <c r="K55" s="33"/>
      <c r="L55" s="159"/>
      <c r="M55" s="159"/>
      <c r="N55" s="148"/>
    </row>
    <row r="56" spans="1:14" s="3" customFormat="1" ht="15.75" x14ac:dyDescent="0.2">
      <c r="A56" s="39" t="s">
        <v>458</v>
      </c>
      <c r="B56" s="312"/>
      <c r="C56" s="313"/>
      <c r="D56" s="429"/>
      <c r="E56" s="11"/>
      <c r="F56" s="145"/>
      <c r="G56" s="33"/>
      <c r="H56" s="145"/>
      <c r="I56" s="145"/>
      <c r="J56" s="33"/>
      <c r="K56" s="33"/>
      <c r="L56" s="159"/>
      <c r="M56" s="159"/>
      <c r="N56" s="148"/>
    </row>
    <row r="57" spans="1:14" s="3" customFormat="1" ht="15.75" x14ac:dyDescent="0.2">
      <c r="A57" s="38" t="s">
        <v>455</v>
      </c>
      <c r="B57" s="283"/>
      <c r="C57" s="284"/>
      <c r="D57" s="257"/>
      <c r="E57" s="27"/>
      <c r="F57" s="145"/>
      <c r="G57" s="33"/>
      <c r="H57" s="145"/>
      <c r="I57" s="145"/>
      <c r="J57" s="33"/>
      <c r="K57" s="33"/>
      <c r="L57" s="159"/>
      <c r="M57" s="159"/>
      <c r="N57" s="148"/>
    </row>
    <row r="58" spans="1:14" s="3" customFormat="1" ht="15.75" x14ac:dyDescent="0.2">
      <c r="A58" s="46" t="s">
        <v>456</v>
      </c>
      <c r="B58" s="285"/>
      <c r="C58" s="286"/>
      <c r="D58" s="258"/>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1022"/>
      <c r="C62" s="1022"/>
      <c r="D62" s="1022"/>
      <c r="E62" s="301"/>
      <c r="F62" s="1022"/>
      <c r="G62" s="1022"/>
      <c r="H62" s="1022"/>
      <c r="I62" s="301"/>
      <c r="J62" s="1022"/>
      <c r="K62" s="1022"/>
      <c r="L62" s="1022"/>
      <c r="M62" s="301"/>
    </row>
    <row r="63" spans="1:14" x14ac:dyDescent="0.2">
      <c r="A63" s="144"/>
      <c r="B63" s="1023" t="s">
        <v>0</v>
      </c>
      <c r="C63" s="1024"/>
      <c r="D63" s="1025"/>
      <c r="E63" s="302"/>
      <c r="F63" s="1024" t="s">
        <v>1</v>
      </c>
      <c r="G63" s="1024"/>
      <c r="H63" s="1024"/>
      <c r="I63" s="306"/>
      <c r="J63" s="1023" t="s">
        <v>2</v>
      </c>
      <c r="K63" s="1024"/>
      <c r="L63" s="1024"/>
      <c r="M63" s="306"/>
    </row>
    <row r="64" spans="1:14" x14ac:dyDescent="0.2">
      <c r="A64" s="140"/>
      <c r="B64" s="152" t="s">
        <v>502</v>
      </c>
      <c r="C64" s="152" t="s">
        <v>503</v>
      </c>
      <c r="D64" s="245" t="s">
        <v>3</v>
      </c>
      <c r="E64" s="307" t="s">
        <v>29</v>
      </c>
      <c r="F64" s="152" t="s">
        <v>502</v>
      </c>
      <c r="G64" s="152" t="s">
        <v>503</v>
      </c>
      <c r="H64" s="245" t="s">
        <v>3</v>
      </c>
      <c r="I64" s="307" t="s">
        <v>29</v>
      </c>
      <c r="J64" s="152" t="s">
        <v>502</v>
      </c>
      <c r="K64" s="152" t="s">
        <v>503</v>
      </c>
      <c r="L64" s="245" t="s">
        <v>3</v>
      </c>
      <c r="M64" s="162" t="s">
        <v>29</v>
      </c>
    </row>
    <row r="65" spans="1:14" x14ac:dyDescent="0.2">
      <c r="A65" s="990"/>
      <c r="B65" s="156"/>
      <c r="C65" s="156"/>
      <c r="D65" s="246" t="s">
        <v>4</v>
      </c>
      <c r="E65" s="156" t="s">
        <v>30</v>
      </c>
      <c r="F65" s="161"/>
      <c r="G65" s="161"/>
      <c r="H65" s="245"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9"/>
      <c r="M66" s="11"/>
    </row>
    <row r="67" spans="1:14" x14ac:dyDescent="0.2">
      <c r="A67" s="420" t="s">
        <v>9</v>
      </c>
      <c r="B67" s="44"/>
      <c r="C67" s="145"/>
      <c r="D67" s="166"/>
      <c r="E67" s="27"/>
      <c r="F67" s="234"/>
      <c r="G67" s="145"/>
      <c r="H67" s="166"/>
      <c r="I67" s="27"/>
      <c r="J67" s="289"/>
      <c r="K67" s="44"/>
      <c r="L67" s="257"/>
      <c r="M67" s="27"/>
    </row>
    <row r="68" spans="1:14" x14ac:dyDescent="0.2">
      <c r="A68" s="21" t="s">
        <v>10</v>
      </c>
      <c r="B68" s="294"/>
      <c r="C68" s="295"/>
      <c r="D68" s="166"/>
      <c r="E68" s="27"/>
      <c r="F68" s="294"/>
      <c r="G68" s="295"/>
      <c r="H68" s="166"/>
      <c r="I68" s="27"/>
      <c r="J68" s="289"/>
      <c r="K68" s="44"/>
      <c r="L68" s="257"/>
      <c r="M68" s="27"/>
    </row>
    <row r="69" spans="1:14" ht="15.75" x14ac:dyDescent="0.2">
      <c r="A69" s="298" t="s">
        <v>459</v>
      </c>
      <c r="B69" s="283"/>
      <c r="C69" s="283"/>
      <c r="D69" s="166"/>
      <c r="E69" s="418"/>
      <c r="F69" s="283"/>
      <c r="G69" s="283"/>
      <c r="H69" s="166"/>
      <c r="I69" s="418"/>
      <c r="J69" s="292"/>
      <c r="K69" s="292"/>
      <c r="L69" s="166"/>
      <c r="M69" s="23"/>
    </row>
    <row r="70" spans="1:14" x14ac:dyDescent="0.2">
      <c r="A70" s="298" t="s">
        <v>12</v>
      </c>
      <c r="B70" s="296"/>
      <c r="C70" s="297"/>
      <c r="D70" s="166"/>
      <c r="E70" s="418"/>
      <c r="F70" s="283"/>
      <c r="G70" s="283"/>
      <c r="H70" s="166"/>
      <c r="I70" s="418"/>
      <c r="J70" s="292"/>
      <c r="K70" s="292"/>
      <c r="L70" s="166"/>
      <c r="M70" s="23"/>
    </row>
    <row r="71" spans="1:14" x14ac:dyDescent="0.2">
      <c r="A71" s="298" t="s">
        <v>13</v>
      </c>
      <c r="B71" s="235"/>
      <c r="C71" s="291"/>
      <c r="D71" s="166"/>
      <c r="E71" s="418"/>
      <c r="F71" s="283"/>
      <c r="G71" s="283"/>
      <c r="H71" s="166"/>
      <c r="I71" s="418"/>
      <c r="J71" s="292"/>
      <c r="K71" s="292"/>
      <c r="L71" s="166"/>
      <c r="M71" s="23"/>
    </row>
    <row r="72" spans="1:14" ht="15.75" x14ac:dyDescent="0.2">
      <c r="A72" s="298" t="s">
        <v>460</v>
      </c>
      <c r="B72" s="283"/>
      <c r="C72" s="283"/>
      <c r="D72" s="166"/>
      <c r="E72" s="418"/>
      <c r="F72" s="283"/>
      <c r="G72" s="283"/>
      <c r="H72" s="166"/>
      <c r="I72" s="418"/>
      <c r="J72" s="292"/>
      <c r="K72" s="292"/>
      <c r="L72" s="166"/>
      <c r="M72" s="23"/>
    </row>
    <row r="73" spans="1:14" x14ac:dyDescent="0.2">
      <c r="A73" s="298" t="s">
        <v>12</v>
      </c>
      <c r="B73" s="235"/>
      <c r="C73" s="291"/>
      <c r="D73" s="166"/>
      <c r="E73" s="418"/>
      <c r="F73" s="283"/>
      <c r="G73" s="283"/>
      <c r="H73" s="166"/>
      <c r="I73" s="418"/>
      <c r="J73" s="292"/>
      <c r="K73" s="292"/>
      <c r="L73" s="166"/>
      <c r="M73" s="23"/>
    </row>
    <row r="74" spans="1:14" s="3" customFormat="1" x14ac:dyDescent="0.2">
      <c r="A74" s="298" t="s">
        <v>13</v>
      </c>
      <c r="B74" s="235"/>
      <c r="C74" s="291"/>
      <c r="D74" s="166"/>
      <c r="E74" s="418"/>
      <c r="F74" s="283"/>
      <c r="G74" s="283"/>
      <c r="H74" s="166"/>
      <c r="I74" s="418"/>
      <c r="J74" s="292"/>
      <c r="K74" s="292"/>
      <c r="L74" s="166"/>
      <c r="M74" s="23"/>
      <c r="N74" s="148"/>
    </row>
    <row r="75" spans="1:14" s="3" customFormat="1" x14ac:dyDescent="0.2">
      <c r="A75" s="21" t="s">
        <v>346</v>
      </c>
      <c r="B75" s="234"/>
      <c r="C75" s="145"/>
      <c r="D75" s="166"/>
      <c r="E75" s="27"/>
      <c r="F75" s="234"/>
      <c r="G75" s="145"/>
      <c r="H75" s="166"/>
      <c r="I75" s="27"/>
      <c r="J75" s="289"/>
      <c r="K75" s="44"/>
      <c r="L75" s="257"/>
      <c r="M75" s="27"/>
      <c r="N75" s="148"/>
    </row>
    <row r="76" spans="1:14" s="3" customFormat="1" x14ac:dyDescent="0.2">
      <c r="A76" s="21" t="s">
        <v>345</v>
      </c>
      <c r="B76" s="234"/>
      <c r="C76" s="145"/>
      <c r="D76" s="166"/>
      <c r="E76" s="27"/>
      <c r="F76" s="234"/>
      <c r="G76" s="145"/>
      <c r="H76" s="166"/>
      <c r="I76" s="27"/>
      <c r="J76" s="289"/>
      <c r="K76" s="44"/>
      <c r="L76" s="257"/>
      <c r="M76" s="27"/>
      <c r="N76" s="148"/>
    </row>
    <row r="77" spans="1:14" ht="15.75" x14ac:dyDescent="0.2">
      <c r="A77" s="21" t="s">
        <v>461</v>
      </c>
      <c r="B77" s="234"/>
      <c r="C77" s="234"/>
      <c r="D77" s="166"/>
      <c r="E77" s="27"/>
      <c r="F77" s="234"/>
      <c r="G77" s="145"/>
      <c r="H77" s="166"/>
      <c r="I77" s="27"/>
      <c r="J77" s="289"/>
      <c r="K77" s="44"/>
      <c r="L77" s="257"/>
      <c r="M77" s="27"/>
    </row>
    <row r="78" spans="1:14" x14ac:dyDescent="0.2">
      <c r="A78" s="21" t="s">
        <v>9</v>
      </c>
      <c r="B78" s="234"/>
      <c r="C78" s="145"/>
      <c r="D78" s="166"/>
      <c r="E78" s="27"/>
      <c r="F78" s="234"/>
      <c r="G78" s="145"/>
      <c r="H78" s="166"/>
      <c r="I78" s="27"/>
      <c r="J78" s="289"/>
      <c r="K78" s="44"/>
      <c r="L78" s="257"/>
      <c r="M78" s="27"/>
    </row>
    <row r="79" spans="1:14" x14ac:dyDescent="0.2">
      <c r="A79" s="21" t="s">
        <v>10</v>
      </c>
      <c r="B79" s="294"/>
      <c r="C79" s="295"/>
      <c r="D79" s="166"/>
      <c r="E79" s="27"/>
      <c r="F79" s="294"/>
      <c r="G79" s="295"/>
      <c r="H79" s="166"/>
      <c r="I79" s="27"/>
      <c r="J79" s="289"/>
      <c r="K79" s="44"/>
      <c r="L79" s="257"/>
      <c r="M79" s="27"/>
    </row>
    <row r="80" spans="1:14" ht="15.75" x14ac:dyDescent="0.2">
      <c r="A80" s="298" t="s">
        <v>459</v>
      </c>
      <c r="B80" s="283"/>
      <c r="C80" s="283"/>
      <c r="D80" s="166"/>
      <c r="E80" s="418"/>
      <c r="F80" s="283"/>
      <c r="G80" s="283"/>
      <c r="H80" s="166"/>
      <c r="I80" s="418"/>
      <c r="J80" s="292"/>
      <c r="K80" s="292"/>
      <c r="L80" s="166"/>
      <c r="M80" s="23"/>
    </row>
    <row r="81" spans="1:13" x14ac:dyDescent="0.2">
      <c r="A81" s="298" t="s">
        <v>12</v>
      </c>
      <c r="B81" s="235"/>
      <c r="C81" s="291"/>
      <c r="D81" s="166"/>
      <c r="E81" s="418"/>
      <c r="F81" s="283"/>
      <c r="G81" s="283"/>
      <c r="H81" s="166"/>
      <c r="I81" s="418"/>
      <c r="J81" s="292"/>
      <c r="K81" s="292"/>
      <c r="L81" s="166"/>
      <c r="M81" s="23"/>
    </row>
    <row r="82" spans="1:13" x14ac:dyDescent="0.2">
      <c r="A82" s="298" t="s">
        <v>13</v>
      </c>
      <c r="B82" s="235"/>
      <c r="C82" s="291"/>
      <c r="D82" s="166"/>
      <c r="E82" s="418"/>
      <c r="F82" s="283"/>
      <c r="G82" s="283"/>
      <c r="H82" s="166"/>
      <c r="I82" s="418"/>
      <c r="J82" s="292"/>
      <c r="K82" s="292"/>
      <c r="L82" s="166"/>
      <c r="M82" s="23"/>
    </row>
    <row r="83" spans="1:13" ht="15.75" x14ac:dyDescent="0.2">
      <c r="A83" s="298" t="s">
        <v>460</v>
      </c>
      <c r="B83" s="283"/>
      <c r="C83" s="283"/>
      <c r="D83" s="166"/>
      <c r="E83" s="418"/>
      <c r="F83" s="283"/>
      <c r="G83" s="283"/>
      <c r="H83" s="166"/>
      <c r="I83" s="418"/>
      <c r="J83" s="292"/>
      <c r="K83" s="292"/>
      <c r="L83" s="166"/>
      <c r="M83" s="23"/>
    </row>
    <row r="84" spans="1:13" x14ac:dyDescent="0.2">
      <c r="A84" s="298" t="s">
        <v>12</v>
      </c>
      <c r="B84" s="235"/>
      <c r="C84" s="291"/>
      <c r="D84" s="166"/>
      <c r="E84" s="418"/>
      <c r="F84" s="283"/>
      <c r="G84" s="283"/>
      <c r="H84" s="166"/>
      <c r="I84" s="418"/>
      <c r="J84" s="292"/>
      <c r="K84" s="292"/>
      <c r="L84" s="166"/>
      <c r="M84" s="23"/>
    </row>
    <row r="85" spans="1:13" x14ac:dyDescent="0.2">
      <c r="A85" s="298" t="s">
        <v>13</v>
      </c>
      <c r="B85" s="235"/>
      <c r="C85" s="291"/>
      <c r="D85" s="166"/>
      <c r="E85" s="418"/>
      <c r="F85" s="283"/>
      <c r="G85" s="283"/>
      <c r="H85" s="166"/>
      <c r="I85" s="418"/>
      <c r="J85" s="292"/>
      <c r="K85" s="292"/>
      <c r="L85" s="166"/>
      <c r="M85" s="23"/>
    </row>
    <row r="86" spans="1:13" ht="15.75" x14ac:dyDescent="0.2">
      <c r="A86" s="21" t="s">
        <v>462</v>
      </c>
      <c r="B86" s="234"/>
      <c r="C86" s="145"/>
      <c r="D86" s="166"/>
      <c r="E86" s="27"/>
      <c r="F86" s="234"/>
      <c r="G86" s="145"/>
      <c r="H86" s="166"/>
      <c r="I86" s="27"/>
      <c r="J86" s="289"/>
      <c r="K86" s="44"/>
      <c r="L86" s="257"/>
      <c r="M86" s="27"/>
    </row>
    <row r="87" spans="1:13" ht="15.75" x14ac:dyDescent="0.2">
      <c r="A87" s="13" t="s">
        <v>444</v>
      </c>
      <c r="B87" s="354"/>
      <c r="C87" s="354"/>
      <c r="D87" s="171"/>
      <c r="E87" s="11"/>
      <c r="F87" s="353"/>
      <c r="G87" s="353"/>
      <c r="H87" s="171"/>
      <c r="I87" s="11"/>
      <c r="J87" s="311"/>
      <c r="K87" s="236"/>
      <c r="L87" s="429"/>
      <c r="M87" s="11"/>
    </row>
    <row r="88" spans="1:13" x14ac:dyDescent="0.2">
      <c r="A88" s="21" t="s">
        <v>9</v>
      </c>
      <c r="B88" s="234"/>
      <c r="C88" s="145"/>
      <c r="D88" s="166"/>
      <c r="E88" s="27"/>
      <c r="F88" s="234"/>
      <c r="G88" s="145"/>
      <c r="H88" s="166"/>
      <c r="I88" s="27"/>
      <c r="J88" s="289"/>
      <c r="K88" s="44"/>
      <c r="L88" s="257"/>
      <c r="M88" s="27"/>
    </row>
    <row r="89" spans="1:13" x14ac:dyDescent="0.2">
      <c r="A89" s="21" t="s">
        <v>10</v>
      </c>
      <c r="B89" s="234"/>
      <c r="C89" s="145"/>
      <c r="D89" s="166"/>
      <c r="E89" s="27"/>
      <c r="F89" s="234"/>
      <c r="G89" s="145"/>
      <c r="H89" s="166"/>
      <c r="I89" s="27"/>
      <c r="J89" s="289"/>
      <c r="K89" s="44"/>
      <c r="L89" s="257"/>
      <c r="M89" s="27"/>
    </row>
    <row r="90" spans="1:13" ht="15.75" x14ac:dyDescent="0.2">
      <c r="A90" s="298" t="s">
        <v>459</v>
      </c>
      <c r="B90" s="283"/>
      <c r="C90" s="283"/>
      <c r="D90" s="166"/>
      <c r="E90" s="418"/>
      <c r="F90" s="283"/>
      <c r="G90" s="283"/>
      <c r="H90" s="166"/>
      <c r="I90" s="418"/>
      <c r="J90" s="292"/>
      <c r="K90" s="292"/>
      <c r="L90" s="166"/>
      <c r="M90" s="23"/>
    </row>
    <row r="91" spans="1:13" x14ac:dyDescent="0.2">
      <c r="A91" s="298" t="s">
        <v>12</v>
      </c>
      <c r="B91" s="235"/>
      <c r="C91" s="291"/>
      <c r="D91" s="166"/>
      <c r="E91" s="418"/>
      <c r="F91" s="283"/>
      <c r="G91" s="283"/>
      <c r="H91" s="166"/>
      <c r="I91" s="418"/>
      <c r="J91" s="292"/>
      <c r="K91" s="292"/>
      <c r="L91" s="166"/>
      <c r="M91" s="23"/>
    </row>
    <row r="92" spans="1:13" x14ac:dyDescent="0.2">
      <c r="A92" s="298" t="s">
        <v>13</v>
      </c>
      <c r="B92" s="235"/>
      <c r="C92" s="291"/>
      <c r="D92" s="166"/>
      <c r="E92" s="418"/>
      <c r="F92" s="283"/>
      <c r="G92" s="283"/>
      <c r="H92" s="166"/>
      <c r="I92" s="418"/>
      <c r="J92" s="292"/>
      <c r="K92" s="292"/>
      <c r="L92" s="166"/>
      <c r="M92" s="23"/>
    </row>
    <row r="93" spans="1:13" ht="15.75" x14ac:dyDescent="0.2">
      <c r="A93" s="298" t="s">
        <v>460</v>
      </c>
      <c r="B93" s="283"/>
      <c r="C93" s="283"/>
      <c r="D93" s="166"/>
      <c r="E93" s="418"/>
      <c r="F93" s="283"/>
      <c r="G93" s="283"/>
      <c r="H93" s="166"/>
      <c r="I93" s="418"/>
      <c r="J93" s="292"/>
      <c r="K93" s="292"/>
      <c r="L93" s="166"/>
      <c r="M93" s="23"/>
    </row>
    <row r="94" spans="1:13" x14ac:dyDescent="0.2">
      <c r="A94" s="298" t="s">
        <v>12</v>
      </c>
      <c r="B94" s="235"/>
      <c r="C94" s="291"/>
      <c r="D94" s="166"/>
      <c r="E94" s="418"/>
      <c r="F94" s="283"/>
      <c r="G94" s="283"/>
      <c r="H94" s="166"/>
      <c r="I94" s="418"/>
      <c r="J94" s="292"/>
      <c r="K94" s="292"/>
      <c r="L94" s="166"/>
      <c r="M94" s="23"/>
    </row>
    <row r="95" spans="1:13" x14ac:dyDescent="0.2">
      <c r="A95" s="298" t="s">
        <v>13</v>
      </c>
      <c r="B95" s="235"/>
      <c r="C95" s="291"/>
      <c r="D95" s="166"/>
      <c r="E95" s="418"/>
      <c r="F95" s="283"/>
      <c r="G95" s="283"/>
      <c r="H95" s="166"/>
      <c r="I95" s="418"/>
      <c r="J95" s="292"/>
      <c r="K95" s="292"/>
      <c r="L95" s="166"/>
      <c r="M95" s="23"/>
    </row>
    <row r="96" spans="1:13" x14ac:dyDescent="0.2">
      <c r="A96" s="21" t="s">
        <v>344</v>
      </c>
      <c r="B96" s="234"/>
      <c r="C96" s="145"/>
      <c r="D96" s="166"/>
      <c r="E96" s="27"/>
      <c r="F96" s="234"/>
      <c r="G96" s="145"/>
      <c r="H96" s="166"/>
      <c r="I96" s="27"/>
      <c r="J96" s="289"/>
      <c r="K96" s="44"/>
      <c r="L96" s="257"/>
      <c r="M96" s="27"/>
    </row>
    <row r="97" spans="1:13" x14ac:dyDescent="0.2">
      <c r="A97" s="21" t="s">
        <v>343</v>
      </c>
      <c r="B97" s="234"/>
      <c r="C97" s="145"/>
      <c r="D97" s="166"/>
      <c r="E97" s="27"/>
      <c r="F97" s="234"/>
      <c r="G97" s="145"/>
      <c r="H97" s="166"/>
      <c r="I97" s="27"/>
      <c r="J97" s="289"/>
      <c r="K97" s="44"/>
      <c r="L97" s="257"/>
      <c r="M97" s="27"/>
    </row>
    <row r="98" spans="1:13" ht="15.75" x14ac:dyDescent="0.2">
      <c r="A98" s="21" t="s">
        <v>461</v>
      </c>
      <c r="B98" s="234"/>
      <c r="C98" s="234"/>
      <c r="D98" s="166"/>
      <c r="E98" s="27"/>
      <c r="F98" s="294"/>
      <c r="G98" s="294"/>
      <c r="H98" s="166"/>
      <c r="I98" s="27"/>
      <c r="J98" s="289"/>
      <c r="K98" s="44"/>
      <c r="L98" s="257"/>
      <c r="M98" s="27"/>
    </row>
    <row r="99" spans="1:13" x14ac:dyDescent="0.2">
      <c r="A99" s="21" t="s">
        <v>9</v>
      </c>
      <c r="B99" s="294"/>
      <c r="C99" s="295"/>
      <c r="D99" s="166"/>
      <c r="E99" s="27"/>
      <c r="F99" s="234"/>
      <c r="G99" s="145"/>
      <c r="H99" s="166"/>
      <c r="I99" s="27"/>
      <c r="J99" s="289"/>
      <c r="K99" s="44"/>
      <c r="L99" s="257"/>
      <c r="M99" s="27"/>
    </row>
    <row r="100" spans="1:13" x14ac:dyDescent="0.2">
      <c r="A100" s="21" t="s">
        <v>10</v>
      </c>
      <c r="B100" s="294"/>
      <c r="C100" s="295"/>
      <c r="D100" s="166"/>
      <c r="E100" s="27"/>
      <c r="F100" s="234"/>
      <c r="G100" s="234"/>
      <c r="H100" s="166"/>
      <c r="I100" s="27"/>
      <c r="J100" s="289"/>
      <c r="K100" s="44"/>
      <c r="L100" s="257"/>
      <c r="M100" s="27"/>
    </row>
    <row r="101" spans="1:13" ht="15.75" x14ac:dyDescent="0.2">
      <c r="A101" s="298" t="s">
        <v>459</v>
      </c>
      <c r="B101" s="283"/>
      <c r="C101" s="283"/>
      <c r="D101" s="166"/>
      <c r="E101" s="418"/>
      <c r="F101" s="283"/>
      <c r="G101" s="283"/>
      <c r="H101" s="166"/>
      <c r="I101" s="418"/>
      <c r="J101" s="292"/>
      <c r="K101" s="292"/>
      <c r="L101" s="166"/>
      <c r="M101" s="23"/>
    </row>
    <row r="102" spans="1:13" x14ac:dyDescent="0.2">
      <c r="A102" s="298" t="s">
        <v>12</v>
      </c>
      <c r="B102" s="235"/>
      <c r="C102" s="291"/>
      <c r="D102" s="166"/>
      <c r="E102" s="418"/>
      <c r="F102" s="283"/>
      <c r="G102" s="283"/>
      <c r="H102" s="166"/>
      <c r="I102" s="418"/>
      <c r="J102" s="292"/>
      <c r="K102" s="292"/>
      <c r="L102" s="166"/>
      <c r="M102" s="23"/>
    </row>
    <row r="103" spans="1:13" x14ac:dyDescent="0.2">
      <c r="A103" s="298" t="s">
        <v>13</v>
      </c>
      <c r="B103" s="235"/>
      <c r="C103" s="291"/>
      <c r="D103" s="166"/>
      <c r="E103" s="418"/>
      <c r="F103" s="283"/>
      <c r="G103" s="283"/>
      <c r="H103" s="166"/>
      <c r="I103" s="418"/>
      <c r="J103" s="292"/>
      <c r="K103" s="292"/>
      <c r="L103" s="166"/>
      <c r="M103" s="23"/>
    </row>
    <row r="104" spans="1:13" ht="15.75" x14ac:dyDescent="0.2">
      <c r="A104" s="298" t="s">
        <v>460</v>
      </c>
      <c r="B104" s="283"/>
      <c r="C104" s="283"/>
      <c r="D104" s="166"/>
      <c r="E104" s="418"/>
      <c r="F104" s="283"/>
      <c r="G104" s="283"/>
      <c r="H104" s="166"/>
      <c r="I104" s="418"/>
      <c r="J104" s="292"/>
      <c r="K104" s="292"/>
      <c r="L104" s="166"/>
      <c r="M104" s="23"/>
    </row>
    <row r="105" spans="1:13" x14ac:dyDescent="0.2">
      <c r="A105" s="298" t="s">
        <v>12</v>
      </c>
      <c r="B105" s="235"/>
      <c r="C105" s="291"/>
      <c r="D105" s="166"/>
      <c r="E105" s="418"/>
      <c r="F105" s="283"/>
      <c r="G105" s="283"/>
      <c r="H105" s="166"/>
      <c r="I105" s="418"/>
      <c r="J105" s="292"/>
      <c r="K105" s="292"/>
      <c r="L105" s="166"/>
      <c r="M105" s="23"/>
    </row>
    <row r="106" spans="1:13" x14ac:dyDescent="0.2">
      <c r="A106" s="298" t="s">
        <v>13</v>
      </c>
      <c r="B106" s="235"/>
      <c r="C106" s="291"/>
      <c r="D106" s="166"/>
      <c r="E106" s="418"/>
      <c r="F106" s="283"/>
      <c r="G106" s="283"/>
      <c r="H106" s="166"/>
      <c r="I106" s="418"/>
      <c r="J106" s="292"/>
      <c r="K106" s="292"/>
      <c r="L106" s="166"/>
      <c r="M106" s="23"/>
    </row>
    <row r="107" spans="1:13" ht="15.75" x14ac:dyDescent="0.2">
      <c r="A107" s="21" t="s">
        <v>462</v>
      </c>
      <c r="B107" s="234"/>
      <c r="C107" s="145"/>
      <c r="D107" s="166"/>
      <c r="E107" s="27"/>
      <c r="F107" s="234"/>
      <c r="G107" s="145"/>
      <c r="H107" s="166"/>
      <c r="I107" s="27"/>
      <c r="J107" s="289"/>
      <c r="K107" s="44"/>
      <c r="L107" s="257"/>
      <c r="M107" s="27"/>
    </row>
    <row r="108" spans="1:13" ht="15.75" x14ac:dyDescent="0.2">
      <c r="A108" s="21" t="s">
        <v>463</v>
      </c>
      <c r="B108" s="234"/>
      <c r="C108" s="234"/>
      <c r="D108" s="166"/>
      <c r="E108" s="27"/>
      <c r="F108" s="234"/>
      <c r="G108" s="234"/>
      <c r="H108" s="166"/>
      <c r="I108" s="27"/>
      <c r="J108" s="289"/>
      <c r="K108" s="44"/>
      <c r="L108" s="257"/>
      <c r="M108" s="27"/>
    </row>
    <row r="109" spans="1:13" ht="15.75" x14ac:dyDescent="0.2">
      <c r="A109" s="21" t="s">
        <v>464</v>
      </c>
      <c r="B109" s="234"/>
      <c r="C109" s="234"/>
      <c r="D109" s="166"/>
      <c r="E109" s="27"/>
      <c r="F109" s="234"/>
      <c r="G109" s="234"/>
      <c r="H109" s="166"/>
      <c r="I109" s="27"/>
      <c r="J109" s="289"/>
      <c r="K109" s="44"/>
      <c r="L109" s="257"/>
      <c r="M109" s="27"/>
    </row>
    <row r="110" spans="1:13" ht="15.75" x14ac:dyDescent="0.2">
      <c r="A110" s="21" t="s">
        <v>465</v>
      </c>
      <c r="B110" s="234"/>
      <c r="C110" s="234"/>
      <c r="D110" s="166"/>
      <c r="E110" s="27"/>
      <c r="F110" s="234"/>
      <c r="G110" s="234"/>
      <c r="H110" s="166"/>
      <c r="I110" s="27"/>
      <c r="J110" s="289"/>
      <c r="K110" s="44"/>
      <c r="L110" s="257"/>
      <c r="M110" s="27"/>
    </row>
    <row r="111" spans="1:13" ht="15.75" x14ac:dyDescent="0.2">
      <c r="A111" s="13" t="s">
        <v>445</v>
      </c>
      <c r="B111" s="310"/>
      <c r="C111" s="159"/>
      <c r="D111" s="171"/>
      <c r="E111" s="11"/>
      <c r="F111" s="310"/>
      <c r="G111" s="159"/>
      <c r="H111" s="171"/>
      <c r="I111" s="11"/>
      <c r="J111" s="311"/>
      <c r="K111" s="236"/>
      <c r="L111" s="429"/>
      <c r="M111" s="11"/>
    </row>
    <row r="112" spans="1:13" x14ac:dyDescent="0.2">
      <c r="A112" s="21" t="s">
        <v>9</v>
      </c>
      <c r="B112" s="234"/>
      <c r="C112" s="145"/>
      <c r="D112" s="166"/>
      <c r="E112" s="27"/>
      <c r="F112" s="234"/>
      <c r="G112" s="145"/>
      <c r="H112" s="166"/>
      <c r="I112" s="27"/>
      <c r="J112" s="289"/>
      <c r="K112" s="44"/>
      <c r="L112" s="257"/>
      <c r="M112" s="27"/>
    </row>
    <row r="113" spans="1:14" x14ac:dyDescent="0.2">
      <c r="A113" s="21" t="s">
        <v>10</v>
      </c>
      <c r="B113" s="234"/>
      <c r="C113" s="145"/>
      <c r="D113" s="166"/>
      <c r="E113" s="27"/>
      <c r="F113" s="234"/>
      <c r="G113" s="145"/>
      <c r="H113" s="166"/>
      <c r="I113" s="27"/>
      <c r="J113" s="289"/>
      <c r="K113" s="44"/>
      <c r="L113" s="257"/>
      <c r="M113" s="27"/>
    </row>
    <row r="114" spans="1:14" x14ac:dyDescent="0.2">
      <c r="A114" s="21" t="s">
        <v>26</v>
      </c>
      <c r="B114" s="234"/>
      <c r="C114" s="145"/>
      <c r="D114" s="166"/>
      <c r="E114" s="27"/>
      <c r="F114" s="234"/>
      <c r="G114" s="145"/>
      <c r="H114" s="166"/>
      <c r="I114" s="27"/>
      <c r="J114" s="289"/>
      <c r="K114" s="44"/>
      <c r="L114" s="257"/>
      <c r="M114" s="27"/>
    </row>
    <row r="115" spans="1:14" x14ac:dyDescent="0.2">
      <c r="A115" s="298" t="s">
        <v>15</v>
      </c>
      <c r="B115" s="283"/>
      <c r="C115" s="283"/>
      <c r="D115" s="166"/>
      <c r="E115" s="418"/>
      <c r="F115" s="283"/>
      <c r="G115" s="283"/>
      <c r="H115" s="166"/>
      <c r="I115" s="418"/>
      <c r="J115" s="292"/>
      <c r="K115" s="292"/>
      <c r="L115" s="166"/>
      <c r="M115" s="23"/>
    </row>
    <row r="116" spans="1:14" ht="15.75" x14ac:dyDescent="0.2">
      <c r="A116" s="21" t="s">
        <v>466</v>
      </c>
      <c r="B116" s="234"/>
      <c r="C116" s="234"/>
      <c r="D116" s="166"/>
      <c r="E116" s="27"/>
      <c r="F116" s="234"/>
      <c r="G116" s="234"/>
      <c r="H116" s="166"/>
      <c r="I116" s="27"/>
      <c r="J116" s="289"/>
      <c r="K116" s="44"/>
      <c r="L116" s="257"/>
      <c r="M116" s="27"/>
    </row>
    <row r="117" spans="1:14" ht="15.75" x14ac:dyDescent="0.2">
      <c r="A117" s="21" t="s">
        <v>467</v>
      </c>
      <c r="B117" s="234"/>
      <c r="C117" s="234"/>
      <c r="D117" s="166"/>
      <c r="E117" s="27"/>
      <c r="F117" s="234"/>
      <c r="G117" s="234"/>
      <c r="H117" s="166"/>
      <c r="I117" s="27"/>
      <c r="J117" s="289"/>
      <c r="K117" s="44"/>
      <c r="L117" s="257"/>
      <c r="M117" s="27"/>
    </row>
    <row r="118" spans="1:14" ht="15.75" x14ac:dyDescent="0.2">
      <c r="A118" s="21" t="s">
        <v>465</v>
      </c>
      <c r="B118" s="234"/>
      <c r="C118" s="234"/>
      <c r="D118" s="166"/>
      <c r="E118" s="27"/>
      <c r="F118" s="234"/>
      <c r="G118" s="234"/>
      <c r="H118" s="166"/>
      <c r="I118" s="27"/>
      <c r="J118" s="289"/>
      <c r="K118" s="44"/>
      <c r="L118" s="257"/>
      <c r="M118" s="27"/>
    </row>
    <row r="119" spans="1:14" ht="15.75" x14ac:dyDescent="0.2">
      <c r="A119" s="13" t="s">
        <v>446</v>
      </c>
      <c r="B119" s="310"/>
      <c r="C119" s="159"/>
      <c r="D119" s="171"/>
      <c r="E119" s="11"/>
      <c r="F119" s="310"/>
      <c r="G119" s="159"/>
      <c r="H119" s="171"/>
      <c r="I119" s="11"/>
      <c r="J119" s="311"/>
      <c r="K119" s="236"/>
      <c r="L119" s="429"/>
      <c r="M119" s="11"/>
    </row>
    <row r="120" spans="1:14" x14ac:dyDescent="0.2">
      <c r="A120" s="21" t="s">
        <v>9</v>
      </c>
      <c r="B120" s="234"/>
      <c r="C120" s="145"/>
      <c r="D120" s="166"/>
      <c r="E120" s="27"/>
      <c r="F120" s="234"/>
      <c r="G120" s="145"/>
      <c r="H120" s="166"/>
      <c r="I120" s="27"/>
      <c r="J120" s="289"/>
      <c r="K120" s="44"/>
      <c r="L120" s="257"/>
      <c r="M120" s="27"/>
    </row>
    <row r="121" spans="1:14" x14ac:dyDescent="0.2">
      <c r="A121" s="21" t="s">
        <v>10</v>
      </c>
      <c r="B121" s="234"/>
      <c r="C121" s="145"/>
      <c r="D121" s="166"/>
      <c r="E121" s="27"/>
      <c r="F121" s="234"/>
      <c r="G121" s="145"/>
      <c r="H121" s="166"/>
      <c r="I121" s="27"/>
      <c r="J121" s="289"/>
      <c r="K121" s="44"/>
      <c r="L121" s="257"/>
      <c r="M121" s="27"/>
    </row>
    <row r="122" spans="1:14" x14ac:dyDescent="0.2">
      <c r="A122" s="21" t="s">
        <v>26</v>
      </c>
      <c r="B122" s="234"/>
      <c r="C122" s="145"/>
      <c r="D122" s="166"/>
      <c r="E122" s="27"/>
      <c r="F122" s="234"/>
      <c r="G122" s="145"/>
      <c r="H122" s="166"/>
      <c r="I122" s="27"/>
      <c r="J122" s="289"/>
      <c r="K122" s="44"/>
      <c r="L122" s="257"/>
      <c r="M122" s="27"/>
    </row>
    <row r="123" spans="1:14" x14ac:dyDescent="0.2">
      <c r="A123" s="298" t="s">
        <v>14</v>
      </c>
      <c r="B123" s="283"/>
      <c r="C123" s="283"/>
      <c r="D123" s="166"/>
      <c r="E123" s="418"/>
      <c r="F123" s="283"/>
      <c r="G123" s="283"/>
      <c r="H123" s="166"/>
      <c r="I123" s="418"/>
      <c r="J123" s="292"/>
      <c r="K123" s="292"/>
      <c r="L123" s="166"/>
      <c r="M123" s="23"/>
    </row>
    <row r="124" spans="1:14" ht="15.75" x14ac:dyDescent="0.2">
      <c r="A124" s="21" t="s">
        <v>472</v>
      </c>
      <c r="B124" s="234"/>
      <c r="C124" s="234"/>
      <c r="D124" s="166"/>
      <c r="E124" s="27"/>
      <c r="F124" s="234"/>
      <c r="G124" s="234"/>
      <c r="H124" s="166"/>
      <c r="I124" s="27"/>
      <c r="J124" s="289"/>
      <c r="K124" s="44"/>
      <c r="L124" s="257"/>
      <c r="M124" s="27"/>
    </row>
    <row r="125" spans="1:14" ht="15.75" x14ac:dyDescent="0.2">
      <c r="A125" s="21" t="s">
        <v>464</v>
      </c>
      <c r="B125" s="234"/>
      <c r="C125" s="234"/>
      <c r="D125" s="166"/>
      <c r="E125" s="27"/>
      <c r="F125" s="234"/>
      <c r="G125" s="234"/>
      <c r="H125" s="166"/>
      <c r="I125" s="27"/>
      <c r="J125" s="289"/>
      <c r="K125" s="44"/>
      <c r="L125" s="257"/>
      <c r="M125" s="27"/>
    </row>
    <row r="126" spans="1:14" ht="15.75" x14ac:dyDescent="0.2">
      <c r="A126" s="10" t="s">
        <v>465</v>
      </c>
      <c r="B126" s="45"/>
      <c r="C126" s="45"/>
      <c r="D126" s="167"/>
      <c r="E126" s="419"/>
      <c r="F126" s="45"/>
      <c r="G126" s="45"/>
      <c r="H126" s="167"/>
      <c r="I126" s="22"/>
      <c r="J126" s="290"/>
      <c r="K126" s="45"/>
      <c r="L126" s="258"/>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1022"/>
      <c r="C130" s="1022"/>
      <c r="D130" s="1022"/>
      <c r="E130" s="301"/>
      <c r="F130" s="1022"/>
      <c r="G130" s="1022"/>
      <c r="H130" s="1022"/>
      <c r="I130" s="301"/>
      <c r="J130" s="1022"/>
      <c r="K130" s="1022"/>
      <c r="L130" s="1022"/>
      <c r="M130" s="301"/>
    </row>
    <row r="131" spans="1:14" s="3" customFormat="1" x14ac:dyDescent="0.2">
      <c r="A131" s="144"/>
      <c r="B131" s="1023" t="s">
        <v>0</v>
      </c>
      <c r="C131" s="1024"/>
      <c r="D131" s="1024"/>
      <c r="E131" s="303"/>
      <c r="F131" s="1023" t="s">
        <v>1</v>
      </c>
      <c r="G131" s="1024"/>
      <c r="H131" s="1024"/>
      <c r="I131" s="306"/>
      <c r="J131" s="1023" t="s">
        <v>2</v>
      </c>
      <c r="K131" s="1024"/>
      <c r="L131" s="1024"/>
      <c r="M131" s="306"/>
      <c r="N131" s="148"/>
    </row>
    <row r="132" spans="1:14" s="3" customFormat="1" x14ac:dyDescent="0.2">
      <c r="A132" s="140"/>
      <c r="B132" s="152" t="s">
        <v>502</v>
      </c>
      <c r="C132" s="152" t="s">
        <v>503</v>
      </c>
      <c r="D132" s="245" t="s">
        <v>3</v>
      </c>
      <c r="E132" s="307" t="s">
        <v>29</v>
      </c>
      <c r="F132" s="152" t="s">
        <v>502</v>
      </c>
      <c r="G132" s="152" t="s">
        <v>503</v>
      </c>
      <c r="H132" s="206" t="s">
        <v>3</v>
      </c>
      <c r="I132" s="162" t="s">
        <v>29</v>
      </c>
      <c r="J132" s="152" t="s">
        <v>502</v>
      </c>
      <c r="K132" s="152" t="s">
        <v>503</v>
      </c>
      <c r="L132" s="246" t="s">
        <v>3</v>
      </c>
      <c r="M132" s="162" t="s">
        <v>29</v>
      </c>
      <c r="N132" s="148"/>
    </row>
    <row r="133" spans="1:14" s="3" customFormat="1" x14ac:dyDescent="0.2">
      <c r="A133" s="990"/>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468</v>
      </c>
      <c r="B134" s="236"/>
      <c r="C134" s="311"/>
      <c r="D134" s="351"/>
      <c r="E134" s="11"/>
      <c r="F134" s="318"/>
      <c r="G134" s="319"/>
      <c r="H134" s="432"/>
      <c r="I134" s="24"/>
      <c r="J134" s="320"/>
      <c r="K134" s="320"/>
      <c r="L134" s="428"/>
      <c r="M134" s="11"/>
      <c r="N134" s="148"/>
    </row>
    <row r="135" spans="1:14" s="3" customFormat="1" ht="15.75" x14ac:dyDescent="0.2">
      <c r="A135" s="13" t="s">
        <v>473</v>
      </c>
      <c r="B135" s="236"/>
      <c r="C135" s="311"/>
      <c r="D135" s="171"/>
      <c r="E135" s="11"/>
      <c r="F135" s="236"/>
      <c r="G135" s="311"/>
      <c r="H135" s="433"/>
      <c r="I135" s="24"/>
      <c r="J135" s="310"/>
      <c r="K135" s="310"/>
      <c r="L135" s="429"/>
      <c r="M135" s="11"/>
      <c r="N135" s="148"/>
    </row>
    <row r="136" spans="1:14" s="3" customFormat="1" ht="15.75" x14ac:dyDescent="0.2">
      <c r="A136" s="13" t="s">
        <v>470</v>
      </c>
      <c r="B136" s="236"/>
      <c r="C136" s="311"/>
      <c r="D136" s="171"/>
      <c r="E136" s="11"/>
      <c r="F136" s="236"/>
      <c r="G136" s="311"/>
      <c r="H136" s="433"/>
      <c r="I136" s="24"/>
      <c r="J136" s="310"/>
      <c r="K136" s="310"/>
      <c r="L136" s="429"/>
      <c r="M136" s="11"/>
      <c r="N136" s="148"/>
    </row>
    <row r="137" spans="1:14" s="3" customFormat="1" ht="15.75" x14ac:dyDescent="0.2">
      <c r="A137" s="41" t="s">
        <v>471</v>
      </c>
      <c r="B137" s="278"/>
      <c r="C137" s="317"/>
      <c r="D137" s="169"/>
      <c r="E137" s="9"/>
      <c r="F137" s="278"/>
      <c r="G137" s="317"/>
      <c r="H137" s="434"/>
      <c r="I137" s="36"/>
      <c r="J137" s="316"/>
      <c r="K137" s="316"/>
      <c r="L137" s="430"/>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976" priority="132">
      <formula>kvartal &lt; 4</formula>
    </cfRule>
  </conditionalFormatting>
  <conditionalFormatting sqref="B69">
    <cfRule type="expression" dxfId="1975" priority="100">
      <formula>kvartal &lt; 4</formula>
    </cfRule>
  </conditionalFormatting>
  <conditionalFormatting sqref="C69">
    <cfRule type="expression" dxfId="1974" priority="99">
      <formula>kvartal &lt; 4</formula>
    </cfRule>
  </conditionalFormatting>
  <conditionalFormatting sqref="B72">
    <cfRule type="expression" dxfId="1973" priority="98">
      <formula>kvartal &lt; 4</formula>
    </cfRule>
  </conditionalFormatting>
  <conditionalFormatting sqref="C72">
    <cfRule type="expression" dxfId="1972" priority="97">
      <formula>kvartal &lt; 4</formula>
    </cfRule>
  </conditionalFormatting>
  <conditionalFormatting sqref="B80">
    <cfRule type="expression" dxfId="1971" priority="96">
      <formula>kvartal &lt; 4</formula>
    </cfRule>
  </conditionalFormatting>
  <conditionalFormatting sqref="C80">
    <cfRule type="expression" dxfId="1970" priority="95">
      <formula>kvartal &lt; 4</formula>
    </cfRule>
  </conditionalFormatting>
  <conditionalFormatting sqref="B83">
    <cfRule type="expression" dxfId="1969" priority="94">
      <formula>kvartal &lt; 4</formula>
    </cfRule>
  </conditionalFormatting>
  <conditionalFormatting sqref="C83">
    <cfRule type="expression" dxfId="1968" priority="93">
      <formula>kvartal &lt; 4</formula>
    </cfRule>
  </conditionalFormatting>
  <conditionalFormatting sqref="B90">
    <cfRule type="expression" dxfId="1967" priority="84">
      <formula>kvartal &lt; 4</formula>
    </cfRule>
  </conditionalFormatting>
  <conditionalFormatting sqref="C90">
    <cfRule type="expression" dxfId="1966" priority="83">
      <formula>kvartal &lt; 4</formula>
    </cfRule>
  </conditionalFormatting>
  <conditionalFormatting sqref="B93">
    <cfRule type="expression" dxfId="1965" priority="82">
      <formula>kvartal &lt; 4</formula>
    </cfRule>
  </conditionalFormatting>
  <conditionalFormatting sqref="C93">
    <cfRule type="expression" dxfId="1964" priority="81">
      <formula>kvartal &lt; 4</formula>
    </cfRule>
  </conditionalFormatting>
  <conditionalFormatting sqref="B101">
    <cfRule type="expression" dxfId="1963" priority="80">
      <formula>kvartal &lt; 4</formula>
    </cfRule>
  </conditionalFormatting>
  <conditionalFormatting sqref="C101">
    <cfRule type="expression" dxfId="1962" priority="79">
      <formula>kvartal &lt; 4</formula>
    </cfRule>
  </conditionalFormatting>
  <conditionalFormatting sqref="B104">
    <cfRule type="expression" dxfId="1961" priority="78">
      <formula>kvartal &lt; 4</formula>
    </cfRule>
  </conditionalFormatting>
  <conditionalFormatting sqref="C104">
    <cfRule type="expression" dxfId="1960" priority="77">
      <formula>kvartal &lt; 4</formula>
    </cfRule>
  </conditionalFormatting>
  <conditionalFormatting sqref="B115">
    <cfRule type="expression" dxfId="1959" priority="76">
      <formula>kvartal &lt; 4</formula>
    </cfRule>
  </conditionalFormatting>
  <conditionalFormatting sqref="C115">
    <cfRule type="expression" dxfId="1958" priority="75">
      <formula>kvartal &lt; 4</formula>
    </cfRule>
  </conditionalFormatting>
  <conditionalFormatting sqref="B123">
    <cfRule type="expression" dxfId="1957" priority="74">
      <formula>kvartal &lt; 4</formula>
    </cfRule>
  </conditionalFormatting>
  <conditionalFormatting sqref="C123">
    <cfRule type="expression" dxfId="1956" priority="73">
      <formula>kvartal &lt; 4</formula>
    </cfRule>
  </conditionalFormatting>
  <conditionalFormatting sqref="F70">
    <cfRule type="expression" dxfId="1955" priority="72">
      <formula>kvartal &lt; 4</formula>
    </cfRule>
  </conditionalFormatting>
  <conditionalFormatting sqref="G70">
    <cfRule type="expression" dxfId="1954" priority="71">
      <formula>kvartal &lt; 4</formula>
    </cfRule>
  </conditionalFormatting>
  <conditionalFormatting sqref="F71:G71">
    <cfRule type="expression" dxfId="1953" priority="70">
      <formula>kvartal &lt; 4</formula>
    </cfRule>
  </conditionalFormatting>
  <conditionalFormatting sqref="F73:G74">
    <cfRule type="expression" dxfId="1952" priority="69">
      <formula>kvartal &lt; 4</formula>
    </cfRule>
  </conditionalFormatting>
  <conditionalFormatting sqref="F81:G82">
    <cfRule type="expression" dxfId="1951" priority="68">
      <formula>kvartal &lt; 4</formula>
    </cfRule>
  </conditionalFormatting>
  <conditionalFormatting sqref="F84:G85">
    <cfRule type="expression" dxfId="1950" priority="67">
      <formula>kvartal &lt; 4</formula>
    </cfRule>
  </conditionalFormatting>
  <conditionalFormatting sqref="F91:G92">
    <cfRule type="expression" dxfId="1949" priority="62">
      <formula>kvartal &lt; 4</formula>
    </cfRule>
  </conditionalFormatting>
  <conditionalFormatting sqref="F94:G95">
    <cfRule type="expression" dxfId="1948" priority="61">
      <formula>kvartal &lt; 4</formula>
    </cfRule>
  </conditionalFormatting>
  <conditionalFormatting sqref="F102:G103">
    <cfRule type="expression" dxfId="1947" priority="60">
      <formula>kvartal &lt; 4</formula>
    </cfRule>
  </conditionalFormatting>
  <conditionalFormatting sqref="F105:G106">
    <cfRule type="expression" dxfId="1946" priority="59">
      <formula>kvartal &lt; 4</formula>
    </cfRule>
  </conditionalFormatting>
  <conditionalFormatting sqref="F115">
    <cfRule type="expression" dxfId="1945" priority="58">
      <formula>kvartal &lt; 4</formula>
    </cfRule>
  </conditionalFormatting>
  <conditionalFormatting sqref="G115">
    <cfRule type="expression" dxfId="1944" priority="57">
      <formula>kvartal &lt; 4</formula>
    </cfRule>
  </conditionalFormatting>
  <conditionalFormatting sqref="F123:G123">
    <cfRule type="expression" dxfId="1943" priority="56">
      <formula>kvartal &lt; 4</formula>
    </cfRule>
  </conditionalFormatting>
  <conditionalFormatting sqref="F69:G69">
    <cfRule type="expression" dxfId="1942" priority="55">
      <formula>kvartal &lt; 4</formula>
    </cfRule>
  </conditionalFormatting>
  <conditionalFormatting sqref="F72:G72">
    <cfRule type="expression" dxfId="1941" priority="54">
      <formula>kvartal &lt; 4</formula>
    </cfRule>
  </conditionalFormatting>
  <conditionalFormatting sqref="F80:G80">
    <cfRule type="expression" dxfId="1940" priority="53">
      <formula>kvartal &lt; 4</formula>
    </cfRule>
  </conditionalFormatting>
  <conditionalFormatting sqref="F83:G83">
    <cfRule type="expression" dxfId="1939" priority="52">
      <formula>kvartal &lt; 4</formula>
    </cfRule>
  </conditionalFormatting>
  <conditionalFormatting sqref="F90:G90">
    <cfRule type="expression" dxfId="1938" priority="46">
      <formula>kvartal &lt; 4</formula>
    </cfRule>
  </conditionalFormatting>
  <conditionalFormatting sqref="F93">
    <cfRule type="expression" dxfId="1937" priority="45">
      <formula>kvartal &lt; 4</formula>
    </cfRule>
  </conditionalFormatting>
  <conditionalFormatting sqref="G93">
    <cfRule type="expression" dxfId="1936" priority="44">
      <formula>kvartal &lt; 4</formula>
    </cfRule>
  </conditionalFormatting>
  <conditionalFormatting sqref="F101">
    <cfRule type="expression" dxfId="1935" priority="43">
      <formula>kvartal &lt; 4</formula>
    </cfRule>
  </conditionalFormatting>
  <conditionalFormatting sqref="G101">
    <cfRule type="expression" dxfId="1934" priority="42">
      <formula>kvartal &lt; 4</formula>
    </cfRule>
  </conditionalFormatting>
  <conditionalFormatting sqref="G104">
    <cfRule type="expression" dxfId="1933" priority="41">
      <formula>kvartal &lt; 4</formula>
    </cfRule>
  </conditionalFormatting>
  <conditionalFormatting sqref="F104">
    <cfRule type="expression" dxfId="1932" priority="40">
      <formula>kvartal &lt; 4</formula>
    </cfRule>
  </conditionalFormatting>
  <conditionalFormatting sqref="J69:K73">
    <cfRule type="expression" dxfId="1931" priority="39">
      <formula>kvartal &lt; 4</formula>
    </cfRule>
  </conditionalFormatting>
  <conditionalFormatting sqref="J74:K74">
    <cfRule type="expression" dxfId="1930" priority="38">
      <formula>kvartal &lt; 4</formula>
    </cfRule>
  </conditionalFormatting>
  <conditionalFormatting sqref="J80:K85">
    <cfRule type="expression" dxfId="1929" priority="37">
      <formula>kvartal &lt; 4</formula>
    </cfRule>
  </conditionalFormatting>
  <conditionalFormatting sqref="J90:K95">
    <cfRule type="expression" dxfId="1928" priority="34">
      <formula>kvartal &lt; 4</formula>
    </cfRule>
  </conditionalFormatting>
  <conditionalFormatting sqref="J101:K106">
    <cfRule type="expression" dxfId="1927" priority="33">
      <formula>kvartal &lt; 4</formula>
    </cfRule>
  </conditionalFormatting>
  <conditionalFormatting sqref="J115:K115">
    <cfRule type="expression" dxfId="1926" priority="32">
      <formula>kvartal &lt; 4</formula>
    </cfRule>
  </conditionalFormatting>
  <conditionalFormatting sqref="J123:K123">
    <cfRule type="expression" dxfId="1925" priority="31">
      <formula>kvartal &lt; 4</formula>
    </cfRule>
  </conditionalFormatting>
  <conditionalFormatting sqref="A50:A52">
    <cfRule type="expression" dxfId="1924" priority="12">
      <formula>kvartal &lt; 4</formula>
    </cfRule>
  </conditionalFormatting>
  <conditionalFormatting sqref="A69:A74">
    <cfRule type="expression" dxfId="1923" priority="10">
      <formula>kvartal &lt; 4</formula>
    </cfRule>
  </conditionalFormatting>
  <conditionalFormatting sqref="A80:A85">
    <cfRule type="expression" dxfId="1922" priority="9">
      <formula>kvartal &lt; 4</formula>
    </cfRule>
  </conditionalFormatting>
  <conditionalFormatting sqref="A90:A95">
    <cfRule type="expression" dxfId="1921" priority="6">
      <formula>kvartal &lt; 4</formula>
    </cfRule>
  </conditionalFormatting>
  <conditionalFormatting sqref="A101:A106">
    <cfRule type="expression" dxfId="1920" priority="5">
      <formula>kvartal &lt; 4</formula>
    </cfRule>
  </conditionalFormatting>
  <conditionalFormatting sqref="A115">
    <cfRule type="expression" dxfId="1919" priority="4">
      <formula>kvartal &lt; 4</formula>
    </cfRule>
  </conditionalFormatting>
  <conditionalFormatting sqref="A123">
    <cfRule type="expression" dxfId="1918" priority="3">
      <formula>kvartal &lt; 4</formula>
    </cfRule>
  </conditionalFormatting>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6"/>
  <dimension ref="A1:N144"/>
  <sheetViews>
    <sheetView showGridLines="0" zoomScale="120" zoomScaleNormal="120" zoomScaleSheetLayoutView="100" workbookViewId="0"/>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133</v>
      </c>
      <c r="B1" s="988"/>
      <c r="C1" s="248" t="s">
        <v>125</v>
      </c>
      <c r="D1" s="26"/>
      <c r="E1" s="26"/>
      <c r="F1" s="26"/>
      <c r="G1" s="26"/>
      <c r="H1" s="26"/>
      <c r="I1" s="26"/>
      <c r="J1" s="26"/>
      <c r="K1" s="26"/>
      <c r="L1" s="26"/>
      <c r="M1" s="26"/>
    </row>
    <row r="2" spans="1:14" ht="15.75" x14ac:dyDescent="0.25">
      <c r="A2" s="165" t="s">
        <v>28</v>
      </c>
      <c r="B2" s="1027"/>
      <c r="C2" s="1027"/>
      <c r="D2" s="1027"/>
      <c r="E2" s="301"/>
      <c r="F2" s="1027"/>
      <c r="G2" s="1027"/>
      <c r="H2" s="1027"/>
      <c r="I2" s="301"/>
      <c r="J2" s="1027"/>
      <c r="K2" s="1027"/>
      <c r="L2" s="1027"/>
      <c r="M2" s="301"/>
    </row>
    <row r="3" spans="1:14" ht="15.75" x14ac:dyDescent="0.25">
      <c r="A3" s="163"/>
      <c r="B3" s="301"/>
      <c r="C3" s="301"/>
      <c r="D3" s="301"/>
      <c r="E3" s="301"/>
      <c r="F3" s="301"/>
      <c r="G3" s="301"/>
      <c r="H3" s="301"/>
      <c r="I3" s="301"/>
      <c r="J3" s="301"/>
      <c r="K3" s="301"/>
      <c r="L3" s="301"/>
      <c r="M3" s="301"/>
    </row>
    <row r="4" spans="1:14" x14ac:dyDescent="0.2">
      <c r="A4" s="144"/>
      <c r="B4" s="1023" t="s">
        <v>0</v>
      </c>
      <c r="C4" s="1024"/>
      <c r="D4" s="1024"/>
      <c r="E4" s="303"/>
      <c r="F4" s="1023" t="s">
        <v>1</v>
      </c>
      <c r="G4" s="1024"/>
      <c r="H4" s="1024"/>
      <c r="I4" s="306"/>
      <c r="J4" s="1023" t="s">
        <v>2</v>
      </c>
      <c r="K4" s="1024"/>
      <c r="L4" s="1024"/>
      <c r="M4" s="306"/>
    </row>
    <row r="5" spans="1:14" x14ac:dyDescent="0.2">
      <c r="A5" s="158"/>
      <c r="B5" s="152" t="s">
        <v>502</v>
      </c>
      <c r="C5" s="152" t="s">
        <v>503</v>
      </c>
      <c r="D5" s="245" t="s">
        <v>3</v>
      </c>
      <c r="E5" s="307" t="s">
        <v>29</v>
      </c>
      <c r="F5" s="152" t="s">
        <v>502</v>
      </c>
      <c r="G5" s="152" t="s">
        <v>503</v>
      </c>
      <c r="H5" s="245" t="s">
        <v>3</v>
      </c>
      <c r="I5" s="162" t="s">
        <v>29</v>
      </c>
      <c r="J5" s="152" t="s">
        <v>502</v>
      </c>
      <c r="K5" s="152" t="s">
        <v>503</v>
      </c>
      <c r="L5" s="245" t="s">
        <v>3</v>
      </c>
      <c r="M5" s="162" t="s">
        <v>29</v>
      </c>
    </row>
    <row r="6" spans="1:14" x14ac:dyDescent="0.2">
      <c r="A6" s="989"/>
      <c r="B6" s="156"/>
      <c r="C6" s="156"/>
      <c r="D6" s="246" t="s">
        <v>4</v>
      </c>
      <c r="E6" s="156" t="s">
        <v>30</v>
      </c>
      <c r="F6" s="161"/>
      <c r="G6" s="161"/>
      <c r="H6" s="245" t="s">
        <v>4</v>
      </c>
      <c r="I6" s="156" t="s">
        <v>30</v>
      </c>
      <c r="J6" s="161"/>
      <c r="K6" s="161"/>
      <c r="L6" s="245" t="s">
        <v>4</v>
      </c>
      <c r="M6" s="156" t="s">
        <v>30</v>
      </c>
    </row>
    <row r="7" spans="1:14" ht="15.75" x14ac:dyDescent="0.2">
      <c r="A7" s="14" t="s">
        <v>23</v>
      </c>
      <c r="B7" s="308">
        <v>746870</v>
      </c>
      <c r="C7" s="309">
        <v>760138</v>
      </c>
      <c r="D7" s="351">
        <f>IF(B7=0, "    ---- ", IF(ABS(ROUND(100/B7*C7-100,1))&lt;999,ROUND(100/B7*C7-100,1),IF(ROUND(100/B7*C7-100,1)&gt;999,999,-999)))</f>
        <v>1.8</v>
      </c>
      <c r="E7" s="11">
        <f>IFERROR(100/'Skjema total MA'!C7*C7,0)</f>
        <v>15.988472296019275</v>
      </c>
      <c r="F7" s="308"/>
      <c r="G7" s="309"/>
      <c r="H7" s="351"/>
      <c r="I7" s="160"/>
      <c r="J7" s="310">
        <f t="shared" ref="J7:K10" si="0">SUM(B7,F7)</f>
        <v>746870</v>
      </c>
      <c r="K7" s="311">
        <f t="shared" si="0"/>
        <v>760138</v>
      </c>
      <c r="L7" s="428">
        <f>IF(J7=0, "    ---- ", IF(ABS(ROUND(100/J7*K7-100,1))&lt;999,ROUND(100/J7*K7-100,1),IF(ROUND(100/J7*K7-100,1)&gt;999,999,-999)))</f>
        <v>1.8</v>
      </c>
      <c r="M7" s="11">
        <f>IFERROR(100/'Skjema total MA'!I7*K7,0)</f>
        <v>5.0491109195716595</v>
      </c>
    </row>
    <row r="8" spans="1:14" ht="15.75" x14ac:dyDescent="0.2">
      <c r="A8" s="21" t="s">
        <v>25</v>
      </c>
      <c r="B8" s="283">
        <v>446247</v>
      </c>
      <c r="C8" s="284">
        <v>470988</v>
      </c>
      <c r="D8" s="166">
        <f t="shared" ref="D8:D10" si="1">IF(B8=0, "    ---- ", IF(ABS(ROUND(100/B8*C8-100,1))&lt;999,ROUND(100/B8*C8-100,1),IF(ROUND(100/B8*C8-100,1)&gt;999,999,-999)))</f>
        <v>5.5</v>
      </c>
      <c r="E8" s="27">
        <f>IFERROR(100/'Skjema total MA'!C8*C8,0)</f>
        <v>15.179503466586352</v>
      </c>
      <c r="F8" s="287"/>
      <c r="G8" s="288"/>
      <c r="H8" s="166"/>
      <c r="I8" s="175"/>
      <c r="J8" s="234">
        <f t="shared" si="0"/>
        <v>446247</v>
      </c>
      <c r="K8" s="289">
        <f t="shared" si="0"/>
        <v>470988</v>
      </c>
      <c r="L8" s="166">
        <f t="shared" ref="L8:L9" si="2">IF(J8=0, "    ---- ", IF(ABS(ROUND(100/J8*K8-100,1))&lt;999,ROUND(100/J8*K8-100,1),IF(ROUND(100/J8*K8-100,1)&gt;999,999,-999)))</f>
        <v>5.5</v>
      </c>
      <c r="M8" s="27">
        <f>IFERROR(100/'Skjema total MA'!I8*K8,0)</f>
        <v>15.179503466586352</v>
      </c>
    </row>
    <row r="9" spans="1:14" ht="15.75" x14ac:dyDescent="0.2">
      <c r="A9" s="21" t="s">
        <v>24</v>
      </c>
      <c r="B9" s="283">
        <v>300623</v>
      </c>
      <c r="C9" s="284">
        <v>289150</v>
      </c>
      <c r="D9" s="166">
        <f t="shared" si="1"/>
        <v>-3.8</v>
      </c>
      <c r="E9" s="27">
        <f>IFERROR(100/'Skjema total MA'!C9*C9,0)</f>
        <v>30.493712025376308</v>
      </c>
      <c r="F9" s="287"/>
      <c r="G9" s="288"/>
      <c r="H9" s="166"/>
      <c r="I9" s="175"/>
      <c r="J9" s="234">
        <f t="shared" si="0"/>
        <v>300623</v>
      </c>
      <c r="K9" s="289">
        <f t="shared" si="0"/>
        <v>289150</v>
      </c>
      <c r="L9" s="166">
        <f t="shared" si="2"/>
        <v>-3.8</v>
      </c>
      <c r="M9" s="27">
        <f>IFERROR(100/'Skjema total MA'!I9*K9,0)</f>
        <v>30.493712025376308</v>
      </c>
    </row>
    <row r="10" spans="1:14" ht="15.75" x14ac:dyDescent="0.2">
      <c r="A10" s="13" t="s">
        <v>444</v>
      </c>
      <c r="B10" s="312">
        <v>1122791</v>
      </c>
      <c r="C10" s="313">
        <v>1127127</v>
      </c>
      <c r="D10" s="171">
        <f t="shared" si="1"/>
        <v>0.4</v>
      </c>
      <c r="E10" s="11">
        <f>IFERROR(100/'Skjema total MA'!C10*C10,0)</f>
        <v>5.713204069537686</v>
      </c>
      <c r="F10" s="312"/>
      <c r="G10" s="313"/>
      <c r="H10" s="171"/>
      <c r="I10" s="160"/>
      <c r="J10" s="310">
        <f t="shared" si="0"/>
        <v>1122791</v>
      </c>
      <c r="K10" s="311">
        <f t="shared" si="0"/>
        <v>1127127</v>
      </c>
      <c r="L10" s="429">
        <f t="shared" ref="L10" si="3">IF(J10=0, "    ---- ", IF(ABS(ROUND(100/J10*K10-100,1))&lt;999,ROUND(100/J10*K10-100,1),IF(ROUND(100/J10*K10-100,1)&gt;999,999,-999)))</f>
        <v>0.4</v>
      </c>
      <c r="M10" s="11">
        <f>IFERROR(100/'Skjema total MA'!I10*K10,0)</f>
        <v>1.4015533405716094</v>
      </c>
    </row>
    <row r="11" spans="1:14" s="43" customFormat="1" ht="15.75" x14ac:dyDescent="0.2">
      <c r="A11" s="13" t="s">
        <v>445</v>
      </c>
      <c r="B11" s="312"/>
      <c r="C11" s="313"/>
      <c r="D11" s="171"/>
      <c r="E11" s="11"/>
      <c r="F11" s="312"/>
      <c r="G11" s="313"/>
      <c r="H11" s="171"/>
      <c r="I11" s="160"/>
      <c r="J11" s="310"/>
      <c r="K11" s="311"/>
      <c r="L11" s="429"/>
      <c r="M11" s="11"/>
      <c r="N11" s="143"/>
    </row>
    <row r="12" spans="1:14" s="43" customFormat="1" ht="15.75" x14ac:dyDescent="0.2">
      <c r="A12" s="41" t="s">
        <v>446</v>
      </c>
      <c r="B12" s="314"/>
      <c r="C12" s="315"/>
      <c r="D12" s="169"/>
      <c r="E12" s="36"/>
      <c r="F12" s="314"/>
      <c r="G12" s="315"/>
      <c r="H12" s="169"/>
      <c r="I12" s="169"/>
      <c r="J12" s="316"/>
      <c r="K12" s="317"/>
      <c r="L12" s="430"/>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1022"/>
      <c r="C18" s="1022"/>
      <c r="D18" s="1022"/>
      <c r="E18" s="301"/>
      <c r="F18" s="1022"/>
      <c r="G18" s="1022"/>
      <c r="H18" s="1022"/>
      <c r="I18" s="301"/>
      <c r="J18" s="1022"/>
      <c r="K18" s="1022"/>
      <c r="L18" s="1022"/>
      <c r="M18" s="301"/>
    </row>
    <row r="19" spans="1:14" x14ac:dyDescent="0.2">
      <c r="A19" s="144"/>
      <c r="B19" s="1023" t="s">
        <v>0</v>
      </c>
      <c r="C19" s="1024"/>
      <c r="D19" s="1024"/>
      <c r="E19" s="303"/>
      <c r="F19" s="1023" t="s">
        <v>1</v>
      </c>
      <c r="G19" s="1024"/>
      <c r="H19" s="1024"/>
      <c r="I19" s="306"/>
      <c r="J19" s="1023" t="s">
        <v>2</v>
      </c>
      <c r="K19" s="1024"/>
      <c r="L19" s="1024"/>
      <c r="M19" s="306"/>
    </row>
    <row r="20" spans="1:14" x14ac:dyDescent="0.2">
      <c r="A20" s="140" t="s">
        <v>5</v>
      </c>
      <c r="B20" s="152" t="s">
        <v>502</v>
      </c>
      <c r="C20" s="152" t="s">
        <v>503</v>
      </c>
      <c r="D20" s="162" t="s">
        <v>3</v>
      </c>
      <c r="E20" s="307" t="s">
        <v>29</v>
      </c>
      <c r="F20" s="152" t="s">
        <v>502</v>
      </c>
      <c r="G20" s="152" t="s">
        <v>503</v>
      </c>
      <c r="H20" s="162" t="s">
        <v>3</v>
      </c>
      <c r="I20" s="162" t="s">
        <v>29</v>
      </c>
      <c r="J20" s="152" t="s">
        <v>502</v>
      </c>
      <c r="K20" s="152" t="s">
        <v>503</v>
      </c>
      <c r="L20" s="162" t="s">
        <v>3</v>
      </c>
      <c r="M20" s="162" t="s">
        <v>29</v>
      </c>
    </row>
    <row r="21" spans="1:14" x14ac:dyDescent="0.2">
      <c r="A21" s="990"/>
      <c r="B21" s="156"/>
      <c r="C21" s="156"/>
      <c r="D21" s="246" t="s">
        <v>4</v>
      </c>
      <c r="E21" s="156" t="s">
        <v>30</v>
      </c>
      <c r="F21" s="161"/>
      <c r="G21" s="161"/>
      <c r="H21" s="245" t="s">
        <v>4</v>
      </c>
      <c r="I21" s="156" t="s">
        <v>30</v>
      </c>
      <c r="J21" s="161"/>
      <c r="K21" s="161"/>
      <c r="L21" s="156" t="s">
        <v>4</v>
      </c>
      <c r="M21" s="156" t="s">
        <v>30</v>
      </c>
    </row>
    <row r="22" spans="1:14" ht="15.75" x14ac:dyDescent="0.2">
      <c r="A22" s="14" t="s">
        <v>23</v>
      </c>
      <c r="B22" s="312"/>
      <c r="C22" s="312"/>
      <c r="D22" s="351"/>
      <c r="E22" s="11"/>
      <c r="F22" s="320"/>
      <c r="G22" s="320"/>
      <c r="H22" s="351"/>
      <c r="I22" s="11"/>
      <c r="J22" s="318"/>
      <c r="K22" s="318"/>
      <c r="L22" s="428"/>
      <c r="M22" s="24"/>
    </row>
    <row r="23" spans="1:14" ht="15.75" x14ac:dyDescent="0.2">
      <c r="A23" s="811" t="s">
        <v>447</v>
      </c>
      <c r="B23" s="283"/>
      <c r="C23" s="283"/>
      <c r="D23" s="166"/>
      <c r="E23" s="11"/>
      <c r="F23" s="292"/>
      <c r="G23" s="292"/>
      <c r="H23" s="166"/>
      <c r="I23" s="418"/>
      <c r="J23" s="292"/>
      <c r="K23" s="292"/>
      <c r="L23" s="166"/>
      <c r="M23" s="23"/>
    </row>
    <row r="24" spans="1:14" ht="15.75" x14ac:dyDescent="0.2">
      <c r="A24" s="811" t="s">
        <v>448</v>
      </c>
      <c r="B24" s="283"/>
      <c r="C24" s="283"/>
      <c r="D24" s="166"/>
      <c r="E24" s="11"/>
      <c r="F24" s="292"/>
      <c r="G24" s="292"/>
      <c r="H24" s="166"/>
      <c r="I24" s="418"/>
      <c r="J24" s="292"/>
      <c r="K24" s="292"/>
      <c r="L24" s="166"/>
      <c r="M24" s="23"/>
    </row>
    <row r="25" spans="1:14" ht="15.75" x14ac:dyDescent="0.2">
      <c r="A25" s="811" t="s">
        <v>449</v>
      </c>
      <c r="B25" s="283"/>
      <c r="C25" s="283"/>
      <c r="D25" s="166"/>
      <c r="E25" s="11"/>
      <c r="F25" s="292"/>
      <c r="G25" s="292"/>
      <c r="H25" s="166"/>
      <c r="I25" s="418"/>
      <c r="J25" s="292"/>
      <c r="K25" s="292"/>
      <c r="L25" s="166"/>
      <c r="M25" s="23"/>
    </row>
    <row r="26" spans="1:14" ht="15.75" x14ac:dyDescent="0.2">
      <c r="A26" s="811" t="s">
        <v>450</v>
      </c>
      <c r="B26" s="283"/>
      <c r="C26" s="283"/>
      <c r="D26" s="166"/>
      <c r="E26" s="11"/>
      <c r="F26" s="292"/>
      <c r="G26" s="292"/>
      <c r="H26" s="166"/>
      <c r="I26" s="418"/>
      <c r="J26" s="292"/>
      <c r="K26" s="292"/>
      <c r="L26" s="166"/>
      <c r="M26" s="23"/>
    </row>
    <row r="27" spans="1:14" x14ac:dyDescent="0.2">
      <c r="A27" s="811" t="s">
        <v>11</v>
      </c>
      <c r="B27" s="283"/>
      <c r="C27" s="283"/>
      <c r="D27" s="166"/>
      <c r="E27" s="11"/>
      <c r="F27" s="292"/>
      <c r="G27" s="292"/>
      <c r="H27" s="166"/>
      <c r="I27" s="418"/>
      <c r="J27" s="292"/>
      <c r="K27" s="292"/>
      <c r="L27" s="166"/>
      <c r="M27" s="23"/>
    </row>
    <row r="28" spans="1:14" ht="15.75" x14ac:dyDescent="0.2">
      <c r="A28" s="49" t="s">
        <v>272</v>
      </c>
      <c r="B28" s="44"/>
      <c r="C28" s="289"/>
      <c r="D28" s="166"/>
      <c r="E28" s="11"/>
      <c r="F28" s="234"/>
      <c r="G28" s="289"/>
      <c r="H28" s="166"/>
      <c r="I28" s="27"/>
      <c r="J28" s="44"/>
      <c r="K28" s="44"/>
      <c r="L28" s="257"/>
      <c r="M28" s="23"/>
    </row>
    <row r="29" spans="1:14" s="3" customFormat="1" ht="15.75" x14ac:dyDescent="0.2">
      <c r="A29" s="13" t="s">
        <v>444</v>
      </c>
      <c r="B29" s="236"/>
      <c r="C29" s="236"/>
      <c r="D29" s="171"/>
      <c r="E29" s="11"/>
      <c r="F29" s="310"/>
      <c r="G29" s="310"/>
      <c r="H29" s="171"/>
      <c r="I29" s="11"/>
      <c r="J29" s="236"/>
      <c r="K29" s="236"/>
      <c r="L29" s="429"/>
      <c r="M29" s="24"/>
      <c r="N29" s="148"/>
    </row>
    <row r="30" spans="1:14" s="3" customFormat="1" ht="15.75" x14ac:dyDescent="0.2">
      <c r="A30" s="811" t="s">
        <v>447</v>
      </c>
      <c r="B30" s="283"/>
      <c r="C30" s="283"/>
      <c r="D30" s="166"/>
      <c r="E30" s="11"/>
      <c r="F30" s="292"/>
      <c r="G30" s="292"/>
      <c r="H30" s="166"/>
      <c r="I30" s="418"/>
      <c r="J30" s="292"/>
      <c r="K30" s="292"/>
      <c r="L30" s="166"/>
      <c r="M30" s="23"/>
      <c r="N30" s="148"/>
    </row>
    <row r="31" spans="1:14" s="3" customFormat="1" ht="15.75" x14ac:dyDescent="0.2">
      <c r="A31" s="811" t="s">
        <v>448</v>
      </c>
      <c r="B31" s="283"/>
      <c r="C31" s="283"/>
      <c r="D31" s="166"/>
      <c r="E31" s="11"/>
      <c r="F31" s="292"/>
      <c r="G31" s="292"/>
      <c r="H31" s="166"/>
      <c r="I31" s="418"/>
      <c r="J31" s="292"/>
      <c r="K31" s="292"/>
      <c r="L31" s="166"/>
      <c r="M31" s="23"/>
      <c r="N31" s="148"/>
    </row>
    <row r="32" spans="1:14" ht="15.75" x14ac:dyDescent="0.2">
      <c r="A32" s="811" t="s">
        <v>449</v>
      </c>
      <c r="B32" s="283"/>
      <c r="C32" s="283"/>
      <c r="D32" s="166"/>
      <c r="E32" s="11"/>
      <c r="F32" s="292"/>
      <c r="G32" s="292"/>
      <c r="H32" s="166"/>
      <c r="I32" s="418"/>
      <c r="J32" s="292"/>
      <c r="K32" s="292"/>
      <c r="L32" s="166"/>
      <c r="M32" s="23"/>
    </row>
    <row r="33" spans="1:14" ht="15.75" x14ac:dyDescent="0.2">
      <c r="A33" s="811" t="s">
        <v>450</v>
      </c>
      <c r="B33" s="283"/>
      <c r="C33" s="283"/>
      <c r="D33" s="166"/>
      <c r="E33" s="11"/>
      <c r="F33" s="292"/>
      <c r="G33" s="292"/>
      <c r="H33" s="166"/>
      <c r="I33" s="418"/>
      <c r="J33" s="292"/>
      <c r="K33" s="292"/>
      <c r="L33" s="166"/>
      <c r="M33" s="23"/>
    </row>
    <row r="34" spans="1:14" ht="15.75" x14ac:dyDescent="0.2">
      <c r="A34" s="13" t="s">
        <v>445</v>
      </c>
      <c r="B34" s="236"/>
      <c r="C34" s="311"/>
      <c r="D34" s="171"/>
      <c r="E34" s="11"/>
      <c r="F34" s="310"/>
      <c r="G34" s="311"/>
      <c r="H34" s="171"/>
      <c r="I34" s="11"/>
      <c r="J34" s="236"/>
      <c r="K34" s="236"/>
      <c r="L34" s="429"/>
      <c r="M34" s="24"/>
    </row>
    <row r="35" spans="1:14" ht="15.75" x14ac:dyDescent="0.2">
      <c r="A35" s="13" t="s">
        <v>446</v>
      </c>
      <c r="B35" s="236"/>
      <c r="C35" s="311"/>
      <c r="D35" s="171"/>
      <c r="E35" s="11"/>
      <c r="F35" s="310"/>
      <c r="G35" s="311"/>
      <c r="H35" s="171"/>
      <c r="I35" s="11"/>
      <c r="J35" s="236"/>
      <c r="K35" s="236"/>
      <c r="L35" s="429"/>
      <c r="M35" s="24"/>
    </row>
    <row r="36" spans="1:14" ht="15.75" x14ac:dyDescent="0.2">
      <c r="A36" s="12" t="s">
        <v>280</v>
      </c>
      <c r="B36" s="236"/>
      <c r="C36" s="311"/>
      <c r="D36" s="171"/>
      <c r="E36" s="11"/>
      <c r="F36" s="321"/>
      <c r="G36" s="322"/>
      <c r="H36" s="171"/>
      <c r="I36" s="435"/>
      <c r="J36" s="236"/>
      <c r="K36" s="236"/>
      <c r="L36" s="429"/>
      <c r="M36" s="24"/>
    </row>
    <row r="37" spans="1:14" ht="15.75" x14ac:dyDescent="0.2">
      <c r="A37" s="12" t="s">
        <v>452</v>
      </c>
      <c r="B37" s="236"/>
      <c r="C37" s="311"/>
      <c r="D37" s="171"/>
      <c r="E37" s="11"/>
      <c r="F37" s="321"/>
      <c r="G37" s="323"/>
      <c r="H37" s="171"/>
      <c r="I37" s="435"/>
      <c r="J37" s="236"/>
      <c r="K37" s="236"/>
      <c r="L37" s="429"/>
      <c r="M37" s="24"/>
    </row>
    <row r="38" spans="1:14" ht="15.75" x14ac:dyDescent="0.2">
      <c r="A38" s="12" t="s">
        <v>453</v>
      </c>
      <c r="B38" s="236"/>
      <c r="C38" s="311"/>
      <c r="D38" s="171"/>
      <c r="E38" s="24"/>
      <c r="F38" s="321"/>
      <c r="G38" s="322"/>
      <c r="H38" s="171"/>
      <c r="I38" s="435"/>
      <c r="J38" s="236"/>
      <c r="K38" s="236"/>
      <c r="L38" s="429"/>
      <c r="M38" s="24"/>
    </row>
    <row r="39" spans="1:14" ht="15.75" x14ac:dyDescent="0.2">
      <c r="A39" s="18" t="s">
        <v>454</v>
      </c>
      <c r="B39" s="278"/>
      <c r="C39" s="317"/>
      <c r="D39" s="169"/>
      <c r="E39" s="36"/>
      <c r="F39" s="324"/>
      <c r="G39" s="325"/>
      <c r="H39" s="169"/>
      <c r="I39" s="36"/>
      <c r="J39" s="236"/>
      <c r="K39" s="236"/>
      <c r="L39" s="430"/>
      <c r="M39" s="36"/>
    </row>
    <row r="40" spans="1:14" ht="15.75" x14ac:dyDescent="0.25">
      <c r="A40" s="47"/>
      <c r="B40" s="256"/>
      <c r="C40" s="256"/>
      <c r="D40" s="1026"/>
      <c r="E40" s="1026"/>
      <c r="F40" s="1026"/>
      <c r="G40" s="1026"/>
      <c r="H40" s="1026"/>
      <c r="I40" s="1026"/>
      <c r="J40" s="1026"/>
      <c r="K40" s="1026"/>
      <c r="L40" s="1026"/>
      <c r="M40" s="304"/>
    </row>
    <row r="41" spans="1:14" x14ac:dyDescent="0.2">
      <c r="A41" s="155"/>
    </row>
    <row r="42" spans="1:14" ht="15.75" x14ac:dyDescent="0.25">
      <c r="A42" s="147" t="s">
        <v>269</v>
      </c>
      <c r="B42" s="1027"/>
      <c r="C42" s="1027"/>
      <c r="D42" s="1027"/>
      <c r="E42" s="301"/>
      <c r="F42" s="1028"/>
      <c r="G42" s="1028"/>
      <c r="H42" s="1028"/>
      <c r="I42" s="304"/>
      <c r="J42" s="1028"/>
      <c r="K42" s="1028"/>
      <c r="L42" s="1028"/>
      <c r="M42" s="304"/>
    </row>
    <row r="43" spans="1:14" ht="15.75" x14ac:dyDescent="0.25">
      <c r="A43" s="163"/>
      <c r="B43" s="305"/>
      <c r="C43" s="305"/>
      <c r="D43" s="305"/>
      <c r="E43" s="305"/>
      <c r="F43" s="304"/>
      <c r="G43" s="304"/>
      <c r="H43" s="304"/>
      <c r="I43" s="304"/>
      <c r="J43" s="304"/>
      <c r="K43" s="304"/>
      <c r="L43" s="304"/>
      <c r="M43" s="304"/>
    </row>
    <row r="44" spans="1:14" ht="15.75" x14ac:dyDescent="0.25">
      <c r="A44" s="247"/>
      <c r="B44" s="1023" t="s">
        <v>0</v>
      </c>
      <c r="C44" s="1024"/>
      <c r="D44" s="1024"/>
      <c r="E44" s="243"/>
      <c r="F44" s="304"/>
      <c r="G44" s="304"/>
      <c r="H44" s="304"/>
      <c r="I44" s="304"/>
      <c r="J44" s="304"/>
      <c r="K44" s="304"/>
      <c r="L44" s="304"/>
      <c r="M44" s="304"/>
    </row>
    <row r="45" spans="1:14" s="3" customFormat="1" x14ac:dyDescent="0.2">
      <c r="A45" s="140"/>
      <c r="B45" s="152" t="s">
        <v>502</v>
      </c>
      <c r="C45" s="152" t="s">
        <v>503</v>
      </c>
      <c r="D45" s="162" t="s">
        <v>3</v>
      </c>
      <c r="E45" s="162" t="s">
        <v>29</v>
      </c>
      <c r="F45" s="174"/>
      <c r="G45" s="174"/>
      <c r="H45" s="173"/>
      <c r="I45" s="173"/>
      <c r="J45" s="174"/>
      <c r="K45" s="174"/>
      <c r="L45" s="173"/>
      <c r="M45" s="173"/>
      <c r="N45" s="148"/>
    </row>
    <row r="46" spans="1:14" s="3" customFormat="1" x14ac:dyDescent="0.2">
      <c r="A46" s="990"/>
      <c r="B46" s="244"/>
      <c r="C46" s="244"/>
      <c r="D46" s="245" t="s">
        <v>4</v>
      </c>
      <c r="E46" s="156" t="s">
        <v>30</v>
      </c>
      <c r="F46" s="173"/>
      <c r="G46" s="173"/>
      <c r="H46" s="173"/>
      <c r="I46" s="173"/>
      <c r="J46" s="173"/>
      <c r="K46" s="173"/>
      <c r="L46" s="173"/>
      <c r="M46" s="173"/>
      <c r="N46" s="148"/>
    </row>
    <row r="47" spans="1:14" s="3" customFormat="1" ht="15.75" x14ac:dyDescent="0.2">
      <c r="A47" s="14" t="s">
        <v>23</v>
      </c>
      <c r="B47" s="312">
        <v>812800</v>
      </c>
      <c r="C47" s="313">
        <v>906280</v>
      </c>
      <c r="D47" s="428">
        <f t="shared" ref="D47:D58" si="4">IF(B47=0, "    ---- ", IF(ABS(ROUND(100/B47*C47-100,1))&lt;999,ROUND(100/B47*C47-100,1),IF(ROUND(100/B47*C47-100,1)&gt;999,999,-999)))</f>
        <v>11.5</v>
      </c>
      <c r="E47" s="11">
        <f>IFERROR(100/'Skjema total MA'!C47*C47,0)</f>
        <v>18.971438110340713</v>
      </c>
      <c r="F47" s="145"/>
      <c r="G47" s="33"/>
      <c r="H47" s="159"/>
      <c r="I47" s="159"/>
      <c r="J47" s="37"/>
      <c r="K47" s="37"/>
      <c r="L47" s="159"/>
      <c r="M47" s="159"/>
      <c r="N47" s="148"/>
    </row>
    <row r="48" spans="1:14" s="3" customFormat="1" ht="15.75" x14ac:dyDescent="0.2">
      <c r="A48" s="38" t="s">
        <v>455</v>
      </c>
      <c r="B48" s="283">
        <v>530720</v>
      </c>
      <c r="C48" s="284">
        <v>591282</v>
      </c>
      <c r="D48" s="257">
        <f t="shared" si="4"/>
        <v>11.4</v>
      </c>
      <c r="E48" s="27">
        <f>IFERROR(100/'Skjema total MA'!C48*C48,0)</f>
        <v>22.192135821604293</v>
      </c>
      <c r="F48" s="145"/>
      <c r="G48" s="33"/>
      <c r="H48" s="145"/>
      <c r="I48" s="145"/>
      <c r="J48" s="33"/>
      <c r="K48" s="33"/>
      <c r="L48" s="159"/>
      <c r="M48" s="159"/>
      <c r="N48" s="148"/>
    </row>
    <row r="49" spans="1:14" s="3" customFormat="1" ht="15.75" x14ac:dyDescent="0.2">
      <c r="A49" s="38" t="s">
        <v>456</v>
      </c>
      <c r="B49" s="44">
        <v>282080</v>
      </c>
      <c r="C49" s="289">
        <v>314998</v>
      </c>
      <c r="D49" s="257">
        <f>IF(B49=0, "    ---- ", IF(ABS(ROUND(100/B49*C49-100,1))&lt;999,ROUND(100/B49*C49-100,1),IF(ROUND(100/B49*C49-100,1)&gt;999,999,-999)))</f>
        <v>11.7</v>
      </c>
      <c r="E49" s="27">
        <f>IFERROR(100/'Skjema total MA'!C49*C49,0)</f>
        <v>14.90973886734235</v>
      </c>
      <c r="F49" s="145"/>
      <c r="G49" s="33"/>
      <c r="H49" s="145"/>
      <c r="I49" s="145"/>
      <c r="J49" s="37"/>
      <c r="K49" s="37"/>
      <c r="L49" s="159"/>
      <c r="M49" s="159"/>
      <c r="N49" s="148"/>
    </row>
    <row r="50" spans="1:14" s="3" customFormat="1" x14ac:dyDescent="0.2">
      <c r="A50" s="298" t="s">
        <v>6</v>
      </c>
      <c r="B50" s="292"/>
      <c r="C50" s="293"/>
      <c r="D50" s="257"/>
      <c r="E50" s="23"/>
      <c r="F50" s="145"/>
      <c r="G50" s="33"/>
      <c r="H50" s="145"/>
      <c r="I50" s="145"/>
      <c r="J50" s="33"/>
      <c r="K50" s="33"/>
      <c r="L50" s="159"/>
      <c r="M50" s="159"/>
      <c r="N50" s="148"/>
    </row>
    <row r="51" spans="1:14" s="3" customFormat="1" x14ac:dyDescent="0.2">
      <c r="A51" s="298" t="s">
        <v>7</v>
      </c>
      <c r="B51" s="292">
        <v>241527</v>
      </c>
      <c r="C51" s="293">
        <v>277400</v>
      </c>
      <c r="D51" s="257">
        <f>IF(B51=0, "    ---- ", IF(ABS(ROUND(100/B51*C51-100,1))&lt;999,ROUND(100/B51*C51-100,1),IF(ROUND(100/B51*C51-100,1)&gt;999,999,-999)))</f>
        <v>14.9</v>
      </c>
      <c r="E51" s="27">
        <f>IFERROR(100/'Skjema total MA'!C51*C51,0)</f>
        <v>13.608252213508598</v>
      </c>
      <c r="F51" s="145"/>
      <c r="G51" s="33"/>
      <c r="H51" s="145"/>
      <c r="I51" s="145"/>
      <c r="J51" s="33"/>
      <c r="K51" s="33"/>
      <c r="L51" s="159"/>
      <c r="M51" s="159"/>
      <c r="N51" s="148"/>
    </row>
    <row r="52" spans="1:14" s="3" customFormat="1" x14ac:dyDescent="0.2">
      <c r="A52" s="298" t="s">
        <v>8</v>
      </c>
      <c r="B52" s="292">
        <v>40553</v>
      </c>
      <c r="C52" s="293">
        <v>37598</v>
      </c>
      <c r="D52" s="257">
        <f>IF(B52=0, "    ---- ", IF(ABS(ROUND(100/B52*C52-100,1))&lt;999,ROUND(100/B52*C52-100,1),IF(ROUND(100/B52*C52-100,1)&gt;999,999,-999)))</f>
        <v>-7.3</v>
      </c>
      <c r="E52" s="27">
        <f>IFERROR(100/'Skjema total MA'!C52*C52,0)</f>
        <v>51.711629079081504</v>
      </c>
      <c r="F52" s="145"/>
      <c r="G52" s="33"/>
      <c r="H52" s="145"/>
      <c r="I52" s="145"/>
      <c r="J52" s="33"/>
      <c r="K52" s="33"/>
      <c r="L52" s="159"/>
      <c r="M52" s="159"/>
      <c r="N52" s="148"/>
    </row>
    <row r="53" spans="1:14" s="3" customFormat="1" ht="15.75" x14ac:dyDescent="0.2">
      <c r="A53" s="39" t="s">
        <v>457</v>
      </c>
      <c r="B53" s="312">
        <v>30886</v>
      </c>
      <c r="C53" s="313">
        <v>73086</v>
      </c>
      <c r="D53" s="429">
        <f t="shared" si="4"/>
        <v>136.6</v>
      </c>
      <c r="E53" s="11">
        <f>IFERROR(100/'Skjema total MA'!C53*C53,0)</f>
        <v>44.661030111779525</v>
      </c>
      <c r="F53" s="145"/>
      <c r="G53" s="33"/>
      <c r="H53" s="145"/>
      <c r="I53" s="145"/>
      <c r="J53" s="33"/>
      <c r="K53" s="33"/>
      <c r="L53" s="159"/>
      <c r="M53" s="159"/>
      <c r="N53" s="148"/>
    </row>
    <row r="54" spans="1:14" s="3" customFormat="1" ht="15.75" x14ac:dyDescent="0.2">
      <c r="A54" s="38" t="s">
        <v>455</v>
      </c>
      <c r="B54" s="283">
        <v>30886</v>
      </c>
      <c r="C54" s="284">
        <v>73086</v>
      </c>
      <c r="D54" s="257">
        <f t="shared" si="4"/>
        <v>136.6</v>
      </c>
      <c r="E54" s="27">
        <f>IFERROR(100/'Skjema total MA'!C54*C54,0)</f>
        <v>44.661030111779525</v>
      </c>
      <c r="F54" s="145"/>
      <c r="G54" s="33"/>
      <c r="H54" s="145"/>
      <c r="I54" s="145"/>
      <c r="J54" s="33"/>
      <c r="K54" s="33"/>
      <c r="L54" s="159"/>
      <c r="M54" s="159"/>
      <c r="N54" s="148"/>
    </row>
    <row r="55" spans="1:14" s="3" customFormat="1" ht="15.75" x14ac:dyDescent="0.2">
      <c r="A55" s="38" t="s">
        <v>456</v>
      </c>
      <c r="B55" s="283"/>
      <c r="C55" s="284"/>
      <c r="D55" s="257"/>
      <c r="E55" s="27"/>
      <c r="F55" s="145"/>
      <c r="G55" s="33"/>
      <c r="H55" s="145"/>
      <c r="I55" s="145"/>
      <c r="J55" s="33"/>
      <c r="K55" s="33"/>
      <c r="L55" s="159"/>
      <c r="M55" s="159"/>
      <c r="N55" s="148"/>
    </row>
    <row r="56" spans="1:14" s="3" customFormat="1" ht="15.75" x14ac:dyDescent="0.2">
      <c r="A56" s="39" t="s">
        <v>458</v>
      </c>
      <c r="B56" s="312">
        <v>110091</v>
      </c>
      <c r="C56" s="313">
        <v>30672</v>
      </c>
      <c r="D56" s="429">
        <f t="shared" si="4"/>
        <v>-72.099999999999994</v>
      </c>
      <c r="E56" s="11">
        <f>IFERROR(100/'Skjema total MA'!C56*C56,0)</f>
        <v>24.172755762722083</v>
      </c>
      <c r="F56" s="145"/>
      <c r="G56" s="33"/>
      <c r="H56" s="145"/>
      <c r="I56" s="145"/>
      <c r="J56" s="33"/>
      <c r="K56" s="33"/>
      <c r="L56" s="159"/>
      <c r="M56" s="159"/>
      <c r="N56" s="148"/>
    </row>
    <row r="57" spans="1:14" s="3" customFormat="1" ht="15.75" x14ac:dyDescent="0.2">
      <c r="A57" s="38" t="s">
        <v>455</v>
      </c>
      <c r="B57" s="283">
        <v>44059</v>
      </c>
      <c r="C57" s="284">
        <v>30672</v>
      </c>
      <c r="D57" s="257">
        <f t="shared" si="4"/>
        <v>-30.4</v>
      </c>
      <c r="E57" s="27">
        <f>IFERROR(100/'Skjema total MA'!C57*C57,0)</f>
        <v>24.1733272963065</v>
      </c>
      <c r="F57" s="145"/>
      <c r="G57" s="33"/>
      <c r="H57" s="145"/>
      <c r="I57" s="145"/>
      <c r="J57" s="33"/>
      <c r="K57" s="33"/>
      <c r="L57" s="159"/>
      <c r="M57" s="159"/>
      <c r="N57" s="148"/>
    </row>
    <row r="58" spans="1:14" s="3" customFormat="1" ht="15.75" x14ac:dyDescent="0.2">
      <c r="A58" s="46" t="s">
        <v>456</v>
      </c>
      <c r="B58" s="285">
        <v>66032</v>
      </c>
      <c r="C58" s="286">
        <v>0</v>
      </c>
      <c r="D58" s="258">
        <f t="shared" si="4"/>
        <v>-100</v>
      </c>
      <c r="E58" s="22">
        <f>IFERROR(100/'Skjema total MA'!C58*C58,0)</f>
        <v>0</v>
      </c>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1022"/>
      <c r="C62" s="1022"/>
      <c r="D62" s="1022"/>
      <c r="E62" s="301"/>
      <c r="F62" s="1022"/>
      <c r="G62" s="1022"/>
      <c r="H62" s="1022"/>
      <c r="I62" s="301"/>
      <c r="J62" s="1022"/>
      <c r="K62" s="1022"/>
      <c r="L62" s="1022"/>
      <c r="M62" s="301"/>
    </row>
    <row r="63" spans="1:14" x14ac:dyDescent="0.2">
      <c r="A63" s="144"/>
      <c r="B63" s="1023" t="s">
        <v>0</v>
      </c>
      <c r="C63" s="1024"/>
      <c r="D63" s="1025"/>
      <c r="E63" s="302"/>
      <c r="F63" s="1024" t="s">
        <v>1</v>
      </c>
      <c r="G63" s="1024"/>
      <c r="H63" s="1024"/>
      <c r="I63" s="306"/>
      <c r="J63" s="1023" t="s">
        <v>2</v>
      </c>
      <c r="K63" s="1024"/>
      <c r="L63" s="1024"/>
      <c r="M63" s="306"/>
    </row>
    <row r="64" spans="1:14" x14ac:dyDescent="0.2">
      <c r="A64" s="140"/>
      <c r="B64" s="152" t="s">
        <v>502</v>
      </c>
      <c r="C64" s="152" t="s">
        <v>503</v>
      </c>
      <c r="D64" s="245" t="s">
        <v>3</v>
      </c>
      <c r="E64" s="307" t="s">
        <v>29</v>
      </c>
      <c r="F64" s="152" t="s">
        <v>502</v>
      </c>
      <c r="G64" s="152" t="s">
        <v>503</v>
      </c>
      <c r="H64" s="245" t="s">
        <v>3</v>
      </c>
      <c r="I64" s="307" t="s">
        <v>29</v>
      </c>
      <c r="J64" s="152" t="s">
        <v>502</v>
      </c>
      <c r="K64" s="152" t="s">
        <v>503</v>
      </c>
      <c r="L64" s="245" t="s">
        <v>3</v>
      </c>
      <c r="M64" s="162" t="s">
        <v>29</v>
      </c>
    </row>
    <row r="65" spans="1:14" x14ac:dyDescent="0.2">
      <c r="A65" s="990"/>
      <c r="B65" s="156"/>
      <c r="C65" s="156"/>
      <c r="D65" s="246" t="s">
        <v>4</v>
      </c>
      <c r="E65" s="156" t="s">
        <v>30</v>
      </c>
      <c r="F65" s="161"/>
      <c r="G65" s="161"/>
      <c r="H65" s="245"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9"/>
      <c r="M66" s="11"/>
    </row>
    <row r="67" spans="1:14" x14ac:dyDescent="0.2">
      <c r="A67" s="420" t="s">
        <v>9</v>
      </c>
      <c r="B67" s="44"/>
      <c r="C67" s="145"/>
      <c r="D67" s="166"/>
      <c r="E67" s="27"/>
      <c r="F67" s="234"/>
      <c r="G67" s="145"/>
      <c r="H67" s="166"/>
      <c r="I67" s="27"/>
      <c r="J67" s="289"/>
      <c r="K67" s="44"/>
      <c r="L67" s="257"/>
      <c r="M67" s="27"/>
    </row>
    <row r="68" spans="1:14" x14ac:dyDescent="0.2">
      <c r="A68" s="21" t="s">
        <v>10</v>
      </c>
      <c r="B68" s="294"/>
      <c r="C68" s="295"/>
      <c r="D68" s="166"/>
      <c r="E68" s="27"/>
      <c r="F68" s="294"/>
      <c r="G68" s="295"/>
      <c r="H68" s="166"/>
      <c r="I68" s="27"/>
      <c r="J68" s="289"/>
      <c r="K68" s="44"/>
      <c r="L68" s="257"/>
      <c r="M68" s="27"/>
    </row>
    <row r="69" spans="1:14" ht="15.75" x14ac:dyDescent="0.2">
      <c r="A69" s="298" t="s">
        <v>459</v>
      </c>
      <c r="B69" s="283"/>
      <c r="C69" s="283"/>
      <c r="D69" s="166"/>
      <c r="E69" s="418"/>
      <c r="F69" s="283"/>
      <c r="G69" s="283"/>
      <c r="H69" s="166"/>
      <c r="I69" s="418"/>
      <c r="J69" s="292"/>
      <c r="K69" s="292"/>
      <c r="L69" s="166"/>
      <c r="M69" s="23"/>
    </row>
    <row r="70" spans="1:14" x14ac:dyDescent="0.2">
      <c r="A70" s="298" t="s">
        <v>12</v>
      </c>
      <c r="B70" s="296"/>
      <c r="C70" s="297"/>
      <c r="D70" s="166"/>
      <c r="E70" s="418"/>
      <c r="F70" s="283"/>
      <c r="G70" s="283"/>
      <c r="H70" s="166"/>
      <c r="I70" s="418"/>
      <c r="J70" s="292"/>
      <c r="K70" s="292"/>
      <c r="L70" s="166"/>
      <c r="M70" s="23"/>
    </row>
    <row r="71" spans="1:14" x14ac:dyDescent="0.2">
      <c r="A71" s="298" t="s">
        <v>13</v>
      </c>
      <c r="B71" s="235"/>
      <c r="C71" s="291"/>
      <c r="D71" s="166"/>
      <c r="E71" s="418"/>
      <c r="F71" s="283"/>
      <c r="G71" s="283"/>
      <c r="H71" s="166"/>
      <c r="I71" s="418"/>
      <c r="J71" s="292"/>
      <c r="K71" s="292"/>
      <c r="L71" s="166"/>
      <c r="M71" s="23"/>
    </row>
    <row r="72" spans="1:14" ht="15.75" x14ac:dyDescent="0.2">
      <c r="A72" s="298" t="s">
        <v>460</v>
      </c>
      <c r="B72" s="283"/>
      <c r="C72" s="283"/>
      <c r="D72" s="166"/>
      <c r="E72" s="418"/>
      <c r="F72" s="283"/>
      <c r="G72" s="283"/>
      <c r="H72" s="166"/>
      <c r="I72" s="418"/>
      <c r="J72" s="292"/>
      <c r="K72" s="292"/>
      <c r="L72" s="166"/>
      <c r="M72" s="23"/>
    </row>
    <row r="73" spans="1:14" x14ac:dyDescent="0.2">
      <c r="A73" s="298" t="s">
        <v>12</v>
      </c>
      <c r="B73" s="235"/>
      <c r="C73" s="291"/>
      <c r="D73" s="166"/>
      <c r="E73" s="418"/>
      <c r="F73" s="283"/>
      <c r="G73" s="283"/>
      <c r="H73" s="166"/>
      <c r="I73" s="418"/>
      <c r="J73" s="292"/>
      <c r="K73" s="292"/>
      <c r="L73" s="166"/>
      <c r="M73" s="23"/>
    </row>
    <row r="74" spans="1:14" s="3" customFormat="1" x14ac:dyDescent="0.2">
      <c r="A74" s="298" t="s">
        <v>13</v>
      </c>
      <c r="B74" s="235"/>
      <c r="C74" s="291"/>
      <c r="D74" s="166"/>
      <c r="E74" s="418"/>
      <c r="F74" s="283"/>
      <c r="G74" s="283"/>
      <c r="H74" s="166"/>
      <c r="I74" s="418"/>
      <c r="J74" s="292"/>
      <c r="K74" s="292"/>
      <c r="L74" s="166"/>
      <c r="M74" s="23"/>
      <c r="N74" s="148"/>
    </row>
    <row r="75" spans="1:14" s="3" customFormat="1" x14ac:dyDescent="0.2">
      <c r="A75" s="21" t="s">
        <v>346</v>
      </c>
      <c r="B75" s="234"/>
      <c r="C75" s="145"/>
      <c r="D75" s="166"/>
      <c r="E75" s="27"/>
      <c r="F75" s="234"/>
      <c r="G75" s="145"/>
      <c r="H75" s="166"/>
      <c r="I75" s="27"/>
      <c r="J75" s="289"/>
      <c r="K75" s="44"/>
      <c r="L75" s="257"/>
      <c r="M75" s="27"/>
      <c r="N75" s="148"/>
    </row>
    <row r="76" spans="1:14" s="3" customFormat="1" x14ac:dyDescent="0.2">
      <c r="A76" s="21" t="s">
        <v>345</v>
      </c>
      <c r="B76" s="234"/>
      <c r="C76" s="145"/>
      <c r="D76" s="166"/>
      <c r="E76" s="27"/>
      <c r="F76" s="234"/>
      <c r="G76" s="145"/>
      <c r="H76" s="166"/>
      <c r="I76" s="27"/>
      <c r="J76" s="289"/>
      <c r="K76" s="44"/>
      <c r="L76" s="257"/>
      <c r="M76" s="27"/>
      <c r="N76" s="148"/>
    </row>
    <row r="77" spans="1:14" ht="15.75" x14ac:dyDescent="0.2">
      <c r="A77" s="21" t="s">
        <v>461</v>
      </c>
      <c r="B77" s="234"/>
      <c r="C77" s="234"/>
      <c r="D77" s="166"/>
      <c r="E77" s="27"/>
      <c r="F77" s="234"/>
      <c r="G77" s="145"/>
      <c r="H77" s="166"/>
      <c r="I77" s="27"/>
      <c r="J77" s="289"/>
      <c r="K77" s="44"/>
      <c r="L77" s="257"/>
      <c r="M77" s="27"/>
    </row>
    <row r="78" spans="1:14" x14ac:dyDescent="0.2">
      <c r="A78" s="21" t="s">
        <v>9</v>
      </c>
      <c r="B78" s="234"/>
      <c r="C78" s="145"/>
      <c r="D78" s="166"/>
      <c r="E78" s="27"/>
      <c r="F78" s="234"/>
      <c r="G78" s="145"/>
      <c r="H78" s="166"/>
      <c r="I78" s="27"/>
      <c r="J78" s="289"/>
      <c r="K78" s="44"/>
      <c r="L78" s="257"/>
      <c r="M78" s="27"/>
    </row>
    <row r="79" spans="1:14" x14ac:dyDescent="0.2">
      <c r="A79" s="21" t="s">
        <v>10</v>
      </c>
      <c r="B79" s="294"/>
      <c r="C79" s="295"/>
      <c r="D79" s="166"/>
      <c r="E79" s="27"/>
      <c r="F79" s="294"/>
      <c r="G79" s="295"/>
      <c r="H79" s="166"/>
      <c r="I79" s="27"/>
      <c r="J79" s="289"/>
      <c r="K79" s="44"/>
      <c r="L79" s="257"/>
      <c r="M79" s="27"/>
    </row>
    <row r="80" spans="1:14" ht="15.75" x14ac:dyDescent="0.2">
      <c r="A80" s="298" t="s">
        <v>459</v>
      </c>
      <c r="B80" s="283"/>
      <c r="C80" s="283"/>
      <c r="D80" s="166"/>
      <c r="E80" s="418"/>
      <c r="F80" s="283"/>
      <c r="G80" s="283"/>
      <c r="H80" s="166"/>
      <c r="I80" s="418"/>
      <c r="J80" s="292"/>
      <c r="K80" s="292"/>
      <c r="L80" s="166"/>
      <c r="M80" s="23"/>
    </row>
    <row r="81" spans="1:13" x14ac:dyDescent="0.2">
      <c r="A81" s="298" t="s">
        <v>12</v>
      </c>
      <c r="B81" s="235"/>
      <c r="C81" s="291"/>
      <c r="D81" s="166"/>
      <c r="E81" s="418"/>
      <c r="F81" s="283"/>
      <c r="G81" s="283"/>
      <c r="H81" s="166"/>
      <c r="I81" s="418"/>
      <c r="J81" s="292"/>
      <c r="K81" s="292"/>
      <c r="L81" s="166"/>
      <c r="M81" s="23"/>
    </row>
    <row r="82" spans="1:13" x14ac:dyDescent="0.2">
      <c r="A82" s="298" t="s">
        <v>13</v>
      </c>
      <c r="B82" s="235"/>
      <c r="C82" s="291"/>
      <c r="D82" s="166"/>
      <c r="E82" s="418"/>
      <c r="F82" s="283"/>
      <c r="G82" s="283"/>
      <c r="H82" s="166"/>
      <c r="I82" s="418"/>
      <c r="J82" s="292"/>
      <c r="K82" s="292"/>
      <c r="L82" s="166"/>
      <c r="M82" s="23"/>
    </row>
    <row r="83" spans="1:13" ht="15.75" x14ac:dyDescent="0.2">
      <c r="A83" s="298" t="s">
        <v>460</v>
      </c>
      <c r="B83" s="283"/>
      <c r="C83" s="283"/>
      <c r="D83" s="166"/>
      <c r="E83" s="418"/>
      <c r="F83" s="283"/>
      <c r="G83" s="283"/>
      <c r="H83" s="166"/>
      <c r="I83" s="418"/>
      <c r="J83" s="292"/>
      <c r="K83" s="292"/>
      <c r="L83" s="166"/>
      <c r="M83" s="23"/>
    </row>
    <row r="84" spans="1:13" x14ac:dyDescent="0.2">
      <c r="A84" s="298" t="s">
        <v>12</v>
      </c>
      <c r="B84" s="235"/>
      <c r="C84" s="291"/>
      <c r="D84" s="166"/>
      <c r="E84" s="418"/>
      <c r="F84" s="283"/>
      <c r="G84" s="283"/>
      <c r="H84" s="166"/>
      <c r="I84" s="418"/>
      <c r="J84" s="292"/>
      <c r="K84" s="292"/>
      <c r="L84" s="166"/>
      <c r="M84" s="23"/>
    </row>
    <row r="85" spans="1:13" x14ac:dyDescent="0.2">
      <c r="A85" s="298" t="s">
        <v>13</v>
      </c>
      <c r="B85" s="235"/>
      <c r="C85" s="291"/>
      <c r="D85" s="166"/>
      <c r="E85" s="418"/>
      <c r="F85" s="283"/>
      <c r="G85" s="283"/>
      <c r="H85" s="166"/>
      <c r="I85" s="418"/>
      <c r="J85" s="292"/>
      <c r="K85" s="292"/>
      <c r="L85" s="166"/>
      <c r="M85" s="23"/>
    </row>
    <row r="86" spans="1:13" ht="15.75" x14ac:dyDescent="0.2">
      <c r="A86" s="21" t="s">
        <v>462</v>
      </c>
      <c r="B86" s="234"/>
      <c r="C86" s="145"/>
      <c r="D86" s="166"/>
      <c r="E86" s="27"/>
      <c r="F86" s="234"/>
      <c r="G86" s="145"/>
      <c r="H86" s="166"/>
      <c r="I86" s="27"/>
      <c r="J86" s="289"/>
      <c r="K86" s="44"/>
      <c r="L86" s="257"/>
      <c r="M86" s="27"/>
    </row>
    <row r="87" spans="1:13" ht="15.75" x14ac:dyDescent="0.2">
      <c r="A87" s="13" t="s">
        <v>444</v>
      </c>
      <c r="B87" s="354"/>
      <c r="C87" s="354"/>
      <c r="D87" s="171"/>
      <c r="E87" s="11"/>
      <c r="F87" s="353"/>
      <c r="G87" s="353"/>
      <c r="H87" s="171"/>
      <c r="I87" s="11"/>
      <c r="J87" s="311"/>
      <c r="K87" s="236"/>
      <c r="L87" s="429"/>
      <c r="M87" s="11"/>
    </row>
    <row r="88" spans="1:13" x14ac:dyDescent="0.2">
      <c r="A88" s="21" t="s">
        <v>9</v>
      </c>
      <c r="B88" s="234"/>
      <c r="C88" s="145"/>
      <c r="D88" s="166"/>
      <c r="E88" s="27"/>
      <c r="F88" s="234"/>
      <c r="G88" s="145"/>
      <c r="H88" s="166"/>
      <c r="I88" s="27"/>
      <c r="J88" s="289"/>
      <c r="K88" s="44"/>
      <c r="L88" s="257"/>
      <c r="M88" s="27"/>
    </row>
    <row r="89" spans="1:13" x14ac:dyDescent="0.2">
      <c r="A89" s="21" t="s">
        <v>10</v>
      </c>
      <c r="B89" s="234"/>
      <c r="C89" s="145"/>
      <c r="D89" s="166"/>
      <c r="E89" s="27"/>
      <c r="F89" s="234"/>
      <c r="G89" s="145"/>
      <c r="H89" s="166"/>
      <c r="I89" s="27"/>
      <c r="J89" s="289"/>
      <c r="K89" s="44"/>
      <c r="L89" s="257"/>
      <c r="M89" s="27"/>
    </row>
    <row r="90" spans="1:13" ht="15.75" x14ac:dyDescent="0.2">
      <c r="A90" s="298" t="s">
        <v>459</v>
      </c>
      <c r="B90" s="283"/>
      <c r="C90" s="283"/>
      <c r="D90" s="166"/>
      <c r="E90" s="418"/>
      <c r="F90" s="283"/>
      <c r="G90" s="283"/>
      <c r="H90" s="166"/>
      <c r="I90" s="418"/>
      <c r="J90" s="292"/>
      <c r="K90" s="292"/>
      <c r="L90" s="166"/>
      <c r="M90" s="23"/>
    </row>
    <row r="91" spans="1:13" x14ac:dyDescent="0.2">
      <c r="A91" s="298" t="s">
        <v>12</v>
      </c>
      <c r="B91" s="235"/>
      <c r="C91" s="291"/>
      <c r="D91" s="166"/>
      <c r="E91" s="418"/>
      <c r="F91" s="283"/>
      <c r="G91" s="283"/>
      <c r="H91" s="166"/>
      <c r="I91" s="418"/>
      <c r="J91" s="292"/>
      <c r="K91" s="292"/>
      <c r="L91" s="166"/>
      <c r="M91" s="23"/>
    </row>
    <row r="92" spans="1:13" x14ac:dyDescent="0.2">
      <c r="A92" s="298" t="s">
        <v>13</v>
      </c>
      <c r="B92" s="235"/>
      <c r="C92" s="291"/>
      <c r="D92" s="166"/>
      <c r="E92" s="418"/>
      <c r="F92" s="283"/>
      <c r="G92" s="283"/>
      <c r="H92" s="166"/>
      <c r="I92" s="418"/>
      <c r="J92" s="292"/>
      <c r="K92" s="292"/>
      <c r="L92" s="166"/>
      <c r="M92" s="23"/>
    </row>
    <row r="93" spans="1:13" ht="15.75" x14ac:dyDescent="0.2">
      <c r="A93" s="298" t="s">
        <v>460</v>
      </c>
      <c r="B93" s="283"/>
      <c r="C93" s="283"/>
      <c r="D93" s="166"/>
      <c r="E93" s="418"/>
      <c r="F93" s="283"/>
      <c r="G93" s="283"/>
      <c r="H93" s="166"/>
      <c r="I93" s="418"/>
      <c r="J93" s="292"/>
      <c r="K93" s="292"/>
      <c r="L93" s="166"/>
      <c r="M93" s="23"/>
    </row>
    <row r="94" spans="1:13" x14ac:dyDescent="0.2">
      <c r="A94" s="298" t="s">
        <v>12</v>
      </c>
      <c r="B94" s="235"/>
      <c r="C94" s="291"/>
      <c r="D94" s="166"/>
      <c r="E94" s="418"/>
      <c r="F94" s="283"/>
      <c r="G94" s="283"/>
      <c r="H94" s="166"/>
      <c r="I94" s="418"/>
      <c r="J94" s="292"/>
      <c r="K94" s="292"/>
      <c r="L94" s="166"/>
      <c r="M94" s="23"/>
    </row>
    <row r="95" spans="1:13" x14ac:dyDescent="0.2">
      <c r="A95" s="298" t="s">
        <v>13</v>
      </c>
      <c r="B95" s="235"/>
      <c r="C95" s="291"/>
      <c r="D95" s="166"/>
      <c r="E95" s="418"/>
      <c r="F95" s="283"/>
      <c r="G95" s="283"/>
      <c r="H95" s="166"/>
      <c r="I95" s="418"/>
      <c r="J95" s="292"/>
      <c r="K95" s="292"/>
      <c r="L95" s="166"/>
      <c r="M95" s="23"/>
    </row>
    <row r="96" spans="1:13" x14ac:dyDescent="0.2">
      <c r="A96" s="21" t="s">
        <v>344</v>
      </c>
      <c r="B96" s="234"/>
      <c r="C96" s="145"/>
      <c r="D96" s="166"/>
      <c r="E96" s="27"/>
      <c r="F96" s="234"/>
      <c r="G96" s="145"/>
      <c r="H96" s="166"/>
      <c r="I96" s="27"/>
      <c r="J96" s="289"/>
      <c r="K96" s="44"/>
      <c r="L96" s="257"/>
      <c r="M96" s="27"/>
    </row>
    <row r="97" spans="1:13" x14ac:dyDescent="0.2">
      <c r="A97" s="21" t="s">
        <v>343</v>
      </c>
      <c r="B97" s="234"/>
      <c r="C97" s="145"/>
      <c r="D97" s="166"/>
      <c r="E97" s="27"/>
      <c r="F97" s="234"/>
      <c r="G97" s="145"/>
      <c r="H97" s="166"/>
      <c r="I97" s="27"/>
      <c r="J97" s="289"/>
      <c r="K97" s="44"/>
      <c r="L97" s="257"/>
      <c r="M97" s="27"/>
    </row>
    <row r="98" spans="1:13" ht="15.75" x14ac:dyDescent="0.2">
      <c r="A98" s="21" t="s">
        <v>461</v>
      </c>
      <c r="B98" s="234"/>
      <c r="C98" s="234"/>
      <c r="D98" s="166"/>
      <c r="E98" s="27"/>
      <c r="F98" s="294"/>
      <c r="G98" s="294"/>
      <c r="H98" s="166"/>
      <c r="I98" s="27"/>
      <c r="J98" s="289"/>
      <c r="K98" s="44"/>
      <c r="L98" s="257"/>
      <c r="M98" s="27"/>
    </row>
    <row r="99" spans="1:13" x14ac:dyDescent="0.2">
      <c r="A99" s="21" t="s">
        <v>9</v>
      </c>
      <c r="B99" s="294"/>
      <c r="C99" s="295"/>
      <c r="D99" s="166"/>
      <c r="E99" s="27"/>
      <c r="F99" s="234"/>
      <c r="G99" s="145"/>
      <c r="H99" s="166"/>
      <c r="I99" s="27"/>
      <c r="J99" s="289"/>
      <c r="K99" s="44"/>
      <c r="L99" s="257"/>
      <c r="M99" s="27"/>
    </row>
    <row r="100" spans="1:13" x14ac:dyDescent="0.2">
      <c r="A100" s="21" t="s">
        <v>10</v>
      </c>
      <c r="B100" s="294"/>
      <c r="C100" s="295"/>
      <c r="D100" s="166"/>
      <c r="E100" s="27"/>
      <c r="F100" s="234"/>
      <c r="G100" s="234"/>
      <c r="H100" s="166"/>
      <c r="I100" s="27"/>
      <c r="J100" s="289"/>
      <c r="K100" s="44"/>
      <c r="L100" s="257"/>
      <c r="M100" s="27"/>
    </row>
    <row r="101" spans="1:13" ht="15.75" x14ac:dyDescent="0.2">
      <c r="A101" s="298" t="s">
        <v>459</v>
      </c>
      <c r="B101" s="283"/>
      <c r="C101" s="283"/>
      <c r="D101" s="166"/>
      <c r="E101" s="418"/>
      <c r="F101" s="283"/>
      <c r="G101" s="283"/>
      <c r="H101" s="166"/>
      <c r="I101" s="418"/>
      <c r="J101" s="292"/>
      <c r="K101" s="292"/>
      <c r="L101" s="166"/>
      <c r="M101" s="23"/>
    </row>
    <row r="102" spans="1:13" x14ac:dyDescent="0.2">
      <c r="A102" s="298" t="s">
        <v>12</v>
      </c>
      <c r="B102" s="235"/>
      <c r="C102" s="291"/>
      <c r="D102" s="166"/>
      <c r="E102" s="418"/>
      <c r="F102" s="283"/>
      <c r="G102" s="283"/>
      <c r="H102" s="166"/>
      <c r="I102" s="418"/>
      <c r="J102" s="292"/>
      <c r="K102" s="292"/>
      <c r="L102" s="166"/>
      <c r="M102" s="23"/>
    </row>
    <row r="103" spans="1:13" x14ac:dyDescent="0.2">
      <c r="A103" s="298" t="s">
        <v>13</v>
      </c>
      <c r="B103" s="235"/>
      <c r="C103" s="291"/>
      <c r="D103" s="166"/>
      <c r="E103" s="418"/>
      <c r="F103" s="283"/>
      <c r="G103" s="283"/>
      <c r="H103" s="166"/>
      <c r="I103" s="418"/>
      <c r="J103" s="292"/>
      <c r="K103" s="292"/>
      <c r="L103" s="166"/>
      <c r="M103" s="23"/>
    </row>
    <row r="104" spans="1:13" ht="15.75" x14ac:dyDescent="0.2">
      <c r="A104" s="298" t="s">
        <v>460</v>
      </c>
      <c r="B104" s="283"/>
      <c r="C104" s="283"/>
      <c r="D104" s="166"/>
      <c r="E104" s="418"/>
      <c r="F104" s="283"/>
      <c r="G104" s="283"/>
      <c r="H104" s="166"/>
      <c r="I104" s="418"/>
      <c r="J104" s="292"/>
      <c r="K104" s="292"/>
      <c r="L104" s="166"/>
      <c r="M104" s="23"/>
    </row>
    <row r="105" spans="1:13" x14ac:dyDescent="0.2">
      <c r="A105" s="298" t="s">
        <v>12</v>
      </c>
      <c r="B105" s="235"/>
      <c r="C105" s="291"/>
      <c r="D105" s="166"/>
      <c r="E105" s="418"/>
      <c r="F105" s="283"/>
      <c r="G105" s="283"/>
      <c r="H105" s="166"/>
      <c r="I105" s="418"/>
      <c r="J105" s="292"/>
      <c r="K105" s="292"/>
      <c r="L105" s="166"/>
      <c r="M105" s="23"/>
    </row>
    <row r="106" spans="1:13" x14ac:dyDescent="0.2">
      <c r="A106" s="298" t="s">
        <v>13</v>
      </c>
      <c r="B106" s="235"/>
      <c r="C106" s="291"/>
      <c r="D106" s="166"/>
      <c r="E106" s="418"/>
      <c r="F106" s="283"/>
      <c r="G106" s="283"/>
      <c r="H106" s="166"/>
      <c r="I106" s="418"/>
      <c r="J106" s="292"/>
      <c r="K106" s="292"/>
      <c r="L106" s="166"/>
      <c r="M106" s="23"/>
    </row>
    <row r="107" spans="1:13" ht="15.75" x14ac:dyDescent="0.2">
      <c r="A107" s="21" t="s">
        <v>462</v>
      </c>
      <c r="B107" s="234"/>
      <c r="C107" s="145"/>
      <c r="D107" s="166"/>
      <c r="E107" s="27"/>
      <c r="F107" s="234"/>
      <c r="G107" s="145"/>
      <c r="H107" s="166"/>
      <c r="I107" s="27"/>
      <c r="J107" s="289"/>
      <c r="K107" s="44"/>
      <c r="L107" s="257"/>
      <c r="M107" s="27"/>
    </row>
    <row r="108" spans="1:13" ht="15.75" x14ac:dyDescent="0.2">
      <c r="A108" s="21" t="s">
        <v>463</v>
      </c>
      <c r="B108" s="234"/>
      <c r="C108" s="234"/>
      <c r="D108" s="166"/>
      <c r="E108" s="27"/>
      <c r="F108" s="234"/>
      <c r="G108" s="234"/>
      <c r="H108" s="166"/>
      <c r="I108" s="27"/>
      <c r="J108" s="289"/>
      <c r="K108" s="44"/>
      <c r="L108" s="257"/>
      <c r="M108" s="27"/>
    </row>
    <row r="109" spans="1:13" ht="15.75" x14ac:dyDescent="0.2">
      <c r="A109" s="21" t="s">
        <v>464</v>
      </c>
      <c r="B109" s="234"/>
      <c r="C109" s="234"/>
      <c r="D109" s="166"/>
      <c r="E109" s="27"/>
      <c r="F109" s="234"/>
      <c r="G109" s="234"/>
      <c r="H109" s="166"/>
      <c r="I109" s="27"/>
      <c r="J109" s="289"/>
      <c r="K109" s="44"/>
      <c r="L109" s="257"/>
      <c r="M109" s="27"/>
    </row>
    <row r="110" spans="1:13" ht="15.75" x14ac:dyDescent="0.2">
      <c r="A110" s="21" t="s">
        <v>465</v>
      </c>
      <c r="B110" s="234"/>
      <c r="C110" s="234"/>
      <c r="D110" s="166"/>
      <c r="E110" s="27"/>
      <c r="F110" s="234"/>
      <c r="G110" s="234"/>
      <c r="H110" s="166"/>
      <c r="I110" s="27"/>
      <c r="J110" s="289"/>
      <c r="K110" s="44"/>
      <c r="L110" s="257"/>
      <c r="M110" s="27"/>
    </row>
    <row r="111" spans="1:13" ht="15.75" x14ac:dyDescent="0.2">
      <c r="A111" s="13" t="s">
        <v>445</v>
      </c>
      <c r="B111" s="310"/>
      <c r="C111" s="159"/>
      <c r="D111" s="171"/>
      <c r="E111" s="11"/>
      <c r="F111" s="310"/>
      <c r="G111" s="159"/>
      <c r="H111" s="171"/>
      <c r="I111" s="11"/>
      <c r="J111" s="311"/>
      <c r="K111" s="236"/>
      <c r="L111" s="429"/>
      <c r="M111" s="11"/>
    </row>
    <row r="112" spans="1:13" x14ac:dyDescent="0.2">
      <c r="A112" s="21" t="s">
        <v>9</v>
      </c>
      <c r="B112" s="234"/>
      <c r="C112" s="145"/>
      <c r="D112" s="166"/>
      <c r="E112" s="27"/>
      <c r="F112" s="234"/>
      <c r="G112" s="145"/>
      <c r="H112" s="166"/>
      <c r="I112" s="27"/>
      <c r="J112" s="289"/>
      <c r="K112" s="44"/>
      <c r="L112" s="257"/>
      <c r="M112" s="27"/>
    </row>
    <row r="113" spans="1:14" x14ac:dyDescent="0.2">
      <c r="A113" s="21" t="s">
        <v>10</v>
      </c>
      <c r="B113" s="234"/>
      <c r="C113" s="145"/>
      <c r="D113" s="166"/>
      <c r="E113" s="27"/>
      <c r="F113" s="234"/>
      <c r="G113" s="145"/>
      <c r="H113" s="166"/>
      <c r="I113" s="27"/>
      <c r="J113" s="289"/>
      <c r="K113" s="44"/>
      <c r="L113" s="257"/>
      <c r="M113" s="27"/>
    </row>
    <row r="114" spans="1:14" x14ac:dyDescent="0.2">
      <c r="A114" s="21" t="s">
        <v>26</v>
      </c>
      <c r="B114" s="234"/>
      <c r="C114" s="145"/>
      <c r="D114" s="166"/>
      <c r="E114" s="27"/>
      <c r="F114" s="234"/>
      <c r="G114" s="145"/>
      <c r="H114" s="166"/>
      <c r="I114" s="27"/>
      <c r="J114" s="289"/>
      <c r="K114" s="44"/>
      <c r="L114" s="257"/>
      <c r="M114" s="27"/>
    </row>
    <row r="115" spans="1:14" x14ac:dyDescent="0.2">
      <c r="A115" s="298" t="s">
        <v>15</v>
      </c>
      <c r="B115" s="283"/>
      <c r="C115" s="283"/>
      <c r="D115" s="166"/>
      <c r="E115" s="418"/>
      <c r="F115" s="283"/>
      <c r="G115" s="283"/>
      <c r="H115" s="166"/>
      <c r="I115" s="418"/>
      <c r="J115" s="292"/>
      <c r="K115" s="292"/>
      <c r="L115" s="166"/>
      <c r="M115" s="23"/>
    </row>
    <row r="116" spans="1:14" ht="15.75" x14ac:dyDescent="0.2">
      <c r="A116" s="21" t="s">
        <v>466</v>
      </c>
      <c r="B116" s="234"/>
      <c r="C116" s="234"/>
      <c r="D116" s="166"/>
      <c r="E116" s="27"/>
      <c r="F116" s="234"/>
      <c r="G116" s="234"/>
      <c r="H116" s="166"/>
      <c r="I116" s="27"/>
      <c r="J116" s="289"/>
      <c r="K116" s="44"/>
      <c r="L116" s="257"/>
      <c r="M116" s="27"/>
    </row>
    <row r="117" spans="1:14" ht="15.75" x14ac:dyDescent="0.2">
      <c r="A117" s="21" t="s">
        <v>467</v>
      </c>
      <c r="B117" s="234"/>
      <c r="C117" s="234"/>
      <c r="D117" s="166"/>
      <c r="E117" s="27"/>
      <c r="F117" s="234"/>
      <c r="G117" s="234"/>
      <c r="H117" s="166"/>
      <c r="I117" s="27"/>
      <c r="J117" s="289"/>
      <c r="K117" s="44"/>
      <c r="L117" s="257"/>
      <c r="M117" s="27"/>
    </row>
    <row r="118" spans="1:14" ht="15.75" x14ac:dyDescent="0.2">
      <c r="A118" s="21" t="s">
        <v>465</v>
      </c>
      <c r="B118" s="234"/>
      <c r="C118" s="234"/>
      <c r="D118" s="166"/>
      <c r="E118" s="27"/>
      <c r="F118" s="234"/>
      <c r="G118" s="234"/>
      <c r="H118" s="166"/>
      <c r="I118" s="27"/>
      <c r="J118" s="289"/>
      <c r="K118" s="44"/>
      <c r="L118" s="257"/>
      <c r="M118" s="27"/>
    </row>
    <row r="119" spans="1:14" ht="15.75" x14ac:dyDescent="0.2">
      <c r="A119" s="13" t="s">
        <v>446</v>
      </c>
      <c r="B119" s="310"/>
      <c r="C119" s="159"/>
      <c r="D119" s="171"/>
      <c r="E119" s="11"/>
      <c r="F119" s="310"/>
      <c r="G119" s="159"/>
      <c r="H119" s="171"/>
      <c r="I119" s="11"/>
      <c r="J119" s="311"/>
      <c r="K119" s="236"/>
      <c r="L119" s="429"/>
      <c r="M119" s="11"/>
    </row>
    <row r="120" spans="1:14" x14ac:dyDescent="0.2">
      <c r="A120" s="21" t="s">
        <v>9</v>
      </c>
      <c r="B120" s="234"/>
      <c r="C120" s="145"/>
      <c r="D120" s="166"/>
      <c r="E120" s="27"/>
      <c r="F120" s="234"/>
      <c r="G120" s="145"/>
      <c r="H120" s="166"/>
      <c r="I120" s="27"/>
      <c r="J120" s="289"/>
      <c r="K120" s="44"/>
      <c r="L120" s="257"/>
      <c r="M120" s="27"/>
    </row>
    <row r="121" spans="1:14" x14ac:dyDescent="0.2">
      <c r="A121" s="21" t="s">
        <v>10</v>
      </c>
      <c r="B121" s="234"/>
      <c r="C121" s="145"/>
      <c r="D121" s="166"/>
      <c r="E121" s="27"/>
      <c r="F121" s="234"/>
      <c r="G121" s="145"/>
      <c r="H121" s="166"/>
      <c r="I121" s="27"/>
      <c r="J121" s="289"/>
      <c r="K121" s="44"/>
      <c r="L121" s="257"/>
      <c r="M121" s="27"/>
    </row>
    <row r="122" spans="1:14" x14ac:dyDescent="0.2">
      <c r="A122" s="21" t="s">
        <v>26</v>
      </c>
      <c r="B122" s="234"/>
      <c r="C122" s="145"/>
      <c r="D122" s="166"/>
      <c r="E122" s="27"/>
      <c r="F122" s="234"/>
      <c r="G122" s="145"/>
      <c r="H122" s="166"/>
      <c r="I122" s="27"/>
      <c r="J122" s="289"/>
      <c r="K122" s="44"/>
      <c r="L122" s="257"/>
      <c r="M122" s="27"/>
    </row>
    <row r="123" spans="1:14" x14ac:dyDescent="0.2">
      <c r="A123" s="298" t="s">
        <v>14</v>
      </c>
      <c r="B123" s="283"/>
      <c r="C123" s="283"/>
      <c r="D123" s="166"/>
      <c r="E123" s="418"/>
      <c r="F123" s="283"/>
      <c r="G123" s="283"/>
      <c r="H123" s="166"/>
      <c r="I123" s="418"/>
      <c r="J123" s="292"/>
      <c r="K123" s="292"/>
      <c r="L123" s="166"/>
      <c r="M123" s="23"/>
    </row>
    <row r="124" spans="1:14" ht="15.75" x14ac:dyDescent="0.2">
      <c r="A124" s="21" t="s">
        <v>472</v>
      </c>
      <c r="B124" s="234"/>
      <c r="C124" s="234"/>
      <c r="D124" s="166"/>
      <c r="E124" s="27"/>
      <c r="F124" s="234"/>
      <c r="G124" s="234"/>
      <c r="H124" s="166"/>
      <c r="I124" s="27"/>
      <c r="J124" s="289"/>
      <c r="K124" s="44"/>
      <c r="L124" s="257"/>
      <c r="M124" s="27"/>
    </row>
    <row r="125" spans="1:14" ht="15.75" x14ac:dyDescent="0.2">
      <c r="A125" s="21" t="s">
        <v>464</v>
      </c>
      <c r="B125" s="234"/>
      <c r="C125" s="234"/>
      <c r="D125" s="166"/>
      <c r="E125" s="27"/>
      <c r="F125" s="234"/>
      <c r="G125" s="234"/>
      <c r="H125" s="166"/>
      <c r="I125" s="27"/>
      <c r="J125" s="289"/>
      <c r="K125" s="44"/>
      <c r="L125" s="257"/>
      <c r="M125" s="27"/>
    </row>
    <row r="126" spans="1:14" ht="15.75" x14ac:dyDescent="0.2">
      <c r="A126" s="10" t="s">
        <v>465</v>
      </c>
      <c r="B126" s="45"/>
      <c r="C126" s="45"/>
      <c r="D126" s="167"/>
      <c r="E126" s="419"/>
      <c r="F126" s="45"/>
      <c r="G126" s="45"/>
      <c r="H126" s="167"/>
      <c r="I126" s="22"/>
      <c r="J126" s="290"/>
      <c r="K126" s="45"/>
      <c r="L126" s="258"/>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1022"/>
      <c r="C130" s="1022"/>
      <c r="D130" s="1022"/>
      <c r="E130" s="301"/>
      <c r="F130" s="1022"/>
      <c r="G130" s="1022"/>
      <c r="H130" s="1022"/>
      <c r="I130" s="301"/>
      <c r="J130" s="1022"/>
      <c r="K130" s="1022"/>
      <c r="L130" s="1022"/>
      <c r="M130" s="301"/>
    </row>
    <row r="131" spans="1:14" s="3" customFormat="1" x14ac:dyDescent="0.2">
      <c r="A131" s="144"/>
      <c r="B131" s="1023" t="s">
        <v>0</v>
      </c>
      <c r="C131" s="1024"/>
      <c r="D131" s="1024"/>
      <c r="E131" s="303"/>
      <c r="F131" s="1023" t="s">
        <v>1</v>
      </c>
      <c r="G131" s="1024"/>
      <c r="H131" s="1024"/>
      <c r="I131" s="306"/>
      <c r="J131" s="1023" t="s">
        <v>2</v>
      </c>
      <c r="K131" s="1024"/>
      <c r="L131" s="1024"/>
      <c r="M131" s="306"/>
      <c r="N131" s="148"/>
    </row>
    <row r="132" spans="1:14" s="3" customFormat="1" x14ac:dyDescent="0.2">
      <c r="A132" s="140"/>
      <c r="B132" s="152" t="s">
        <v>502</v>
      </c>
      <c r="C132" s="152" t="s">
        <v>503</v>
      </c>
      <c r="D132" s="245" t="s">
        <v>3</v>
      </c>
      <c r="E132" s="307" t="s">
        <v>29</v>
      </c>
      <c r="F132" s="152" t="s">
        <v>502</v>
      </c>
      <c r="G132" s="152" t="s">
        <v>503</v>
      </c>
      <c r="H132" s="206" t="s">
        <v>3</v>
      </c>
      <c r="I132" s="162" t="s">
        <v>29</v>
      </c>
      <c r="J132" s="152" t="s">
        <v>502</v>
      </c>
      <c r="K132" s="152" t="s">
        <v>503</v>
      </c>
      <c r="L132" s="246" t="s">
        <v>3</v>
      </c>
      <c r="M132" s="162" t="s">
        <v>29</v>
      </c>
      <c r="N132" s="148"/>
    </row>
    <row r="133" spans="1:14" s="3" customFormat="1" x14ac:dyDescent="0.2">
      <c r="A133" s="990"/>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468</v>
      </c>
      <c r="B134" s="236"/>
      <c r="C134" s="311"/>
      <c r="D134" s="351"/>
      <c r="E134" s="11"/>
      <c r="F134" s="318"/>
      <c r="G134" s="319"/>
      <c r="H134" s="432"/>
      <c r="I134" s="24"/>
      <c r="J134" s="320"/>
      <c r="K134" s="320"/>
      <c r="L134" s="428"/>
      <c r="M134" s="11"/>
      <c r="N134" s="148"/>
    </row>
    <row r="135" spans="1:14" s="3" customFormat="1" ht="15.75" x14ac:dyDescent="0.2">
      <c r="A135" s="13" t="s">
        <v>473</v>
      </c>
      <c r="B135" s="236"/>
      <c r="C135" s="311"/>
      <c r="D135" s="171"/>
      <c r="E135" s="11"/>
      <c r="F135" s="236"/>
      <c r="G135" s="311"/>
      <c r="H135" s="433"/>
      <c r="I135" s="24"/>
      <c r="J135" s="310"/>
      <c r="K135" s="310"/>
      <c r="L135" s="429"/>
      <c r="M135" s="11"/>
      <c r="N135" s="148"/>
    </row>
    <row r="136" spans="1:14" s="3" customFormat="1" ht="15.75" x14ac:dyDescent="0.2">
      <c r="A136" s="13" t="s">
        <v>470</v>
      </c>
      <c r="B136" s="236"/>
      <c r="C136" s="311"/>
      <c r="D136" s="171"/>
      <c r="E136" s="11"/>
      <c r="F136" s="236"/>
      <c r="G136" s="311"/>
      <c r="H136" s="433"/>
      <c r="I136" s="24"/>
      <c r="J136" s="310"/>
      <c r="K136" s="310"/>
      <c r="L136" s="429"/>
      <c r="M136" s="11"/>
      <c r="N136" s="148"/>
    </row>
    <row r="137" spans="1:14" s="3" customFormat="1" ht="15.75" x14ac:dyDescent="0.2">
      <c r="A137" s="41" t="s">
        <v>471</v>
      </c>
      <c r="B137" s="278"/>
      <c r="C137" s="317"/>
      <c r="D137" s="169"/>
      <c r="E137" s="9"/>
      <c r="F137" s="278"/>
      <c r="G137" s="317"/>
      <c r="H137" s="434"/>
      <c r="I137" s="36"/>
      <c r="J137" s="316"/>
      <c r="K137" s="316"/>
      <c r="L137" s="430"/>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917" priority="132">
      <formula>kvartal &lt; 4</formula>
    </cfRule>
  </conditionalFormatting>
  <conditionalFormatting sqref="B69">
    <cfRule type="expression" dxfId="1916" priority="100">
      <formula>kvartal &lt; 4</formula>
    </cfRule>
  </conditionalFormatting>
  <conditionalFormatting sqref="C69">
    <cfRule type="expression" dxfId="1915" priority="99">
      <formula>kvartal &lt; 4</formula>
    </cfRule>
  </conditionalFormatting>
  <conditionalFormatting sqref="B72">
    <cfRule type="expression" dxfId="1914" priority="98">
      <formula>kvartal &lt; 4</formula>
    </cfRule>
  </conditionalFormatting>
  <conditionalFormatting sqref="C72">
    <cfRule type="expression" dxfId="1913" priority="97">
      <formula>kvartal &lt; 4</formula>
    </cfRule>
  </conditionalFormatting>
  <conditionalFormatting sqref="B80">
    <cfRule type="expression" dxfId="1912" priority="96">
      <formula>kvartal &lt; 4</formula>
    </cfRule>
  </conditionalFormatting>
  <conditionalFormatting sqref="C80">
    <cfRule type="expression" dxfId="1911" priority="95">
      <formula>kvartal &lt; 4</formula>
    </cfRule>
  </conditionalFormatting>
  <conditionalFormatting sqref="B83">
    <cfRule type="expression" dxfId="1910" priority="94">
      <formula>kvartal &lt; 4</formula>
    </cfRule>
  </conditionalFormatting>
  <conditionalFormatting sqref="C83">
    <cfRule type="expression" dxfId="1909" priority="93">
      <formula>kvartal &lt; 4</formula>
    </cfRule>
  </conditionalFormatting>
  <conditionalFormatting sqref="B90">
    <cfRule type="expression" dxfId="1908" priority="84">
      <formula>kvartal &lt; 4</formula>
    </cfRule>
  </conditionalFormatting>
  <conditionalFormatting sqref="C90">
    <cfRule type="expression" dxfId="1907" priority="83">
      <formula>kvartal &lt; 4</formula>
    </cfRule>
  </conditionalFormatting>
  <conditionalFormatting sqref="B93">
    <cfRule type="expression" dxfId="1906" priority="82">
      <formula>kvartal &lt; 4</formula>
    </cfRule>
  </conditionalFormatting>
  <conditionalFormatting sqref="C93">
    <cfRule type="expression" dxfId="1905" priority="81">
      <formula>kvartal &lt; 4</formula>
    </cfRule>
  </conditionalFormatting>
  <conditionalFormatting sqref="B101">
    <cfRule type="expression" dxfId="1904" priority="80">
      <formula>kvartal &lt; 4</formula>
    </cfRule>
  </conditionalFormatting>
  <conditionalFormatting sqref="C101">
    <cfRule type="expression" dxfId="1903" priority="79">
      <formula>kvartal &lt; 4</formula>
    </cfRule>
  </conditionalFormatting>
  <conditionalFormatting sqref="B104">
    <cfRule type="expression" dxfId="1902" priority="78">
      <formula>kvartal &lt; 4</formula>
    </cfRule>
  </conditionalFormatting>
  <conditionalFormatting sqref="C104">
    <cfRule type="expression" dxfId="1901" priority="77">
      <formula>kvartal &lt; 4</formula>
    </cfRule>
  </conditionalFormatting>
  <conditionalFormatting sqref="B115">
    <cfRule type="expression" dxfId="1900" priority="76">
      <formula>kvartal &lt; 4</formula>
    </cfRule>
  </conditionalFormatting>
  <conditionalFormatting sqref="C115">
    <cfRule type="expression" dxfId="1899" priority="75">
      <formula>kvartal &lt; 4</formula>
    </cfRule>
  </conditionalFormatting>
  <conditionalFormatting sqref="B123">
    <cfRule type="expression" dxfId="1898" priority="74">
      <formula>kvartal &lt; 4</formula>
    </cfRule>
  </conditionalFormatting>
  <conditionalFormatting sqref="C123">
    <cfRule type="expression" dxfId="1897" priority="73">
      <formula>kvartal &lt; 4</formula>
    </cfRule>
  </conditionalFormatting>
  <conditionalFormatting sqref="F70">
    <cfRule type="expression" dxfId="1896" priority="72">
      <formula>kvartal &lt; 4</formula>
    </cfRule>
  </conditionalFormatting>
  <conditionalFormatting sqref="G70">
    <cfRule type="expression" dxfId="1895" priority="71">
      <formula>kvartal &lt; 4</formula>
    </cfRule>
  </conditionalFormatting>
  <conditionalFormatting sqref="F71:G71">
    <cfRule type="expression" dxfId="1894" priority="70">
      <formula>kvartal &lt; 4</formula>
    </cfRule>
  </conditionalFormatting>
  <conditionalFormatting sqref="F73:G74">
    <cfRule type="expression" dxfId="1893" priority="69">
      <formula>kvartal &lt; 4</formula>
    </cfRule>
  </conditionalFormatting>
  <conditionalFormatting sqref="F81:G82">
    <cfRule type="expression" dxfId="1892" priority="68">
      <formula>kvartal &lt; 4</formula>
    </cfRule>
  </conditionalFormatting>
  <conditionalFormatting sqref="F84:G85">
    <cfRule type="expression" dxfId="1891" priority="67">
      <formula>kvartal &lt; 4</formula>
    </cfRule>
  </conditionalFormatting>
  <conditionalFormatting sqref="F91:G92">
    <cfRule type="expression" dxfId="1890" priority="62">
      <formula>kvartal &lt; 4</formula>
    </cfRule>
  </conditionalFormatting>
  <conditionalFormatting sqref="F94:G95">
    <cfRule type="expression" dxfId="1889" priority="61">
      <formula>kvartal &lt; 4</formula>
    </cfRule>
  </conditionalFormatting>
  <conditionalFormatting sqref="F102:G103">
    <cfRule type="expression" dxfId="1888" priority="60">
      <formula>kvartal &lt; 4</formula>
    </cfRule>
  </conditionalFormatting>
  <conditionalFormatting sqref="F105:G106">
    <cfRule type="expression" dxfId="1887" priority="59">
      <formula>kvartal &lt; 4</formula>
    </cfRule>
  </conditionalFormatting>
  <conditionalFormatting sqref="F115">
    <cfRule type="expression" dxfId="1886" priority="58">
      <formula>kvartal &lt; 4</formula>
    </cfRule>
  </conditionalFormatting>
  <conditionalFormatting sqref="G115">
    <cfRule type="expression" dxfId="1885" priority="57">
      <formula>kvartal &lt; 4</formula>
    </cfRule>
  </conditionalFormatting>
  <conditionalFormatting sqref="F123:G123">
    <cfRule type="expression" dxfId="1884" priority="56">
      <formula>kvartal &lt; 4</formula>
    </cfRule>
  </conditionalFormatting>
  <conditionalFormatting sqref="F69:G69">
    <cfRule type="expression" dxfId="1883" priority="55">
      <formula>kvartal &lt; 4</formula>
    </cfRule>
  </conditionalFormatting>
  <conditionalFormatting sqref="F72:G72">
    <cfRule type="expression" dxfId="1882" priority="54">
      <formula>kvartal &lt; 4</formula>
    </cfRule>
  </conditionalFormatting>
  <conditionalFormatting sqref="F80:G80">
    <cfRule type="expression" dxfId="1881" priority="53">
      <formula>kvartal &lt; 4</formula>
    </cfRule>
  </conditionalFormatting>
  <conditionalFormatting sqref="F83:G83">
    <cfRule type="expression" dxfId="1880" priority="52">
      <formula>kvartal &lt; 4</formula>
    </cfRule>
  </conditionalFormatting>
  <conditionalFormatting sqref="F90:G90">
    <cfRule type="expression" dxfId="1879" priority="46">
      <formula>kvartal &lt; 4</formula>
    </cfRule>
  </conditionalFormatting>
  <conditionalFormatting sqref="F93">
    <cfRule type="expression" dxfId="1878" priority="45">
      <formula>kvartal &lt; 4</formula>
    </cfRule>
  </conditionalFormatting>
  <conditionalFormatting sqref="G93">
    <cfRule type="expression" dxfId="1877" priority="44">
      <formula>kvartal &lt; 4</formula>
    </cfRule>
  </conditionalFormatting>
  <conditionalFormatting sqref="F101">
    <cfRule type="expression" dxfId="1876" priority="43">
      <formula>kvartal &lt; 4</formula>
    </cfRule>
  </conditionalFormatting>
  <conditionalFormatting sqref="G101">
    <cfRule type="expression" dxfId="1875" priority="42">
      <formula>kvartal &lt; 4</formula>
    </cfRule>
  </conditionalFormatting>
  <conditionalFormatting sqref="G104">
    <cfRule type="expression" dxfId="1874" priority="41">
      <formula>kvartal &lt; 4</formula>
    </cfRule>
  </conditionalFormatting>
  <conditionalFormatting sqref="F104">
    <cfRule type="expression" dxfId="1873" priority="40">
      <formula>kvartal &lt; 4</formula>
    </cfRule>
  </conditionalFormatting>
  <conditionalFormatting sqref="J69:K73">
    <cfRule type="expression" dxfId="1872" priority="39">
      <formula>kvartal &lt; 4</formula>
    </cfRule>
  </conditionalFormatting>
  <conditionalFormatting sqref="J74:K74">
    <cfRule type="expression" dxfId="1871" priority="38">
      <formula>kvartal &lt; 4</formula>
    </cfRule>
  </conditionalFormatting>
  <conditionalFormatting sqref="J80:K85">
    <cfRule type="expression" dxfId="1870" priority="37">
      <formula>kvartal &lt; 4</formula>
    </cfRule>
  </conditionalFormatting>
  <conditionalFormatting sqref="J90:K95">
    <cfRule type="expression" dxfId="1869" priority="34">
      <formula>kvartal &lt; 4</formula>
    </cfRule>
  </conditionalFormatting>
  <conditionalFormatting sqref="J101:K106">
    <cfRule type="expression" dxfId="1868" priority="33">
      <formula>kvartal &lt; 4</formula>
    </cfRule>
  </conditionalFormatting>
  <conditionalFormatting sqref="J115:K115">
    <cfRule type="expression" dxfId="1867" priority="32">
      <formula>kvartal &lt; 4</formula>
    </cfRule>
  </conditionalFormatting>
  <conditionalFormatting sqref="J123:K123">
    <cfRule type="expression" dxfId="1866" priority="31">
      <formula>kvartal &lt; 4</formula>
    </cfRule>
  </conditionalFormatting>
  <conditionalFormatting sqref="A50:A52">
    <cfRule type="expression" dxfId="1865" priority="12">
      <formula>kvartal &lt; 4</formula>
    </cfRule>
  </conditionalFormatting>
  <conditionalFormatting sqref="A69:A74">
    <cfRule type="expression" dxfId="1864" priority="10">
      <formula>kvartal &lt; 4</formula>
    </cfRule>
  </conditionalFormatting>
  <conditionalFormatting sqref="A80:A85">
    <cfRule type="expression" dxfId="1863" priority="9">
      <formula>kvartal &lt; 4</formula>
    </cfRule>
  </conditionalFormatting>
  <conditionalFormatting sqref="A90:A95">
    <cfRule type="expression" dxfId="1862" priority="6">
      <formula>kvartal &lt; 4</formula>
    </cfRule>
  </conditionalFormatting>
  <conditionalFormatting sqref="A101:A106">
    <cfRule type="expression" dxfId="1861" priority="5">
      <formula>kvartal &lt; 4</formula>
    </cfRule>
  </conditionalFormatting>
  <conditionalFormatting sqref="A115">
    <cfRule type="expression" dxfId="1860" priority="4">
      <formula>kvartal &lt; 4</formula>
    </cfRule>
  </conditionalFormatting>
  <conditionalFormatting sqref="A123">
    <cfRule type="expression" dxfId="1859" priority="3">
      <formula>kvartal &lt; 4</formula>
    </cfRule>
  </conditionalFormatting>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7"/>
  <dimension ref="A1:N144"/>
  <sheetViews>
    <sheetView showGridLines="0" zoomScale="120" zoomScaleNormal="120" workbookViewId="0"/>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133</v>
      </c>
      <c r="B1" s="988"/>
      <c r="C1" s="248" t="s">
        <v>126</v>
      </c>
      <c r="D1" s="26"/>
      <c r="E1" s="26"/>
      <c r="F1" s="26"/>
      <c r="G1" s="26"/>
      <c r="H1" s="26"/>
      <c r="I1" s="26"/>
      <c r="J1" s="26"/>
      <c r="K1" s="26"/>
      <c r="L1" s="26"/>
      <c r="M1" s="26"/>
    </row>
    <row r="2" spans="1:14" ht="15.75" x14ac:dyDescent="0.25">
      <c r="A2" s="165" t="s">
        <v>28</v>
      </c>
      <c r="B2" s="1027"/>
      <c r="C2" s="1027"/>
      <c r="D2" s="1027"/>
      <c r="E2" s="301"/>
      <c r="F2" s="1027"/>
      <c r="G2" s="1027"/>
      <c r="H2" s="1027"/>
      <c r="I2" s="301"/>
      <c r="J2" s="1027"/>
      <c r="K2" s="1027"/>
      <c r="L2" s="1027"/>
      <c r="M2" s="301"/>
    </row>
    <row r="3" spans="1:14" ht="15.75" x14ac:dyDescent="0.25">
      <c r="A3" s="163"/>
      <c r="B3" s="301"/>
      <c r="C3" s="301"/>
      <c r="D3" s="301"/>
      <c r="E3" s="301"/>
      <c r="F3" s="301"/>
      <c r="G3" s="301"/>
      <c r="H3" s="301"/>
      <c r="I3" s="301"/>
      <c r="J3" s="301"/>
      <c r="K3" s="301"/>
      <c r="L3" s="301"/>
      <c r="M3" s="301"/>
    </row>
    <row r="4" spans="1:14" x14ac:dyDescent="0.2">
      <c r="A4" s="144"/>
      <c r="B4" s="1023" t="s">
        <v>0</v>
      </c>
      <c r="C4" s="1024"/>
      <c r="D4" s="1024"/>
      <c r="E4" s="303"/>
      <c r="F4" s="1023" t="s">
        <v>1</v>
      </c>
      <c r="G4" s="1024"/>
      <c r="H4" s="1024"/>
      <c r="I4" s="306"/>
      <c r="J4" s="1023" t="s">
        <v>2</v>
      </c>
      <c r="K4" s="1024"/>
      <c r="L4" s="1024"/>
      <c r="M4" s="306"/>
    </row>
    <row r="5" spans="1:14" x14ac:dyDescent="0.2">
      <c r="A5" s="158"/>
      <c r="B5" s="152" t="s">
        <v>502</v>
      </c>
      <c r="C5" s="152" t="s">
        <v>503</v>
      </c>
      <c r="D5" s="245" t="s">
        <v>3</v>
      </c>
      <c r="E5" s="307" t="s">
        <v>29</v>
      </c>
      <c r="F5" s="152" t="s">
        <v>502</v>
      </c>
      <c r="G5" s="152" t="s">
        <v>503</v>
      </c>
      <c r="H5" s="245" t="s">
        <v>3</v>
      </c>
      <c r="I5" s="162" t="s">
        <v>29</v>
      </c>
      <c r="J5" s="152" t="s">
        <v>502</v>
      </c>
      <c r="K5" s="152" t="s">
        <v>503</v>
      </c>
      <c r="L5" s="245" t="s">
        <v>3</v>
      </c>
      <c r="M5" s="162" t="s">
        <v>29</v>
      </c>
    </row>
    <row r="6" spans="1:14" x14ac:dyDescent="0.2">
      <c r="A6" s="989"/>
      <c r="B6" s="156"/>
      <c r="C6" s="156"/>
      <c r="D6" s="246" t="s">
        <v>4</v>
      </c>
      <c r="E6" s="156" t="s">
        <v>30</v>
      </c>
      <c r="F6" s="161"/>
      <c r="G6" s="161"/>
      <c r="H6" s="245" t="s">
        <v>4</v>
      </c>
      <c r="I6" s="156" t="s">
        <v>30</v>
      </c>
      <c r="J6" s="161"/>
      <c r="K6" s="161"/>
      <c r="L6" s="245" t="s">
        <v>4</v>
      </c>
      <c r="M6" s="156" t="s">
        <v>30</v>
      </c>
    </row>
    <row r="7" spans="1:14" ht="15.75" x14ac:dyDescent="0.2">
      <c r="A7" s="14" t="s">
        <v>23</v>
      </c>
      <c r="B7" s="308"/>
      <c r="C7" s="309"/>
      <c r="D7" s="351"/>
      <c r="E7" s="11"/>
      <c r="F7" s="308">
        <v>157974</v>
      </c>
      <c r="G7" s="309">
        <v>144582</v>
      </c>
      <c r="H7" s="351">
        <f t="shared" ref="H7" si="0">IF(F7=0, "    ---- ", IF(ABS(ROUND(100/F7*G7-100,1))&lt;999,ROUND(100/F7*G7-100,1),IF(ROUND(100/F7*G7-100,1)&gt;999,999,-999)))</f>
        <v>-8.5</v>
      </c>
      <c r="I7" s="11">
        <f>IFERROR(100/'Skjema total MA'!F7*G7,0)</f>
        <v>1.4036269399887775</v>
      </c>
      <c r="J7" s="310">
        <f t="shared" ref="J7:K12" si="1">SUM(B7,F7)</f>
        <v>157974</v>
      </c>
      <c r="K7" s="311">
        <f t="shared" si="1"/>
        <v>144582</v>
      </c>
      <c r="L7" s="428">
        <f>IF(J7=0, "    ---- ", IF(ABS(ROUND(100/J7*K7-100,1))&lt;999,ROUND(100/J7*K7-100,1),IF(ROUND(100/J7*K7-100,1)&gt;999,999,-999)))</f>
        <v>-8.5</v>
      </c>
      <c r="M7" s="11">
        <f>IFERROR(100/'Skjema total MA'!I7*K7,0)</f>
        <v>0.96036582169752038</v>
      </c>
    </row>
    <row r="8" spans="1:14" ht="15.75" x14ac:dyDescent="0.2">
      <c r="A8" s="21" t="s">
        <v>25</v>
      </c>
      <c r="B8" s="283"/>
      <c r="C8" s="284"/>
      <c r="D8" s="166"/>
      <c r="E8" s="27"/>
      <c r="F8" s="287"/>
      <c r="G8" s="288"/>
      <c r="H8" s="166"/>
      <c r="I8" s="175"/>
      <c r="J8" s="234"/>
      <c r="K8" s="289"/>
      <c r="L8" s="166"/>
      <c r="M8" s="27"/>
    </row>
    <row r="9" spans="1:14" ht="15.75" x14ac:dyDescent="0.2">
      <c r="A9" s="21" t="s">
        <v>24</v>
      </c>
      <c r="B9" s="283"/>
      <c r="C9" s="284"/>
      <c r="D9" s="166"/>
      <c r="E9" s="27"/>
      <c r="F9" s="287"/>
      <c r="G9" s="288"/>
      <c r="H9" s="166"/>
      <c r="I9" s="175"/>
      <c r="J9" s="234"/>
      <c r="K9" s="289"/>
      <c r="L9" s="166"/>
      <c r="M9" s="27"/>
    </row>
    <row r="10" spans="1:14" ht="15.75" x14ac:dyDescent="0.2">
      <c r="A10" s="13" t="s">
        <v>444</v>
      </c>
      <c r="B10" s="312"/>
      <c r="C10" s="313"/>
      <c r="D10" s="171"/>
      <c r="E10" s="11"/>
      <c r="F10" s="312">
        <v>660350</v>
      </c>
      <c r="G10" s="313">
        <v>834178</v>
      </c>
      <c r="H10" s="171">
        <f t="shared" ref="H10:H12" si="2">IF(F10=0, "    ---- ", IF(ABS(ROUND(100/F10*G10-100,1))&lt;999,ROUND(100/F10*G10-100,1),IF(ROUND(100/F10*G10-100,1)&gt;999,999,-999)))</f>
        <v>26.3</v>
      </c>
      <c r="I10" s="11">
        <f>IFERROR(100/'Skjema total MA'!F10*G10,0)</f>
        <v>1.3744586326586385</v>
      </c>
      <c r="J10" s="310">
        <f t="shared" si="1"/>
        <v>660350</v>
      </c>
      <c r="K10" s="311">
        <f t="shared" si="1"/>
        <v>834178</v>
      </c>
      <c r="L10" s="429">
        <f t="shared" ref="L10:L12" si="3">IF(J10=0, "    ---- ", IF(ABS(ROUND(100/J10*K10-100,1))&lt;999,ROUND(100/J10*K10-100,1),IF(ROUND(100/J10*K10-100,1)&gt;999,999,-999)))</f>
        <v>26.3</v>
      </c>
      <c r="M10" s="11">
        <f>IFERROR(100/'Skjema total MA'!I10*K10,0)</f>
        <v>1.037278818208901</v>
      </c>
    </row>
    <row r="11" spans="1:14" s="43" customFormat="1" ht="15.75" x14ac:dyDescent="0.2">
      <c r="A11" s="13" t="s">
        <v>445</v>
      </c>
      <c r="B11" s="312"/>
      <c r="C11" s="313"/>
      <c r="D11" s="171"/>
      <c r="E11" s="11"/>
      <c r="F11" s="312">
        <v>8215</v>
      </c>
      <c r="G11" s="313">
        <v>5621</v>
      </c>
      <c r="H11" s="171">
        <f t="shared" si="2"/>
        <v>-31.6</v>
      </c>
      <c r="I11" s="11">
        <f>IFERROR(100/'Skjema total MA'!F11*G11,0)</f>
        <v>1.6415875100767359</v>
      </c>
      <c r="J11" s="310">
        <f t="shared" si="1"/>
        <v>8215</v>
      </c>
      <c r="K11" s="311">
        <f t="shared" si="1"/>
        <v>5621</v>
      </c>
      <c r="L11" s="429">
        <f t="shared" si="3"/>
        <v>-31.6</v>
      </c>
      <c r="M11" s="11">
        <f>IFERROR(100/'Skjema total MA'!I11*K11,0)</f>
        <v>1.4681980700027504</v>
      </c>
      <c r="N11" s="143"/>
    </row>
    <row r="12" spans="1:14" s="43" customFormat="1" ht="15.75" x14ac:dyDescent="0.2">
      <c r="A12" s="41" t="s">
        <v>446</v>
      </c>
      <c r="B12" s="314"/>
      <c r="C12" s="315"/>
      <c r="D12" s="169"/>
      <c r="E12" s="36"/>
      <c r="F12" s="314">
        <v>16279</v>
      </c>
      <c r="G12" s="315">
        <v>5037</v>
      </c>
      <c r="H12" s="171">
        <f t="shared" si="2"/>
        <v>-69.099999999999994</v>
      </c>
      <c r="I12" s="11">
        <f>IFERROR(100/'Skjema total MA'!F12*G12,0)</f>
        <v>2.047307357504577</v>
      </c>
      <c r="J12" s="316">
        <f t="shared" si="1"/>
        <v>16279</v>
      </c>
      <c r="K12" s="317">
        <f t="shared" si="1"/>
        <v>5037</v>
      </c>
      <c r="L12" s="430">
        <f t="shared" si="3"/>
        <v>-69.099999999999994</v>
      </c>
      <c r="M12" s="36">
        <f>IFERROR(100/'Skjema total MA'!I12*K12,0)</f>
        <v>2.0240094518838467</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1022"/>
      <c r="C18" s="1022"/>
      <c r="D18" s="1022"/>
      <c r="E18" s="301"/>
      <c r="F18" s="1022"/>
      <c r="G18" s="1022"/>
      <c r="H18" s="1022"/>
      <c r="I18" s="301"/>
      <c r="J18" s="1022"/>
      <c r="K18" s="1022"/>
      <c r="L18" s="1022"/>
      <c r="M18" s="301"/>
    </row>
    <row r="19" spans="1:14" x14ac:dyDescent="0.2">
      <c r="A19" s="144"/>
      <c r="B19" s="1023" t="s">
        <v>0</v>
      </c>
      <c r="C19" s="1024"/>
      <c r="D19" s="1024"/>
      <c r="E19" s="303"/>
      <c r="F19" s="1023" t="s">
        <v>1</v>
      </c>
      <c r="G19" s="1024"/>
      <c r="H19" s="1024"/>
      <c r="I19" s="306"/>
      <c r="J19" s="1023" t="s">
        <v>2</v>
      </c>
      <c r="K19" s="1024"/>
      <c r="L19" s="1024"/>
      <c r="M19" s="306"/>
    </row>
    <row r="20" spans="1:14" x14ac:dyDescent="0.2">
      <c r="A20" s="140" t="s">
        <v>5</v>
      </c>
      <c r="B20" s="152" t="s">
        <v>502</v>
      </c>
      <c r="C20" s="152" t="s">
        <v>503</v>
      </c>
      <c r="D20" s="162" t="s">
        <v>3</v>
      </c>
      <c r="E20" s="307" t="s">
        <v>29</v>
      </c>
      <c r="F20" s="152" t="s">
        <v>502</v>
      </c>
      <c r="G20" s="152" t="s">
        <v>503</v>
      </c>
      <c r="H20" s="162" t="s">
        <v>3</v>
      </c>
      <c r="I20" s="162" t="s">
        <v>29</v>
      </c>
      <c r="J20" s="152" t="s">
        <v>502</v>
      </c>
      <c r="K20" s="152" t="s">
        <v>503</v>
      </c>
      <c r="L20" s="162" t="s">
        <v>3</v>
      </c>
      <c r="M20" s="162" t="s">
        <v>29</v>
      </c>
    </row>
    <row r="21" spans="1:14" x14ac:dyDescent="0.2">
      <c r="A21" s="990"/>
      <c r="B21" s="156"/>
      <c r="C21" s="156"/>
      <c r="D21" s="246" t="s">
        <v>4</v>
      </c>
      <c r="E21" s="156" t="s">
        <v>30</v>
      </c>
      <c r="F21" s="161"/>
      <c r="G21" s="161"/>
      <c r="H21" s="245" t="s">
        <v>4</v>
      </c>
      <c r="I21" s="156" t="s">
        <v>30</v>
      </c>
      <c r="J21" s="161"/>
      <c r="K21" s="161"/>
      <c r="L21" s="156" t="s">
        <v>4</v>
      </c>
      <c r="M21" s="156" t="s">
        <v>30</v>
      </c>
    </row>
    <row r="22" spans="1:14" ht="15.75" x14ac:dyDescent="0.2">
      <c r="A22" s="14" t="s">
        <v>23</v>
      </c>
      <c r="B22" s="312">
        <v>386870</v>
      </c>
      <c r="C22" s="312">
        <v>414502</v>
      </c>
      <c r="D22" s="351">
        <f t="shared" ref="D22:D30" si="4">IF(B22=0, "    ---- ", IF(ABS(ROUND(100/B22*C22-100,1))&lt;999,ROUND(100/B22*C22-100,1),IF(ROUND(100/B22*C22-100,1)&gt;999,999,-999)))</f>
        <v>7.1</v>
      </c>
      <c r="E22" s="11">
        <f>IFERROR(100/'Skjema total MA'!C22*C22,0)</f>
        <v>23.363592316954321</v>
      </c>
      <c r="F22" s="320">
        <v>91946</v>
      </c>
      <c r="G22" s="320">
        <v>97513</v>
      </c>
      <c r="H22" s="351">
        <f t="shared" ref="H22:H35" si="5">IF(F22=0, "    ---- ", IF(ABS(ROUND(100/F22*G22-100,1))&lt;999,ROUND(100/F22*G22-100,1),IF(ROUND(100/F22*G22-100,1)&gt;999,999,-999)))</f>
        <v>6.1</v>
      </c>
      <c r="I22" s="11">
        <f>IFERROR(100/'Skjema total MA'!F22*G22,0)</f>
        <v>6.5541454391204859</v>
      </c>
      <c r="J22" s="318">
        <f t="shared" ref="J22:K35" si="6">SUM(B22,F22)</f>
        <v>478816</v>
      </c>
      <c r="K22" s="318">
        <f t="shared" si="6"/>
        <v>512015</v>
      </c>
      <c r="L22" s="428">
        <f t="shared" ref="L22:L35" si="7">IF(J22=0, "    ---- ", IF(ABS(ROUND(100/J22*K22-100,1))&lt;999,ROUND(100/J22*K22-100,1),IF(ROUND(100/J22*K22-100,1)&gt;999,999,-999)))</f>
        <v>6.9</v>
      </c>
      <c r="M22" s="24">
        <f>IFERROR(100/'Skjema total MA'!I22*K22,0)</f>
        <v>15.6966267414908</v>
      </c>
    </row>
    <row r="23" spans="1:14" ht="15.75" x14ac:dyDescent="0.2">
      <c r="A23" s="811" t="s">
        <v>447</v>
      </c>
      <c r="B23" s="283">
        <v>386870</v>
      </c>
      <c r="C23" s="283">
        <v>414502</v>
      </c>
      <c r="D23" s="166">
        <f t="shared" si="4"/>
        <v>7.1</v>
      </c>
      <c r="E23" s="11">
        <f>IFERROR(100/'Skjema total MA'!C23*C23,0)</f>
        <v>38.634617152418372</v>
      </c>
      <c r="F23" s="292">
        <v>32</v>
      </c>
      <c r="G23" s="292">
        <v>0</v>
      </c>
      <c r="H23" s="166">
        <f t="shared" si="5"/>
        <v>-100</v>
      </c>
      <c r="I23" s="418">
        <f>IFERROR(100/'Skjema total MA'!F23*G23,0)</f>
        <v>0</v>
      </c>
      <c r="J23" s="292">
        <f t="shared" ref="J23:J26" si="8">SUM(B23,F23)</f>
        <v>386902</v>
      </c>
      <c r="K23" s="292">
        <f t="shared" ref="K23:K26" si="9">SUM(C23,G23)</f>
        <v>414502</v>
      </c>
      <c r="L23" s="166">
        <f t="shared" si="7"/>
        <v>7.1</v>
      </c>
      <c r="M23" s="23">
        <f>IFERROR(100/'Skjema total MA'!I23*K23,0)</f>
        <v>33.105884846493467</v>
      </c>
    </row>
    <row r="24" spans="1:14" ht="15.75" x14ac:dyDescent="0.2">
      <c r="A24" s="811" t="s">
        <v>448</v>
      </c>
      <c r="B24" s="283"/>
      <c r="C24" s="283"/>
      <c r="D24" s="166"/>
      <c r="E24" s="11"/>
      <c r="F24" s="292">
        <v>2</v>
      </c>
      <c r="G24" s="292">
        <v>22</v>
      </c>
      <c r="H24" s="166">
        <f t="shared" si="5"/>
        <v>999</v>
      </c>
      <c r="I24" s="418">
        <f>IFERROR(100/'Skjema total MA'!F24*G24,0)</f>
        <v>0.4752657930968866</v>
      </c>
      <c r="J24" s="292">
        <f t="shared" si="8"/>
        <v>2</v>
      </c>
      <c r="K24" s="292">
        <f t="shared" si="9"/>
        <v>22</v>
      </c>
      <c r="L24" s="166">
        <f t="shared" si="7"/>
        <v>999</v>
      </c>
      <c r="M24" s="23">
        <f>IFERROR(100/'Skjema total MA'!I24*K24,0)</f>
        <v>5.0947033813975987E-2</v>
      </c>
    </row>
    <row r="25" spans="1:14" ht="15.75" x14ac:dyDescent="0.2">
      <c r="A25" s="811" t="s">
        <v>449</v>
      </c>
      <c r="B25" s="283"/>
      <c r="C25" s="283"/>
      <c r="D25" s="166"/>
      <c r="E25" s="11"/>
      <c r="F25" s="292">
        <v>23</v>
      </c>
      <c r="G25" s="292">
        <v>30</v>
      </c>
      <c r="H25" s="166">
        <f t="shared" si="5"/>
        <v>30.4</v>
      </c>
      <c r="I25" s="418">
        <f>IFERROR(100/'Skjema total MA'!F25*G25,0)</f>
        <v>0.11767406022109436</v>
      </c>
      <c r="J25" s="292">
        <f t="shared" si="8"/>
        <v>23</v>
      </c>
      <c r="K25" s="292">
        <f t="shared" si="9"/>
        <v>30</v>
      </c>
      <c r="L25" s="166">
        <f t="shared" si="7"/>
        <v>30.4</v>
      </c>
      <c r="M25" s="23">
        <f>IFERROR(100/'Skjema total MA'!I25*K25,0)</f>
        <v>4.6703773772030756E-2</v>
      </c>
    </row>
    <row r="26" spans="1:14" ht="15.75" x14ac:dyDescent="0.2">
      <c r="A26" s="811" t="s">
        <v>450</v>
      </c>
      <c r="B26" s="283"/>
      <c r="C26" s="283"/>
      <c r="D26" s="166"/>
      <c r="E26" s="11"/>
      <c r="F26" s="292">
        <v>91889</v>
      </c>
      <c r="G26" s="292">
        <v>97461</v>
      </c>
      <c r="H26" s="166">
        <f t="shared" si="5"/>
        <v>6.1</v>
      </c>
      <c r="I26" s="418">
        <f>IFERROR(100/'Skjema total MA'!F26*G26,0)</f>
        <v>7.6019819926701011</v>
      </c>
      <c r="J26" s="292">
        <f t="shared" si="8"/>
        <v>91889</v>
      </c>
      <c r="K26" s="292">
        <f t="shared" si="9"/>
        <v>97461</v>
      </c>
      <c r="L26" s="166">
        <f t="shared" si="7"/>
        <v>6.1</v>
      </c>
      <c r="M26" s="23">
        <f>IFERROR(100/'Skjema total MA'!I26*K26,0)</f>
        <v>7.6019819926701011</v>
      </c>
    </row>
    <row r="27" spans="1:14" x14ac:dyDescent="0.2">
      <c r="A27" s="811" t="s">
        <v>11</v>
      </c>
      <c r="B27" s="283"/>
      <c r="C27" s="283"/>
      <c r="D27" s="166"/>
      <c r="E27" s="11"/>
      <c r="F27" s="292"/>
      <c r="G27" s="292"/>
      <c r="H27" s="166"/>
      <c r="I27" s="418"/>
      <c r="J27" s="292"/>
      <c r="K27" s="292"/>
      <c r="L27" s="166"/>
      <c r="M27" s="23"/>
    </row>
    <row r="28" spans="1:14" ht="15.75" x14ac:dyDescent="0.2">
      <c r="A28" s="49" t="s">
        <v>272</v>
      </c>
      <c r="B28" s="44">
        <v>386870</v>
      </c>
      <c r="C28" s="289">
        <v>414502</v>
      </c>
      <c r="D28" s="166">
        <f t="shared" si="4"/>
        <v>7.1</v>
      </c>
      <c r="E28" s="11">
        <f>IFERROR(100/'Skjema total MA'!C28*C28,0)</f>
        <v>21.742885012721239</v>
      </c>
      <c r="F28" s="234"/>
      <c r="G28" s="289"/>
      <c r="H28" s="166"/>
      <c r="I28" s="27"/>
      <c r="J28" s="44">
        <f t="shared" si="6"/>
        <v>386870</v>
      </c>
      <c r="K28" s="44">
        <f t="shared" si="6"/>
        <v>414502</v>
      </c>
      <c r="L28" s="257">
        <f t="shared" si="7"/>
        <v>7.1</v>
      </c>
      <c r="M28" s="23">
        <f>IFERROR(100/'Skjema total MA'!I28*K28,0)</f>
        <v>21.742885012721239</v>
      </c>
    </row>
    <row r="29" spans="1:14" s="3" customFormat="1" ht="15.75" x14ac:dyDescent="0.2">
      <c r="A29" s="13" t="s">
        <v>444</v>
      </c>
      <c r="B29" s="236">
        <v>1913578</v>
      </c>
      <c r="C29" s="236">
        <v>2260429</v>
      </c>
      <c r="D29" s="171">
        <f t="shared" si="4"/>
        <v>18.100000000000001</v>
      </c>
      <c r="E29" s="11">
        <f>IFERROR(100/'Skjema total MA'!C29*C29,0)</f>
        <v>4.9408554633681829</v>
      </c>
      <c r="F29" s="310">
        <v>1582677</v>
      </c>
      <c r="G29" s="310">
        <v>1660557</v>
      </c>
      <c r="H29" s="171">
        <f t="shared" si="5"/>
        <v>4.9000000000000004</v>
      </c>
      <c r="I29" s="11">
        <f>IFERROR(100/'Skjema total MA'!F29*G29,0)</f>
        <v>6.7671794814730326</v>
      </c>
      <c r="J29" s="236">
        <f t="shared" si="6"/>
        <v>3496255</v>
      </c>
      <c r="K29" s="236">
        <f t="shared" si="6"/>
        <v>3920986</v>
      </c>
      <c r="L29" s="429">
        <f t="shared" si="7"/>
        <v>12.1</v>
      </c>
      <c r="M29" s="24">
        <f>IFERROR(100/'Skjema total MA'!I29*K29,0)</f>
        <v>5.5784460040734727</v>
      </c>
      <c r="N29" s="148"/>
    </row>
    <row r="30" spans="1:14" s="3" customFormat="1" ht="15.75" x14ac:dyDescent="0.2">
      <c r="A30" s="811" t="s">
        <v>447</v>
      </c>
      <c r="B30" s="283">
        <v>1913578</v>
      </c>
      <c r="C30" s="283">
        <v>2260429</v>
      </c>
      <c r="D30" s="166">
        <f t="shared" si="4"/>
        <v>18.100000000000001</v>
      </c>
      <c r="E30" s="11">
        <f>IFERROR(100/'Skjema total MA'!C30*C30,0)</f>
        <v>14.29382963263542</v>
      </c>
      <c r="F30" s="292">
        <v>27944</v>
      </c>
      <c r="G30" s="292">
        <v>26981</v>
      </c>
      <c r="H30" s="166">
        <f t="shared" si="5"/>
        <v>-3.4</v>
      </c>
      <c r="I30" s="418">
        <f>IFERROR(100/'Skjema total MA'!F30*G30,0)</f>
        <v>0.57631082789676102</v>
      </c>
      <c r="J30" s="292">
        <f t="shared" ref="J30:J33" si="10">SUM(B30,F30)</f>
        <v>1941522</v>
      </c>
      <c r="K30" s="292">
        <f t="shared" ref="K30:K33" si="11">SUM(C30,G30)</f>
        <v>2287410</v>
      </c>
      <c r="L30" s="166">
        <f t="shared" si="7"/>
        <v>17.8</v>
      </c>
      <c r="M30" s="23">
        <f>IFERROR(100/'Skjema total MA'!I30*K30,0)</f>
        <v>11.160441541938638</v>
      </c>
      <c r="N30" s="148"/>
    </row>
    <row r="31" spans="1:14" s="3" customFormat="1" ht="15.75" x14ac:dyDescent="0.2">
      <c r="A31" s="811" t="s">
        <v>448</v>
      </c>
      <c r="B31" s="283"/>
      <c r="C31" s="283"/>
      <c r="D31" s="166"/>
      <c r="E31" s="11"/>
      <c r="F31" s="292">
        <v>1166224</v>
      </c>
      <c r="G31" s="292">
        <v>1112296</v>
      </c>
      <c r="H31" s="166">
        <f t="shared" si="5"/>
        <v>-4.5999999999999996</v>
      </c>
      <c r="I31" s="418">
        <f>IFERROR(100/'Skjema total MA'!F31*G31,0)</f>
        <v>11.647012098645089</v>
      </c>
      <c r="J31" s="292">
        <f t="shared" si="10"/>
        <v>1166224</v>
      </c>
      <c r="K31" s="292">
        <f t="shared" si="11"/>
        <v>1112296</v>
      </c>
      <c r="L31" s="166">
        <f t="shared" si="7"/>
        <v>-4.5999999999999996</v>
      </c>
      <c r="M31" s="23">
        <f>IFERROR(100/'Skjema total MA'!I31*K31,0)</f>
        <v>3.3618074589283231</v>
      </c>
      <c r="N31" s="148"/>
    </row>
    <row r="32" spans="1:14" ht="15.75" x14ac:dyDescent="0.2">
      <c r="A32" s="811" t="s">
        <v>449</v>
      </c>
      <c r="B32" s="283"/>
      <c r="C32" s="283"/>
      <c r="D32" s="166"/>
      <c r="E32" s="11"/>
      <c r="F32" s="292">
        <v>126191</v>
      </c>
      <c r="G32" s="292">
        <v>131435</v>
      </c>
      <c r="H32" s="166">
        <f t="shared" si="5"/>
        <v>4.2</v>
      </c>
      <c r="I32" s="418">
        <f>IFERROR(100/'Skjema total MA'!F32*G32,0)</f>
        <v>2.5071864748630781</v>
      </c>
      <c r="J32" s="292">
        <f t="shared" si="10"/>
        <v>126191</v>
      </c>
      <c r="K32" s="292">
        <f t="shared" si="11"/>
        <v>131435</v>
      </c>
      <c r="L32" s="166">
        <f t="shared" si="7"/>
        <v>4.2</v>
      </c>
      <c r="M32" s="23">
        <f>IFERROR(100/'Skjema total MA'!I32*K32,0)</f>
        <v>1.6040751173182037</v>
      </c>
    </row>
    <row r="33" spans="1:14" ht="15.75" x14ac:dyDescent="0.2">
      <c r="A33" s="811" t="s">
        <v>450</v>
      </c>
      <c r="B33" s="283"/>
      <c r="C33" s="283"/>
      <c r="D33" s="166"/>
      <c r="E33" s="11"/>
      <c r="F33" s="292">
        <v>262318</v>
      </c>
      <c r="G33" s="292">
        <v>389845</v>
      </c>
      <c r="H33" s="166">
        <f t="shared" si="5"/>
        <v>48.6</v>
      </c>
      <c r="I33" s="418">
        <f>IFERROR(100/'Skjema total MA'!F33*G33,0)</f>
        <v>7.6978568383666968</v>
      </c>
      <c r="J33" s="292">
        <f t="shared" si="10"/>
        <v>262318</v>
      </c>
      <c r="K33" s="292">
        <f t="shared" si="11"/>
        <v>389845</v>
      </c>
      <c r="L33" s="166">
        <f t="shared" si="7"/>
        <v>48.6</v>
      </c>
      <c r="M33" s="23">
        <f>IFERROR(100/'Skjema total MA'!I33*K33,0)</f>
        <v>7.6978568383666968</v>
      </c>
    </row>
    <row r="34" spans="1:14" ht="15.75" x14ac:dyDescent="0.2">
      <c r="A34" s="13" t="s">
        <v>445</v>
      </c>
      <c r="B34" s="236"/>
      <c r="C34" s="311"/>
      <c r="D34" s="171"/>
      <c r="E34" s="11"/>
      <c r="F34" s="310">
        <v>10280</v>
      </c>
      <c r="G34" s="311">
        <v>14869</v>
      </c>
      <c r="H34" s="171">
        <f t="shared" si="5"/>
        <v>44.6</v>
      </c>
      <c r="I34" s="11">
        <f>IFERROR(100/'Skjema total MA'!F34*G34,0)</f>
        <v>8.21707376118394</v>
      </c>
      <c r="J34" s="236">
        <f t="shared" si="6"/>
        <v>10280</v>
      </c>
      <c r="K34" s="236">
        <f t="shared" si="6"/>
        <v>14869</v>
      </c>
      <c r="L34" s="429">
        <f t="shared" si="7"/>
        <v>44.6</v>
      </c>
      <c r="M34" s="24">
        <f>IFERROR(100/'Skjema total MA'!I34*K34,0)</f>
        <v>7.1215208326460786</v>
      </c>
    </row>
    <row r="35" spans="1:14" ht="15.75" x14ac:dyDescent="0.2">
      <c r="A35" s="13" t="s">
        <v>446</v>
      </c>
      <c r="B35" s="236"/>
      <c r="C35" s="311"/>
      <c r="D35" s="171"/>
      <c r="E35" s="11"/>
      <c r="F35" s="310">
        <v>8703</v>
      </c>
      <c r="G35" s="311">
        <v>9437</v>
      </c>
      <c r="H35" s="171">
        <f t="shared" si="5"/>
        <v>8.4</v>
      </c>
      <c r="I35" s="11">
        <f>IFERROR(100/'Skjema total MA'!F35*G35,0)</f>
        <v>5.6773708554546847</v>
      </c>
      <c r="J35" s="236">
        <f t="shared" si="6"/>
        <v>8703</v>
      </c>
      <c r="K35" s="236">
        <f t="shared" si="6"/>
        <v>9437</v>
      </c>
      <c r="L35" s="429">
        <f t="shared" si="7"/>
        <v>8.4</v>
      </c>
      <c r="M35" s="24">
        <f>IFERROR(100/'Skjema total MA'!I35*K35,0)</f>
        <v>22.295312484733905</v>
      </c>
    </row>
    <row r="36" spans="1:14" ht="15.75" x14ac:dyDescent="0.2">
      <c r="A36" s="12" t="s">
        <v>280</v>
      </c>
      <c r="B36" s="236"/>
      <c r="C36" s="311"/>
      <c r="D36" s="171"/>
      <c r="E36" s="11"/>
      <c r="F36" s="321"/>
      <c r="G36" s="322"/>
      <c r="H36" s="171"/>
      <c r="I36" s="435"/>
      <c r="J36" s="236"/>
      <c r="K36" s="236"/>
      <c r="L36" s="429"/>
      <c r="M36" s="24"/>
    </row>
    <row r="37" spans="1:14" ht="15.75" x14ac:dyDescent="0.2">
      <c r="A37" s="12" t="s">
        <v>452</v>
      </c>
      <c r="B37" s="236"/>
      <c r="C37" s="311"/>
      <c r="D37" s="171"/>
      <c r="E37" s="11"/>
      <c r="F37" s="321"/>
      <c r="G37" s="323"/>
      <c r="H37" s="171"/>
      <c r="I37" s="435"/>
      <c r="J37" s="236"/>
      <c r="K37" s="236"/>
      <c r="L37" s="429"/>
      <c r="M37" s="24"/>
    </row>
    <row r="38" spans="1:14" ht="15.75" x14ac:dyDescent="0.2">
      <c r="A38" s="12" t="s">
        <v>453</v>
      </c>
      <c r="B38" s="236"/>
      <c r="C38" s="311"/>
      <c r="D38" s="171"/>
      <c r="E38" s="24"/>
      <c r="F38" s="321"/>
      <c r="G38" s="322"/>
      <c r="H38" s="171"/>
      <c r="I38" s="435"/>
      <c r="J38" s="236"/>
      <c r="K38" s="236"/>
      <c r="L38" s="429"/>
      <c r="M38" s="24"/>
    </row>
    <row r="39" spans="1:14" ht="15.75" x14ac:dyDescent="0.2">
      <c r="A39" s="18" t="s">
        <v>454</v>
      </c>
      <c r="B39" s="278"/>
      <c r="C39" s="317"/>
      <c r="D39" s="169"/>
      <c r="E39" s="36"/>
      <c r="F39" s="324"/>
      <c r="G39" s="325"/>
      <c r="H39" s="169"/>
      <c r="I39" s="36"/>
      <c r="J39" s="236"/>
      <c r="K39" s="236"/>
      <c r="L39" s="430"/>
      <c r="M39" s="36"/>
    </row>
    <row r="40" spans="1:14" ht="15.75" x14ac:dyDescent="0.25">
      <c r="A40" s="47"/>
      <c r="B40" s="256"/>
      <c r="C40" s="256"/>
      <c r="D40" s="1026"/>
      <c r="E40" s="1026"/>
      <c r="F40" s="1026"/>
      <c r="G40" s="1026"/>
      <c r="H40" s="1026"/>
      <c r="I40" s="1026"/>
      <c r="J40" s="1026"/>
      <c r="K40" s="1026"/>
      <c r="L40" s="1026"/>
      <c r="M40" s="304"/>
    </row>
    <row r="41" spans="1:14" x14ac:dyDescent="0.2">
      <c r="A41" s="155"/>
    </row>
    <row r="42" spans="1:14" ht="15.75" x14ac:dyDescent="0.25">
      <c r="A42" s="147" t="s">
        <v>269</v>
      </c>
      <c r="B42" s="1027"/>
      <c r="C42" s="1027"/>
      <c r="D42" s="1027"/>
      <c r="E42" s="301"/>
      <c r="F42" s="1028"/>
      <c r="G42" s="1028"/>
      <c r="H42" s="1028"/>
      <c r="I42" s="304"/>
      <c r="J42" s="1028"/>
      <c r="K42" s="1028"/>
      <c r="L42" s="1028"/>
      <c r="M42" s="304"/>
    </row>
    <row r="43" spans="1:14" ht="15.75" x14ac:dyDescent="0.25">
      <c r="A43" s="163"/>
      <c r="B43" s="305"/>
      <c r="C43" s="305"/>
      <c r="D43" s="305"/>
      <c r="E43" s="305"/>
      <c r="F43" s="304"/>
      <c r="G43" s="304"/>
      <c r="H43" s="304"/>
      <c r="I43" s="304"/>
      <c r="J43" s="304"/>
      <c r="K43" s="304"/>
      <c r="L43" s="304"/>
      <c r="M43" s="304"/>
    </row>
    <row r="44" spans="1:14" ht="15.75" x14ac:dyDescent="0.25">
      <c r="A44" s="247"/>
      <c r="B44" s="1023" t="s">
        <v>0</v>
      </c>
      <c r="C44" s="1024"/>
      <c r="D44" s="1024"/>
      <c r="E44" s="243"/>
      <c r="F44" s="304"/>
      <c r="G44" s="304"/>
      <c r="H44" s="304"/>
      <c r="I44" s="304"/>
      <c r="J44" s="304"/>
      <c r="K44" s="304"/>
      <c r="L44" s="304"/>
      <c r="M44" s="304"/>
    </row>
    <row r="45" spans="1:14" s="3" customFormat="1" x14ac:dyDescent="0.2">
      <c r="A45" s="140"/>
      <c r="B45" s="152" t="s">
        <v>502</v>
      </c>
      <c r="C45" s="152" t="s">
        <v>503</v>
      </c>
      <c r="D45" s="162" t="s">
        <v>3</v>
      </c>
      <c r="E45" s="162" t="s">
        <v>29</v>
      </c>
      <c r="F45" s="174"/>
      <c r="G45" s="174"/>
      <c r="H45" s="173"/>
      <c r="I45" s="173"/>
      <c r="J45" s="174"/>
      <c r="K45" s="174"/>
      <c r="L45" s="173"/>
      <c r="M45" s="173"/>
      <c r="N45" s="148"/>
    </row>
    <row r="46" spans="1:14" s="3" customFormat="1" x14ac:dyDescent="0.2">
      <c r="A46" s="990"/>
      <c r="B46" s="244"/>
      <c r="C46" s="244"/>
      <c r="D46" s="245" t="s">
        <v>4</v>
      </c>
      <c r="E46" s="156" t="s">
        <v>30</v>
      </c>
      <c r="F46" s="173"/>
      <c r="G46" s="173"/>
      <c r="H46" s="173"/>
      <c r="I46" s="173"/>
      <c r="J46" s="173"/>
      <c r="K46" s="173"/>
      <c r="L46" s="173"/>
      <c r="M46" s="173"/>
      <c r="N46" s="148"/>
    </row>
    <row r="47" spans="1:14" s="3" customFormat="1" ht="15.75" x14ac:dyDescent="0.2">
      <c r="A47" s="14" t="s">
        <v>23</v>
      </c>
      <c r="B47" s="312"/>
      <c r="C47" s="313"/>
      <c r="D47" s="428"/>
      <c r="E47" s="11"/>
      <c r="F47" s="145"/>
      <c r="G47" s="33"/>
      <c r="H47" s="159"/>
      <c r="I47" s="159"/>
      <c r="J47" s="37"/>
      <c r="K47" s="37"/>
      <c r="L47" s="159"/>
      <c r="M47" s="159"/>
      <c r="N47" s="148"/>
    </row>
    <row r="48" spans="1:14" s="3" customFormat="1" ht="15.75" x14ac:dyDescent="0.2">
      <c r="A48" s="38" t="s">
        <v>455</v>
      </c>
      <c r="B48" s="283"/>
      <c r="C48" s="284"/>
      <c r="D48" s="257"/>
      <c r="E48" s="27"/>
      <c r="F48" s="145"/>
      <c r="G48" s="33"/>
      <c r="H48" s="145"/>
      <c r="I48" s="145"/>
      <c r="J48" s="33"/>
      <c r="K48" s="33"/>
      <c r="L48" s="159"/>
      <c r="M48" s="159"/>
      <c r="N48" s="148"/>
    </row>
    <row r="49" spans="1:14" s="3" customFormat="1" ht="15.75" x14ac:dyDescent="0.2">
      <c r="A49" s="38" t="s">
        <v>456</v>
      </c>
      <c r="B49" s="44"/>
      <c r="C49" s="289"/>
      <c r="D49" s="257"/>
      <c r="E49" s="27"/>
      <c r="F49" s="145"/>
      <c r="G49" s="33"/>
      <c r="H49" s="145"/>
      <c r="I49" s="145"/>
      <c r="J49" s="37"/>
      <c r="K49" s="37"/>
      <c r="L49" s="159"/>
      <c r="M49" s="159"/>
      <c r="N49" s="148"/>
    </row>
    <row r="50" spans="1:14" s="3" customFormat="1" x14ac:dyDescent="0.2">
      <c r="A50" s="298" t="s">
        <v>6</v>
      </c>
      <c r="B50" s="292"/>
      <c r="C50" s="293"/>
      <c r="D50" s="257"/>
      <c r="E50" s="23"/>
      <c r="F50" s="145"/>
      <c r="G50" s="33"/>
      <c r="H50" s="145"/>
      <c r="I50" s="145"/>
      <c r="J50" s="33"/>
      <c r="K50" s="33"/>
      <c r="L50" s="159"/>
      <c r="M50" s="159"/>
      <c r="N50" s="148"/>
    </row>
    <row r="51" spans="1:14" s="3" customFormat="1" x14ac:dyDescent="0.2">
      <c r="A51" s="298" t="s">
        <v>7</v>
      </c>
      <c r="B51" s="292"/>
      <c r="C51" s="293"/>
      <c r="D51" s="257"/>
      <c r="E51" s="23"/>
      <c r="F51" s="145"/>
      <c r="G51" s="33"/>
      <c r="H51" s="145"/>
      <c r="I51" s="145"/>
      <c r="J51" s="33"/>
      <c r="K51" s="33"/>
      <c r="L51" s="159"/>
      <c r="M51" s="159"/>
      <c r="N51" s="148"/>
    </row>
    <row r="52" spans="1:14" s="3" customFormat="1" x14ac:dyDescent="0.2">
      <c r="A52" s="298" t="s">
        <v>8</v>
      </c>
      <c r="B52" s="292"/>
      <c r="C52" s="293"/>
      <c r="D52" s="257"/>
      <c r="E52" s="23"/>
      <c r="F52" s="145"/>
      <c r="G52" s="33"/>
      <c r="H52" s="145"/>
      <c r="I52" s="145"/>
      <c r="J52" s="33"/>
      <c r="K52" s="33"/>
      <c r="L52" s="159"/>
      <c r="M52" s="159"/>
      <c r="N52" s="148"/>
    </row>
    <row r="53" spans="1:14" s="3" customFormat="1" ht="15.75" x14ac:dyDescent="0.2">
      <c r="A53" s="39" t="s">
        <v>457</v>
      </c>
      <c r="B53" s="312"/>
      <c r="C53" s="313"/>
      <c r="D53" s="429"/>
      <c r="E53" s="11"/>
      <c r="F53" s="145"/>
      <c r="G53" s="33"/>
      <c r="H53" s="145"/>
      <c r="I53" s="145"/>
      <c r="J53" s="33"/>
      <c r="K53" s="33"/>
      <c r="L53" s="159"/>
      <c r="M53" s="159"/>
      <c r="N53" s="148"/>
    </row>
    <row r="54" spans="1:14" s="3" customFormat="1" ht="15.75" x14ac:dyDescent="0.2">
      <c r="A54" s="38" t="s">
        <v>455</v>
      </c>
      <c r="B54" s="283"/>
      <c r="C54" s="284"/>
      <c r="D54" s="257"/>
      <c r="E54" s="27"/>
      <c r="F54" s="145"/>
      <c r="G54" s="33"/>
      <c r="H54" s="145"/>
      <c r="I54" s="145"/>
      <c r="J54" s="33"/>
      <c r="K54" s="33"/>
      <c r="L54" s="159"/>
      <c r="M54" s="159"/>
      <c r="N54" s="148"/>
    </row>
    <row r="55" spans="1:14" s="3" customFormat="1" ht="15.75" x14ac:dyDescent="0.2">
      <c r="A55" s="38" t="s">
        <v>456</v>
      </c>
      <c r="B55" s="283"/>
      <c r="C55" s="284"/>
      <c r="D55" s="257"/>
      <c r="E55" s="27"/>
      <c r="F55" s="145"/>
      <c r="G55" s="33"/>
      <c r="H55" s="145"/>
      <c r="I55" s="145"/>
      <c r="J55" s="33"/>
      <c r="K55" s="33"/>
      <c r="L55" s="159"/>
      <c r="M55" s="159"/>
      <c r="N55" s="148"/>
    </row>
    <row r="56" spans="1:14" s="3" customFormat="1" ht="15.75" x14ac:dyDescent="0.2">
      <c r="A56" s="39" t="s">
        <v>458</v>
      </c>
      <c r="B56" s="312"/>
      <c r="C56" s="313"/>
      <c r="D56" s="429"/>
      <c r="E56" s="11"/>
      <c r="F56" s="145"/>
      <c r="G56" s="33"/>
      <c r="H56" s="145"/>
      <c r="I56" s="145"/>
      <c r="J56" s="33"/>
      <c r="K56" s="33"/>
      <c r="L56" s="159"/>
      <c r="M56" s="159"/>
      <c r="N56" s="148"/>
    </row>
    <row r="57" spans="1:14" s="3" customFormat="1" ht="15.75" x14ac:dyDescent="0.2">
      <c r="A57" s="38" t="s">
        <v>455</v>
      </c>
      <c r="B57" s="283"/>
      <c r="C57" s="284"/>
      <c r="D57" s="257"/>
      <c r="E57" s="27"/>
      <c r="F57" s="145"/>
      <c r="G57" s="33"/>
      <c r="H57" s="145"/>
      <c r="I57" s="145"/>
      <c r="J57" s="33"/>
      <c r="K57" s="33"/>
      <c r="L57" s="159"/>
      <c r="M57" s="159"/>
      <c r="N57" s="148"/>
    </row>
    <row r="58" spans="1:14" s="3" customFormat="1" ht="15.75" x14ac:dyDescent="0.2">
      <c r="A58" s="46" t="s">
        <v>456</v>
      </c>
      <c r="B58" s="285"/>
      <c r="C58" s="286"/>
      <c r="D58" s="258"/>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1022"/>
      <c r="C62" s="1022"/>
      <c r="D62" s="1022"/>
      <c r="E62" s="301"/>
      <c r="F62" s="1022"/>
      <c r="G62" s="1022"/>
      <c r="H62" s="1022"/>
      <c r="I62" s="301"/>
      <c r="J62" s="1022"/>
      <c r="K62" s="1022"/>
      <c r="L62" s="1022"/>
      <c r="M62" s="301"/>
    </row>
    <row r="63" spans="1:14" x14ac:dyDescent="0.2">
      <c r="A63" s="144"/>
      <c r="B63" s="1023" t="s">
        <v>0</v>
      </c>
      <c r="C63" s="1024"/>
      <c r="D63" s="1025"/>
      <c r="E63" s="302"/>
      <c r="F63" s="1024" t="s">
        <v>1</v>
      </c>
      <c r="G63" s="1024"/>
      <c r="H63" s="1024"/>
      <c r="I63" s="306"/>
      <c r="J63" s="1023" t="s">
        <v>2</v>
      </c>
      <c r="K63" s="1024"/>
      <c r="L63" s="1024"/>
      <c r="M63" s="306"/>
    </row>
    <row r="64" spans="1:14" x14ac:dyDescent="0.2">
      <c r="A64" s="140"/>
      <c r="B64" s="152" t="s">
        <v>502</v>
      </c>
      <c r="C64" s="152" t="s">
        <v>503</v>
      </c>
      <c r="D64" s="245" t="s">
        <v>3</v>
      </c>
      <c r="E64" s="307" t="s">
        <v>29</v>
      </c>
      <c r="F64" s="152" t="s">
        <v>502</v>
      </c>
      <c r="G64" s="152" t="s">
        <v>503</v>
      </c>
      <c r="H64" s="245" t="s">
        <v>3</v>
      </c>
      <c r="I64" s="307" t="s">
        <v>29</v>
      </c>
      <c r="J64" s="152" t="s">
        <v>502</v>
      </c>
      <c r="K64" s="152" t="s">
        <v>503</v>
      </c>
      <c r="L64" s="245" t="s">
        <v>3</v>
      </c>
      <c r="M64" s="162" t="s">
        <v>29</v>
      </c>
    </row>
    <row r="65" spans="1:14" x14ac:dyDescent="0.2">
      <c r="A65" s="990"/>
      <c r="B65" s="156"/>
      <c r="C65" s="156"/>
      <c r="D65" s="246" t="s">
        <v>4</v>
      </c>
      <c r="E65" s="156" t="s">
        <v>30</v>
      </c>
      <c r="F65" s="161"/>
      <c r="G65" s="161"/>
      <c r="H65" s="245" t="s">
        <v>4</v>
      </c>
      <c r="I65" s="156" t="s">
        <v>30</v>
      </c>
      <c r="J65" s="161"/>
      <c r="K65" s="206"/>
      <c r="L65" s="156" t="s">
        <v>4</v>
      </c>
      <c r="M65" s="156" t="s">
        <v>30</v>
      </c>
    </row>
    <row r="66" spans="1:14" ht="15.75" x14ac:dyDescent="0.2">
      <c r="A66" s="14" t="s">
        <v>23</v>
      </c>
      <c r="B66" s="354">
        <v>261164</v>
      </c>
      <c r="C66" s="354">
        <v>247836</v>
      </c>
      <c r="D66" s="351">
        <f t="shared" ref="D66:D111" si="12">IF(B66=0, "    ---- ", IF(ABS(ROUND(100/B66*C66-100,1))&lt;999,ROUND(100/B66*C66-100,1),IF(ROUND(100/B66*C66-100,1)&gt;999,999,-999)))</f>
        <v>-5.0999999999999996</v>
      </c>
      <c r="E66" s="11">
        <f>IFERROR(100/'Skjema total MA'!C66*C66,0)</f>
        <v>3.3369618898815743</v>
      </c>
      <c r="F66" s="353">
        <v>3040931</v>
      </c>
      <c r="G66" s="353">
        <v>3008996</v>
      </c>
      <c r="H66" s="351">
        <f t="shared" ref="H66:H111" si="13">IF(F66=0, "    ---- ", IF(ABS(ROUND(100/F66*G66-100,1))&lt;999,ROUND(100/F66*G66-100,1),IF(ROUND(100/F66*G66-100,1)&gt;999,999,-999)))</f>
        <v>-1.1000000000000001</v>
      </c>
      <c r="I66" s="11">
        <f>IFERROR(100/'Skjema total MA'!F66*G66,0)</f>
        <v>8.594148521762019</v>
      </c>
      <c r="J66" s="311">
        <f t="shared" ref="J66:K86" si="14">SUM(B66,F66)</f>
        <v>3302095</v>
      </c>
      <c r="K66" s="318">
        <f t="shared" si="14"/>
        <v>3256832</v>
      </c>
      <c r="L66" s="429">
        <f t="shared" ref="L66:L111" si="15">IF(J66=0, "    ---- ", IF(ABS(ROUND(100/J66*K66-100,1))&lt;999,ROUND(100/J66*K66-100,1),IF(ROUND(100/J66*K66-100,1)&gt;999,999,-999)))</f>
        <v>-1.4</v>
      </c>
      <c r="M66" s="11">
        <f>IFERROR(100/'Skjema total MA'!I66*K66,0)</f>
        <v>7.6741228800156502</v>
      </c>
    </row>
    <row r="67" spans="1:14" x14ac:dyDescent="0.2">
      <c r="A67" s="420" t="s">
        <v>9</v>
      </c>
      <c r="B67" s="44">
        <v>261164</v>
      </c>
      <c r="C67" s="145">
        <v>247836</v>
      </c>
      <c r="D67" s="166">
        <f t="shared" si="12"/>
        <v>-5.0999999999999996</v>
      </c>
      <c r="E67" s="27">
        <f>IFERROR(100/'Skjema total MA'!C67*C67,0)</f>
        <v>4.8231033465276214</v>
      </c>
      <c r="F67" s="234"/>
      <c r="G67" s="145"/>
      <c r="H67" s="166"/>
      <c r="I67" s="27"/>
      <c r="J67" s="289">
        <f t="shared" si="14"/>
        <v>261164</v>
      </c>
      <c r="K67" s="44">
        <f t="shared" si="14"/>
        <v>247836</v>
      </c>
      <c r="L67" s="257">
        <f t="shared" si="15"/>
        <v>-5.0999999999999996</v>
      </c>
      <c r="M67" s="27">
        <f>IFERROR(100/'Skjema total MA'!I67*K67,0)</f>
        <v>4.8231033465276214</v>
      </c>
    </row>
    <row r="68" spans="1:14" x14ac:dyDescent="0.2">
      <c r="A68" s="21" t="s">
        <v>10</v>
      </c>
      <c r="B68" s="294"/>
      <c r="C68" s="295"/>
      <c r="D68" s="166"/>
      <c r="E68" s="27"/>
      <c r="F68" s="294">
        <v>3040931</v>
      </c>
      <c r="G68" s="283">
        <v>3008996</v>
      </c>
      <c r="H68" s="166">
        <f t="shared" si="13"/>
        <v>-1.1000000000000001</v>
      </c>
      <c r="I68" s="27">
        <f>IFERROR(100/'Skjema total MA'!F68*G68,0)</f>
        <v>8.9465154628636103</v>
      </c>
      <c r="J68" s="289">
        <f t="shared" si="14"/>
        <v>3040931</v>
      </c>
      <c r="K68" s="44">
        <f t="shared" si="14"/>
        <v>3008996</v>
      </c>
      <c r="L68" s="257">
        <f t="shared" si="15"/>
        <v>-1.1000000000000001</v>
      </c>
      <c r="M68" s="27">
        <f>IFERROR(100/'Skjema total MA'!I68*K68,0)</f>
        <v>8.9138422776403416</v>
      </c>
    </row>
    <row r="69" spans="1:14" ht="15.75" x14ac:dyDescent="0.2">
      <c r="A69" s="298" t="s">
        <v>459</v>
      </c>
      <c r="B69" s="283"/>
      <c r="C69" s="283"/>
      <c r="D69" s="166"/>
      <c r="E69" s="418"/>
      <c r="F69" s="283"/>
      <c r="G69" s="283"/>
      <c r="H69" s="166"/>
      <c r="I69" s="418"/>
      <c r="J69" s="292"/>
      <c r="K69" s="292"/>
      <c r="L69" s="166"/>
      <c r="M69" s="23"/>
    </row>
    <row r="70" spans="1:14" x14ac:dyDescent="0.2">
      <c r="A70" s="298" t="s">
        <v>12</v>
      </c>
      <c r="B70" s="296"/>
      <c r="C70" s="297"/>
      <c r="D70" s="166"/>
      <c r="E70" s="418"/>
      <c r="F70" s="283"/>
      <c r="G70" s="283"/>
      <c r="H70" s="166"/>
      <c r="I70" s="418"/>
      <c r="J70" s="292"/>
      <c r="K70" s="292"/>
      <c r="L70" s="166"/>
      <c r="M70" s="23"/>
    </row>
    <row r="71" spans="1:14" x14ac:dyDescent="0.2">
      <c r="A71" s="298" t="s">
        <v>13</v>
      </c>
      <c r="B71" s="235"/>
      <c r="C71" s="291"/>
      <c r="D71" s="166"/>
      <c r="E71" s="418"/>
      <c r="F71" s="283"/>
      <c r="G71" s="283"/>
      <c r="H71" s="166"/>
      <c r="I71" s="418"/>
      <c r="J71" s="292"/>
      <c r="K71" s="292"/>
      <c r="L71" s="166"/>
      <c r="M71" s="23"/>
    </row>
    <row r="72" spans="1:14" ht="15.75" x14ac:dyDescent="0.2">
      <c r="A72" s="298" t="s">
        <v>460</v>
      </c>
      <c r="B72" s="283"/>
      <c r="C72" s="283"/>
      <c r="D72" s="166"/>
      <c r="E72" s="418"/>
      <c r="F72" s="283">
        <v>3040931</v>
      </c>
      <c r="G72" s="283">
        <v>3008996</v>
      </c>
      <c r="H72" s="166">
        <f t="shared" ref="H72" si="16">IF(F72=0, "    ---- ", IF(ABS(ROUND(100/F72*G72-100,1))&lt;999,ROUND(100/F72*G72-100,1),IF(ROUND(100/F72*G72-100,1)&gt;999,999,-999)))</f>
        <v>-1.1000000000000001</v>
      </c>
      <c r="I72" s="27">
        <f>IFERROR(100/'Skjema total MA'!F72*G72,0)</f>
        <v>8.9471794551522148</v>
      </c>
      <c r="J72" s="289">
        <f t="shared" ref="J72" si="17">SUM(B72,F72)</f>
        <v>3040931</v>
      </c>
      <c r="K72" s="44">
        <f t="shared" ref="K72" si="18">SUM(C72,G72)</f>
        <v>3008996</v>
      </c>
      <c r="L72" s="257">
        <f t="shared" ref="L72" si="19">IF(J72=0, "    ---- ", IF(ABS(ROUND(100/J72*K72-100,1))&lt;999,ROUND(100/J72*K72-100,1),IF(ROUND(100/J72*K72-100,1)&gt;999,999,-999)))</f>
        <v>-1.1000000000000001</v>
      </c>
      <c r="M72" s="27">
        <f>IFERROR(100/'Skjema total MA'!I72*K72,0)</f>
        <v>8.9172891097514722</v>
      </c>
    </row>
    <row r="73" spans="1:14" x14ac:dyDescent="0.2">
      <c r="A73" s="298" t="s">
        <v>12</v>
      </c>
      <c r="B73" s="235"/>
      <c r="C73" s="291"/>
      <c r="D73" s="166"/>
      <c r="E73" s="418"/>
      <c r="F73" s="283"/>
      <c r="G73" s="283"/>
      <c r="H73" s="166"/>
      <c r="I73" s="418"/>
      <c r="J73" s="292"/>
      <c r="K73" s="292"/>
      <c r="L73" s="166"/>
      <c r="M73" s="23"/>
    </row>
    <row r="74" spans="1:14" s="3" customFormat="1" x14ac:dyDescent="0.2">
      <c r="A74" s="298" t="s">
        <v>13</v>
      </c>
      <c r="B74" s="235"/>
      <c r="C74" s="291"/>
      <c r="D74" s="166"/>
      <c r="E74" s="418"/>
      <c r="F74" s="283">
        <v>3040931</v>
      </c>
      <c r="G74" s="283">
        <v>3008996</v>
      </c>
      <c r="H74" s="166">
        <f t="shared" ref="H74" si="20">IF(F74=0, "    ---- ", IF(ABS(ROUND(100/F74*G74-100,1))&lt;999,ROUND(100/F74*G74-100,1),IF(ROUND(100/F74*G74-100,1)&gt;999,999,-999)))</f>
        <v>-1.1000000000000001</v>
      </c>
      <c r="I74" s="27">
        <f>IFERROR(100/'Skjema total MA'!F74*G74,0)</f>
        <v>8.9474500283486158</v>
      </c>
      <c r="J74" s="289">
        <f t="shared" ref="J74" si="21">SUM(B74,F74)</f>
        <v>3040931</v>
      </c>
      <c r="K74" s="44">
        <f t="shared" ref="K74" si="22">SUM(C74,G74)</f>
        <v>3008996</v>
      </c>
      <c r="L74" s="257">
        <f t="shared" ref="L74" si="23">IF(J74=0, "    ---- ", IF(ABS(ROUND(100/J74*K74-100,1))&lt;999,ROUND(100/J74*K74-100,1),IF(ROUND(100/J74*K74-100,1)&gt;999,999,-999)))</f>
        <v>-1.1000000000000001</v>
      </c>
      <c r="M74" s="27">
        <f>IFERROR(100/'Skjema total MA'!I74*K74,0)</f>
        <v>8.9474500283486158</v>
      </c>
      <c r="N74" s="148"/>
    </row>
    <row r="75" spans="1:14" s="3" customFormat="1" x14ac:dyDescent="0.2">
      <c r="A75" s="21" t="s">
        <v>346</v>
      </c>
      <c r="B75" s="234"/>
      <c r="C75" s="145"/>
      <c r="D75" s="166"/>
      <c r="E75" s="27"/>
      <c r="F75" s="234"/>
      <c r="G75" s="145"/>
      <c r="H75" s="166"/>
      <c r="I75" s="27"/>
      <c r="J75" s="289"/>
      <c r="K75" s="44"/>
      <c r="L75" s="257"/>
      <c r="M75" s="27"/>
      <c r="N75" s="148"/>
    </row>
    <row r="76" spans="1:14" s="3" customFormat="1" x14ac:dyDescent="0.2">
      <c r="A76" s="21" t="s">
        <v>345</v>
      </c>
      <c r="B76" s="234"/>
      <c r="C76" s="145"/>
      <c r="D76" s="166"/>
      <c r="E76" s="27"/>
      <c r="F76" s="234"/>
      <c r="G76" s="145"/>
      <c r="H76" s="166"/>
      <c r="I76" s="27"/>
      <c r="J76" s="289"/>
      <c r="K76" s="44"/>
      <c r="L76" s="257"/>
      <c r="M76" s="27"/>
      <c r="N76" s="148"/>
    </row>
    <row r="77" spans="1:14" ht="15.75" x14ac:dyDescent="0.2">
      <c r="A77" s="21" t="s">
        <v>461</v>
      </c>
      <c r="B77" s="234">
        <v>260709</v>
      </c>
      <c r="C77" s="234">
        <v>247186</v>
      </c>
      <c r="D77" s="166">
        <f t="shared" si="12"/>
        <v>-5.2</v>
      </c>
      <c r="E77" s="27">
        <f>IFERROR(100/'Skjema total MA'!C77*C77,0)</f>
        <v>4.829773361081795</v>
      </c>
      <c r="F77" s="234">
        <v>3040931</v>
      </c>
      <c r="G77" s="145">
        <v>3008996</v>
      </c>
      <c r="H77" s="166">
        <f t="shared" si="13"/>
        <v>-1.1000000000000001</v>
      </c>
      <c r="I77" s="27">
        <f>IFERROR(100/'Skjema total MA'!F77*G77,0)</f>
        <v>8.950290755516475</v>
      </c>
      <c r="J77" s="289">
        <f t="shared" si="14"/>
        <v>3301640</v>
      </c>
      <c r="K77" s="44">
        <f t="shared" si="14"/>
        <v>3256182</v>
      </c>
      <c r="L77" s="257">
        <f t="shared" si="15"/>
        <v>-1.4</v>
      </c>
      <c r="M77" s="27">
        <f>IFERROR(100/'Skjema total MA'!I77*K77,0)</f>
        <v>8.4058838994973453</v>
      </c>
    </row>
    <row r="78" spans="1:14" x14ac:dyDescent="0.2">
      <c r="A78" s="21" t="s">
        <v>9</v>
      </c>
      <c r="B78" s="234">
        <v>260709</v>
      </c>
      <c r="C78" s="145">
        <v>247186</v>
      </c>
      <c r="D78" s="166">
        <f t="shared" si="12"/>
        <v>-5.2</v>
      </c>
      <c r="E78" s="27">
        <f>IFERROR(100/'Skjema total MA'!C78*C78,0)</f>
        <v>4.9465043626325622</v>
      </c>
      <c r="F78" s="234"/>
      <c r="G78" s="145"/>
      <c r="H78" s="166"/>
      <c r="I78" s="27"/>
      <c r="J78" s="289">
        <f t="shared" si="14"/>
        <v>260709</v>
      </c>
      <c r="K78" s="44">
        <f t="shared" si="14"/>
        <v>247186</v>
      </c>
      <c r="L78" s="257">
        <f t="shared" si="15"/>
        <v>-5.2</v>
      </c>
      <c r="M78" s="27">
        <f>IFERROR(100/'Skjema total MA'!I78*K78,0)</f>
        <v>4.9465043626325622</v>
      </c>
    </row>
    <row r="79" spans="1:14" x14ac:dyDescent="0.2">
      <c r="A79" s="21" t="s">
        <v>10</v>
      </c>
      <c r="B79" s="294"/>
      <c r="C79" s="295"/>
      <c r="D79" s="166"/>
      <c r="E79" s="27"/>
      <c r="F79" s="294">
        <v>3040931</v>
      </c>
      <c r="G79" s="295">
        <v>3008996</v>
      </c>
      <c r="H79" s="166">
        <f t="shared" si="13"/>
        <v>-1.1000000000000001</v>
      </c>
      <c r="I79" s="27">
        <f>IFERROR(100/'Skjema total MA'!F79*G79,0)</f>
        <v>8.950290755516475</v>
      </c>
      <c r="J79" s="289">
        <f t="shared" si="14"/>
        <v>3040931</v>
      </c>
      <c r="K79" s="44">
        <f t="shared" si="14"/>
        <v>3008996</v>
      </c>
      <c r="L79" s="257">
        <f t="shared" si="15"/>
        <v>-1.1000000000000001</v>
      </c>
      <c r="M79" s="27">
        <f>IFERROR(100/'Skjema total MA'!I79*K79,0)</f>
        <v>8.9182516641975749</v>
      </c>
    </row>
    <row r="80" spans="1:14" ht="15.75" x14ac:dyDescent="0.2">
      <c r="A80" s="298" t="s">
        <v>459</v>
      </c>
      <c r="B80" s="283"/>
      <c r="C80" s="283"/>
      <c r="D80" s="166"/>
      <c r="E80" s="418"/>
      <c r="F80" s="283"/>
      <c r="G80" s="283"/>
      <c r="H80" s="166"/>
      <c r="I80" s="418"/>
      <c r="J80" s="292"/>
      <c r="K80" s="292"/>
      <c r="L80" s="166"/>
      <c r="M80" s="23"/>
    </row>
    <row r="81" spans="1:13" x14ac:dyDescent="0.2">
      <c r="A81" s="298" t="s">
        <v>12</v>
      </c>
      <c r="B81" s="235"/>
      <c r="C81" s="291"/>
      <c r="D81" s="166"/>
      <c r="E81" s="418"/>
      <c r="F81" s="283"/>
      <c r="G81" s="283"/>
      <c r="H81" s="166"/>
      <c r="I81" s="418"/>
      <c r="J81" s="292"/>
      <c r="K81" s="292"/>
      <c r="L81" s="166"/>
      <c r="M81" s="23"/>
    </row>
    <row r="82" spans="1:13" x14ac:dyDescent="0.2">
      <c r="A82" s="298" t="s">
        <v>13</v>
      </c>
      <c r="B82" s="235"/>
      <c r="C82" s="291"/>
      <c r="D82" s="166"/>
      <c r="E82" s="418"/>
      <c r="F82" s="283"/>
      <c r="G82" s="283"/>
      <c r="H82" s="166"/>
      <c r="I82" s="418"/>
      <c r="J82" s="292"/>
      <c r="K82" s="292"/>
      <c r="L82" s="166"/>
      <c r="M82" s="23"/>
    </row>
    <row r="83" spans="1:13" ht="15.75" x14ac:dyDescent="0.2">
      <c r="A83" s="298" t="s">
        <v>460</v>
      </c>
      <c r="B83" s="283"/>
      <c r="C83" s="283"/>
      <c r="D83" s="166"/>
      <c r="E83" s="418"/>
      <c r="F83" s="283">
        <v>3040931</v>
      </c>
      <c r="G83" s="283">
        <v>3008996</v>
      </c>
      <c r="H83" s="166">
        <f t="shared" ref="H83" si="24">IF(F83=0, "    ---- ", IF(ABS(ROUND(100/F83*G83-100,1))&lt;999,ROUND(100/F83*G83-100,1),IF(ROUND(100/F83*G83-100,1)&gt;999,999,-999)))</f>
        <v>-1.1000000000000001</v>
      </c>
      <c r="I83" s="27">
        <f>IFERROR(100/'Skjema total MA'!F83*G83,0)</f>
        <v>8.950290755516475</v>
      </c>
      <c r="J83" s="289">
        <f t="shared" ref="J83" si="25">SUM(B83,F83)</f>
        <v>3040931</v>
      </c>
      <c r="K83" s="44">
        <f t="shared" ref="K83" si="26">SUM(C83,G83)</f>
        <v>3008996</v>
      </c>
      <c r="L83" s="257">
        <f t="shared" ref="L83" si="27">IF(J83=0, "    ---- ", IF(ABS(ROUND(100/J83*K83-100,1))&lt;999,ROUND(100/J83*K83-100,1),IF(ROUND(100/J83*K83-100,1)&gt;999,999,-999)))</f>
        <v>-1.1000000000000001</v>
      </c>
      <c r="M83" s="27">
        <f>IFERROR(100/'Skjema total MA'!I83*K83,0)</f>
        <v>8.9182516641975749</v>
      </c>
    </row>
    <row r="84" spans="1:13" x14ac:dyDescent="0.2">
      <c r="A84" s="298" t="s">
        <v>12</v>
      </c>
      <c r="B84" s="235"/>
      <c r="C84" s="291"/>
      <c r="D84" s="166"/>
      <c r="E84" s="418"/>
      <c r="F84" s="283"/>
      <c r="G84" s="283"/>
      <c r="H84" s="166"/>
      <c r="I84" s="418"/>
      <c r="J84" s="292"/>
      <c r="K84" s="292"/>
      <c r="L84" s="166"/>
      <c r="M84" s="23"/>
    </row>
    <row r="85" spans="1:13" x14ac:dyDescent="0.2">
      <c r="A85" s="298" t="s">
        <v>13</v>
      </c>
      <c r="B85" s="235"/>
      <c r="C85" s="291"/>
      <c r="D85" s="166"/>
      <c r="E85" s="418"/>
      <c r="F85" s="283">
        <v>3040931</v>
      </c>
      <c r="G85" s="283">
        <v>3008996</v>
      </c>
      <c r="H85" s="166">
        <f t="shared" ref="H85" si="28">IF(F85=0, "    ---- ", IF(ABS(ROUND(100/F85*G85-100,1))&lt;999,ROUND(100/F85*G85-100,1),IF(ROUND(100/F85*G85-100,1)&gt;999,999,-999)))</f>
        <v>-1.1000000000000001</v>
      </c>
      <c r="I85" s="27">
        <f>IFERROR(100/'Skjema total MA'!F85*G85,0)</f>
        <v>8.9505615169271824</v>
      </c>
      <c r="J85" s="289">
        <f t="shared" ref="J85" si="29">SUM(B85,F85)</f>
        <v>3040931</v>
      </c>
      <c r="K85" s="44">
        <f t="shared" ref="K85" si="30">SUM(C85,G85)</f>
        <v>3008996</v>
      </c>
      <c r="L85" s="257">
        <f t="shared" ref="L85" si="31">IF(J85=0, "    ---- ", IF(ABS(ROUND(100/J85*K85-100,1))&lt;999,ROUND(100/J85*K85-100,1),IF(ROUND(100/J85*K85-100,1)&gt;999,999,-999)))</f>
        <v>-1.1000000000000001</v>
      </c>
      <c r="M85" s="27">
        <f>IFERROR(100/'Skjema total MA'!I85*K85,0)</f>
        <v>8.9505615169271824</v>
      </c>
    </row>
    <row r="86" spans="1:13" ht="15.75" x14ac:dyDescent="0.2">
      <c r="A86" s="21" t="s">
        <v>462</v>
      </c>
      <c r="B86" s="234">
        <v>455</v>
      </c>
      <c r="C86" s="145">
        <v>650</v>
      </c>
      <c r="D86" s="166">
        <f t="shared" si="12"/>
        <v>42.9</v>
      </c>
      <c r="E86" s="27">
        <f>IFERROR(100/'Skjema total MA'!C86*C86,0)</f>
        <v>0.45190657925783012</v>
      </c>
      <c r="F86" s="234"/>
      <c r="G86" s="145"/>
      <c r="H86" s="166"/>
      <c r="I86" s="27"/>
      <c r="J86" s="289">
        <f t="shared" si="14"/>
        <v>455</v>
      </c>
      <c r="K86" s="44">
        <f t="shared" si="14"/>
        <v>650</v>
      </c>
      <c r="L86" s="257">
        <f t="shared" si="15"/>
        <v>42.9</v>
      </c>
      <c r="M86" s="27">
        <f>IFERROR(100/'Skjema total MA'!I86*K86,0)</f>
        <v>0.41133583061003076</v>
      </c>
    </row>
    <row r="87" spans="1:13" ht="15.75" x14ac:dyDescent="0.2">
      <c r="A87" s="13" t="s">
        <v>444</v>
      </c>
      <c r="B87" s="354">
        <v>5269451</v>
      </c>
      <c r="C87" s="354">
        <v>5402096</v>
      </c>
      <c r="D87" s="171">
        <f t="shared" si="12"/>
        <v>2.5</v>
      </c>
      <c r="E87" s="11">
        <f>IFERROR(100/'Skjema total MA'!C87*C87,0)</f>
        <v>1.3669012864007068</v>
      </c>
      <c r="F87" s="353">
        <v>27887839</v>
      </c>
      <c r="G87" s="353">
        <v>32202793</v>
      </c>
      <c r="H87" s="171">
        <f t="shared" si="13"/>
        <v>15.5</v>
      </c>
      <c r="I87" s="11">
        <f>IFERROR(100/'Skjema total MA'!F87*G87,0)</f>
        <v>8.6380058681662266</v>
      </c>
      <c r="J87" s="311">
        <f t="shared" ref="J87:K111" si="32">SUM(B87,F87)</f>
        <v>33157290</v>
      </c>
      <c r="K87" s="236">
        <f t="shared" si="32"/>
        <v>37604889</v>
      </c>
      <c r="L87" s="429">
        <f t="shared" si="15"/>
        <v>13.4</v>
      </c>
      <c r="M87" s="11">
        <f>IFERROR(100/'Skjema total MA'!I87*K87,0)</f>
        <v>4.8963996246163699</v>
      </c>
    </row>
    <row r="88" spans="1:13" x14ac:dyDescent="0.2">
      <c r="A88" s="21" t="s">
        <v>9</v>
      </c>
      <c r="B88" s="234">
        <v>5269451</v>
      </c>
      <c r="C88" s="145">
        <v>5402096</v>
      </c>
      <c r="D88" s="166">
        <f t="shared" si="12"/>
        <v>2.5</v>
      </c>
      <c r="E88" s="27">
        <f>IFERROR(100/'Skjema total MA'!C88*C88,0)</f>
        <v>1.4091886368283313</v>
      </c>
      <c r="F88" s="234"/>
      <c r="G88" s="145"/>
      <c r="H88" s="166"/>
      <c r="I88" s="27"/>
      <c r="J88" s="289">
        <f t="shared" si="32"/>
        <v>5269451</v>
      </c>
      <c r="K88" s="44">
        <f t="shared" si="32"/>
        <v>5402096</v>
      </c>
      <c r="L88" s="257">
        <f t="shared" si="15"/>
        <v>2.5</v>
      </c>
      <c r="M88" s="27">
        <f>IFERROR(100/'Skjema total MA'!I88*K88,0)</f>
        <v>1.4091886368283313</v>
      </c>
    </row>
    <row r="89" spans="1:13" x14ac:dyDescent="0.2">
      <c r="A89" s="21" t="s">
        <v>10</v>
      </c>
      <c r="B89" s="234"/>
      <c r="C89" s="145"/>
      <c r="D89" s="166"/>
      <c r="E89" s="27"/>
      <c r="F89" s="234">
        <v>27887839</v>
      </c>
      <c r="G89" s="145">
        <v>32202793</v>
      </c>
      <c r="H89" s="166">
        <f t="shared" si="13"/>
        <v>15.5</v>
      </c>
      <c r="I89" s="27">
        <f>IFERROR(100/'Skjema total MA'!F89*G89,0)</f>
        <v>8.7111920596136923</v>
      </c>
      <c r="J89" s="289">
        <f t="shared" si="32"/>
        <v>27887839</v>
      </c>
      <c r="K89" s="44">
        <f t="shared" si="32"/>
        <v>32202793</v>
      </c>
      <c r="L89" s="257">
        <f t="shared" si="15"/>
        <v>15.5</v>
      </c>
      <c r="M89" s="27">
        <f>IFERROR(100/'Skjema total MA'!I89*K89,0)</f>
        <v>8.6398573025065506</v>
      </c>
    </row>
    <row r="90" spans="1:13" ht="15.75" x14ac:dyDescent="0.2">
      <c r="A90" s="298" t="s">
        <v>459</v>
      </c>
      <c r="B90" s="283"/>
      <c r="C90" s="283"/>
      <c r="D90" s="166"/>
      <c r="E90" s="418"/>
      <c r="F90" s="283"/>
      <c r="G90" s="283"/>
      <c r="H90" s="166"/>
      <c r="I90" s="418"/>
      <c r="J90" s="292"/>
      <c r="K90" s="292"/>
      <c r="L90" s="166"/>
      <c r="M90" s="23"/>
    </row>
    <row r="91" spans="1:13" x14ac:dyDescent="0.2">
      <c r="A91" s="298" t="s">
        <v>12</v>
      </c>
      <c r="B91" s="235"/>
      <c r="C91" s="291"/>
      <c r="D91" s="166"/>
      <c r="E91" s="418"/>
      <c r="F91" s="283"/>
      <c r="G91" s="283"/>
      <c r="H91" s="166"/>
      <c r="I91" s="418"/>
      <c r="J91" s="292"/>
      <c r="K91" s="292"/>
      <c r="L91" s="166"/>
      <c r="M91" s="23"/>
    </row>
    <row r="92" spans="1:13" x14ac:dyDescent="0.2">
      <c r="A92" s="298" t="s">
        <v>13</v>
      </c>
      <c r="B92" s="235"/>
      <c r="C92" s="291"/>
      <c r="D92" s="166"/>
      <c r="E92" s="418"/>
      <c r="F92" s="283"/>
      <c r="G92" s="283"/>
      <c r="H92" s="166"/>
      <c r="I92" s="418"/>
      <c r="J92" s="292"/>
      <c r="K92" s="292"/>
      <c r="L92" s="166"/>
      <c r="M92" s="23"/>
    </row>
    <row r="93" spans="1:13" ht="15.75" x14ac:dyDescent="0.2">
      <c r="A93" s="298" t="s">
        <v>460</v>
      </c>
      <c r="B93" s="283"/>
      <c r="C93" s="283"/>
      <c r="D93" s="166"/>
      <c r="E93" s="418"/>
      <c r="F93" s="283">
        <v>27887839</v>
      </c>
      <c r="G93" s="283">
        <v>32202793</v>
      </c>
      <c r="H93" s="166">
        <f t="shared" ref="H93" si="33">IF(F93=0, "    ---- ", IF(ABS(ROUND(100/F93*G93-100,1))&lt;999,ROUND(100/F93*G93-100,1),IF(ROUND(100/F93*G93-100,1)&gt;999,999,-999)))</f>
        <v>15.5</v>
      </c>
      <c r="I93" s="27">
        <f>IFERROR(100/'Skjema total MA'!F93*G93,0)</f>
        <v>8.7139111408557088</v>
      </c>
      <c r="J93" s="289">
        <f t="shared" ref="J93" si="34">SUM(B93,F93)</f>
        <v>27887839</v>
      </c>
      <c r="K93" s="44">
        <f t="shared" ref="K93" si="35">SUM(C93,G93)</f>
        <v>32202793</v>
      </c>
      <c r="L93" s="257">
        <f t="shared" ref="L93" si="36">IF(J93=0, "    ---- ", IF(ABS(ROUND(100/J93*K93-100,1))&lt;999,ROUND(100/J93*K93-100,1),IF(ROUND(100/J93*K93-100,1)&gt;999,999,-999)))</f>
        <v>15.5</v>
      </c>
      <c r="M93" s="27">
        <f>IFERROR(100/'Skjema total MA'!I93*K93,0)</f>
        <v>8.6425320268797972</v>
      </c>
    </row>
    <row r="94" spans="1:13" x14ac:dyDescent="0.2">
      <c r="A94" s="298" t="s">
        <v>12</v>
      </c>
      <c r="B94" s="235"/>
      <c r="C94" s="291"/>
      <c r="D94" s="166"/>
      <c r="E94" s="418"/>
      <c r="F94" s="283"/>
      <c r="G94" s="283"/>
      <c r="H94" s="166"/>
      <c r="I94" s="418"/>
      <c r="J94" s="292"/>
      <c r="K94" s="292"/>
      <c r="L94" s="166"/>
      <c r="M94" s="23"/>
    </row>
    <row r="95" spans="1:13" x14ac:dyDescent="0.2">
      <c r="A95" s="298" t="s">
        <v>13</v>
      </c>
      <c r="B95" s="235"/>
      <c r="C95" s="291"/>
      <c r="D95" s="166"/>
      <c r="E95" s="418"/>
      <c r="F95" s="283">
        <v>27887839</v>
      </c>
      <c r="G95" s="283">
        <v>32202793</v>
      </c>
      <c r="H95" s="166">
        <f t="shared" ref="H95" si="37">IF(F95=0, "    ---- ", IF(ABS(ROUND(100/F95*G95-100,1))&lt;999,ROUND(100/F95*G95-100,1),IF(ROUND(100/F95*G95-100,1)&gt;999,999,-999)))</f>
        <v>15.5</v>
      </c>
      <c r="I95" s="27">
        <f>IFERROR(100/'Skjema total MA'!F95*G95,0)</f>
        <v>8.7338173548144962</v>
      </c>
      <c r="J95" s="289">
        <f t="shared" ref="J95" si="38">SUM(B95,F95)</f>
        <v>27887839</v>
      </c>
      <c r="K95" s="44">
        <f t="shared" ref="K95" si="39">SUM(C95,G95)</f>
        <v>32202793</v>
      </c>
      <c r="L95" s="257">
        <f t="shared" ref="L95" si="40">IF(J95=0, "    ---- ", IF(ABS(ROUND(100/J95*K95-100,1))&lt;999,ROUND(100/J95*K95-100,1),IF(ROUND(100/J95*K95-100,1)&gt;999,999,-999)))</f>
        <v>15.5</v>
      </c>
      <c r="M95" s="27">
        <f>IFERROR(100/'Skjema total MA'!I95*K95,0)</f>
        <v>8.7338173548144962</v>
      </c>
    </row>
    <row r="96" spans="1:13" x14ac:dyDescent="0.2">
      <c r="A96" s="21" t="s">
        <v>344</v>
      </c>
      <c r="B96" s="234"/>
      <c r="C96" s="145"/>
      <c r="D96" s="166"/>
      <c r="E96" s="27"/>
      <c r="F96" s="234"/>
      <c r="G96" s="145"/>
      <c r="H96" s="166"/>
      <c r="I96" s="27"/>
      <c r="J96" s="289"/>
      <c r="K96" s="44"/>
      <c r="L96" s="257"/>
      <c r="M96" s="27"/>
    </row>
    <row r="97" spans="1:13" x14ac:dyDescent="0.2">
      <c r="A97" s="21" t="s">
        <v>343</v>
      </c>
      <c r="B97" s="234"/>
      <c r="C97" s="145"/>
      <c r="D97" s="166"/>
      <c r="E97" s="27"/>
      <c r="F97" s="234"/>
      <c r="G97" s="145"/>
      <c r="H97" s="166"/>
      <c r="I97" s="27"/>
      <c r="J97" s="289"/>
      <c r="K97" s="44"/>
      <c r="L97" s="257"/>
      <c r="M97" s="27"/>
    </row>
    <row r="98" spans="1:13" ht="15.75" x14ac:dyDescent="0.2">
      <c r="A98" s="21" t="s">
        <v>461</v>
      </c>
      <c r="B98" s="234">
        <v>5268490</v>
      </c>
      <c r="C98" s="234">
        <v>5400577</v>
      </c>
      <c r="D98" s="166">
        <f t="shared" si="12"/>
        <v>2.5</v>
      </c>
      <c r="E98" s="27">
        <f>IFERROR(100/'Skjema total MA'!C98*C98,0)</f>
        <v>1.4139340942431404</v>
      </c>
      <c r="F98" s="294">
        <v>27887839</v>
      </c>
      <c r="G98" s="294">
        <v>32202793</v>
      </c>
      <c r="H98" s="166">
        <f t="shared" si="13"/>
        <v>15.5</v>
      </c>
      <c r="I98" s="27">
        <f>IFERROR(100/'Skjema total MA'!F98*G98,0)</f>
        <v>8.7355184929338456</v>
      </c>
      <c r="J98" s="289">
        <f t="shared" si="32"/>
        <v>33156329</v>
      </c>
      <c r="K98" s="44">
        <f t="shared" si="32"/>
        <v>37603370</v>
      </c>
      <c r="L98" s="257">
        <f t="shared" si="15"/>
        <v>13.4</v>
      </c>
      <c r="M98" s="27">
        <f>IFERROR(100/'Skjema total MA'!I98*K98,0)</f>
        <v>5.009801713428617</v>
      </c>
    </row>
    <row r="99" spans="1:13" x14ac:dyDescent="0.2">
      <c r="A99" s="21" t="s">
        <v>9</v>
      </c>
      <c r="B99" s="294">
        <v>5268490</v>
      </c>
      <c r="C99" s="295">
        <v>5400577</v>
      </c>
      <c r="D99" s="166">
        <f t="shared" si="12"/>
        <v>2.5</v>
      </c>
      <c r="E99" s="27">
        <f>IFERROR(100/'Skjema total MA'!C99*C99,0)</f>
        <v>1.4253238160024351</v>
      </c>
      <c r="F99" s="234"/>
      <c r="G99" s="145"/>
      <c r="H99" s="166"/>
      <c r="I99" s="27"/>
      <c r="J99" s="289">
        <f t="shared" si="32"/>
        <v>5268490</v>
      </c>
      <c r="K99" s="44">
        <f t="shared" si="32"/>
        <v>5400577</v>
      </c>
      <c r="L99" s="257">
        <f t="shared" si="15"/>
        <v>2.5</v>
      </c>
      <c r="M99" s="27">
        <f>IFERROR(100/'Skjema total MA'!I99*K99,0)</f>
        <v>1.4253238160024351</v>
      </c>
    </row>
    <row r="100" spans="1:13" x14ac:dyDescent="0.2">
      <c r="A100" s="21" t="s">
        <v>10</v>
      </c>
      <c r="B100" s="294"/>
      <c r="C100" s="295"/>
      <c r="D100" s="166"/>
      <c r="E100" s="27"/>
      <c r="F100" s="234">
        <v>27887839</v>
      </c>
      <c r="G100" s="234">
        <v>32202793</v>
      </c>
      <c r="H100" s="166">
        <f t="shared" si="13"/>
        <v>15.5</v>
      </c>
      <c r="I100" s="27">
        <f>IFERROR(100/'Skjema total MA'!F100*G100,0)</f>
        <v>8.7355184929338456</v>
      </c>
      <c r="J100" s="289">
        <f t="shared" si="32"/>
        <v>27887839</v>
      </c>
      <c r="K100" s="44">
        <f t="shared" si="32"/>
        <v>32202793</v>
      </c>
      <c r="L100" s="257">
        <f t="shared" si="15"/>
        <v>15.5</v>
      </c>
      <c r="M100" s="27">
        <f>IFERROR(100/'Skjema total MA'!I100*K100,0)</f>
        <v>8.6637864082372396</v>
      </c>
    </row>
    <row r="101" spans="1:13" ht="15.75" x14ac:dyDescent="0.2">
      <c r="A101" s="298" t="s">
        <v>459</v>
      </c>
      <c r="B101" s="283"/>
      <c r="C101" s="283"/>
      <c r="D101" s="166"/>
      <c r="E101" s="418"/>
      <c r="F101" s="283"/>
      <c r="G101" s="283"/>
      <c r="H101" s="166"/>
      <c r="I101" s="418"/>
      <c r="J101" s="292"/>
      <c r="K101" s="292"/>
      <c r="L101" s="166"/>
      <c r="M101" s="23"/>
    </row>
    <row r="102" spans="1:13" x14ac:dyDescent="0.2">
      <c r="A102" s="298" t="s">
        <v>12</v>
      </c>
      <c r="B102" s="235"/>
      <c r="C102" s="291"/>
      <c r="D102" s="166"/>
      <c r="E102" s="418"/>
      <c r="F102" s="283"/>
      <c r="G102" s="283"/>
      <c r="H102" s="166"/>
      <c r="I102" s="418"/>
      <c r="J102" s="292"/>
      <c r="K102" s="292"/>
      <c r="L102" s="166"/>
      <c r="M102" s="23"/>
    </row>
    <row r="103" spans="1:13" x14ac:dyDescent="0.2">
      <c r="A103" s="298" t="s">
        <v>13</v>
      </c>
      <c r="B103" s="235"/>
      <c r="C103" s="291"/>
      <c r="D103" s="166"/>
      <c r="E103" s="418"/>
      <c r="F103" s="283"/>
      <c r="G103" s="283"/>
      <c r="H103" s="166"/>
      <c r="I103" s="418"/>
      <c r="J103" s="292"/>
      <c r="K103" s="292"/>
      <c r="L103" s="166"/>
      <c r="M103" s="23"/>
    </row>
    <row r="104" spans="1:13" ht="15.75" x14ac:dyDescent="0.2">
      <c r="A104" s="298" t="s">
        <v>460</v>
      </c>
      <c r="B104" s="283"/>
      <c r="C104" s="283"/>
      <c r="D104" s="166"/>
      <c r="E104" s="418"/>
      <c r="F104" s="283">
        <v>27887839</v>
      </c>
      <c r="G104" s="283">
        <v>32202793</v>
      </c>
      <c r="H104" s="166">
        <f t="shared" ref="H104" si="41">IF(F104=0, "    ---- ", IF(ABS(ROUND(100/F104*G104-100,1))&lt;999,ROUND(100/F104*G104-100,1),IF(ROUND(100/F104*G104-100,1)&gt;999,999,-999)))</f>
        <v>15.5</v>
      </c>
      <c r="I104" s="27">
        <f>IFERROR(100/'Skjema total MA'!F104*G104,0)</f>
        <v>8.7355184929338456</v>
      </c>
      <c r="J104" s="289">
        <f t="shared" ref="J104" si="42">SUM(B104,F104)</f>
        <v>27887839</v>
      </c>
      <c r="K104" s="44">
        <f t="shared" ref="K104" si="43">SUM(C104,G104)</f>
        <v>32202793</v>
      </c>
      <c r="L104" s="257">
        <f t="shared" ref="L104" si="44">IF(J104=0, "    ---- ", IF(ABS(ROUND(100/J104*K104-100,1))&lt;999,ROUND(100/J104*K104-100,1),IF(ROUND(100/J104*K104-100,1)&gt;999,999,-999)))</f>
        <v>15.5</v>
      </c>
      <c r="M104" s="27">
        <f>IFERROR(100/'Skjema total MA'!I104*K104,0)</f>
        <v>8.6637864082372396</v>
      </c>
    </row>
    <row r="105" spans="1:13" x14ac:dyDescent="0.2">
      <c r="A105" s="298" t="s">
        <v>12</v>
      </c>
      <c r="B105" s="235"/>
      <c r="C105" s="291"/>
      <c r="D105" s="166"/>
      <c r="E105" s="418"/>
      <c r="F105" s="283"/>
      <c r="G105" s="283"/>
      <c r="H105" s="166"/>
      <c r="I105" s="418"/>
      <c r="J105" s="292"/>
      <c r="K105" s="292"/>
      <c r="L105" s="166"/>
      <c r="M105" s="23"/>
    </row>
    <row r="106" spans="1:13" x14ac:dyDescent="0.2">
      <c r="A106" s="298" t="s">
        <v>13</v>
      </c>
      <c r="B106" s="235"/>
      <c r="C106" s="291"/>
      <c r="D106" s="166"/>
      <c r="E106" s="418"/>
      <c r="F106" s="283">
        <v>27887839</v>
      </c>
      <c r="G106" s="283">
        <v>32202793</v>
      </c>
      <c r="H106" s="166">
        <f t="shared" ref="H106" si="45">IF(F106=0, "    ---- ", IF(ABS(ROUND(100/F106*G106-100,1))&lt;999,ROUND(100/F106*G106-100,1),IF(ROUND(100/F106*G106-100,1)&gt;999,999,-999)))</f>
        <v>15.5</v>
      </c>
      <c r="I106" s="27">
        <f>IFERROR(100/'Skjema total MA'!F106*G106,0)</f>
        <v>8.7357914138180597</v>
      </c>
      <c r="J106" s="289">
        <f t="shared" ref="J106" si="46">SUM(B106,F106)</f>
        <v>27887839</v>
      </c>
      <c r="K106" s="44">
        <f t="shared" ref="K106" si="47">SUM(C106,G106)</f>
        <v>32202793</v>
      </c>
      <c r="L106" s="257">
        <f t="shared" ref="L106" si="48">IF(J106=0, "    ---- ", IF(ABS(ROUND(100/J106*K106-100,1))&lt;999,ROUND(100/J106*K106-100,1),IF(ROUND(100/J106*K106-100,1)&gt;999,999,-999)))</f>
        <v>15.5</v>
      </c>
      <c r="M106" s="27">
        <f>IFERROR(100/'Skjema total MA'!I106*K106,0)</f>
        <v>8.7357914138180597</v>
      </c>
    </row>
    <row r="107" spans="1:13" ht="15.75" x14ac:dyDescent="0.2">
      <c r="A107" s="21" t="s">
        <v>462</v>
      </c>
      <c r="B107" s="234">
        <v>961</v>
      </c>
      <c r="C107" s="145">
        <v>1519</v>
      </c>
      <c r="D107" s="166">
        <f t="shared" si="12"/>
        <v>58.1</v>
      </c>
      <c r="E107" s="27">
        <f>IFERROR(100/'Skjema total MA'!C107*C107,0)</f>
        <v>3.4163932813022602E-2</v>
      </c>
      <c r="F107" s="234"/>
      <c r="G107" s="145"/>
      <c r="H107" s="166"/>
      <c r="I107" s="27"/>
      <c r="J107" s="289">
        <f t="shared" si="32"/>
        <v>961</v>
      </c>
      <c r="K107" s="44">
        <f t="shared" si="32"/>
        <v>1519</v>
      </c>
      <c r="L107" s="257">
        <f t="shared" si="15"/>
        <v>58.1</v>
      </c>
      <c r="M107" s="27">
        <f>IFERROR(100/'Skjema total MA'!I107*K107,0)</f>
        <v>2.7740945708280063E-2</v>
      </c>
    </row>
    <row r="108" spans="1:13" ht="15.75" x14ac:dyDescent="0.2">
      <c r="A108" s="21" t="s">
        <v>463</v>
      </c>
      <c r="B108" s="234">
        <v>4131459</v>
      </c>
      <c r="C108" s="234">
        <v>4139530</v>
      </c>
      <c r="D108" s="166">
        <f t="shared" si="12"/>
        <v>0.2</v>
      </c>
      <c r="E108" s="27">
        <f>IFERROR(100/'Skjema total MA'!C108*C108,0)</f>
        <v>1.266960171675598</v>
      </c>
      <c r="F108" s="234"/>
      <c r="G108" s="234"/>
      <c r="H108" s="166"/>
      <c r="I108" s="27"/>
      <c r="J108" s="289">
        <f t="shared" si="32"/>
        <v>4131459</v>
      </c>
      <c r="K108" s="44">
        <f t="shared" si="32"/>
        <v>4139530</v>
      </c>
      <c r="L108" s="257">
        <f t="shared" si="15"/>
        <v>0.2</v>
      </c>
      <c r="M108" s="27">
        <f>IFERROR(100/'Skjema total MA'!I108*K108,0)</f>
        <v>1.1985230468728021</v>
      </c>
    </row>
    <row r="109" spans="1:13" ht="15.75" x14ac:dyDescent="0.2">
      <c r="A109" s="21" t="s">
        <v>464</v>
      </c>
      <c r="B109" s="234"/>
      <c r="C109" s="234"/>
      <c r="D109" s="166"/>
      <c r="E109" s="27"/>
      <c r="F109" s="234">
        <v>9796968</v>
      </c>
      <c r="G109" s="234">
        <v>12008594</v>
      </c>
      <c r="H109" s="166">
        <f t="shared" si="13"/>
        <v>22.6</v>
      </c>
      <c r="I109" s="27">
        <f>IFERROR(100/'Skjema total MA'!F109*G109,0)</f>
        <v>9.2343050805512465</v>
      </c>
      <c r="J109" s="289">
        <f t="shared" si="32"/>
        <v>9796968</v>
      </c>
      <c r="K109" s="44">
        <f t="shared" si="32"/>
        <v>12008594</v>
      </c>
      <c r="L109" s="257">
        <f t="shared" si="15"/>
        <v>22.6</v>
      </c>
      <c r="M109" s="27">
        <f>IFERROR(100/'Skjema total MA'!I109*K109,0)</f>
        <v>9.1580497212998004</v>
      </c>
    </row>
    <row r="110" spans="1:13" ht="15.75" x14ac:dyDescent="0.2">
      <c r="A110" s="21" t="s">
        <v>465</v>
      </c>
      <c r="B110" s="234"/>
      <c r="C110" s="234"/>
      <c r="D110" s="166"/>
      <c r="E110" s="27"/>
      <c r="F110" s="234"/>
      <c r="G110" s="234"/>
      <c r="H110" s="166"/>
      <c r="I110" s="27"/>
      <c r="J110" s="289"/>
      <c r="K110" s="44"/>
      <c r="L110" s="257"/>
      <c r="M110" s="27"/>
    </row>
    <row r="111" spans="1:13" ht="15.75" x14ac:dyDescent="0.2">
      <c r="A111" s="13" t="s">
        <v>445</v>
      </c>
      <c r="B111" s="310">
        <v>86301</v>
      </c>
      <c r="C111" s="159">
        <v>70925</v>
      </c>
      <c r="D111" s="171">
        <f t="shared" si="12"/>
        <v>-17.8</v>
      </c>
      <c r="E111" s="11">
        <f>IFERROR(100/'Skjema total MA'!C111*C111,0)</f>
        <v>7.6947994569393972</v>
      </c>
      <c r="F111" s="310">
        <v>1577382</v>
      </c>
      <c r="G111" s="159">
        <v>1743767</v>
      </c>
      <c r="H111" s="171">
        <f t="shared" si="13"/>
        <v>10.5</v>
      </c>
      <c r="I111" s="11">
        <f>IFERROR(100/'Skjema total MA'!F111*G111,0)</f>
        <v>7.8521836564432652</v>
      </c>
      <c r="J111" s="311">
        <f t="shared" si="32"/>
        <v>1663683</v>
      </c>
      <c r="K111" s="236">
        <f t="shared" si="32"/>
        <v>1814692</v>
      </c>
      <c r="L111" s="429">
        <f t="shared" si="15"/>
        <v>9.1</v>
      </c>
      <c r="M111" s="11">
        <f>IFERROR(100/'Skjema total MA'!I111*K111,0)</f>
        <v>7.8459116909650666</v>
      </c>
    </row>
    <row r="112" spans="1:13" x14ac:dyDescent="0.2">
      <c r="A112" s="21" t="s">
        <v>9</v>
      </c>
      <c r="B112" s="234">
        <v>86301</v>
      </c>
      <c r="C112" s="145">
        <v>70925</v>
      </c>
      <c r="D112" s="166">
        <f t="shared" ref="D112:D120" si="49">IF(B112=0, "    ---- ", IF(ABS(ROUND(100/B112*C112-100,1))&lt;999,ROUND(100/B112*C112-100,1),IF(ROUND(100/B112*C112-100,1)&gt;999,999,-999)))</f>
        <v>-17.8</v>
      </c>
      <c r="E112" s="27">
        <f>IFERROR(100/'Skjema total MA'!C112*C112,0)</f>
        <v>14.775500224309582</v>
      </c>
      <c r="F112" s="234"/>
      <c r="G112" s="145"/>
      <c r="H112" s="166"/>
      <c r="I112" s="27"/>
      <c r="J112" s="289">
        <f t="shared" ref="J112:K125" si="50">SUM(B112,F112)</f>
        <v>86301</v>
      </c>
      <c r="K112" s="44">
        <f t="shared" si="50"/>
        <v>70925</v>
      </c>
      <c r="L112" s="257">
        <f t="shared" ref="L112:L125" si="51">IF(J112=0, "    ---- ", IF(ABS(ROUND(100/J112*K112-100,1))&lt;999,ROUND(100/J112*K112-100,1),IF(ROUND(100/J112*K112-100,1)&gt;999,999,-999)))</f>
        <v>-17.8</v>
      </c>
      <c r="M112" s="27">
        <f>IFERROR(100/'Skjema total MA'!I112*K112,0)</f>
        <v>14.210080951748541</v>
      </c>
    </row>
    <row r="113" spans="1:14" x14ac:dyDescent="0.2">
      <c r="A113" s="21" t="s">
        <v>10</v>
      </c>
      <c r="B113" s="234"/>
      <c r="C113" s="145"/>
      <c r="D113" s="166"/>
      <c r="E113" s="27"/>
      <c r="F113" s="234">
        <v>1577382</v>
      </c>
      <c r="G113" s="145">
        <v>1743767</v>
      </c>
      <c r="H113" s="166">
        <f t="shared" ref="H113:H125" si="52">IF(F113=0, "    ---- ", IF(ABS(ROUND(100/F113*G113-100,1))&lt;999,ROUND(100/F113*G113-100,1),IF(ROUND(100/F113*G113-100,1)&gt;999,999,-999)))</f>
        <v>10.5</v>
      </c>
      <c r="I113" s="27">
        <f>IFERROR(100/'Skjema total MA'!F113*G113,0)</f>
        <v>7.8834396102351203</v>
      </c>
      <c r="J113" s="289">
        <f t="shared" si="50"/>
        <v>1577382</v>
      </c>
      <c r="K113" s="44">
        <f t="shared" si="50"/>
        <v>1743767</v>
      </c>
      <c r="L113" s="257">
        <f t="shared" si="51"/>
        <v>10.5</v>
      </c>
      <c r="M113" s="27">
        <f>IFERROR(100/'Skjema total MA'!I113*K113,0)</f>
        <v>7.8816239317477956</v>
      </c>
    </row>
    <row r="114" spans="1:14" x14ac:dyDescent="0.2">
      <c r="A114" s="21" t="s">
        <v>26</v>
      </c>
      <c r="B114" s="234"/>
      <c r="C114" s="145"/>
      <c r="D114" s="166"/>
      <c r="E114" s="27"/>
      <c r="F114" s="234"/>
      <c r="G114" s="145"/>
      <c r="H114" s="166"/>
      <c r="I114" s="27"/>
      <c r="J114" s="289"/>
      <c r="K114" s="44"/>
      <c r="L114" s="257"/>
      <c r="M114" s="27"/>
    </row>
    <row r="115" spans="1:14" x14ac:dyDescent="0.2">
      <c r="A115" s="298" t="s">
        <v>15</v>
      </c>
      <c r="B115" s="283"/>
      <c r="C115" s="283"/>
      <c r="D115" s="166"/>
      <c r="E115" s="418"/>
      <c r="F115" s="283"/>
      <c r="G115" s="283"/>
      <c r="H115" s="166"/>
      <c r="I115" s="418"/>
      <c r="J115" s="292"/>
      <c r="K115" s="292"/>
      <c r="L115" s="166"/>
      <c r="M115" s="23"/>
    </row>
    <row r="116" spans="1:14" ht="15.75" x14ac:dyDescent="0.2">
      <c r="A116" s="21" t="s">
        <v>466</v>
      </c>
      <c r="B116" s="234">
        <v>19463</v>
      </c>
      <c r="C116" s="234">
        <v>3456</v>
      </c>
      <c r="D116" s="166">
        <f t="shared" si="49"/>
        <v>-82.2</v>
      </c>
      <c r="E116" s="27">
        <f>IFERROR(100/'Skjema total MA'!C116*C116,0)</f>
        <v>4.1692820451693873</v>
      </c>
      <c r="F116" s="234"/>
      <c r="G116" s="234"/>
      <c r="H116" s="166"/>
      <c r="I116" s="27"/>
      <c r="J116" s="289">
        <f t="shared" si="50"/>
        <v>19463</v>
      </c>
      <c r="K116" s="44">
        <f t="shared" si="50"/>
        <v>3456</v>
      </c>
      <c r="L116" s="257">
        <f t="shared" si="51"/>
        <v>-82.2</v>
      </c>
      <c r="M116" s="27">
        <f>IFERROR(100/'Skjema total MA'!I116*K116,0)</f>
        <v>3.3885052294205571</v>
      </c>
    </row>
    <row r="117" spans="1:14" ht="15.75" x14ac:dyDescent="0.2">
      <c r="A117" s="21" t="s">
        <v>467</v>
      </c>
      <c r="B117" s="234"/>
      <c r="C117" s="234"/>
      <c r="D117" s="166"/>
      <c r="E117" s="27"/>
      <c r="F117" s="234">
        <v>219366</v>
      </c>
      <c r="G117" s="234">
        <v>298788</v>
      </c>
      <c r="H117" s="166">
        <f t="shared" si="52"/>
        <v>36.200000000000003</v>
      </c>
      <c r="I117" s="27">
        <f>IFERROR(100/'Skjema total MA'!F117*G117,0)</f>
        <v>6.104793854229654</v>
      </c>
      <c r="J117" s="289">
        <f t="shared" si="50"/>
        <v>219366</v>
      </c>
      <c r="K117" s="44">
        <f t="shared" si="50"/>
        <v>298788</v>
      </c>
      <c r="L117" s="257">
        <f t="shared" si="51"/>
        <v>36.200000000000003</v>
      </c>
      <c r="M117" s="27">
        <f>IFERROR(100/'Skjema total MA'!I117*K117,0)</f>
        <v>6.104793854229654</v>
      </c>
    </row>
    <row r="118" spans="1:14" ht="15.75" x14ac:dyDescent="0.2">
      <c r="A118" s="21" t="s">
        <v>465</v>
      </c>
      <c r="B118" s="234"/>
      <c r="C118" s="234"/>
      <c r="D118" s="166"/>
      <c r="E118" s="27"/>
      <c r="F118" s="234"/>
      <c r="G118" s="234"/>
      <c r="H118" s="166"/>
      <c r="I118" s="27"/>
      <c r="J118" s="289"/>
      <c r="K118" s="44"/>
      <c r="L118" s="257"/>
      <c r="M118" s="27"/>
    </row>
    <row r="119" spans="1:14" ht="15.75" x14ac:dyDescent="0.2">
      <c r="A119" s="13" t="s">
        <v>446</v>
      </c>
      <c r="B119" s="310">
        <v>46017</v>
      </c>
      <c r="C119" s="159">
        <v>126215</v>
      </c>
      <c r="D119" s="166">
        <f t="shared" ref="D119" si="53">IF(B119=0, "    ---- ", IF(ABS(ROUND(100/B119*C119-100,1))&lt;999,ROUND(100/B119*C119-100,1),IF(ROUND(100/B119*C119-100,1)&gt;999,999,-999)))</f>
        <v>174.3</v>
      </c>
      <c r="E119" s="27">
        <f>IFERROR(100/'Skjema total MA'!B119*C119,0)</f>
        <v>25.670366807941477</v>
      </c>
      <c r="F119" s="310">
        <v>2046290</v>
      </c>
      <c r="G119" s="159">
        <v>2664126</v>
      </c>
      <c r="H119" s="171">
        <f t="shared" si="52"/>
        <v>30.2</v>
      </c>
      <c r="I119" s="11">
        <f>IFERROR(100/'Skjema total MA'!F119*G119,0)</f>
        <v>11.873527420485141</v>
      </c>
      <c r="J119" s="311">
        <f t="shared" si="50"/>
        <v>2092307</v>
      </c>
      <c r="K119" s="236">
        <f t="shared" si="50"/>
        <v>2790341</v>
      </c>
      <c r="L119" s="429">
        <f t="shared" si="51"/>
        <v>33.4</v>
      </c>
      <c r="M119" s="11">
        <f>IFERROR(100/'Skjema total MA'!I119*K119,0)</f>
        <v>11.981265110420145</v>
      </c>
    </row>
    <row r="120" spans="1:14" x14ac:dyDescent="0.2">
      <c r="A120" s="21" t="s">
        <v>9</v>
      </c>
      <c r="B120" s="234">
        <v>46017</v>
      </c>
      <c r="C120" s="145">
        <v>126215</v>
      </c>
      <c r="D120" s="166">
        <f t="shared" si="49"/>
        <v>174.3</v>
      </c>
      <c r="E120" s="27">
        <f>IFERROR(100/'Skjema total MA'!C120*C120,0)</f>
        <v>20.516992914298861</v>
      </c>
      <c r="F120" s="234"/>
      <c r="G120" s="145"/>
      <c r="H120" s="166"/>
      <c r="I120" s="27"/>
      <c r="J120" s="289">
        <f t="shared" si="50"/>
        <v>46017</v>
      </c>
      <c r="K120" s="44">
        <f t="shared" si="50"/>
        <v>126215</v>
      </c>
      <c r="L120" s="257">
        <f t="shared" si="51"/>
        <v>174.3</v>
      </c>
      <c r="M120" s="27">
        <f>IFERROR(100/'Skjema total MA'!I120*K120,0)</f>
        <v>20.516992914298861</v>
      </c>
    </row>
    <row r="121" spans="1:14" x14ac:dyDescent="0.2">
      <c r="A121" s="21" t="s">
        <v>10</v>
      </c>
      <c r="B121" s="234"/>
      <c r="C121" s="145"/>
      <c r="D121" s="166"/>
      <c r="E121" s="27"/>
      <c r="F121" s="234">
        <v>2046290</v>
      </c>
      <c r="G121" s="145">
        <v>2664126</v>
      </c>
      <c r="H121" s="166">
        <f t="shared" si="52"/>
        <v>30.2</v>
      </c>
      <c r="I121" s="27">
        <f>IFERROR(100/'Skjema total MA'!F121*G121,0)</f>
        <v>11.873527420485141</v>
      </c>
      <c r="J121" s="289">
        <f t="shared" si="50"/>
        <v>2046290</v>
      </c>
      <c r="K121" s="44">
        <f t="shared" si="50"/>
        <v>2664126</v>
      </c>
      <c r="L121" s="257">
        <f t="shared" si="51"/>
        <v>30.2</v>
      </c>
      <c r="M121" s="27">
        <f>IFERROR(100/'Skjema total MA'!I121*K121,0)</f>
        <v>11.86041808176225</v>
      </c>
    </row>
    <row r="122" spans="1:14" x14ac:dyDescent="0.2">
      <c r="A122" s="21" t="s">
        <v>26</v>
      </c>
      <c r="B122" s="234"/>
      <c r="C122" s="145"/>
      <c r="D122" s="166"/>
      <c r="E122" s="27"/>
      <c r="F122" s="234"/>
      <c r="G122" s="145"/>
      <c r="H122" s="166"/>
      <c r="I122" s="27"/>
      <c r="J122" s="289"/>
      <c r="K122" s="44"/>
      <c r="L122" s="257"/>
      <c r="M122" s="27"/>
    </row>
    <row r="123" spans="1:14" x14ac:dyDescent="0.2">
      <c r="A123" s="298" t="s">
        <v>14</v>
      </c>
      <c r="B123" s="283"/>
      <c r="C123" s="283"/>
      <c r="D123" s="166"/>
      <c r="E123" s="418"/>
      <c r="F123" s="283"/>
      <c r="G123" s="283"/>
      <c r="H123" s="166"/>
      <c r="I123" s="418"/>
      <c r="J123" s="292"/>
      <c r="K123" s="292"/>
      <c r="L123" s="166"/>
      <c r="M123" s="23"/>
    </row>
    <row r="124" spans="1:14" ht="15.75" x14ac:dyDescent="0.2">
      <c r="A124" s="21" t="s">
        <v>472</v>
      </c>
      <c r="B124" s="234"/>
      <c r="C124" s="234"/>
      <c r="D124" s="166"/>
      <c r="E124" s="27"/>
      <c r="F124" s="234"/>
      <c r="G124" s="234"/>
      <c r="H124" s="166"/>
      <c r="I124" s="27"/>
      <c r="J124" s="289"/>
      <c r="K124" s="44"/>
      <c r="L124" s="257"/>
      <c r="M124" s="27"/>
    </row>
    <row r="125" spans="1:14" ht="15.75" x14ac:dyDescent="0.2">
      <c r="A125" s="21" t="s">
        <v>464</v>
      </c>
      <c r="B125" s="234"/>
      <c r="C125" s="234"/>
      <c r="D125" s="166"/>
      <c r="E125" s="27"/>
      <c r="F125" s="234">
        <v>605857</v>
      </c>
      <c r="G125" s="234">
        <v>407258</v>
      </c>
      <c r="H125" s="166">
        <f t="shared" si="52"/>
        <v>-32.799999999999997</v>
      </c>
      <c r="I125" s="27">
        <f>IFERROR(100/'Skjema total MA'!F125*G125,0)</f>
        <v>11.341251513658019</v>
      </c>
      <c r="J125" s="289">
        <f t="shared" si="50"/>
        <v>605857</v>
      </c>
      <c r="K125" s="44">
        <f t="shared" si="50"/>
        <v>407258</v>
      </c>
      <c r="L125" s="257">
        <f t="shared" si="51"/>
        <v>-32.799999999999997</v>
      </c>
      <c r="M125" s="27">
        <f>IFERROR(100/'Skjema total MA'!I125*K125,0)</f>
        <v>11.333118930516941</v>
      </c>
    </row>
    <row r="126" spans="1:14" ht="15.75" x14ac:dyDescent="0.2">
      <c r="A126" s="10" t="s">
        <v>465</v>
      </c>
      <c r="B126" s="45"/>
      <c r="C126" s="45"/>
      <c r="D126" s="167"/>
      <c r="E126" s="419"/>
      <c r="F126" s="45"/>
      <c r="G126" s="45"/>
      <c r="H126" s="167"/>
      <c r="I126" s="22"/>
      <c r="J126" s="290"/>
      <c r="K126" s="45"/>
      <c r="L126" s="258"/>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1022"/>
      <c r="C130" s="1022"/>
      <c r="D130" s="1022"/>
      <c r="E130" s="301"/>
      <c r="F130" s="1022"/>
      <c r="G130" s="1022"/>
      <c r="H130" s="1022"/>
      <c r="I130" s="301"/>
      <c r="J130" s="1022"/>
      <c r="K130" s="1022"/>
      <c r="L130" s="1022"/>
      <c r="M130" s="301"/>
    </row>
    <row r="131" spans="1:14" s="3" customFormat="1" x14ac:dyDescent="0.2">
      <c r="A131" s="144"/>
      <c r="B131" s="1023" t="s">
        <v>0</v>
      </c>
      <c r="C131" s="1024"/>
      <c r="D131" s="1024"/>
      <c r="E131" s="303"/>
      <c r="F131" s="1023" t="s">
        <v>1</v>
      </c>
      <c r="G131" s="1024"/>
      <c r="H131" s="1024"/>
      <c r="I131" s="306"/>
      <c r="J131" s="1023" t="s">
        <v>2</v>
      </c>
      <c r="K131" s="1024"/>
      <c r="L131" s="1024"/>
      <c r="M131" s="306"/>
      <c r="N131" s="148"/>
    </row>
    <row r="132" spans="1:14" s="3" customFormat="1" x14ac:dyDescent="0.2">
      <c r="A132" s="140"/>
      <c r="B132" s="152" t="s">
        <v>502</v>
      </c>
      <c r="C132" s="152" t="s">
        <v>503</v>
      </c>
      <c r="D132" s="245" t="s">
        <v>3</v>
      </c>
      <c r="E132" s="307" t="s">
        <v>29</v>
      </c>
      <c r="F132" s="152" t="s">
        <v>502</v>
      </c>
      <c r="G132" s="152" t="s">
        <v>503</v>
      </c>
      <c r="H132" s="206" t="s">
        <v>3</v>
      </c>
      <c r="I132" s="162" t="s">
        <v>29</v>
      </c>
      <c r="J132" s="152" t="s">
        <v>502</v>
      </c>
      <c r="K132" s="152" t="s">
        <v>503</v>
      </c>
      <c r="L132" s="246" t="s">
        <v>3</v>
      </c>
      <c r="M132" s="162" t="s">
        <v>29</v>
      </c>
      <c r="N132" s="148"/>
    </row>
    <row r="133" spans="1:14" s="3" customFormat="1" x14ac:dyDescent="0.2">
      <c r="A133" s="990"/>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468</v>
      </c>
      <c r="B134" s="236"/>
      <c r="C134" s="311"/>
      <c r="D134" s="351"/>
      <c r="E134" s="11"/>
      <c r="F134" s="318"/>
      <c r="G134" s="319"/>
      <c r="H134" s="432"/>
      <c r="I134" s="24"/>
      <c r="J134" s="320"/>
      <c r="K134" s="320"/>
      <c r="L134" s="428"/>
      <c r="M134" s="11"/>
      <c r="N134" s="148"/>
    </row>
    <row r="135" spans="1:14" s="3" customFormat="1" ht="15.75" x14ac:dyDescent="0.2">
      <c r="A135" s="13" t="s">
        <v>473</v>
      </c>
      <c r="B135" s="236"/>
      <c r="C135" s="311"/>
      <c r="D135" s="171"/>
      <c r="E135" s="11"/>
      <c r="F135" s="236"/>
      <c r="G135" s="311"/>
      <c r="H135" s="433"/>
      <c r="I135" s="24"/>
      <c r="J135" s="310"/>
      <c r="K135" s="310"/>
      <c r="L135" s="429"/>
      <c r="M135" s="11"/>
      <c r="N135" s="148"/>
    </row>
    <row r="136" spans="1:14" s="3" customFormat="1" ht="15.75" x14ac:dyDescent="0.2">
      <c r="A136" s="13" t="s">
        <v>470</v>
      </c>
      <c r="B136" s="236"/>
      <c r="C136" s="311"/>
      <c r="D136" s="171"/>
      <c r="E136" s="11"/>
      <c r="F136" s="236"/>
      <c r="G136" s="311"/>
      <c r="H136" s="433"/>
      <c r="I136" s="24"/>
      <c r="J136" s="310"/>
      <c r="K136" s="310"/>
      <c r="L136" s="429"/>
      <c r="M136" s="11"/>
      <c r="N136" s="148"/>
    </row>
    <row r="137" spans="1:14" s="3" customFormat="1" ht="15.75" x14ac:dyDescent="0.2">
      <c r="A137" s="41" t="s">
        <v>471</v>
      </c>
      <c r="B137" s="278"/>
      <c r="C137" s="317"/>
      <c r="D137" s="169"/>
      <c r="E137" s="9"/>
      <c r="F137" s="278"/>
      <c r="G137" s="317"/>
      <c r="H137" s="434"/>
      <c r="I137" s="36"/>
      <c r="J137" s="316"/>
      <c r="K137" s="316"/>
      <c r="L137" s="430"/>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858" priority="135">
      <formula>kvartal &lt; 4</formula>
    </cfRule>
  </conditionalFormatting>
  <conditionalFormatting sqref="B69">
    <cfRule type="expression" dxfId="1857" priority="103">
      <formula>kvartal &lt; 4</formula>
    </cfRule>
  </conditionalFormatting>
  <conditionalFormatting sqref="C69">
    <cfRule type="expression" dxfId="1856" priority="102">
      <formula>kvartal &lt; 4</formula>
    </cfRule>
  </conditionalFormatting>
  <conditionalFormatting sqref="B72">
    <cfRule type="expression" dxfId="1855" priority="101">
      <formula>kvartal &lt; 4</formula>
    </cfRule>
  </conditionalFormatting>
  <conditionalFormatting sqref="C72">
    <cfRule type="expression" dxfId="1854" priority="100">
      <formula>kvartal &lt; 4</formula>
    </cfRule>
  </conditionalFormatting>
  <conditionalFormatting sqref="B80">
    <cfRule type="expression" dxfId="1853" priority="99">
      <formula>kvartal &lt; 4</formula>
    </cfRule>
  </conditionalFormatting>
  <conditionalFormatting sqref="C80">
    <cfRule type="expression" dxfId="1852" priority="98">
      <formula>kvartal &lt; 4</formula>
    </cfRule>
  </conditionalFormatting>
  <conditionalFormatting sqref="B83">
    <cfRule type="expression" dxfId="1851" priority="97">
      <formula>kvartal &lt; 4</formula>
    </cfRule>
  </conditionalFormatting>
  <conditionalFormatting sqref="C83">
    <cfRule type="expression" dxfId="1850" priority="96">
      <formula>kvartal &lt; 4</formula>
    </cfRule>
  </conditionalFormatting>
  <conditionalFormatting sqref="B90">
    <cfRule type="expression" dxfId="1849" priority="87">
      <formula>kvartal &lt; 4</formula>
    </cfRule>
  </conditionalFormatting>
  <conditionalFormatting sqref="C90">
    <cfRule type="expression" dxfId="1848" priority="86">
      <formula>kvartal &lt; 4</formula>
    </cfRule>
  </conditionalFormatting>
  <conditionalFormatting sqref="B93">
    <cfRule type="expression" dxfId="1847" priority="85">
      <formula>kvartal &lt; 4</formula>
    </cfRule>
  </conditionalFormatting>
  <conditionalFormatting sqref="C93">
    <cfRule type="expression" dxfId="1846" priority="84">
      <formula>kvartal &lt; 4</formula>
    </cfRule>
  </conditionalFormatting>
  <conditionalFormatting sqref="B101">
    <cfRule type="expression" dxfId="1845" priority="83">
      <formula>kvartal &lt; 4</formula>
    </cfRule>
  </conditionalFormatting>
  <conditionalFormatting sqref="C101">
    <cfRule type="expression" dxfId="1844" priority="82">
      <formula>kvartal &lt; 4</formula>
    </cfRule>
  </conditionalFormatting>
  <conditionalFormatting sqref="B104">
    <cfRule type="expression" dxfId="1843" priority="81">
      <formula>kvartal &lt; 4</formula>
    </cfRule>
  </conditionalFormatting>
  <conditionalFormatting sqref="C104">
    <cfRule type="expression" dxfId="1842" priority="80">
      <formula>kvartal &lt; 4</formula>
    </cfRule>
  </conditionalFormatting>
  <conditionalFormatting sqref="B115">
    <cfRule type="expression" dxfId="1841" priority="79">
      <formula>kvartal &lt; 4</formula>
    </cfRule>
  </conditionalFormatting>
  <conditionalFormatting sqref="C115">
    <cfRule type="expression" dxfId="1840" priority="78">
      <formula>kvartal &lt; 4</formula>
    </cfRule>
  </conditionalFormatting>
  <conditionalFormatting sqref="B123">
    <cfRule type="expression" dxfId="1839" priority="77">
      <formula>kvartal &lt; 4</formula>
    </cfRule>
  </conditionalFormatting>
  <conditionalFormatting sqref="C123">
    <cfRule type="expression" dxfId="1838" priority="76">
      <formula>kvartal &lt; 4</formula>
    </cfRule>
  </conditionalFormatting>
  <conditionalFormatting sqref="F70">
    <cfRule type="expression" dxfId="1837" priority="75">
      <formula>kvartal &lt; 4</formula>
    </cfRule>
  </conditionalFormatting>
  <conditionalFormatting sqref="G70">
    <cfRule type="expression" dxfId="1836" priority="74">
      <formula>kvartal &lt; 4</formula>
    </cfRule>
  </conditionalFormatting>
  <conditionalFormatting sqref="F71:G71">
    <cfRule type="expression" dxfId="1835" priority="73">
      <formula>kvartal &lt; 4</formula>
    </cfRule>
  </conditionalFormatting>
  <conditionalFormatting sqref="F73:G73 F74">
    <cfRule type="expression" dxfId="1834" priority="72">
      <formula>kvartal &lt; 4</formula>
    </cfRule>
  </conditionalFormatting>
  <conditionalFormatting sqref="F81:G82">
    <cfRule type="expression" dxfId="1833" priority="71">
      <formula>kvartal &lt; 4</formula>
    </cfRule>
  </conditionalFormatting>
  <conditionalFormatting sqref="F84:G85">
    <cfRule type="expression" dxfId="1832" priority="70">
      <formula>kvartal &lt; 4</formula>
    </cfRule>
  </conditionalFormatting>
  <conditionalFormatting sqref="F91:G92">
    <cfRule type="expression" dxfId="1831" priority="65">
      <formula>kvartal &lt; 4</formula>
    </cfRule>
  </conditionalFormatting>
  <conditionalFormatting sqref="F94:G95">
    <cfRule type="expression" dxfId="1830" priority="64">
      <formula>kvartal &lt; 4</formula>
    </cfRule>
  </conditionalFormatting>
  <conditionalFormatting sqref="F102:G103">
    <cfRule type="expression" dxfId="1829" priority="63">
      <formula>kvartal &lt; 4</formula>
    </cfRule>
  </conditionalFormatting>
  <conditionalFormatting sqref="F105:G106">
    <cfRule type="expression" dxfId="1828" priority="62">
      <formula>kvartal &lt; 4</formula>
    </cfRule>
  </conditionalFormatting>
  <conditionalFormatting sqref="F115">
    <cfRule type="expression" dxfId="1827" priority="61">
      <formula>kvartal &lt; 4</formula>
    </cfRule>
  </conditionalFormatting>
  <conditionalFormatting sqref="G115">
    <cfRule type="expression" dxfId="1826" priority="60">
      <formula>kvartal &lt; 4</formula>
    </cfRule>
  </conditionalFormatting>
  <conditionalFormatting sqref="F123:G123">
    <cfRule type="expression" dxfId="1825" priority="59">
      <formula>kvartal &lt; 4</formula>
    </cfRule>
  </conditionalFormatting>
  <conditionalFormatting sqref="F69:G69">
    <cfRule type="expression" dxfId="1824" priority="58">
      <formula>kvartal &lt; 4</formula>
    </cfRule>
  </conditionalFormatting>
  <conditionalFormatting sqref="F72">
    <cfRule type="expression" dxfId="1823" priority="57">
      <formula>kvartal &lt; 4</formula>
    </cfRule>
  </conditionalFormatting>
  <conditionalFormatting sqref="F80:G80">
    <cfRule type="expression" dxfId="1822" priority="56">
      <formula>kvartal &lt; 4</formula>
    </cfRule>
  </conditionalFormatting>
  <conditionalFormatting sqref="F83:G83">
    <cfRule type="expression" dxfId="1821" priority="55">
      <formula>kvartal &lt; 4</formula>
    </cfRule>
  </conditionalFormatting>
  <conditionalFormatting sqref="F90:G90">
    <cfRule type="expression" dxfId="1820" priority="49">
      <formula>kvartal &lt; 4</formula>
    </cfRule>
  </conditionalFormatting>
  <conditionalFormatting sqref="F93">
    <cfRule type="expression" dxfId="1819" priority="48">
      <formula>kvartal &lt; 4</formula>
    </cfRule>
  </conditionalFormatting>
  <conditionalFormatting sqref="G93">
    <cfRule type="expression" dxfId="1818" priority="47">
      <formula>kvartal &lt; 4</formula>
    </cfRule>
  </conditionalFormatting>
  <conditionalFormatting sqref="F101">
    <cfRule type="expression" dxfId="1817" priority="46">
      <formula>kvartal &lt; 4</formula>
    </cfRule>
  </conditionalFormatting>
  <conditionalFormatting sqref="G101">
    <cfRule type="expression" dxfId="1816" priority="45">
      <formula>kvartal &lt; 4</formula>
    </cfRule>
  </conditionalFormatting>
  <conditionalFormatting sqref="G104">
    <cfRule type="expression" dxfId="1815" priority="44">
      <formula>kvartal &lt; 4</formula>
    </cfRule>
  </conditionalFormatting>
  <conditionalFormatting sqref="F104">
    <cfRule type="expression" dxfId="1814" priority="43">
      <formula>kvartal &lt; 4</formula>
    </cfRule>
  </conditionalFormatting>
  <conditionalFormatting sqref="J69:K71 J73:K73">
    <cfRule type="expression" dxfId="1813" priority="42">
      <formula>kvartal &lt; 4</formula>
    </cfRule>
  </conditionalFormatting>
  <conditionalFormatting sqref="J80:K82 J84:K84">
    <cfRule type="expression" dxfId="1812" priority="40">
      <formula>kvartal &lt; 4</formula>
    </cfRule>
  </conditionalFormatting>
  <conditionalFormatting sqref="J90:K92 J94:K94">
    <cfRule type="expression" dxfId="1811" priority="37">
      <formula>kvartal &lt; 4</formula>
    </cfRule>
  </conditionalFormatting>
  <conditionalFormatting sqref="J101:K103 J105:K105">
    <cfRule type="expression" dxfId="1810" priority="36">
      <formula>kvartal &lt; 4</formula>
    </cfRule>
  </conditionalFormatting>
  <conditionalFormatting sqref="J115:K115">
    <cfRule type="expression" dxfId="1809" priority="35">
      <formula>kvartal &lt; 4</formula>
    </cfRule>
  </conditionalFormatting>
  <conditionalFormatting sqref="J123:K123">
    <cfRule type="expression" dxfId="1808" priority="34">
      <formula>kvartal &lt; 4</formula>
    </cfRule>
  </conditionalFormatting>
  <conditionalFormatting sqref="A50:A52">
    <cfRule type="expression" dxfId="1807" priority="15">
      <formula>kvartal &lt; 4</formula>
    </cfRule>
  </conditionalFormatting>
  <conditionalFormatting sqref="A69:A74">
    <cfRule type="expression" dxfId="1806" priority="13">
      <formula>kvartal &lt; 4</formula>
    </cfRule>
  </conditionalFormatting>
  <conditionalFormatting sqref="A80:A85">
    <cfRule type="expression" dxfId="1805" priority="12">
      <formula>kvartal &lt; 4</formula>
    </cfRule>
  </conditionalFormatting>
  <conditionalFormatting sqref="A90:A95">
    <cfRule type="expression" dxfId="1804" priority="9">
      <formula>kvartal &lt; 4</formula>
    </cfRule>
  </conditionalFormatting>
  <conditionalFormatting sqref="A101:A106">
    <cfRule type="expression" dxfId="1803" priority="8">
      <formula>kvartal &lt; 4</formula>
    </cfRule>
  </conditionalFormatting>
  <conditionalFormatting sqref="A115">
    <cfRule type="expression" dxfId="1802" priority="7">
      <formula>kvartal &lt; 4</formula>
    </cfRule>
  </conditionalFormatting>
  <conditionalFormatting sqref="A123">
    <cfRule type="expression" dxfId="1801" priority="6">
      <formula>kvartal &lt; 4</formula>
    </cfRule>
  </conditionalFormatting>
  <conditionalFormatting sqref="G68">
    <cfRule type="expression" dxfId="1800" priority="3">
      <formula>kvartal &lt; 4</formula>
    </cfRule>
  </conditionalFormatting>
  <conditionalFormatting sqref="G72">
    <cfRule type="expression" dxfId="1799" priority="2">
      <formula>kvartal &lt; 4</formula>
    </cfRule>
  </conditionalFormatting>
  <conditionalFormatting sqref="G74">
    <cfRule type="expression" dxfId="1798" priority="1">
      <formula>kvartal &lt; 4</formula>
    </cfRule>
  </conditionalFormatting>
  <pageMargins left="0.7" right="0.7" top="0.78740157499999996" bottom="0.78740157499999996"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8"/>
  <dimension ref="A1:N144"/>
  <sheetViews>
    <sheetView showGridLines="0" zoomScale="120" zoomScaleNormal="120" workbookViewId="0"/>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133</v>
      </c>
      <c r="B1" s="988"/>
      <c r="C1" s="248" t="s">
        <v>90</v>
      </c>
      <c r="D1" s="26"/>
      <c r="E1" s="26"/>
      <c r="F1" s="26"/>
      <c r="G1" s="26"/>
      <c r="H1" s="26"/>
      <c r="I1" s="26"/>
      <c r="J1" s="26"/>
      <c r="K1" s="26"/>
      <c r="L1" s="26"/>
      <c r="M1" s="26"/>
    </row>
    <row r="2" spans="1:14" ht="15.75" x14ac:dyDescent="0.25">
      <c r="A2" s="165" t="s">
        <v>28</v>
      </c>
      <c r="B2" s="1027"/>
      <c r="C2" s="1027"/>
      <c r="D2" s="1027"/>
      <c r="E2" s="301"/>
      <c r="F2" s="1027"/>
      <c r="G2" s="1027"/>
      <c r="H2" s="1027"/>
      <c r="I2" s="301"/>
      <c r="J2" s="1027"/>
      <c r="K2" s="1027"/>
      <c r="L2" s="1027"/>
      <c r="M2" s="301"/>
    </row>
    <row r="3" spans="1:14" ht="15.75" x14ac:dyDescent="0.25">
      <c r="A3" s="163"/>
      <c r="B3" s="301"/>
      <c r="C3" s="301"/>
      <c r="D3" s="301"/>
      <c r="E3" s="301"/>
      <c r="F3" s="301"/>
      <c r="G3" s="301"/>
      <c r="H3" s="301"/>
      <c r="I3" s="301"/>
      <c r="J3" s="301"/>
      <c r="K3" s="301"/>
      <c r="L3" s="301"/>
      <c r="M3" s="301"/>
    </row>
    <row r="4" spans="1:14" x14ac:dyDescent="0.2">
      <c r="A4" s="144"/>
      <c r="B4" s="1023" t="s">
        <v>0</v>
      </c>
      <c r="C4" s="1024"/>
      <c r="D4" s="1024"/>
      <c r="E4" s="303"/>
      <c r="F4" s="1023" t="s">
        <v>1</v>
      </c>
      <c r="G4" s="1024"/>
      <c r="H4" s="1024"/>
      <c r="I4" s="306"/>
      <c r="J4" s="1023" t="s">
        <v>2</v>
      </c>
      <c r="K4" s="1024"/>
      <c r="L4" s="1024"/>
      <c r="M4" s="306"/>
    </row>
    <row r="5" spans="1:14" x14ac:dyDescent="0.2">
      <c r="A5" s="158"/>
      <c r="B5" s="152" t="s">
        <v>502</v>
      </c>
      <c r="C5" s="152" t="s">
        <v>503</v>
      </c>
      <c r="D5" s="245" t="s">
        <v>3</v>
      </c>
      <c r="E5" s="307" t="s">
        <v>29</v>
      </c>
      <c r="F5" s="152" t="s">
        <v>502</v>
      </c>
      <c r="G5" s="152" t="s">
        <v>503</v>
      </c>
      <c r="H5" s="245" t="s">
        <v>3</v>
      </c>
      <c r="I5" s="162" t="s">
        <v>29</v>
      </c>
      <c r="J5" s="152" t="s">
        <v>502</v>
      </c>
      <c r="K5" s="152" t="s">
        <v>503</v>
      </c>
      <c r="L5" s="245" t="s">
        <v>3</v>
      </c>
      <c r="M5" s="162" t="s">
        <v>29</v>
      </c>
    </row>
    <row r="6" spans="1:14" x14ac:dyDescent="0.2">
      <c r="A6" s="989"/>
      <c r="B6" s="156"/>
      <c r="C6" s="156"/>
      <c r="D6" s="246" t="s">
        <v>4</v>
      </c>
      <c r="E6" s="156" t="s">
        <v>30</v>
      </c>
      <c r="F6" s="161"/>
      <c r="G6" s="161"/>
      <c r="H6" s="245" t="s">
        <v>4</v>
      </c>
      <c r="I6" s="156" t="s">
        <v>30</v>
      </c>
      <c r="J6" s="161"/>
      <c r="K6" s="161"/>
      <c r="L6" s="245" t="s">
        <v>4</v>
      </c>
      <c r="M6" s="156" t="s">
        <v>30</v>
      </c>
    </row>
    <row r="7" spans="1:14" ht="15.75" x14ac:dyDescent="0.2">
      <c r="A7" s="14" t="s">
        <v>23</v>
      </c>
      <c r="B7" s="308">
        <v>34814.334000000003</v>
      </c>
      <c r="C7" s="309">
        <v>34253.440000000002</v>
      </c>
      <c r="D7" s="351">
        <f>IF(B7=0, "    ---- ", IF(ABS(ROUND(100/B7*C7-100,1))&lt;999,ROUND(100/B7*C7-100,1),IF(ROUND(100/B7*C7-100,1)&gt;999,999,-999)))</f>
        <v>-1.6</v>
      </c>
      <c r="E7" s="11">
        <f>IFERROR(100/'Skjema total MA'!C7*C7,0)</f>
        <v>0.72047467234023099</v>
      </c>
      <c r="F7" s="308"/>
      <c r="G7" s="309"/>
      <c r="H7" s="351"/>
      <c r="I7" s="160"/>
      <c r="J7" s="310">
        <f t="shared" ref="J7:K10" si="0">SUM(B7,F7)</f>
        <v>34814.334000000003</v>
      </c>
      <c r="K7" s="311">
        <f t="shared" si="0"/>
        <v>34253.440000000002</v>
      </c>
      <c r="L7" s="428">
        <f>IF(J7=0, "    ---- ", IF(ABS(ROUND(100/J7*K7-100,1))&lt;999,ROUND(100/J7*K7-100,1),IF(ROUND(100/J7*K7-100,1)&gt;999,999,-999)))</f>
        <v>-1.6</v>
      </c>
      <c r="M7" s="11">
        <f>IFERROR(100/'Skjema total MA'!I7*K7,0)</f>
        <v>0.22752371008539593</v>
      </c>
    </row>
    <row r="8" spans="1:14" ht="15.75" x14ac:dyDescent="0.2">
      <c r="A8" s="21" t="s">
        <v>25</v>
      </c>
      <c r="B8" s="283">
        <v>21482.35</v>
      </c>
      <c r="C8" s="284">
        <v>21145.584737699999</v>
      </c>
      <c r="D8" s="166">
        <f t="shared" ref="D8:D10" si="1">IF(B8=0, "    ---- ", IF(ABS(ROUND(100/B8*C8-100,1))&lt;999,ROUND(100/B8*C8-100,1),IF(ROUND(100/B8*C8-100,1)&gt;999,999,-999)))</f>
        <v>-1.6</v>
      </c>
      <c r="E8" s="27">
        <f>IFERROR(100/'Skjema total MA'!C8*C8,0)</f>
        <v>0.68150245192852599</v>
      </c>
      <c r="F8" s="287"/>
      <c r="G8" s="288"/>
      <c r="H8" s="166"/>
      <c r="I8" s="175"/>
      <c r="J8" s="234">
        <f t="shared" si="0"/>
        <v>21482.35</v>
      </c>
      <c r="K8" s="289">
        <f t="shared" si="0"/>
        <v>21145.584737699999</v>
      </c>
      <c r="L8" s="166">
        <f t="shared" ref="L8:L9" si="2">IF(J8=0, "    ---- ", IF(ABS(ROUND(100/J8*K8-100,1))&lt;999,ROUND(100/J8*K8-100,1),IF(ROUND(100/J8*K8-100,1)&gt;999,999,-999)))</f>
        <v>-1.6</v>
      </c>
      <c r="M8" s="27">
        <f>IFERROR(100/'Skjema total MA'!I8*K8,0)</f>
        <v>0.68150245192852599</v>
      </c>
    </row>
    <row r="9" spans="1:14" ht="15.75" x14ac:dyDescent="0.2">
      <c r="A9" s="21" t="s">
        <v>24</v>
      </c>
      <c r="B9" s="283">
        <v>12847.76</v>
      </c>
      <c r="C9" s="284">
        <v>12644.136320899999</v>
      </c>
      <c r="D9" s="166">
        <f t="shared" si="1"/>
        <v>-1.6</v>
      </c>
      <c r="E9" s="27">
        <f>IFERROR(100/'Skjema total MA'!C9*C9,0)</f>
        <v>1.3334485622656949</v>
      </c>
      <c r="F9" s="287"/>
      <c r="G9" s="288"/>
      <c r="H9" s="166"/>
      <c r="I9" s="175"/>
      <c r="J9" s="234">
        <f t="shared" si="0"/>
        <v>12847.76</v>
      </c>
      <c r="K9" s="289">
        <f t="shared" si="0"/>
        <v>12644.136320899999</v>
      </c>
      <c r="L9" s="166">
        <f t="shared" si="2"/>
        <v>-1.6</v>
      </c>
      <c r="M9" s="27">
        <f>IFERROR(100/'Skjema total MA'!I9*K9,0)</f>
        <v>1.3334485622656949</v>
      </c>
    </row>
    <row r="10" spans="1:14" ht="15.75" x14ac:dyDescent="0.2">
      <c r="A10" s="13" t="s">
        <v>444</v>
      </c>
      <c r="B10" s="312">
        <v>24956.146639999999</v>
      </c>
      <c r="C10" s="313">
        <v>20605.5730577291</v>
      </c>
      <c r="D10" s="171">
        <f t="shared" si="1"/>
        <v>-17.399999999999999</v>
      </c>
      <c r="E10" s="11">
        <f>IFERROR(100/'Skjema total MA'!C10*C10,0)</f>
        <v>0.10444594428895235</v>
      </c>
      <c r="F10" s="312"/>
      <c r="G10" s="313"/>
      <c r="H10" s="171"/>
      <c r="I10" s="160"/>
      <c r="J10" s="310">
        <f t="shared" si="0"/>
        <v>24956.146639999999</v>
      </c>
      <c r="K10" s="311">
        <f t="shared" si="0"/>
        <v>20605.5730577291</v>
      </c>
      <c r="L10" s="429">
        <f t="shared" ref="L10" si="3">IF(J10=0, "    ---- ", IF(ABS(ROUND(100/J10*K10-100,1))&lt;999,ROUND(100/J10*K10-100,1),IF(ROUND(100/J10*K10-100,1)&gt;999,999,-999)))</f>
        <v>-17.399999999999999</v>
      </c>
      <c r="M10" s="11">
        <f>IFERROR(100/'Skjema total MA'!I10*K10,0)</f>
        <v>2.5622498399428432E-2</v>
      </c>
    </row>
    <row r="11" spans="1:14" s="43" customFormat="1" ht="15.75" x14ac:dyDescent="0.2">
      <c r="A11" s="13" t="s">
        <v>445</v>
      </c>
      <c r="B11" s="312"/>
      <c r="C11" s="313"/>
      <c r="D11" s="171"/>
      <c r="E11" s="11"/>
      <c r="F11" s="312"/>
      <c r="G11" s="313"/>
      <c r="H11" s="171"/>
      <c r="I11" s="160"/>
      <c r="J11" s="310"/>
      <c r="K11" s="311"/>
      <c r="L11" s="429"/>
      <c r="M11" s="11"/>
      <c r="N11" s="143"/>
    </row>
    <row r="12" spans="1:14" s="43" customFormat="1" ht="15.75" x14ac:dyDescent="0.2">
      <c r="A12" s="41" t="s">
        <v>446</v>
      </c>
      <c r="B12" s="314"/>
      <c r="C12" s="315"/>
      <c r="D12" s="169"/>
      <c r="E12" s="36"/>
      <c r="F12" s="314"/>
      <c r="G12" s="315"/>
      <c r="H12" s="169"/>
      <c r="I12" s="169"/>
      <c r="J12" s="316"/>
      <c r="K12" s="317"/>
      <c r="L12" s="430"/>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1022"/>
      <c r="C18" s="1022"/>
      <c r="D18" s="1022"/>
      <c r="E18" s="301"/>
      <c r="F18" s="1022"/>
      <c r="G18" s="1022"/>
      <c r="H18" s="1022"/>
      <c r="I18" s="301"/>
      <c r="J18" s="1022"/>
      <c r="K18" s="1022"/>
      <c r="L18" s="1022"/>
      <c r="M18" s="301"/>
    </row>
    <row r="19" spans="1:14" x14ac:dyDescent="0.2">
      <c r="A19" s="144"/>
      <c r="B19" s="1023" t="s">
        <v>0</v>
      </c>
      <c r="C19" s="1024"/>
      <c r="D19" s="1024"/>
      <c r="E19" s="303"/>
      <c r="F19" s="1023" t="s">
        <v>1</v>
      </c>
      <c r="G19" s="1024"/>
      <c r="H19" s="1024"/>
      <c r="I19" s="306"/>
      <c r="J19" s="1023" t="s">
        <v>2</v>
      </c>
      <c r="K19" s="1024"/>
      <c r="L19" s="1024"/>
      <c r="M19" s="306"/>
    </row>
    <row r="20" spans="1:14" x14ac:dyDescent="0.2">
      <c r="A20" s="140" t="s">
        <v>5</v>
      </c>
      <c r="B20" s="152" t="s">
        <v>502</v>
      </c>
      <c r="C20" s="152" t="s">
        <v>503</v>
      </c>
      <c r="D20" s="162" t="s">
        <v>3</v>
      </c>
      <c r="E20" s="307" t="s">
        <v>29</v>
      </c>
      <c r="F20" s="152" t="s">
        <v>502</v>
      </c>
      <c r="G20" s="152" t="s">
        <v>503</v>
      </c>
      <c r="H20" s="162" t="s">
        <v>3</v>
      </c>
      <c r="I20" s="162" t="s">
        <v>29</v>
      </c>
      <c r="J20" s="152" t="s">
        <v>502</v>
      </c>
      <c r="K20" s="152" t="s">
        <v>503</v>
      </c>
      <c r="L20" s="162" t="s">
        <v>3</v>
      </c>
      <c r="M20" s="162" t="s">
        <v>29</v>
      </c>
    </row>
    <row r="21" spans="1:14" x14ac:dyDescent="0.2">
      <c r="A21" s="990"/>
      <c r="B21" s="156"/>
      <c r="C21" s="156"/>
      <c r="D21" s="246" t="s">
        <v>4</v>
      </c>
      <c r="E21" s="156" t="s">
        <v>30</v>
      </c>
      <c r="F21" s="161"/>
      <c r="G21" s="161"/>
      <c r="H21" s="245" t="s">
        <v>4</v>
      </c>
      <c r="I21" s="156" t="s">
        <v>30</v>
      </c>
      <c r="J21" s="161"/>
      <c r="K21" s="161"/>
      <c r="L21" s="156" t="s">
        <v>4</v>
      </c>
      <c r="M21" s="156" t="s">
        <v>30</v>
      </c>
    </row>
    <row r="22" spans="1:14" ht="15.75" x14ac:dyDescent="0.2">
      <c r="A22" s="14" t="s">
        <v>23</v>
      </c>
      <c r="B22" s="312">
        <v>206.43911</v>
      </c>
      <c r="C22" s="312">
        <v>199.31784999999999</v>
      </c>
      <c r="D22" s="351">
        <f t="shared" ref="D22:D31" si="4">IF(B22=0, "    ---- ", IF(ABS(ROUND(100/B22*C22-100,1))&lt;999,ROUND(100/B22*C22-100,1),IF(ROUND(100/B22*C22-100,1)&gt;999,999,-999)))</f>
        <v>-3.4</v>
      </c>
      <c r="E22" s="11">
        <f>IFERROR(100/'Skjema total MA'!C22*C22,0)</f>
        <v>1.1234640578071647E-2</v>
      </c>
      <c r="F22" s="320"/>
      <c r="G22" s="320"/>
      <c r="H22" s="351"/>
      <c r="I22" s="11"/>
      <c r="J22" s="318">
        <f t="shared" ref="J22:K29" si="5">SUM(B22,F22)</f>
        <v>206.43911</v>
      </c>
      <c r="K22" s="318">
        <f t="shared" si="5"/>
        <v>199.31784999999999</v>
      </c>
      <c r="L22" s="428">
        <f t="shared" ref="L22:L31" si="6">IF(J22=0, "    ---- ", IF(ABS(ROUND(100/J22*K22-100,1))&lt;999,ROUND(100/J22*K22-100,1),IF(ROUND(100/J22*K22-100,1)&gt;999,999,-999)))</f>
        <v>-3.4</v>
      </c>
      <c r="M22" s="24">
        <f>IFERROR(100/'Skjema total MA'!I22*K22,0)</f>
        <v>6.110402809227174E-3</v>
      </c>
    </row>
    <row r="23" spans="1:14" ht="15.75" x14ac:dyDescent="0.2">
      <c r="A23" s="811" t="s">
        <v>447</v>
      </c>
      <c r="B23" s="283"/>
      <c r="C23" s="283"/>
      <c r="D23" s="166"/>
      <c r="E23" s="11"/>
      <c r="F23" s="292"/>
      <c r="G23" s="292"/>
      <c r="H23" s="166"/>
      <c r="I23" s="418"/>
      <c r="J23" s="292"/>
      <c r="K23" s="292"/>
      <c r="L23" s="166"/>
      <c r="M23" s="23"/>
    </row>
    <row r="24" spans="1:14" ht="15.75" x14ac:dyDescent="0.2">
      <c r="A24" s="811" t="s">
        <v>448</v>
      </c>
      <c r="B24" s="283">
        <v>206.43911</v>
      </c>
      <c r="C24" s="283">
        <v>199.31784999999999</v>
      </c>
      <c r="D24" s="166">
        <f t="shared" si="4"/>
        <v>-3.4</v>
      </c>
      <c r="E24" s="11">
        <f>IFERROR(100/'Skjema total MA'!C24*C24,0)</f>
        <v>0.51699547503531107</v>
      </c>
      <c r="F24" s="292"/>
      <c r="G24" s="292"/>
      <c r="H24" s="166"/>
      <c r="I24" s="418"/>
      <c r="J24" s="292">
        <f t="shared" ref="J24" si="7">SUM(B24,F24)</f>
        <v>206.43911</v>
      </c>
      <c r="K24" s="292">
        <f t="shared" ref="K24" si="8">SUM(C24,G24)</f>
        <v>199.31784999999999</v>
      </c>
      <c r="L24" s="166">
        <f t="shared" si="6"/>
        <v>-3.4</v>
      </c>
      <c r="M24" s="23">
        <f>IFERROR(100/'Skjema total MA'!I24*K24,0)</f>
        <v>0.46157514743995426</v>
      </c>
    </row>
    <row r="25" spans="1:14" ht="15.75" x14ac:dyDescent="0.2">
      <c r="A25" s="811" t="s">
        <v>449</v>
      </c>
      <c r="B25" s="283"/>
      <c r="C25" s="283"/>
      <c r="D25" s="166"/>
      <c r="E25" s="11"/>
      <c r="F25" s="292"/>
      <c r="G25" s="292"/>
      <c r="H25" s="166"/>
      <c r="I25" s="418"/>
      <c r="J25" s="292"/>
      <c r="K25" s="292"/>
      <c r="L25" s="166"/>
      <c r="M25" s="23"/>
    </row>
    <row r="26" spans="1:14" ht="15.75" x14ac:dyDescent="0.2">
      <c r="A26" s="811" t="s">
        <v>450</v>
      </c>
      <c r="B26" s="283"/>
      <c r="C26" s="283"/>
      <c r="D26" s="166"/>
      <c r="E26" s="11"/>
      <c r="F26" s="292"/>
      <c r="G26" s="292"/>
      <c r="H26" s="166"/>
      <c r="I26" s="418"/>
      <c r="J26" s="292"/>
      <c r="K26" s="292"/>
      <c r="L26" s="166"/>
      <c r="M26" s="23"/>
    </row>
    <row r="27" spans="1:14" x14ac:dyDescent="0.2">
      <c r="A27" s="811" t="s">
        <v>11</v>
      </c>
      <c r="B27" s="283"/>
      <c r="C27" s="283"/>
      <c r="D27" s="166"/>
      <c r="E27" s="11"/>
      <c r="F27" s="292"/>
      <c r="G27" s="292"/>
      <c r="H27" s="166"/>
      <c r="I27" s="418"/>
      <c r="J27" s="292"/>
      <c r="K27" s="292"/>
      <c r="L27" s="166"/>
      <c r="M27" s="23"/>
    </row>
    <row r="28" spans="1:14" ht="15.75" x14ac:dyDescent="0.2">
      <c r="A28" s="49" t="s">
        <v>272</v>
      </c>
      <c r="B28" s="44">
        <v>206.43911</v>
      </c>
      <c r="C28" s="289">
        <v>199.31784999999999</v>
      </c>
      <c r="D28" s="166">
        <f t="shared" si="4"/>
        <v>-3.4</v>
      </c>
      <c r="E28" s="11">
        <f>IFERROR(100/'Skjema total MA'!C28*C28,0)</f>
        <v>1.04553056282788E-2</v>
      </c>
      <c r="F28" s="234"/>
      <c r="G28" s="289"/>
      <c r="H28" s="166"/>
      <c r="I28" s="27"/>
      <c r="J28" s="44">
        <f t="shared" si="5"/>
        <v>206.43911</v>
      </c>
      <c r="K28" s="44">
        <f t="shared" si="5"/>
        <v>199.31784999999999</v>
      </c>
      <c r="L28" s="257">
        <f t="shared" si="6"/>
        <v>-3.4</v>
      </c>
      <c r="M28" s="23">
        <f>IFERROR(100/'Skjema total MA'!I28*K28,0)</f>
        <v>1.04553056282788E-2</v>
      </c>
    </row>
    <row r="29" spans="1:14" s="3" customFormat="1" ht="15.75" x14ac:dyDescent="0.2">
      <c r="A29" s="13" t="s">
        <v>444</v>
      </c>
      <c r="B29" s="236">
        <v>2081.9349999999999</v>
      </c>
      <c r="C29" s="236">
        <v>1808.7504129265301</v>
      </c>
      <c r="D29" s="171">
        <f t="shared" si="4"/>
        <v>-13.1</v>
      </c>
      <c r="E29" s="11">
        <f>IFERROR(100/'Skjema total MA'!C29*C29,0)</f>
        <v>3.9535744584667347E-3</v>
      </c>
      <c r="F29" s="310"/>
      <c r="G29" s="310"/>
      <c r="H29" s="171"/>
      <c r="I29" s="11"/>
      <c r="J29" s="236">
        <f t="shared" si="5"/>
        <v>2081.9349999999999</v>
      </c>
      <c r="K29" s="236">
        <f t="shared" si="5"/>
        <v>1808.7504129265301</v>
      </c>
      <c r="L29" s="429">
        <f t="shared" si="6"/>
        <v>-13.1</v>
      </c>
      <c r="M29" s="24">
        <f>IFERROR(100/'Skjema total MA'!I29*K29,0)</f>
        <v>2.5733365315143294E-3</v>
      </c>
      <c r="N29" s="148"/>
    </row>
    <row r="30" spans="1:14" s="3" customFormat="1" ht="15.75" x14ac:dyDescent="0.2">
      <c r="A30" s="811" t="s">
        <v>447</v>
      </c>
      <c r="B30" s="283"/>
      <c r="C30" s="283"/>
      <c r="D30" s="166"/>
      <c r="E30" s="11"/>
      <c r="F30" s="292"/>
      <c r="G30" s="292"/>
      <c r="H30" s="166"/>
      <c r="I30" s="418"/>
      <c r="J30" s="292"/>
      <c r="K30" s="292"/>
      <c r="L30" s="166"/>
      <c r="M30" s="23"/>
      <c r="N30" s="148"/>
    </row>
    <row r="31" spans="1:14" s="3" customFormat="1" ht="15.75" x14ac:dyDescent="0.2">
      <c r="A31" s="811" t="s">
        <v>448</v>
      </c>
      <c r="B31" s="283">
        <v>2081.9349999999999</v>
      </c>
      <c r="C31" s="283">
        <v>1808.7504129265301</v>
      </c>
      <c r="D31" s="166">
        <f t="shared" si="4"/>
        <v>-13.1</v>
      </c>
      <c r="E31" s="11">
        <f>IFERROR(100/'Skjema total MA'!C31*C31,0)</f>
        <v>7.6849737992124934E-3</v>
      </c>
      <c r="F31" s="292"/>
      <c r="G31" s="292"/>
      <c r="H31" s="166"/>
      <c r="I31" s="418"/>
      <c r="J31" s="292">
        <f t="shared" ref="J31" si="9">SUM(B31,F31)</f>
        <v>2081.9349999999999</v>
      </c>
      <c r="K31" s="292">
        <f t="shared" ref="K31" si="10">SUM(C31,G31)</f>
        <v>1808.7504129265301</v>
      </c>
      <c r="L31" s="166">
        <f t="shared" si="6"/>
        <v>-13.1</v>
      </c>
      <c r="M31" s="23">
        <f>IFERROR(100/'Skjema total MA'!I31*K31,0)</f>
        <v>5.4667737989852463E-3</v>
      </c>
      <c r="N31" s="148"/>
    </row>
    <row r="32" spans="1:14" ht="15.75" x14ac:dyDescent="0.2">
      <c r="A32" s="811" t="s">
        <v>449</v>
      </c>
      <c r="B32" s="283"/>
      <c r="C32" s="283"/>
      <c r="D32" s="166"/>
      <c r="E32" s="11"/>
      <c r="F32" s="292"/>
      <c r="G32" s="292"/>
      <c r="H32" s="166"/>
      <c r="I32" s="418"/>
      <c r="J32" s="292"/>
      <c r="K32" s="292"/>
      <c r="L32" s="166"/>
      <c r="M32" s="23"/>
    </row>
    <row r="33" spans="1:14" ht="15.75" x14ac:dyDescent="0.2">
      <c r="A33" s="811" t="s">
        <v>450</v>
      </c>
      <c r="B33" s="283"/>
      <c r="C33" s="283"/>
      <c r="D33" s="166"/>
      <c r="E33" s="11"/>
      <c r="F33" s="292"/>
      <c r="G33" s="292"/>
      <c r="H33" s="166"/>
      <c r="I33" s="418"/>
      <c r="J33" s="292"/>
      <c r="K33" s="292"/>
      <c r="L33" s="166"/>
      <c r="M33" s="23"/>
    </row>
    <row r="34" spans="1:14" ht="15.75" x14ac:dyDescent="0.2">
      <c r="A34" s="13" t="s">
        <v>445</v>
      </c>
      <c r="B34" s="236"/>
      <c r="C34" s="311"/>
      <c r="D34" s="171"/>
      <c r="E34" s="11"/>
      <c r="F34" s="310"/>
      <c r="G34" s="311"/>
      <c r="H34" s="171"/>
      <c r="I34" s="11"/>
      <c r="J34" s="236"/>
      <c r="K34" s="236"/>
      <c r="L34" s="429"/>
      <c r="M34" s="24"/>
    </row>
    <row r="35" spans="1:14" ht="15.75" x14ac:dyDescent="0.2">
      <c r="A35" s="13" t="s">
        <v>446</v>
      </c>
      <c r="B35" s="236"/>
      <c r="C35" s="311"/>
      <c r="D35" s="171"/>
      <c r="E35" s="11"/>
      <c r="F35" s="310"/>
      <c r="G35" s="311"/>
      <c r="H35" s="171"/>
      <c r="I35" s="11"/>
      <c r="J35" s="236"/>
      <c r="K35" s="236"/>
      <c r="L35" s="429"/>
      <c r="M35" s="24"/>
    </row>
    <row r="36" spans="1:14" ht="15.75" x14ac:dyDescent="0.2">
      <c r="A36" s="12" t="s">
        <v>280</v>
      </c>
      <c r="B36" s="236"/>
      <c r="C36" s="311"/>
      <c r="D36" s="171"/>
      <c r="E36" s="11"/>
      <c r="F36" s="321"/>
      <c r="G36" s="322"/>
      <c r="H36" s="171"/>
      <c r="I36" s="435"/>
      <c r="J36" s="236"/>
      <c r="K36" s="236"/>
      <c r="L36" s="429"/>
      <c r="M36" s="24"/>
    </row>
    <row r="37" spans="1:14" ht="15.75" x14ac:dyDescent="0.2">
      <c r="A37" s="12" t="s">
        <v>452</v>
      </c>
      <c r="B37" s="236"/>
      <c r="C37" s="311"/>
      <c r="D37" s="171"/>
      <c r="E37" s="11"/>
      <c r="F37" s="321"/>
      <c r="G37" s="323"/>
      <c r="H37" s="171"/>
      <c r="I37" s="435"/>
      <c r="J37" s="236"/>
      <c r="K37" s="236"/>
      <c r="L37" s="429"/>
      <c r="M37" s="24"/>
    </row>
    <row r="38" spans="1:14" ht="15.75" x14ac:dyDescent="0.2">
      <c r="A38" s="12" t="s">
        <v>453</v>
      </c>
      <c r="B38" s="236"/>
      <c r="C38" s="311"/>
      <c r="D38" s="171"/>
      <c r="E38" s="24"/>
      <c r="F38" s="321"/>
      <c r="G38" s="322"/>
      <c r="H38" s="171"/>
      <c r="I38" s="435"/>
      <c r="J38" s="236"/>
      <c r="K38" s="236"/>
      <c r="L38" s="429"/>
      <c r="M38" s="24"/>
    </row>
    <row r="39" spans="1:14" ht="15.75" x14ac:dyDescent="0.2">
      <c r="A39" s="18" t="s">
        <v>454</v>
      </c>
      <c r="B39" s="278"/>
      <c r="C39" s="317"/>
      <c r="D39" s="169"/>
      <c r="E39" s="36"/>
      <c r="F39" s="324"/>
      <c r="G39" s="325"/>
      <c r="H39" s="169"/>
      <c r="I39" s="36"/>
      <c r="J39" s="236"/>
      <c r="K39" s="236"/>
      <c r="L39" s="430"/>
      <c r="M39" s="36"/>
    </row>
    <row r="40" spans="1:14" ht="15.75" x14ac:dyDescent="0.25">
      <c r="A40" s="47"/>
      <c r="B40" s="256"/>
      <c r="C40" s="256"/>
      <c r="D40" s="1026"/>
      <c r="E40" s="1026"/>
      <c r="F40" s="1026"/>
      <c r="G40" s="1026"/>
      <c r="H40" s="1026"/>
      <c r="I40" s="1026"/>
      <c r="J40" s="1026"/>
      <c r="K40" s="1026"/>
      <c r="L40" s="1026"/>
      <c r="M40" s="304"/>
    </row>
    <row r="41" spans="1:14" x14ac:dyDescent="0.2">
      <c r="A41" s="155"/>
    </row>
    <row r="42" spans="1:14" ht="15.75" x14ac:dyDescent="0.25">
      <c r="A42" s="147" t="s">
        <v>269</v>
      </c>
      <c r="B42" s="1027"/>
      <c r="C42" s="1027"/>
      <c r="D42" s="1027"/>
      <c r="E42" s="301"/>
      <c r="F42" s="1028"/>
      <c r="G42" s="1028"/>
      <c r="H42" s="1028"/>
      <c r="I42" s="304"/>
      <c r="J42" s="1028"/>
      <c r="K42" s="1028"/>
      <c r="L42" s="1028"/>
      <c r="M42" s="304"/>
    </row>
    <row r="43" spans="1:14" ht="15.75" x14ac:dyDescent="0.25">
      <c r="A43" s="163"/>
      <c r="B43" s="305"/>
      <c r="C43" s="305"/>
      <c r="D43" s="305"/>
      <c r="E43" s="305"/>
      <c r="F43" s="304"/>
      <c r="G43" s="304"/>
      <c r="H43" s="304"/>
      <c r="I43" s="304"/>
      <c r="J43" s="304"/>
      <c r="K43" s="304"/>
      <c r="L43" s="304"/>
      <c r="M43" s="304"/>
    </row>
    <row r="44" spans="1:14" ht="15.75" x14ac:dyDescent="0.25">
      <c r="A44" s="247"/>
      <c r="B44" s="1023" t="s">
        <v>0</v>
      </c>
      <c r="C44" s="1024"/>
      <c r="D44" s="1024"/>
      <c r="E44" s="243"/>
      <c r="F44" s="304"/>
      <c r="G44" s="304"/>
      <c r="H44" s="304"/>
      <c r="I44" s="304"/>
      <c r="J44" s="304"/>
      <c r="K44" s="304"/>
      <c r="L44" s="304"/>
      <c r="M44" s="304"/>
    </row>
    <row r="45" spans="1:14" s="3" customFormat="1" x14ac:dyDescent="0.2">
      <c r="A45" s="140"/>
      <c r="B45" s="152" t="s">
        <v>502</v>
      </c>
      <c r="C45" s="152" t="s">
        <v>503</v>
      </c>
      <c r="D45" s="162" t="s">
        <v>3</v>
      </c>
      <c r="E45" s="162" t="s">
        <v>29</v>
      </c>
      <c r="F45" s="174"/>
      <c r="G45" s="174"/>
      <c r="H45" s="173"/>
      <c r="I45" s="173"/>
      <c r="J45" s="174"/>
      <c r="K45" s="174"/>
      <c r="L45" s="173"/>
      <c r="M45" s="173"/>
      <c r="N45" s="148"/>
    </row>
    <row r="46" spans="1:14" s="3" customFormat="1" x14ac:dyDescent="0.2">
      <c r="A46" s="990"/>
      <c r="B46" s="244"/>
      <c r="C46" s="244"/>
      <c r="D46" s="245" t="s">
        <v>4</v>
      </c>
      <c r="E46" s="156" t="s">
        <v>30</v>
      </c>
      <c r="F46" s="173"/>
      <c r="G46" s="173"/>
      <c r="H46" s="173"/>
      <c r="I46" s="173"/>
      <c r="J46" s="173"/>
      <c r="K46" s="173"/>
      <c r="L46" s="173"/>
      <c r="M46" s="173"/>
      <c r="N46" s="148"/>
    </row>
    <row r="47" spans="1:14" s="3" customFormat="1" ht="15.75" x14ac:dyDescent="0.2">
      <c r="A47" s="14" t="s">
        <v>23</v>
      </c>
      <c r="B47" s="312"/>
      <c r="C47" s="313"/>
      <c r="D47" s="428"/>
      <c r="E47" s="11"/>
      <c r="F47" s="145"/>
      <c r="G47" s="33"/>
      <c r="H47" s="159"/>
      <c r="I47" s="159"/>
      <c r="J47" s="37"/>
      <c r="K47" s="37"/>
      <c r="L47" s="159"/>
      <c r="M47" s="159"/>
      <c r="N47" s="148"/>
    </row>
    <row r="48" spans="1:14" s="3" customFormat="1" ht="15.75" x14ac:dyDescent="0.2">
      <c r="A48" s="38" t="s">
        <v>455</v>
      </c>
      <c r="B48" s="283"/>
      <c r="C48" s="284"/>
      <c r="D48" s="257"/>
      <c r="E48" s="27"/>
      <c r="F48" s="145"/>
      <c r="G48" s="33"/>
      <c r="H48" s="145"/>
      <c r="I48" s="145"/>
      <c r="J48" s="33"/>
      <c r="K48" s="33"/>
      <c r="L48" s="159"/>
      <c r="M48" s="159"/>
      <c r="N48" s="148"/>
    </row>
    <row r="49" spans="1:14" s="3" customFormat="1" ht="15.75" x14ac:dyDescent="0.2">
      <c r="A49" s="38" t="s">
        <v>456</v>
      </c>
      <c r="B49" s="44"/>
      <c r="C49" s="289"/>
      <c r="D49" s="257"/>
      <c r="E49" s="27"/>
      <c r="F49" s="145"/>
      <c r="G49" s="33"/>
      <c r="H49" s="145"/>
      <c r="I49" s="145"/>
      <c r="J49" s="37"/>
      <c r="K49" s="37"/>
      <c r="L49" s="159"/>
      <c r="M49" s="159"/>
      <c r="N49" s="148"/>
    </row>
    <row r="50" spans="1:14" s="3" customFormat="1" x14ac:dyDescent="0.2">
      <c r="A50" s="298" t="s">
        <v>6</v>
      </c>
      <c r="B50" s="292"/>
      <c r="C50" s="293"/>
      <c r="D50" s="257"/>
      <c r="E50" s="23"/>
      <c r="F50" s="145"/>
      <c r="G50" s="33"/>
      <c r="H50" s="145"/>
      <c r="I50" s="145"/>
      <c r="J50" s="33"/>
      <c r="K50" s="33"/>
      <c r="L50" s="159"/>
      <c r="M50" s="159"/>
      <c r="N50" s="148"/>
    </row>
    <row r="51" spans="1:14" s="3" customFormat="1" x14ac:dyDescent="0.2">
      <c r="A51" s="298" t="s">
        <v>7</v>
      </c>
      <c r="B51" s="292"/>
      <c r="C51" s="293"/>
      <c r="D51" s="257"/>
      <c r="E51" s="23"/>
      <c r="F51" s="145"/>
      <c r="G51" s="33"/>
      <c r="H51" s="145"/>
      <c r="I51" s="145"/>
      <c r="J51" s="33"/>
      <c r="K51" s="33"/>
      <c r="L51" s="159"/>
      <c r="M51" s="159"/>
      <c r="N51" s="148"/>
    </row>
    <row r="52" spans="1:14" s="3" customFormat="1" x14ac:dyDescent="0.2">
      <c r="A52" s="298" t="s">
        <v>8</v>
      </c>
      <c r="B52" s="292"/>
      <c r="C52" s="293"/>
      <c r="D52" s="257"/>
      <c r="E52" s="23"/>
      <c r="F52" s="145"/>
      <c r="G52" s="33"/>
      <c r="H52" s="145"/>
      <c r="I52" s="145"/>
      <c r="J52" s="33"/>
      <c r="K52" s="33"/>
      <c r="L52" s="159"/>
      <c r="M52" s="159"/>
      <c r="N52" s="148"/>
    </row>
    <row r="53" spans="1:14" s="3" customFormat="1" ht="15.75" x14ac:dyDescent="0.2">
      <c r="A53" s="39" t="s">
        <v>457</v>
      </c>
      <c r="B53" s="312"/>
      <c r="C53" s="313"/>
      <c r="D53" s="429"/>
      <c r="E53" s="11"/>
      <c r="F53" s="145"/>
      <c r="G53" s="33"/>
      <c r="H53" s="145"/>
      <c r="I53" s="145"/>
      <c r="J53" s="33"/>
      <c r="K53" s="33"/>
      <c r="L53" s="159"/>
      <c r="M53" s="159"/>
      <c r="N53" s="148"/>
    </row>
    <row r="54" spans="1:14" s="3" customFormat="1" ht="15.75" x14ac:dyDescent="0.2">
      <c r="A54" s="38" t="s">
        <v>455</v>
      </c>
      <c r="B54" s="283"/>
      <c r="C54" s="284"/>
      <c r="D54" s="257"/>
      <c r="E54" s="27"/>
      <c r="F54" s="145"/>
      <c r="G54" s="33"/>
      <c r="H54" s="145"/>
      <c r="I54" s="145"/>
      <c r="J54" s="33"/>
      <c r="K54" s="33"/>
      <c r="L54" s="159"/>
      <c r="M54" s="159"/>
      <c r="N54" s="148"/>
    </row>
    <row r="55" spans="1:14" s="3" customFormat="1" ht="15.75" x14ac:dyDescent="0.2">
      <c r="A55" s="38" t="s">
        <v>456</v>
      </c>
      <c r="B55" s="283"/>
      <c r="C55" s="284"/>
      <c r="D55" s="257"/>
      <c r="E55" s="27"/>
      <c r="F55" s="145"/>
      <c r="G55" s="33"/>
      <c r="H55" s="145"/>
      <c r="I55" s="145"/>
      <c r="J55" s="33"/>
      <c r="K55" s="33"/>
      <c r="L55" s="159"/>
      <c r="M55" s="159"/>
      <c r="N55" s="148"/>
    </row>
    <row r="56" spans="1:14" s="3" customFormat="1" ht="15.75" x14ac:dyDescent="0.2">
      <c r="A56" s="39" t="s">
        <v>458</v>
      </c>
      <c r="B56" s="312"/>
      <c r="C56" s="313"/>
      <c r="D56" s="429"/>
      <c r="E56" s="11"/>
      <c r="F56" s="145"/>
      <c r="G56" s="33"/>
      <c r="H56" s="145"/>
      <c r="I56" s="145"/>
      <c r="J56" s="33"/>
      <c r="K56" s="33"/>
      <c r="L56" s="159"/>
      <c r="M56" s="159"/>
      <c r="N56" s="148"/>
    </row>
    <row r="57" spans="1:14" s="3" customFormat="1" ht="15.75" x14ac:dyDescent="0.2">
      <c r="A57" s="38" t="s">
        <v>455</v>
      </c>
      <c r="B57" s="283"/>
      <c r="C57" s="284"/>
      <c r="D57" s="257"/>
      <c r="E57" s="27"/>
      <c r="F57" s="145"/>
      <c r="G57" s="33"/>
      <c r="H57" s="145"/>
      <c r="I57" s="145"/>
      <c r="J57" s="33"/>
      <c r="K57" s="33"/>
      <c r="L57" s="159"/>
      <c r="M57" s="159"/>
      <c r="N57" s="148"/>
    </row>
    <row r="58" spans="1:14" s="3" customFormat="1" ht="15.75" x14ac:dyDescent="0.2">
      <c r="A58" s="46" t="s">
        <v>456</v>
      </c>
      <c r="B58" s="285"/>
      <c r="C58" s="286"/>
      <c r="D58" s="258"/>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1022"/>
      <c r="C62" s="1022"/>
      <c r="D62" s="1022"/>
      <c r="E62" s="301"/>
      <c r="F62" s="1022"/>
      <c r="G62" s="1022"/>
      <c r="H62" s="1022"/>
      <c r="I62" s="301"/>
      <c r="J62" s="1022"/>
      <c r="K62" s="1022"/>
      <c r="L62" s="1022"/>
      <c r="M62" s="301"/>
    </row>
    <row r="63" spans="1:14" x14ac:dyDescent="0.2">
      <c r="A63" s="144"/>
      <c r="B63" s="1023" t="s">
        <v>0</v>
      </c>
      <c r="C63" s="1024"/>
      <c r="D63" s="1025"/>
      <c r="E63" s="302"/>
      <c r="F63" s="1024" t="s">
        <v>1</v>
      </c>
      <c r="G63" s="1024"/>
      <c r="H63" s="1024"/>
      <c r="I63" s="306"/>
      <c r="J63" s="1023" t="s">
        <v>2</v>
      </c>
      <c r="K63" s="1024"/>
      <c r="L63" s="1024"/>
      <c r="M63" s="306"/>
    </row>
    <row r="64" spans="1:14" x14ac:dyDescent="0.2">
      <c r="A64" s="140"/>
      <c r="B64" s="152" t="s">
        <v>502</v>
      </c>
      <c r="C64" s="152" t="s">
        <v>503</v>
      </c>
      <c r="D64" s="245" t="s">
        <v>3</v>
      </c>
      <c r="E64" s="307" t="s">
        <v>29</v>
      </c>
      <c r="F64" s="152" t="s">
        <v>502</v>
      </c>
      <c r="G64" s="152" t="s">
        <v>503</v>
      </c>
      <c r="H64" s="245" t="s">
        <v>3</v>
      </c>
      <c r="I64" s="307" t="s">
        <v>29</v>
      </c>
      <c r="J64" s="152" t="s">
        <v>502</v>
      </c>
      <c r="K64" s="152" t="s">
        <v>503</v>
      </c>
      <c r="L64" s="245" t="s">
        <v>3</v>
      </c>
      <c r="M64" s="162" t="s">
        <v>29</v>
      </c>
    </row>
    <row r="65" spans="1:14" x14ac:dyDescent="0.2">
      <c r="A65" s="990"/>
      <c r="B65" s="156"/>
      <c r="C65" s="156"/>
      <c r="D65" s="246" t="s">
        <v>4</v>
      </c>
      <c r="E65" s="156" t="s">
        <v>30</v>
      </c>
      <c r="F65" s="161"/>
      <c r="G65" s="161"/>
      <c r="H65" s="245"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9"/>
      <c r="M66" s="11"/>
    </row>
    <row r="67" spans="1:14" x14ac:dyDescent="0.2">
      <c r="A67" s="420" t="s">
        <v>9</v>
      </c>
      <c r="B67" s="44"/>
      <c r="C67" s="145"/>
      <c r="D67" s="166"/>
      <c r="E67" s="27"/>
      <c r="F67" s="234"/>
      <c r="G67" s="145"/>
      <c r="H67" s="166"/>
      <c r="I67" s="27"/>
      <c r="J67" s="289"/>
      <c r="K67" s="44"/>
      <c r="L67" s="257"/>
      <c r="M67" s="27"/>
    </row>
    <row r="68" spans="1:14" x14ac:dyDescent="0.2">
      <c r="A68" s="21" t="s">
        <v>10</v>
      </c>
      <c r="B68" s="294"/>
      <c r="C68" s="295"/>
      <c r="D68" s="166"/>
      <c r="E68" s="27"/>
      <c r="F68" s="294"/>
      <c r="G68" s="295"/>
      <c r="H68" s="166"/>
      <c r="I68" s="27"/>
      <c r="J68" s="289"/>
      <c r="K68" s="44"/>
      <c r="L68" s="257"/>
      <c r="M68" s="27"/>
    </row>
    <row r="69" spans="1:14" ht="15.75" x14ac:dyDescent="0.2">
      <c r="A69" s="298" t="s">
        <v>459</v>
      </c>
      <c r="B69" s="283"/>
      <c r="C69" s="283"/>
      <c r="D69" s="166"/>
      <c r="E69" s="418"/>
      <c r="F69" s="283"/>
      <c r="G69" s="283"/>
      <c r="H69" s="166"/>
      <c r="I69" s="418"/>
      <c r="J69" s="292"/>
      <c r="K69" s="292"/>
      <c r="L69" s="166"/>
      <c r="M69" s="23"/>
    </row>
    <row r="70" spans="1:14" x14ac:dyDescent="0.2">
      <c r="A70" s="298" t="s">
        <v>12</v>
      </c>
      <c r="B70" s="296"/>
      <c r="C70" s="297"/>
      <c r="D70" s="166"/>
      <c r="E70" s="418"/>
      <c r="F70" s="283"/>
      <c r="G70" s="283"/>
      <c r="H70" s="166"/>
      <c r="I70" s="418"/>
      <c r="J70" s="292"/>
      <c r="K70" s="292"/>
      <c r="L70" s="166"/>
      <c r="M70" s="23"/>
    </row>
    <row r="71" spans="1:14" x14ac:dyDescent="0.2">
      <c r="A71" s="298" t="s">
        <v>13</v>
      </c>
      <c r="B71" s="235"/>
      <c r="C71" s="291"/>
      <c r="D71" s="166"/>
      <c r="E71" s="418"/>
      <c r="F71" s="283"/>
      <c r="G71" s="283"/>
      <c r="H71" s="166"/>
      <c r="I71" s="418"/>
      <c r="J71" s="292"/>
      <c r="K71" s="292"/>
      <c r="L71" s="166"/>
      <c r="M71" s="23"/>
    </row>
    <row r="72" spans="1:14" ht="15.75" x14ac:dyDescent="0.2">
      <c r="A72" s="298" t="s">
        <v>460</v>
      </c>
      <c r="B72" s="283"/>
      <c r="C72" s="283"/>
      <c r="D72" s="166"/>
      <c r="E72" s="418"/>
      <c r="F72" s="283"/>
      <c r="G72" s="283"/>
      <c r="H72" s="166"/>
      <c r="I72" s="418"/>
      <c r="J72" s="292"/>
      <c r="K72" s="292"/>
      <c r="L72" s="166"/>
      <c r="M72" s="23"/>
    </row>
    <row r="73" spans="1:14" x14ac:dyDescent="0.2">
      <c r="A73" s="298" t="s">
        <v>12</v>
      </c>
      <c r="B73" s="235"/>
      <c r="C73" s="291"/>
      <c r="D73" s="166"/>
      <c r="E73" s="418"/>
      <c r="F73" s="283"/>
      <c r="G73" s="283"/>
      <c r="H73" s="166"/>
      <c r="I73" s="418"/>
      <c r="J73" s="292"/>
      <c r="K73" s="292"/>
      <c r="L73" s="166"/>
      <c r="M73" s="23"/>
    </row>
    <row r="74" spans="1:14" s="3" customFormat="1" x14ac:dyDescent="0.2">
      <c r="A74" s="298" t="s">
        <v>13</v>
      </c>
      <c r="B74" s="235"/>
      <c r="C74" s="291"/>
      <c r="D74" s="166"/>
      <c r="E74" s="418"/>
      <c r="F74" s="283"/>
      <c r="G74" s="283"/>
      <c r="H74" s="166"/>
      <c r="I74" s="418"/>
      <c r="J74" s="292"/>
      <c r="K74" s="292"/>
      <c r="L74" s="166"/>
      <c r="M74" s="23"/>
      <c r="N74" s="148"/>
    </row>
    <row r="75" spans="1:14" s="3" customFormat="1" x14ac:dyDescent="0.2">
      <c r="A75" s="21" t="s">
        <v>346</v>
      </c>
      <c r="B75" s="234"/>
      <c r="C75" s="145"/>
      <c r="D75" s="166"/>
      <c r="E75" s="27"/>
      <c r="F75" s="234"/>
      <c r="G75" s="145"/>
      <c r="H75" s="166"/>
      <c r="I75" s="27"/>
      <c r="J75" s="289"/>
      <c r="K75" s="44"/>
      <c r="L75" s="257"/>
      <c r="M75" s="27"/>
      <c r="N75" s="148"/>
    </row>
    <row r="76" spans="1:14" s="3" customFormat="1" x14ac:dyDescent="0.2">
      <c r="A76" s="21" t="s">
        <v>345</v>
      </c>
      <c r="B76" s="234"/>
      <c r="C76" s="145"/>
      <c r="D76" s="166"/>
      <c r="E76" s="27"/>
      <c r="F76" s="234"/>
      <c r="G76" s="145"/>
      <c r="H76" s="166"/>
      <c r="I76" s="27"/>
      <c r="J76" s="289"/>
      <c r="K76" s="44"/>
      <c r="L76" s="257"/>
      <c r="M76" s="27"/>
      <c r="N76" s="148"/>
    </row>
    <row r="77" spans="1:14" ht="15.75" x14ac:dyDescent="0.2">
      <c r="A77" s="21" t="s">
        <v>461</v>
      </c>
      <c r="B77" s="234"/>
      <c r="C77" s="234"/>
      <c r="D77" s="166"/>
      <c r="E77" s="27"/>
      <c r="F77" s="234"/>
      <c r="G77" s="145"/>
      <c r="H77" s="166"/>
      <c r="I77" s="27"/>
      <c r="J77" s="289"/>
      <c r="K77" s="44"/>
      <c r="L77" s="257"/>
      <c r="M77" s="27"/>
    </row>
    <row r="78" spans="1:14" x14ac:dyDescent="0.2">
      <c r="A78" s="21" t="s">
        <v>9</v>
      </c>
      <c r="B78" s="234"/>
      <c r="C78" s="145"/>
      <c r="D78" s="166"/>
      <c r="E78" s="27"/>
      <c r="F78" s="234"/>
      <c r="G78" s="145"/>
      <c r="H78" s="166"/>
      <c r="I78" s="27"/>
      <c r="J78" s="289"/>
      <c r="K78" s="44"/>
      <c r="L78" s="257"/>
      <c r="M78" s="27"/>
    </row>
    <row r="79" spans="1:14" x14ac:dyDescent="0.2">
      <c r="A79" s="21" t="s">
        <v>10</v>
      </c>
      <c r="B79" s="294"/>
      <c r="C79" s="295"/>
      <c r="D79" s="166"/>
      <c r="E79" s="27"/>
      <c r="F79" s="294"/>
      <c r="G79" s="295"/>
      <c r="H79" s="166"/>
      <c r="I79" s="27"/>
      <c r="J79" s="289"/>
      <c r="K79" s="44"/>
      <c r="L79" s="257"/>
      <c r="M79" s="27"/>
    </row>
    <row r="80" spans="1:14" ht="15.75" x14ac:dyDescent="0.2">
      <c r="A80" s="298" t="s">
        <v>459</v>
      </c>
      <c r="B80" s="283"/>
      <c r="C80" s="283"/>
      <c r="D80" s="166"/>
      <c r="E80" s="418"/>
      <c r="F80" s="283"/>
      <c r="G80" s="283"/>
      <c r="H80" s="166"/>
      <c r="I80" s="418"/>
      <c r="J80" s="292"/>
      <c r="K80" s="292"/>
      <c r="L80" s="166"/>
      <c r="M80" s="23"/>
    </row>
    <row r="81" spans="1:13" x14ac:dyDescent="0.2">
      <c r="A81" s="298" t="s">
        <v>12</v>
      </c>
      <c r="B81" s="235"/>
      <c r="C81" s="291"/>
      <c r="D81" s="166"/>
      <c r="E81" s="418"/>
      <c r="F81" s="283"/>
      <c r="G81" s="283"/>
      <c r="H81" s="166"/>
      <c r="I81" s="418"/>
      <c r="J81" s="292"/>
      <c r="K81" s="292"/>
      <c r="L81" s="166"/>
      <c r="M81" s="23"/>
    </row>
    <row r="82" spans="1:13" x14ac:dyDescent="0.2">
      <c r="A82" s="298" t="s">
        <v>13</v>
      </c>
      <c r="B82" s="235"/>
      <c r="C82" s="291"/>
      <c r="D82" s="166"/>
      <c r="E82" s="418"/>
      <c r="F82" s="283"/>
      <c r="G82" s="283"/>
      <c r="H82" s="166"/>
      <c r="I82" s="418"/>
      <c r="J82" s="292"/>
      <c r="K82" s="292"/>
      <c r="L82" s="166"/>
      <c r="M82" s="23"/>
    </row>
    <row r="83" spans="1:13" ht="15.75" x14ac:dyDescent="0.2">
      <c r="A83" s="298" t="s">
        <v>460</v>
      </c>
      <c r="B83" s="283"/>
      <c r="C83" s="283"/>
      <c r="D83" s="166"/>
      <c r="E83" s="418"/>
      <c r="F83" s="283"/>
      <c r="G83" s="283"/>
      <c r="H83" s="166"/>
      <c r="I83" s="418"/>
      <c r="J83" s="292"/>
      <c r="K83" s="292"/>
      <c r="L83" s="166"/>
      <c r="M83" s="23"/>
    </row>
    <row r="84" spans="1:13" x14ac:dyDescent="0.2">
      <c r="A84" s="298" t="s">
        <v>12</v>
      </c>
      <c r="B84" s="235"/>
      <c r="C84" s="291"/>
      <c r="D84" s="166"/>
      <c r="E84" s="418"/>
      <c r="F84" s="283"/>
      <c r="G84" s="283"/>
      <c r="H84" s="166"/>
      <c r="I84" s="418"/>
      <c r="J84" s="292"/>
      <c r="K84" s="292"/>
      <c r="L84" s="166"/>
      <c r="M84" s="23"/>
    </row>
    <row r="85" spans="1:13" x14ac:dyDescent="0.2">
      <c r="A85" s="298" t="s">
        <v>13</v>
      </c>
      <c r="B85" s="235"/>
      <c r="C85" s="291"/>
      <c r="D85" s="166"/>
      <c r="E85" s="418"/>
      <c r="F85" s="283"/>
      <c r="G85" s="283"/>
      <c r="H85" s="166"/>
      <c r="I85" s="418"/>
      <c r="J85" s="292"/>
      <c r="K85" s="292"/>
      <c r="L85" s="166"/>
      <c r="M85" s="23"/>
    </row>
    <row r="86" spans="1:13" ht="15.75" x14ac:dyDescent="0.2">
      <c r="A86" s="21" t="s">
        <v>462</v>
      </c>
      <c r="B86" s="234"/>
      <c r="C86" s="145"/>
      <c r="D86" s="166"/>
      <c r="E86" s="27"/>
      <c r="F86" s="234"/>
      <c r="G86" s="145"/>
      <c r="H86" s="166"/>
      <c r="I86" s="27"/>
      <c r="J86" s="289"/>
      <c r="K86" s="44"/>
      <c r="L86" s="257"/>
      <c r="M86" s="27"/>
    </row>
    <row r="87" spans="1:13" ht="15.75" x14ac:dyDescent="0.2">
      <c r="A87" s="13" t="s">
        <v>444</v>
      </c>
      <c r="B87" s="354"/>
      <c r="C87" s="354"/>
      <c r="D87" s="171"/>
      <c r="E87" s="11"/>
      <c r="F87" s="353"/>
      <c r="G87" s="353"/>
      <c r="H87" s="171"/>
      <c r="I87" s="11"/>
      <c r="J87" s="311"/>
      <c r="K87" s="236"/>
      <c r="L87" s="429"/>
      <c r="M87" s="11"/>
    </row>
    <row r="88" spans="1:13" x14ac:dyDescent="0.2">
      <c r="A88" s="21" t="s">
        <v>9</v>
      </c>
      <c r="B88" s="234"/>
      <c r="C88" s="145"/>
      <c r="D88" s="166"/>
      <c r="E88" s="27"/>
      <c r="F88" s="234"/>
      <c r="G88" s="145"/>
      <c r="H88" s="166"/>
      <c r="I88" s="27"/>
      <c r="J88" s="289"/>
      <c r="K88" s="44"/>
      <c r="L88" s="257"/>
      <c r="M88" s="27"/>
    </row>
    <row r="89" spans="1:13" x14ac:dyDescent="0.2">
      <c r="A89" s="21" t="s">
        <v>10</v>
      </c>
      <c r="B89" s="234"/>
      <c r="C89" s="145"/>
      <c r="D89" s="166"/>
      <c r="E89" s="27"/>
      <c r="F89" s="234"/>
      <c r="G89" s="145"/>
      <c r="H89" s="166"/>
      <c r="I89" s="27"/>
      <c r="J89" s="289"/>
      <c r="K89" s="44"/>
      <c r="L89" s="257"/>
      <c r="M89" s="27"/>
    </row>
    <row r="90" spans="1:13" ht="15.75" x14ac:dyDescent="0.2">
      <c r="A90" s="298" t="s">
        <v>459</v>
      </c>
      <c r="B90" s="283"/>
      <c r="C90" s="283"/>
      <c r="D90" s="166"/>
      <c r="E90" s="418"/>
      <c r="F90" s="283"/>
      <c r="G90" s="283"/>
      <c r="H90" s="166"/>
      <c r="I90" s="418"/>
      <c r="J90" s="292"/>
      <c r="K90" s="292"/>
      <c r="L90" s="166"/>
      <c r="M90" s="23"/>
    </row>
    <row r="91" spans="1:13" x14ac:dyDescent="0.2">
      <c r="A91" s="298" t="s">
        <v>12</v>
      </c>
      <c r="B91" s="235"/>
      <c r="C91" s="291"/>
      <c r="D91" s="166"/>
      <c r="E91" s="418"/>
      <c r="F91" s="283"/>
      <c r="G91" s="283"/>
      <c r="H91" s="166"/>
      <c r="I91" s="418"/>
      <c r="J91" s="292"/>
      <c r="K91" s="292"/>
      <c r="L91" s="166"/>
      <c r="M91" s="23"/>
    </row>
    <row r="92" spans="1:13" x14ac:dyDescent="0.2">
      <c r="A92" s="298" t="s">
        <v>13</v>
      </c>
      <c r="B92" s="235"/>
      <c r="C92" s="291"/>
      <c r="D92" s="166"/>
      <c r="E92" s="418"/>
      <c r="F92" s="283"/>
      <c r="G92" s="283"/>
      <c r="H92" s="166"/>
      <c r="I92" s="418"/>
      <c r="J92" s="292"/>
      <c r="K92" s="292"/>
      <c r="L92" s="166"/>
      <c r="M92" s="23"/>
    </row>
    <row r="93" spans="1:13" ht="15.75" x14ac:dyDescent="0.2">
      <c r="A93" s="298" t="s">
        <v>460</v>
      </c>
      <c r="B93" s="283"/>
      <c r="C93" s="283"/>
      <c r="D93" s="166"/>
      <c r="E93" s="418"/>
      <c r="F93" s="283"/>
      <c r="G93" s="283"/>
      <c r="H93" s="166"/>
      <c r="I93" s="418"/>
      <c r="J93" s="292"/>
      <c r="K93" s="292"/>
      <c r="L93" s="166"/>
      <c r="M93" s="23"/>
    </row>
    <row r="94" spans="1:13" x14ac:dyDescent="0.2">
      <c r="A94" s="298" t="s">
        <v>12</v>
      </c>
      <c r="B94" s="235"/>
      <c r="C94" s="291"/>
      <c r="D94" s="166"/>
      <c r="E94" s="418"/>
      <c r="F94" s="283"/>
      <c r="G94" s="283"/>
      <c r="H94" s="166"/>
      <c r="I94" s="418"/>
      <c r="J94" s="292"/>
      <c r="K94" s="292"/>
      <c r="L94" s="166"/>
      <c r="M94" s="23"/>
    </row>
    <row r="95" spans="1:13" x14ac:dyDescent="0.2">
      <c r="A95" s="298" t="s">
        <v>13</v>
      </c>
      <c r="B95" s="235"/>
      <c r="C95" s="291"/>
      <c r="D95" s="166"/>
      <c r="E95" s="418"/>
      <c r="F95" s="283"/>
      <c r="G95" s="283"/>
      <c r="H95" s="166"/>
      <c r="I95" s="418"/>
      <c r="J95" s="292"/>
      <c r="K95" s="292"/>
      <c r="L95" s="166"/>
      <c r="M95" s="23"/>
    </row>
    <row r="96" spans="1:13" x14ac:dyDescent="0.2">
      <c r="A96" s="21" t="s">
        <v>344</v>
      </c>
      <c r="B96" s="234"/>
      <c r="C96" s="145"/>
      <c r="D96" s="166"/>
      <c r="E96" s="27"/>
      <c r="F96" s="234"/>
      <c r="G96" s="145"/>
      <c r="H96" s="166"/>
      <c r="I96" s="27"/>
      <c r="J96" s="289"/>
      <c r="K96" s="44"/>
      <c r="L96" s="257"/>
      <c r="M96" s="27"/>
    </row>
    <row r="97" spans="1:13" x14ac:dyDescent="0.2">
      <c r="A97" s="21" t="s">
        <v>343</v>
      </c>
      <c r="B97" s="234"/>
      <c r="C97" s="145"/>
      <c r="D97" s="166"/>
      <c r="E97" s="27"/>
      <c r="F97" s="234"/>
      <c r="G97" s="145"/>
      <c r="H97" s="166"/>
      <c r="I97" s="27"/>
      <c r="J97" s="289"/>
      <c r="K97" s="44"/>
      <c r="L97" s="257"/>
      <c r="M97" s="27"/>
    </row>
    <row r="98" spans="1:13" ht="15.75" x14ac:dyDescent="0.2">
      <c r="A98" s="21" t="s">
        <v>461</v>
      </c>
      <c r="B98" s="234"/>
      <c r="C98" s="234"/>
      <c r="D98" s="166"/>
      <c r="E98" s="27"/>
      <c r="F98" s="294"/>
      <c r="G98" s="294"/>
      <c r="H98" s="166"/>
      <c r="I98" s="27"/>
      <c r="J98" s="289"/>
      <c r="K98" s="44"/>
      <c r="L98" s="257"/>
      <c r="M98" s="27"/>
    </row>
    <row r="99" spans="1:13" x14ac:dyDescent="0.2">
      <c r="A99" s="21" t="s">
        <v>9</v>
      </c>
      <c r="B99" s="294"/>
      <c r="C99" s="295"/>
      <c r="D99" s="166"/>
      <c r="E99" s="27"/>
      <c r="F99" s="234"/>
      <c r="G99" s="145"/>
      <c r="H99" s="166"/>
      <c r="I99" s="27"/>
      <c r="J99" s="289"/>
      <c r="K99" s="44"/>
      <c r="L99" s="257"/>
      <c r="M99" s="27"/>
    </row>
    <row r="100" spans="1:13" x14ac:dyDescent="0.2">
      <c r="A100" s="21" t="s">
        <v>10</v>
      </c>
      <c r="B100" s="294"/>
      <c r="C100" s="295"/>
      <c r="D100" s="166"/>
      <c r="E100" s="27"/>
      <c r="F100" s="234"/>
      <c r="G100" s="234"/>
      <c r="H100" s="166"/>
      <c r="I100" s="27"/>
      <c r="J100" s="289"/>
      <c r="K100" s="44"/>
      <c r="L100" s="257"/>
      <c r="M100" s="27"/>
    </row>
    <row r="101" spans="1:13" ht="15.75" x14ac:dyDescent="0.2">
      <c r="A101" s="298" t="s">
        <v>459</v>
      </c>
      <c r="B101" s="283"/>
      <c r="C101" s="283"/>
      <c r="D101" s="166"/>
      <c r="E101" s="418"/>
      <c r="F101" s="283"/>
      <c r="G101" s="283"/>
      <c r="H101" s="166"/>
      <c r="I101" s="418"/>
      <c r="J101" s="292"/>
      <c r="K101" s="292"/>
      <c r="L101" s="166"/>
      <c r="M101" s="23"/>
    </row>
    <row r="102" spans="1:13" x14ac:dyDescent="0.2">
      <c r="A102" s="298" t="s">
        <v>12</v>
      </c>
      <c r="B102" s="235"/>
      <c r="C102" s="291"/>
      <c r="D102" s="166"/>
      <c r="E102" s="418"/>
      <c r="F102" s="283"/>
      <c r="G102" s="283"/>
      <c r="H102" s="166"/>
      <c r="I102" s="418"/>
      <c r="J102" s="292"/>
      <c r="K102" s="292"/>
      <c r="L102" s="166"/>
      <c r="M102" s="23"/>
    </row>
    <row r="103" spans="1:13" x14ac:dyDescent="0.2">
      <c r="A103" s="298" t="s">
        <v>13</v>
      </c>
      <c r="B103" s="235"/>
      <c r="C103" s="291"/>
      <c r="D103" s="166"/>
      <c r="E103" s="418"/>
      <c r="F103" s="283"/>
      <c r="G103" s="283"/>
      <c r="H103" s="166"/>
      <c r="I103" s="418"/>
      <c r="J103" s="292"/>
      <c r="K103" s="292"/>
      <c r="L103" s="166"/>
      <c r="M103" s="23"/>
    </row>
    <row r="104" spans="1:13" ht="15.75" x14ac:dyDescent="0.2">
      <c r="A104" s="298" t="s">
        <v>460</v>
      </c>
      <c r="B104" s="283"/>
      <c r="C104" s="283"/>
      <c r="D104" s="166"/>
      <c r="E104" s="418"/>
      <c r="F104" s="283"/>
      <c r="G104" s="283"/>
      <c r="H104" s="166"/>
      <c r="I104" s="418"/>
      <c r="J104" s="292"/>
      <c r="K104" s="292"/>
      <c r="L104" s="166"/>
      <c r="M104" s="23"/>
    </row>
    <row r="105" spans="1:13" x14ac:dyDescent="0.2">
      <c r="A105" s="298" t="s">
        <v>12</v>
      </c>
      <c r="B105" s="235"/>
      <c r="C105" s="291"/>
      <c r="D105" s="166"/>
      <c r="E105" s="418"/>
      <c r="F105" s="283"/>
      <c r="G105" s="283"/>
      <c r="H105" s="166"/>
      <c r="I105" s="418"/>
      <c r="J105" s="292"/>
      <c r="K105" s="292"/>
      <c r="L105" s="166"/>
      <c r="M105" s="23"/>
    </row>
    <row r="106" spans="1:13" x14ac:dyDescent="0.2">
      <c r="A106" s="298" t="s">
        <v>13</v>
      </c>
      <c r="B106" s="235"/>
      <c r="C106" s="291"/>
      <c r="D106" s="166"/>
      <c r="E106" s="418"/>
      <c r="F106" s="283"/>
      <c r="G106" s="283"/>
      <c r="H106" s="166"/>
      <c r="I106" s="418"/>
      <c r="J106" s="292"/>
      <c r="K106" s="292"/>
      <c r="L106" s="166"/>
      <c r="M106" s="23"/>
    </row>
    <row r="107" spans="1:13" ht="15.75" x14ac:dyDescent="0.2">
      <c r="A107" s="21" t="s">
        <v>462</v>
      </c>
      <c r="B107" s="234"/>
      <c r="C107" s="145"/>
      <c r="D107" s="166"/>
      <c r="E107" s="27"/>
      <c r="F107" s="234"/>
      <c r="G107" s="145"/>
      <c r="H107" s="166"/>
      <c r="I107" s="27"/>
      <c r="J107" s="289"/>
      <c r="K107" s="44"/>
      <c r="L107" s="257"/>
      <c r="M107" s="27"/>
    </row>
    <row r="108" spans="1:13" ht="15.75" x14ac:dyDescent="0.2">
      <c r="A108" s="21" t="s">
        <v>463</v>
      </c>
      <c r="B108" s="234"/>
      <c r="C108" s="234"/>
      <c r="D108" s="166"/>
      <c r="E108" s="27"/>
      <c r="F108" s="234"/>
      <c r="G108" s="234"/>
      <c r="H108" s="166"/>
      <c r="I108" s="27"/>
      <c r="J108" s="289"/>
      <c r="K108" s="44"/>
      <c r="L108" s="257"/>
      <c r="M108" s="27"/>
    </row>
    <row r="109" spans="1:13" ht="15.75" x14ac:dyDescent="0.2">
      <c r="A109" s="21" t="s">
        <v>464</v>
      </c>
      <c r="B109" s="234"/>
      <c r="C109" s="234"/>
      <c r="D109" s="166"/>
      <c r="E109" s="27"/>
      <c r="F109" s="234"/>
      <c r="G109" s="234"/>
      <c r="H109" s="166"/>
      <c r="I109" s="27"/>
      <c r="J109" s="289"/>
      <c r="K109" s="44"/>
      <c r="L109" s="257"/>
      <c r="M109" s="27"/>
    </row>
    <row r="110" spans="1:13" ht="15.75" x14ac:dyDescent="0.2">
      <c r="A110" s="21" t="s">
        <v>465</v>
      </c>
      <c r="B110" s="234"/>
      <c r="C110" s="234"/>
      <c r="D110" s="166"/>
      <c r="E110" s="27"/>
      <c r="F110" s="234"/>
      <c r="G110" s="234"/>
      <c r="H110" s="166"/>
      <c r="I110" s="27"/>
      <c r="J110" s="289"/>
      <c r="K110" s="44"/>
      <c r="L110" s="257"/>
      <c r="M110" s="27"/>
    </row>
    <row r="111" spans="1:13" ht="15.75" x14ac:dyDescent="0.2">
      <c r="A111" s="13" t="s">
        <v>445</v>
      </c>
      <c r="B111" s="310"/>
      <c r="C111" s="159"/>
      <c r="D111" s="171"/>
      <c r="E111" s="11"/>
      <c r="F111" s="310"/>
      <c r="G111" s="159"/>
      <c r="H111" s="171"/>
      <c r="I111" s="11"/>
      <c r="J111" s="311"/>
      <c r="K111" s="236"/>
      <c r="L111" s="429"/>
      <c r="M111" s="11"/>
    </row>
    <row r="112" spans="1:13" x14ac:dyDescent="0.2">
      <c r="A112" s="21" t="s">
        <v>9</v>
      </c>
      <c r="B112" s="234"/>
      <c r="C112" s="145"/>
      <c r="D112" s="166"/>
      <c r="E112" s="27"/>
      <c r="F112" s="234"/>
      <c r="G112" s="145"/>
      <c r="H112" s="166"/>
      <c r="I112" s="27"/>
      <c r="J112" s="289"/>
      <c r="K112" s="44"/>
      <c r="L112" s="257"/>
      <c r="M112" s="27"/>
    </row>
    <row r="113" spans="1:14" x14ac:dyDescent="0.2">
      <c r="A113" s="21" t="s">
        <v>10</v>
      </c>
      <c r="B113" s="234"/>
      <c r="C113" s="145"/>
      <c r="D113" s="166"/>
      <c r="E113" s="27"/>
      <c r="F113" s="234"/>
      <c r="G113" s="145"/>
      <c r="H113" s="166"/>
      <c r="I113" s="27"/>
      <c r="J113" s="289"/>
      <c r="K113" s="44"/>
      <c r="L113" s="257"/>
      <c r="M113" s="27"/>
    </row>
    <row r="114" spans="1:14" x14ac:dyDescent="0.2">
      <c r="A114" s="21" t="s">
        <v>26</v>
      </c>
      <c r="B114" s="234"/>
      <c r="C114" s="145"/>
      <c r="D114" s="166"/>
      <c r="E114" s="27"/>
      <c r="F114" s="234"/>
      <c r="G114" s="145"/>
      <c r="H114" s="166"/>
      <c r="I114" s="27"/>
      <c r="J114" s="289"/>
      <c r="K114" s="44"/>
      <c r="L114" s="257"/>
      <c r="M114" s="27"/>
    </row>
    <row r="115" spans="1:14" x14ac:dyDescent="0.2">
      <c r="A115" s="298" t="s">
        <v>15</v>
      </c>
      <c r="B115" s="283"/>
      <c r="C115" s="283"/>
      <c r="D115" s="166"/>
      <c r="E115" s="418"/>
      <c r="F115" s="283"/>
      <c r="G115" s="283"/>
      <c r="H115" s="166"/>
      <c r="I115" s="418"/>
      <c r="J115" s="292"/>
      <c r="K115" s="292"/>
      <c r="L115" s="166"/>
      <c r="M115" s="23"/>
    </row>
    <row r="116" spans="1:14" ht="15.75" x14ac:dyDescent="0.2">
      <c r="A116" s="21" t="s">
        <v>466</v>
      </c>
      <c r="B116" s="234"/>
      <c r="C116" s="234"/>
      <c r="D116" s="166"/>
      <c r="E116" s="27"/>
      <c r="F116" s="234"/>
      <c r="G116" s="234"/>
      <c r="H116" s="166"/>
      <c r="I116" s="27"/>
      <c r="J116" s="289"/>
      <c r="K116" s="44"/>
      <c r="L116" s="257"/>
      <c r="M116" s="27"/>
    </row>
    <row r="117" spans="1:14" ht="15.75" x14ac:dyDescent="0.2">
      <c r="A117" s="21" t="s">
        <v>467</v>
      </c>
      <c r="B117" s="234"/>
      <c r="C117" s="234"/>
      <c r="D117" s="166"/>
      <c r="E117" s="27"/>
      <c r="F117" s="234"/>
      <c r="G117" s="234"/>
      <c r="H117" s="166"/>
      <c r="I117" s="27"/>
      <c r="J117" s="289"/>
      <c r="K117" s="44"/>
      <c r="L117" s="257"/>
      <c r="M117" s="27"/>
    </row>
    <row r="118" spans="1:14" ht="15.75" x14ac:dyDescent="0.2">
      <c r="A118" s="21" t="s">
        <v>465</v>
      </c>
      <c r="B118" s="234"/>
      <c r="C118" s="234"/>
      <c r="D118" s="166"/>
      <c r="E118" s="27"/>
      <c r="F118" s="234"/>
      <c r="G118" s="234"/>
      <c r="H118" s="166"/>
      <c r="I118" s="27"/>
      <c r="J118" s="289"/>
      <c r="K118" s="44"/>
      <c r="L118" s="257"/>
      <c r="M118" s="27"/>
    </row>
    <row r="119" spans="1:14" ht="15.75" x14ac:dyDescent="0.2">
      <c r="A119" s="13" t="s">
        <v>446</v>
      </c>
      <c r="B119" s="310"/>
      <c r="C119" s="159"/>
      <c r="D119" s="171"/>
      <c r="E119" s="11"/>
      <c r="F119" s="310"/>
      <c r="G119" s="159"/>
      <c r="H119" s="171"/>
      <c r="I119" s="11"/>
      <c r="J119" s="311"/>
      <c r="K119" s="236"/>
      <c r="L119" s="429"/>
      <c r="M119" s="11"/>
    </row>
    <row r="120" spans="1:14" x14ac:dyDescent="0.2">
      <c r="A120" s="21" t="s">
        <v>9</v>
      </c>
      <c r="B120" s="234"/>
      <c r="C120" s="145"/>
      <c r="D120" s="166"/>
      <c r="E120" s="27"/>
      <c r="F120" s="234"/>
      <c r="G120" s="145"/>
      <c r="H120" s="166"/>
      <c r="I120" s="27"/>
      <c r="J120" s="289"/>
      <c r="K120" s="44"/>
      <c r="L120" s="257"/>
      <c r="M120" s="27"/>
    </row>
    <row r="121" spans="1:14" x14ac:dyDescent="0.2">
      <c r="A121" s="21" t="s">
        <v>10</v>
      </c>
      <c r="B121" s="234"/>
      <c r="C121" s="145"/>
      <c r="D121" s="166"/>
      <c r="E121" s="27"/>
      <c r="F121" s="234"/>
      <c r="G121" s="145"/>
      <c r="H121" s="166"/>
      <c r="I121" s="27"/>
      <c r="J121" s="289"/>
      <c r="K121" s="44"/>
      <c r="L121" s="257"/>
      <c r="M121" s="27"/>
    </row>
    <row r="122" spans="1:14" x14ac:dyDescent="0.2">
      <c r="A122" s="21" t="s">
        <v>26</v>
      </c>
      <c r="B122" s="234"/>
      <c r="C122" s="145"/>
      <c r="D122" s="166"/>
      <c r="E122" s="27"/>
      <c r="F122" s="234"/>
      <c r="G122" s="145"/>
      <c r="H122" s="166"/>
      <c r="I122" s="27"/>
      <c r="J122" s="289"/>
      <c r="K122" s="44"/>
      <c r="L122" s="257"/>
      <c r="M122" s="27"/>
    </row>
    <row r="123" spans="1:14" x14ac:dyDescent="0.2">
      <c r="A123" s="298" t="s">
        <v>14</v>
      </c>
      <c r="B123" s="283"/>
      <c r="C123" s="283"/>
      <c r="D123" s="166"/>
      <c r="E123" s="418"/>
      <c r="F123" s="283"/>
      <c r="G123" s="283"/>
      <c r="H123" s="166"/>
      <c r="I123" s="418"/>
      <c r="J123" s="292"/>
      <c r="K123" s="292"/>
      <c r="L123" s="166"/>
      <c r="M123" s="23"/>
    </row>
    <row r="124" spans="1:14" ht="15.75" x14ac:dyDescent="0.2">
      <c r="A124" s="21" t="s">
        <v>472</v>
      </c>
      <c r="B124" s="234"/>
      <c r="C124" s="234"/>
      <c r="D124" s="166"/>
      <c r="E124" s="27"/>
      <c r="F124" s="234"/>
      <c r="G124" s="234"/>
      <c r="H124" s="166"/>
      <c r="I124" s="27"/>
      <c r="J124" s="289"/>
      <c r="K124" s="44"/>
      <c r="L124" s="257"/>
      <c r="M124" s="27"/>
    </row>
    <row r="125" spans="1:14" ht="15.75" x14ac:dyDescent="0.2">
      <c r="A125" s="21" t="s">
        <v>464</v>
      </c>
      <c r="B125" s="234"/>
      <c r="C125" s="234"/>
      <c r="D125" s="166"/>
      <c r="E125" s="27"/>
      <c r="F125" s="234"/>
      <c r="G125" s="234"/>
      <c r="H125" s="166"/>
      <c r="I125" s="27"/>
      <c r="J125" s="289"/>
      <c r="K125" s="44"/>
      <c r="L125" s="257"/>
      <c r="M125" s="27"/>
    </row>
    <row r="126" spans="1:14" ht="15.75" x14ac:dyDescent="0.2">
      <c r="A126" s="10" t="s">
        <v>465</v>
      </c>
      <c r="B126" s="45"/>
      <c r="C126" s="45"/>
      <c r="D126" s="167"/>
      <c r="E126" s="419"/>
      <c r="F126" s="45"/>
      <c r="G126" s="45"/>
      <c r="H126" s="167"/>
      <c r="I126" s="22"/>
      <c r="J126" s="290"/>
      <c r="K126" s="45"/>
      <c r="L126" s="258"/>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1022"/>
      <c r="C130" s="1022"/>
      <c r="D130" s="1022"/>
      <c r="E130" s="301"/>
      <c r="F130" s="1022"/>
      <c r="G130" s="1022"/>
      <c r="H130" s="1022"/>
      <c r="I130" s="301"/>
      <c r="J130" s="1022"/>
      <c r="K130" s="1022"/>
      <c r="L130" s="1022"/>
      <c r="M130" s="301"/>
    </row>
    <row r="131" spans="1:14" s="3" customFormat="1" x14ac:dyDescent="0.2">
      <c r="A131" s="144"/>
      <c r="B131" s="1023" t="s">
        <v>0</v>
      </c>
      <c r="C131" s="1024"/>
      <c r="D131" s="1024"/>
      <c r="E131" s="303"/>
      <c r="F131" s="1023" t="s">
        <v>1</v>
      </c>
      <c r="G131" s="1024"/>
      <c r="H131" s="1024"/>
      <c r="I131" s="306"/>
      <c r="J131" s="1023" t="s">
        <v>2</v>
      </c>
      <c r="K131" s="1024"/>
      <c r="L131" s="1024"/>
      <c r="M131" s="306"/>
      <c r="N131" s="148"/>
    </row>
    <row r="132" spans="1:14" s="3" customFormat="1" x14ac:dyDescent="0.2">
      <c r="A132" s="140"/>
      <c r="B132" s="152" t="s">
        <v>502</v>
      </c>
      <c r="C132" s="152" t="s">
        <v>503</v>
      </c>
      <c r="D132" s="245" t="s">
        <v>3</v>
      </c>
      <c r="E132" s="307" t="s">
        <v>29</v>
      </c>
      <c r="F132" s="152" t="s">
        <v>502</v>
      </c>
      <c r="G132" s="152" t="s">
        <v>503</v>
      </c>
      <c r="H132" s="206" t="s">
        <v>3</v>
      </c>
      <c r="I132" s="162" t="s">
        <v>29</v>
      </c>
      <c r="J132" s="152" t="s">
        <v>502</v>
      </c>
      <c r="K132" s="152" t="s">
        <v>503</v>
      </c>
      <c r="L132" s="246" t="s">
        <v>3</v>
      </c>
      <c r="M132" s="162" t="s">
        <v>29</v>
      </c>
      <c r="N132" s="148"/>
    </row>
    <row r="133" spans="1:14" s="3" customFormat="1" x14ac:dyDescent="0.2">
      <c r="A133" s="990"/>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468</v>
      </c>
      <c r="B134" s="236"/>
      <c r="C134" s="311"/>
      <c r="D134" s="351"/>
      <c r="E134" s="11"/>
      <c r="F134" s="318"/>
      <c r="G134" s="319"/>
      <c r="H134" s="432"/>
      <c r="I134" s="24"/>
      <c r="J134" s="320"/>
      <c r="K134" s="320"/>
      <c r="L134" s="428"/>
      <c r="M134" s="11"/>
      <c r="N134" s="148"/>
    </row>
    <row r="135" spans="1:14" s="3" customFormat="1" ht="15.75" x14ac:dyDescent="0.2">
      <c r="A135" s="13" t="s">
        <v>473</v>
      </c>
      <c r="B135" s="236"/>
      <c r="C135" s="311"/>
      <c r="D135" s="171"/>
      <c r="E135" s="11"/>
      <c r="F135" s="236"/>
      <c r="G135" s="311"/>
      <c r="H135" s="433"/>
      <c r="I135" s="24"/>
      <c r="J135" s="310"/>
      <c r="K135" s="310"/>
      <c r="L135" s="429"/>
      <c r="M135" s="11"/>
      <c r="N135" s="148"/>
    </row>
    <row r="136" spans="1:14" s="3" customFormat="1" ht="15.75" x14ac:dyDescent="0.2">
      <c r="A136" s="13" t="s">
        <v>470</v>
      </c>
      <c r="B136" s="236"/>
      <c r="C136" s="311"/>
      <c r="D136" s="171"/>
      <c r="E136" s="11"/>
      <c r="F136" s="236"/>
      <c r="G136" s="311"/>
      <c r="H136" s="433"/>
      <c r="I136" s="24"/>
      <c r="J136" s="310"/>
      <c r="K136" s="310"/>
      <c r="L136" s="429"/>
      <c r="M136" s="11"/>
      <c r="N136" s="148"/>
    </row>
    <row r="137" spans="1:14" s="3" customFormat="1" ht="15.75" x14ac:dyDescent="0.2">
      <c r="A137" s="41" t="s">
        <v>471</v>
      </c>
      <c r="B137" s="278"/>
      <c r="C137" s="317"/>
      <c r="D137" s="169"/>
      <c r="E137" s="9"/>
      <c r="F137" s="278"/>
      <c r="G137" s="317"/>
      <c r="H137" s="434"/>
      <c r="I137" s="36"/>
      <c r="J137" s="316"/>
      <c r="K137" s="316"/>
      <c r="L137" s="430"/>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797" priority="132">
      <formula>kvartal &lt; 4</formula>
    </cfRule>
  </conditionalFormatting>
  <conditionalFormatting sqref="B69">
    <cfRule type="expression" dxfId="1796" priority="100">
      <formula>kvartal &lt; 4</formula>
    </cfRule>
  </conditionalFormatting>
  <conditionalFormatting sqref="C69">
    <cfRule type="expression" dxfId="1795" priority="99">
      <formula>kvartal &lt; 4</formula>
    </cfRule>
  </conditionalFormatting>
  <conditionalFormatting sqref="B72">
    <cfRule type="expression" dxfId="1794" priority="98">
      <formula>kvartal &lt; 4</formula>
    </cfRule>
  </conditionalFormatting>
  <conditionalFormatting sqref="C72">
    <cfRule type="expression" dxfId="1793" priority="97">
      <formula>kvartal &lt; 4</formula>
    </cfRule>
  </conditionalFormatting>
  <conditionalFormatting sqref="B80">
    <cfRule type="expression" dxfId="1792" priority="96">
      <formula>kvartal &lt; 4</formula>
    </cfRule>
  </conditionalFormatting>
  <conditionalFormatting sqref="C80">
    <cfRule type="expression" dxfId="1791" priority="95">
      <formula>kvartal &lt; 4</formula>
    </cfRule>
  </conditionalFormatting>
  <conditionalFormatting sqref="B83">
    <cfRule type="expression" dxfId="1790" priority="94">
      <formula>kvartal &lt; 4</formula>
    </cfRule>
  </conditionalFormatting>
  <conditionalFormatting sqref="C83">
    <cfRule type="expression" dxfId="1789" priority="93">
      <formula>kvartal &lt; 4</formula>
    </cfRule>
  </conditionalFormatting>
  <conditionalFormatting sqref="B90">
    <cfRule type="expression" dxfId="1788" priority="84">
      <formula>kvartal &lt; 4</formula>
    </cfRule>
  </conditionalFormatting>
  <conditionalFormatting sqref="C90">
    <cfRule type="expression" dxfId="1787" priority="83">
      <formula>kvartal &lt; 4</formula>
    </cfRule>
  </conditionalFormatting>
  <conditionalFormatting sqref="B93">
    <cfRule type="expression" dxfId="1786" priority="82">
      <formula>kvartal &lt; 4</formula>
    </cfRule>
  </conditionalFormatting>
  <conditionalFormatting sqref="C93">
    <cfRule type="expression" dxfId="1785" priority="81">
      <formula>kvartal &lt; 4</formula>
    </cfRule>
  </conditionalFormatting>
  <conditionalFormatting sqref="B101">
    <cfRule type="expression" dxfId="1784" priority="80">
      <formula>kvartal &lt; 4</formula>
    </cfRule>
  </conditionalFormatting>
  <conditionalFormatting sqref="C101">
    <cfRule type="expression" dxfId="1783" priority="79">
      <formula>kvartal &lt; 4</formula>
    </cfRule>
  </conditionalFormatting>
  <conditionalFormatting sqref="B104">
    <cfRule type="expression" dxfId="1782" priority="78">
      <formula>kvartal &lt; 4</formula>
    </cfRule>
  </conditionalFormatting>
  <conditionalFormatting sqref="C104">
    <cfRule type="expression" dxfId="1781" priority="77">
      <formula>kvartal &lt; 4</formula>
    </cfRule>
  </conditionalFormatting>
  <conditionalFormatting sqref="B115">
    <cfRule type="expression" dxfId="1780" priority="76">
      <formula>kvartal &lt; 4</formula>
    </cfRule>
  </conditionalFormatting>
  <conditionalFormatting sqref="C115">
    <cfRule type="expression" dxfId="1779" priority="75">
      <formula>kvartal &lt; 4</formula>
    </cfRule>
  </conditionalFormatting>
  <conditionalFormatting sqref="B123">
    <cfRule type="expression" dxfId="1778" priority="74">
      <formula>kvartal &lt; 4</formula>
    </cfRule>
  </conditionalFormatting>
  <conditionalFormatting sqref="C123">
    <cfRule type="expression" dxfId="1777" priority="73">
      <formula>kvartal &lt; 4</formula>
    </cfRule>
  </conditionalFormatting>
  <conditionalFormatting sqref="F70">
    <cfRule type="expression" dxfId="1776" priority="72">
      <formula>kvartal &lt; 4</formula>
    </cfRule>
  </conditionalFormatting>
  <conditionalFormatting sqref="G70">
    <cfRule type="expression" dxfId="1775" priority="71">
      <formula>kvartal &lt; 4</formula>
    </cfRule>
  </conditionalFormatting>
  <conditionalFormatting sqref="F71:G71">
    <cfRule type="expression" dxfId="1774" priority="70">
      <formula>kvartal &lt; 4</formula>
    </cfRule>
  </conditionalFormatting>
  <conditionalFormatting sqref="F73:G74">
    <cfRule type="expression" dxfId="1773" priority="69">
      <formula>kvartal &lt; 4</formula>
    </cfRule>
  </conditionalFormatting>
  <conditionalFormatting sqref="F81:G82">
    <cfRule type="expression" dxfId="1772" priority="68">
      <formula>kvartal &lt; 4</formula>
    </cfRule>
  </conditionalFormatting>
  <conditionalFormatting sqref="F84:G85">
    <cfRule type="expression" dxfId="1771" priority="67">
      <formula>kvartal &lt; 4</formula>
    </cfRule>
  </conditionalFormatting>
  <conditionalFormatting sqref="F91:G92">
    <cfRule type="expression" dxfId="1770" priority="62">
      <formula>kvartal &lt; 4</formula>
    </cfRule>
  </conditionalFormatting>
  <conditionalFormatting sqref="F94:G95">
    <cfRule type="expression" dxfId="1769" priority="61">
      <formula>kvartal &lt; 4</formula>
    </cfRule>
  </conditionalFormatting>
  <conditionalFormatting sqref="F102:G103">
    <cfRule type="expression" dxfId="1768" priority="60">
      <formula>kvartal &lt; 4</formula>
    </cfRule>
  </conditionalFormatting>
  <conditionalFormatting sqref="F105:G106">
    <cfRule type="expression" dxfId="1767" priority="59">
      <formula>kvartal &lt; 4</formula>
    </cfRule>
  </conditionalFormatting>
  <conditionalFormatting sqref="F115">
    <cfRule type="expression" dxfId="1766" priority="58">
      <formula>kvartal &lt; 4</formula>
    </cfRule>
  </conditionalFormatting>
  <conditionalFormatting sqref="G115">
    <cfRule type="expression" dxfId="1765" priority="57">
      <formula>kvartal &lt; 4</formula>
    </cfRule>
  </conditionalFormatting>
  <conditionalFormatting sqref="F123:G123">
    <cfRule type="expression" dxfId="1764" priority="56">
      <formula>kvartal &lt; 4</formula>
    </cfRule>
  </conditionalFormatting>
  <conditionalFormatting sqref="F69:G69">
    <cfRule type="expression" dxfId="1763" priority="55">
      <formula>kvartal &lt; 4</formula>
    </cfRule>
  </conditionalFormatting>
  <conditionalFormatting sqref="F72:G72">
    <cfRule type="expression" dxfId="1762" priority="54">
      <formula>kvartal &lt; 4</formula>
    </cfRule>
  </conditionalFormatting>
  <conditionalFormatting sqref="F80:G80">
    <cfRule type="expression" dxfId="1761" priority="53">
      <formula>kvartal &lt; 4</formula>
    </cfRule>
  </conditionalFormatting>
  <conditionalFormatting sqref="F83:G83">
    <cfRule type="expression" dxfId="1760" priority="52">
      <formula>kvartal &lt; 4</formula>
    </cfRule>
  </conditionalFormatting>
  <conditionalFormatting sqref="F90:G90">
    <cfRule type="expression" dxfId="1759" priority="46">
      <formula>kvartal &lt; 4</formula>
    </cfRule>
  </conditionalFormatting>
  <conditionalFormatting sqref="F93">
    <cfRule type="expression" dxfId="1758" priority="45">
      <formula>kvartal &lt; 4</formula>
    </cfRule>
  </conditionalFormatting>
  <conditionalFormatting sqref="G93">
    <cfRule type="expression" dxfId="1757" priority="44">
      <formula>kvartal &lt; 4</formula>
    </cfRule>
  </conditionalFormatting>
  <conditionalFormatting sqref="F101">
    <cfRule type="expression" dxfId="1756" priority="43">
      <formula>kvartal &lt; 4</formula>
    </cfRule>
  </conditionalFormatting>
  <conditionalFormatting sqref="G101">
    <cfRule type="expression" dxfId="1755" priority="42">
      <formula>kvartal &lt; 4</formula>
    </cfRule>
  </conditionalFormatting>
  <conditionalFormatting sqref="G104">
    <cfRule type="expression" dxfId="1754" priority="41">
      <formula>kvartal &lt; 4</formula>
    </cfRule>
  </conditionalFormatting>
  <conditionalFormatting sqref="F104">
    <cfRule type="expression" dxfId="1753" priority="40">
      <formula>kvartal &lt; 4</formula>
    </cfRule>
  </conditionalFormatting>
  <conditionalFormatting sqref="J69:K73">
    <cfRule type="expression" dxfId="1752" priority="39">
      <formula>kvartal &lt; 4</formula>
    </cfRule>
  </conditionalFormatting>
  <conditionalFormatting sqref="J74:K74">
    <cfRule type="expression" dxfId="1751" priority="38">
      <formula>kvartal &lt; 4</formula>
    </cfRule>
  </conditionalFormatting>
  <conditionalFormatting sqref="J80:K85">
    <cfRule type="expression" dxfId="1750" priority="37">
      <formula>kvartal &lt; 4</formula>
    </cfRule>
  </conditionalFormatting>
  <conditionalFormatting sqref="J90:K95">
    <cfRule type="expression" dxfId="1749" priority="34">
      <formula>kvartal &lt; 4</formula>
    </cfRule>
  </conditionalFormatting>
  <conditionalFormatting sqref="J101:K106">
    <cfRule type="expression" dxfId="1748" priority="33">
      <formula>kvartal &lt; 4</formula>
    </cfRule>
  </conditionalFormatting>
  <conditionalFormatting sqref="J115:K115">
    <cfRule type="expression" dxfId="1747" priority="32">
      <formula>kvartal &lt; 4</formula>
    </cfRule>
  </conditionalFormatting>
  <conditionalFormatting sqref="J123:K123">
    <cfRule type="expression" dxfId="1746" priority="31">
      <formula>kvartal &lt; 4</formula>
    </cfRule>
  </conditionalFormatting>
  <conditionalFormatting sqref="A50:A52">
    <cfRule type="expression" dxfId="1745" priority="12">
      <formula>kvartal &lt; 4</formula>
    </cfRule>
  </conditionalFormatting>
  <conditionalFormatting sqref="A69:A74">
    <cfRule type="expression" dxfId="1744" priority="10">
      <formula>kvartal &lt; 4</formula>
    </cfRule>
  </conditionalFormatting>
  <conditionalFormatting sqref="A80:A85">
    <cfRule type="expression" dxfId="1743" priority="9">
      <formula>kvartal &lt; 4</formula>
    </cfRule>
  </conditionalFormatting>
  <conditionalFormatting sqref="A90:A95">
    <cfRule type="expression" dxfId="1742" priority="6">
      <formula>kvartal &lt; 4</formula>
    </cfRule>
  </conditionalFormatting>
  <conditionalFormatting sqref="A101:A106">
    <cfRule type="expression" dxfId="1741" priority="5">
      <formula>kvartal &lt; 4</formula>
    </cfRule>
  </conditionalFormatting>
  <conditionalFormatting sqref="A115">
    <cfRule type="expression" dxfId="1740" priority="4">
      <formula>kvartal &lt; 4</formula>
    </cfRule>
  </conditionalFormatting>
  <conditionalFormatting sqref="A123">
    <cfRule type="expression" dxfId="1739" priority="3">
      <formula>kvartal &lt; 4</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9"/>
  <dimension ref="A1:N144"/>
  <sheetViews>
    <sheetView showGridLines="0" zoomScale="120" zoomScaleNormal="120" workbookViewId="0"/>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133</v>
      </c>
      <c r="B1" s="988"/>
      <c r="C1" s="248" t="s">
        <v>127</v>
      </c>
      <c r="D1" s="26"/>
      <c r="E1" s="26"/>
      <c r="F1" s="26"/>
      <c r="G1" s="26"/>
      <c r="H1" s="26"/>
      <c r="I1" s="26"/>
      <c r="J1" s="26"/>
      <c r="K1" s="26"/>
      <c r="L1" s="26"/>
      <c r="M1" s="26"/>
    </row>
    <row r="2" spans="1:14" ht="15.75" x14ac:dyDescent="0.25">
      <c r="A2" s="165" t="s">
        <v>28</v>
      </c>
      <c r="B2" s="1027"/>
      <c r="C2" s="1027"/>
      <c r="D2" s="1027"/>
      <c r="E2" s="301"/>
      <c r="F2" s="1027"/>
      <c r="G2" s="1027"/>
      <c r="H2" s="1027"/>
      <c r="I2" s="301"/>
      <c r="J2" s="1027"/>
      <c r="K2" s="1027"/>
      <c r="L2" s="1027"/>
      <c r="M2" s="301"/>
    </row>
    <row r="3" spans="1:14" ht="15.75" x14ac:dyDescent="0.25">
      <c r="A3" s="163"/>
      <c r="B3" s="301"/>
      <c r="C3" s="301"/>
      <c r="D3" s="301"/>
      <c r="E3" s="301"/>
      <c r="F3" s="301"/>
      <c r="G3" s="301"/>
      <c r="H3" s="301"/>
      <c r="I3" s="301"/>
      <c r="J3" s="301"/>
      <c r="K3" s="301"/>
      <c r="L3" s="301"/>
      <c r="M3" s="301"/>
    </row>
    <row r="4" spans="1:14" x14ac:dyDescent="0.2">
      <c r="A4" s="144"/>
      <c r="B4" s="1023" t="s">
        <v>0</v>
      </c>
      <c r="C4" s="1024"/>
      <c r="D4" s="1024"/>
      <c r="E4" s="303"/>
      <c r="F4" s="1023" t="s">
        <v>1</v>
      </c>
      <c r="G4" s="1024"/>
      <c r="H4" s="1024"/>
      <c r="I4" s="306"/>
      <c r="J4" s="1023" t="s">
        <v>2</v>
      </c>
      <c r="K4" s="1024"/>
      <c r="L4" s="1024"/>
      <c r="M4" s="306"/>
    </row>
    <row r="5" spans="1:14" x14ac:dyDescent="0.2">
      <c r="A5" s="158"/>
      <c r="B5" s="152" t="s">
        <v>502</v>
      </c>
      <c r="C5" s="152" t="s">
        <v>503</v>
      </c>
      <c r="D5" s="245" t="s">
        <v>3</v>
      </c>
      <c r="E5" s="307" t="s">
        <v>29</v>
      </c>
      <c r="F5" s="152" t="s">
        <v>502</v>
      </c>
      <c r="G5" s="152" t="s">
        <v>503</v>
      </c>
      <c r="H5" s="245" t="s">
        <v>3</v>
      </c>
      <c r="I5" s="162" t="s">
        <v>29</v>
      </c>
      <c r="J5" s="152" t="s">
        <v>502</v>
      </c>
      <c r="K5" s="152" t="s">
        <v>503</v>
      </c>
      <c r="L5" s="245" t="s">
        <v>3</v>
      </c>
      <c r="M5" s="162" t="s">
        <v>29</v>
      </c>
    </row>
    <row r="6" spans="1:14" x14ac:dyDescent="0.2">
      <c r="A6" s="989"/>
      <c r="B6" s="156"/>
      <c r="C6" s="156"/>
      <c r="D6" s="246" t="s">
        <v>4</v>
      </c>
      <c r="E6" s="156" t="s">
        <v>30</v>
      </c>
      <c r="F6" s="161"/>
      <c r="G6" s="161"/>
      <c r="H6" s="245" t="s">
        <v>4</v>
      </c>
      <c r="I6" s="156" t="s">
        <v>30</v>
      </c>
      <c r="J6" s="161"/>
      <c r="K6" s="161"/>
      <c r="L6" s="245" t="s">
        <v>4</v>
      </c>
      <c r="M6" s="156" t="s">
        <v>30</v>
      </c>
    </row>
    <row r="7" spans="1:14" ht="15.75" x14ac:dyDescent="0.2">
      <c r="A7" s="14" t="s">
        <v>23</v>
      </c>
      <c r="B7" s="308">
        <v>352432.087</v>
      </c>
      <c r="C7" s="309">
        <v>381001.17330438498</v>
      </c>
      <c r="D7" s="351">
        <f>IF(B7=0, "    ---- ", IF(ABS(ROUND(100/B7*C7-100,1))&lt;999,ROUND(100/B7*C7-100,1),IF(ROUND(100/B7*C7-100,1)&gt;999,999,-999)))</f>
        <v>8.1</v>
      </c>
      <c r="E7" s="11">
        <f>IFERROR(100/'Skjema total MA'!C7*C7,0)</f>
        <v>8.0138431497017617</v>
      </c>
      <c r="F7" s="308"/>
      <c r="G7" s="309"/>
      <c r="H7" s="351"/>
      <c r="I7" s="160"/>
      <c r="J7" s="310">
        <f t="shared" ref="J7:K10" si="0">SUM(B7,F7)</f>
        <v>352432.087</v>
      </c>
      <c r="K7" s="311">
        <f t="shared" si="0"/>
        <v>381001.17330438498</v>
      </c>
      <c r="L7" s="428">
        <f>IF(J7=0, "    ---- ", IF(ABS(ROUND(100/J7*K7-100,1))&lt;999,ROUND(100/J7*K7-100,1),IF(ROUND(100/J7*K7-100,1)&gt;999,999,-999)))</f>
        <v>8.1</v>
      </c>
      <c r="M7" s="11">
        <f>IFERROR(100/'Skjema total MA'!I7*K7,0)</f>
        <v>2.5307472912823523</v>
      </c>
    </row>
    <row r="8" spans="1:14" ht="15.75" x14ac:dyDescent="0.2">
      <c r="A8" s="21" t="s">
        <v>25</v>
      </c>
      <c r="B8" s="283">
        <v>235552.10399999999</v>
      </c>
      <c r="C8" s="284">
        <v>261650.34432729101</v>
      </c>
      <c r="D8" s="166">
        <f t="shared" ref="D8:D10" si="1">IF(B8=0, "    ---- ", IF(ABS(ROUND(100/B8*C8-100,1))&lt;999,ROUND(100/B8*C8-100,1),IF(ROUND(100/B8*C8-100,1)&gt;999,999,-999)))</f>
        <v>11.1</v>
      </c>
      <c r="E8" s="27">
        <f>IFERROR(100/'Skjema total MA'!C8*C8,0)</f>
        <v>8.4327462881211979</v>
      </c>
      <c r="F8" s="287"/>
      <c r="G8" s="288"/>
      <c r="H8" s="166"/>
      <c r="I8" s="175"/>
      <c r="J8" s="234">
        <f t="shared" si="0"/>
        <v>235552.10399999999</v>
      </c>
      <c r="K8" s="289">
        <f t="shared" si="0"/>
        <v>261650.34432729101</v>
      </c>
      <c r="L8" s="166">
        <f t="shared" ref="L8:L9" si="2">IF(J8=0, "    ---- ", IF(ABS(ROUND(100/J8*K8-100,1))&lt;999,ROUND(100/J8*K8-100,1),IF(ROUND(100/J8*K8-100,1)&gt;999,999,-999)))</f>
        <v>11.1</v>
      </c>
      <c r="M8" s="27">
        <f>IFERROR(100/'Skjema total MA'!I8*K8,0)</f>
        <v>8.4327462881211979</v>
      </c>
    </row>
    <row r="9" spans="1:14" ht="15.75" x14ac:dyDescent="0.2">
      <c r="A9" s="21" t="s">
        <v>24</v>
      </c>
      <c r="B9" s="283">
        <v>116879.98299999999</v>
      </c>
      <c r="C9" s="284">
        <v>119350.828977094</v>
      </c>
      <c r="D9" s="166">
        <f t="shared" si="1"/>
        <v>2.1</v>
      </c>
      <c r="E9" s="27">
        <f>IFERROR(100/'Skjema total MA'!C9*C9,0)</f>
        <v>12.586719034471528</v>
      </c>
      <c r="F9" s="287"/>
      <c r="G9" s="288"/>
      <c r="H9" s="166"/>
      <c r="I9" s="175"/>
      <c r="J9" s="234">
        <f t="shared" si="0"/>
        <v>116879.98299999999</v>
      </c>
      <c r="K9" s="289">
        <f t="shared" si="0"/>
        <v>119350.828977094</v>
      </c>
      <c r="L9" s="166">
        <f t="shared" si="2"/>
        <v>2.1</v>
      </c>
      <c r="M9" s="27">
        <f>IFERROR(100/'Skjema total MA'!I9*K9,0)</f>
        <v>12.586719034471528</v>
      </c>
    </row>
    <row r="10" spans="1:14" ht="15.75" x14ac:dyDescent="0.2">
      <c r="A10" s="13" t="s">
        <v>444</v>
      </c>
      <c r="B10" s="312">
        <v>512717.34090000001</v>
      </c>
      <c r="C10" s="313">
        <v>513146.81849719601</v>
      </c>
      <c r="D10" s="171">
        <f t="shared" si="1"/>
        <v>0.1</v>
      </c>
      <c r="E10" s="11">
        <f>IFERROR(100/'Skjema total MA'!C10*C10,0)</f>
        <v>2.6010489427619929</v>
      </c>
      <c r="F10" s="312"/>
      <c r="G10" s="313"/>
      <c r="H10" s="171"/>
      <c r="I10" s="160"/>
      <c r="J10" s="310">
        <f t="shared" si="0"/>
        <v>512717.34090000001</v>
      </c>
      <c r="K10" s="311">
        <f t="shared" si="0"/>
        <v>513146.81849719601</v>
      </c>
      <c r="L10" s="429">
        <f t="shared" ref="L10" si="3">IF(J10=0, "    ---- ", IF(ABS(ROUND(100/J10*K10-100,1))&lt;999,ROUND(100/J10*K10-100,1),IF(ROUND(100/J10*K10-100,1)&gt;999,999,-999)))</f>
        <v>0.1</v>
      </c>
      <c r="M10" s="11">
        <f>IFERROR(100/'Skjema total MA'!I10*K10,0)</f>
        <v>0.63808482776868836</v>
      </c>
    </row>
    <row r="11" spans="1:14" s="43" customFormat="1" ht="15.75" x14ac:dyDescent="0.2">
      <c r="A11" s="13" t="s">
        <v>445</v>
      </c>
      <c r="B11" s="312"/>
      <c r="C11" s="313"/>
      <c r="D11" s="171"/>
      <c r="E11" s="11"/>
      <c r="F11" s="312"/>
      <c r="G11" s="313"/>
      <c r="H11" s="171"/>
      <c r="I11" s="160"/>
      <c r="J11" s="310"/>
      <c r="K11" s="311"/>
      <c r="L11" s="429"/>
      <c r="M11" s="11"/>
      <c r="N11" s="143"/>
    </row>
    <row r="12" spans="1:14" s="43" customFormat="1" ht="15.75" x14ac:dyDescent="0.2">
      <c r="A12" s="41" t="s">
        <v>446</v>
      </c>
      <c r="B12" s="314"/>
      <c r="C12" s="315"/>
      <c r="D12" s="169"/>
      <c r="E12" s="36"/>
      <c r="F12" s="314"/>
      <c r="G12" s="315"/>
      <c r="H12" s="169"/>
      <c r="I12" s="169"/>
      <c r="J12" s="316"/>
      <c r="K12" s="317"/>
      <c r="L12" s="430"/>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1022"/>
      <c r="C18" s="1022"/>
      <c r="D18" s="1022"/>
      <c r="E18" s="301"/>
      <c r="F18" s="1022"/>
      <c r="G18" s="1022"/>
      <c r="H18" s="1022"/>
      <c r="I18" s="301"/>
      <c r="J18" s="1022"/>
      <c r="K18" s="1022"/>
      <c r="L18" s="1022"/>
      <c r="M18" s="301"/>
    </row>
    <row r="19" spans="1:14" x14ac:dyDescent="0.2">
      <c r="A19" s="144"/>
      <c r="B19" s="1023" t="s">
        <v>0</v>
      </c>
      <c r="C19" s="1024"/>
      <c r="D19" s="1024"/>
      <c r="E19" s="303"/>
      <c r="F19" s="1023" t="s">
        <v>1</v>
      </c>
      <c r="G19" s="1024"/>
      <c r="H19" s="1024"/>
      <c r="I19" s="306"/>
      <c r="J19" s="1023" t="s">
        <v>2</v>
      </c>
      <c r="K19" s="1024"/>
      <c r="L19" s="1024"/>
      <c r="M19" s="306"/>
    </row>
    <row r="20" spans="1:14" x14ac:dyDescent="0.2">
      <c r="A20" s="140" t="s">
        <v>5</v>
      </c>
      <c r="B20" s="152" t="s">
        <v>502</v>
      </c>
      <c r="C20" s="152" t="s">
        <v>503</v>
      </c>
      <c r="D20" s="162" t="s">
        <v>3</v>
      </c>
      <c r="E20" s="307" t="s">
        <v>29</v>
      </c>
      <c r="F20" s="152" t="s">
        <v>502</v>
      </c>
      <c r="G20" s="152" t="s">
        <v>503</v>
      </c>
      <c r="H20" s="162" t="s">
        <v>3</v>
      </c>
      <c r="I20" s="162" t="s">
        <v>29</v>
      </c>
      <c r="J20" s="152" t="s">
        <v>502</v>
      </c>
      <c r="K20" s="152" t="s">
        <v>503</v>
      </c>
      <c r="L20" s="162" t="s">
        <v>3</v>
      </c>
      <c r="M20" s="162" t="s">
        <v>29</v>
      </c>
    </row>
    <row r="21" spans="1:14" x14ac:dyDescent="0.2">
      <c r="A21" s="990"/>
      <c r="B21" s="156"/>
      <c r="C21" s="156"/>
      <c r="D21" s="246" t="s">
        <v>4</v>
      </c>
      <c r="E21" s="156" t="s">
        <v>30</v>
      </c>
      <c r="F21" s="161"/>
      <c r="G21" s="161"/>
      <c r="H21" s="245" t="s">
        <v>4</v>
      </c>
      <c r="I21" s="156" t="s">
        <v>30</v>
      </c>
      <c r="J21" s="161"/>
      <c r="K21" s="161"/>
      <c r="L21" s="156" t="s">
        <v>4</v>
      </c>
      <c r="M21" s="156" t="s">
        <v>30</v>
      </c>
    </row>
    <row r="22" spans="1:14" ht="15.75" x14ac:dyDescent="0.2">
      <c r="A22" s="14" t="s">
        <v>23</v>
      </c>
      <c r="B22" s="312"/>
      <c r="C22" s="312"/>
      <c r="D22" s="351"/>
      <c r="E22" s="11"/>
      <c r="F22" s="320"/>
      <c r="G22" s="320"/>
      <c r="H22" s="351"/>
      <c r="I22" s="11"/>
      <c r="J22" s="318"/>
      <c r="K22" s="318"/>
      <c r="L22" s="428"/>
      <c r="M22" s="24"/>
    </row>
    <row r="23" spans="1:14" ht="15.75" x14ac:dyDescent="0.2">
      <c r="A23" s="811" t="s">
        <v>447</v>
      </c>
      <c r="B23" s="283"/>
      <c r="C23" s="283"/>
      <c r="D23" s="166"/>
      <c r="E23" s="11"/>
      <c r="F23" s="292"/>
      <c r="G23" s="292"/>
      <c r="H23" s="166"/>
      <c r="I23" s="418"/>
      <c r="J23" s="292"/>
      <c r="K23" s="292"/>
      <c r="L23" s="166"/>
      <c r="M23" s="23"/>
    </row>
    <row r="24" spans="1:14" ht="15.75" x14ac:dyDescent="0.2">
      <c r="A24" s="811" t="s">
        <v>448</v>
      </c>
      <c r="B24" s="283"/>
      <c r="C24" s="283"/>
      <c r="D24" s="166"/>
      <c r="E24" s="11"/>
      <c r="F24" s="292"/>
      <c r="G24" s="292"/>
      <c r="H24" s="166"/>
      <c r="I24" s="418"/>
      <c r="J24" s="292"/>
      <c r="K24" s="292"/>
      <c r="L24" s="166"/>
      <c r="M24" s="23"/>
    </row>
    <row r="25" spans="1:14" ht="15.75" x14ac:dyDescent="0.2">
      <c r="A25" s="811" t="s">
        <v>449</v>
      </c>
      <c r="B25" s="283"/>
      <c r="C25" s="283"/>
      <c r="D25" s="166"/>
      <c r="E25" s="11"/>
      <c r="F25" s="292"/>
      <c r="G25" s="292"/>
      <c r="H25" s="166"/>
      <c r="I25" s="418"/>
      <c r="J25" s="292"/>
      <c r="K25" s="292"/>
      <c r="L25" s="166"/>
      <c r="M25" s="23"/>
    </row>
    <row r="26" spans="1:14" ht="15.75" x14ac:dyDescent="0.2">
      <c r="A26" s="811" t="s">
        <v>450</v>
      </c>
      <c r="B26" s="283"/>
      <c r="C26" s="283"/>
      <c r="D26" s="166"/>
      <c r="E26" s="11"/>
      <c r="F26" s="292"/>
      <c r="G26" s="292"/>
      <c r="H26" s="166"/>
      <c r="I26" s="418"/>
      <c r="J26" s="292"/>
      <c r="K26" s="292"/>
      <c r="L26" s="166"/>
      <c r="M26" s="23"/>
    </row>
    <row r="27" spans="1:14" x14ac:dyDescent="0.2">
      <c r="A27" s="811" t="s">
        <v>11</v>
      </c>
      <c r="B27" s="283"/>
      <c r="C27" s="283"/>
      <c r="D27" s="166"/>
      <c r="E27" s="11"/>
      <c r="F27" s="292"/>
      <c r="G27" s="292"/>
      <c r="H27" s="166"/>
      <c r="I27" s="418"/>
      <c r="J27" s="292"/>
      <c r="K27" s="292"/>
      <c r="L27" s="166"/>
      <c r="M27" s="23"/>
    </row>
    <row r="28" spans="1:14" ht="15.75" x14ac:dyDescent="0.2">
      <c r="A28" s="49" t="s">
        <v>272</v>
      </c>
      <c r="B28" s="44">
        <v>158541.239</v>
      </c>
      <c r="C28" s="289">
        <v>186503.16401361101</v>
      </c>
      <c r="D28" s="166">
        <f t="shared" ref="D28" si="4">IF(B28=0, "    ---- ", IF(ABS(ROUND(100/B28*C28-100,1))&lt;999,ROUND(100/B28*C28-100,1),IF(ROUND(100/B28*C28-100,1)&gt;999,999,-999)))</f>
        <v>17.600000000000001</v>
      </c>
      <c r="E28" s="11">
        <f>IFERROR(100/'Skjema total MA'!C28*C28,0)</f>
        <v>9.7831056295425203</v>
      </c>
      <c r="F28" s="234"/>
      <c r="G28" s="289"/>
      <c r="H28" s="166"/>
      <c r="I28" s="27"/>
      <c r="J28" s="44">
        <f t="shared" ref="J28:K28" si="5">SUM(B28,F28)</f>
        <v>158541.239</v>
      </c>
      <c r="K28" s="44">
        <f t="shared" si="5"/>
        <v>186503.16401361101</v>
      </c>
      <c r="L28" s="257">
        <f t="shared" ref="L28" si="6">IF(J28=0, "    ---- ", IF(ABS(ROUND(100/J28*K28-100,1))&lt;999,ROUND(100/J28*K28-100,1),IF(ROUND(100/J28*K28-100,1)&gt;999,999,-999)))</f>
        <v>17.600000000000001</v>
      </c>
      <c r="M28" s="23">
        <f>IFERROR(100/'Skjema total MA'!I28*K28,0)</f>
        <v>9.7831056295425203</v>
      </c>
    </row>
    <row r="29" spans="1:14" s="3" customFormat="1" ht="15.75" x14ac:dyDescent="0.2">
      <c r="A29" s="13" t="s">
        <v>444</v>
      </c>
      <c r="B29" s="236"/>
      <c r="C29" s="236"/>
      <c r="D29" s="171"/>
      <c r="E29" s="11"/>
      <c r="F29" s="310"/>
      <c r="G29" s="310"/>
      <c r="H29" s="171"/>
      <c r="I29" s="11"/>
      <c r="J29" s="236"/>
      <c r="K29" s="236"/>
      <c r="L29" s="429"/>
      <c r="M29" s="24"/>
      <c r="N29" s="148"/>
    </row>
    <row r="30" spans="1:14" s="3" customFormat="1" ht="15.75" x14ac:dyDescent="0.2">
      <c r="A30" s="811" t="s">
        <v>447</v>
      </c>
      <c r="B30" s="283"/>
      <c r="C30" s="283"/>
      <c r="D30" s="166"/>
      <c r="E30" s="11"/>
      <c r="F30" s="292"/>
      <c r="G30" s="292"/>
      <c r="H30" s="166"/>
      <c r="I30" s="418"/>
      <c r="J30" s="292"/>
      <c r="K30" s="292"/>
      <c r="L30" s="166"/>
      <c r="M30" s="23"/>
      <c r="N30" s="148"/>
    </row>
    <row r="31" spans="1:14" s="3" customFormat="1" ht="15.75" x14ac:dyDescent="0.2">
      <c r="A31" s="811" t="s">
        <v>448</v>
      </c>
      <c r="B31" s="283"/>
      <c r="C31" s="283"/>
      <c r="D31" s="166"/>
      <c r="E31" s="11"/>
      <c r="F31" s="292"/>
      <c r="G31" s="292"/>
      <c r="H31" s="166"/>
      <c r="I31" s="418"/>
      <c r="J31" s="292"/>
      <c r="K31" s="292"/>
      <c r="L31" s="166"/>
      <c r="M31" s="23"/>
      <c r="N31" s="148"/>
    </row>
    <row r="32" spans="1:14" ht="15.75" x14ac:dyDescent="0.2">
      <c r="A32" s="811" t="s">
        <v>449</v>
      </c>
      <c r="B32" s="283"/>
      <c r="C32" s="283"/>
      <c r="D32" s="166"/>
      <c r="E32" s="11"/>
      <c r="F32" s="292"/>
      <c r="G32" s="292"/>
      <c r="H32" s="166"/>
      <c r="I32" s="418"/>
      <c r="J32" s="292"/>
      <c r="K32" s="292"/>
      <c r="L32" s="166"/>
      <c r="M32" s="23"/>
    </row>
    <row r="33" spans="1:14" ht="15.75" x14ac:dyDescent="0.2">
      <c r="A33" s="811" t="s">
        <v>450</v>
      </c>
      <c r="B33" s="283"/>
      <c r="C33" s="283"/>
      <c r="D33" s="166"/>
      <c r="E33" s="11"/>
      <c r="F33" s="292"/>
      <c r="G33" s="292"/>
      <c r="H33" s="166"/>
      <c r="I33" s="418"/>
      <c r="J33" s="292"/>
      <c r="K33" s="292"/>
      <c r="L33" s="166"/>
      <c r="M33" s="23"/>
    </row>
    <row r="34" spans="1:14" ht="15.75" x14ac:dyDescent="0.2">
      <c r="A34" s="13" t="s">
        <v>445</v>
      </c>
      <c r="B34" s="236"/>
      <c r="C34" s="311"/>
      <c r="D34" s="171"/>
      <c r="E34" s="11"/>
      <c r="F34" s="310"/>
      <c r="G34" s="311"/>
      <c r="H34" s="171"/>
      <c r="I34" s="11"/>
      <c r="J34" s="236"/>
      <c r="K34" s="236"/>
      <c r="L34" s="429"/>
      <c r="M34" s="24"/>
    </row>
    <row r="35" spans="1:14" ht="15.75" x14ac:dyDescent="0.2">
      <c r="A35" s="13" t="s">
        <v>446</v>
      </c>
      <c r="B35" s="236"/>
      <c r="C35" s="311"/>
      <c r="D35" s="171"/>
      <c r="E35" s="11"/>
      <c r="F35" s="310"/>
      <c r="G35" s="311"/>
      <c r="H35" s="171"/>
      <c r="I35" s="11"/>
      <c r="J35" s="236"/>
      <c r="K35" s="236"/>
      <c r="L35" s="429"/>
      <c r="M35" s="24"/>
    </row>
    <row r="36" spans="1:14" ht="15.75" x14ac:dyDescent="0.2">
      <c r="A36" s="12" t="s">
        <v>280</v>
      </c>
      <c r="B36" s="236"/>
      <c r="C36" s="311"/>
      <c r="D36" s="171"/>
      <c r="E36" s="11"/>
      <c r="F36" s="321"/>
      <c r="G36" s="322"/>
      <c r="H36" s="171"/>
      <c r="I36" s="435"/>
      <c r="J36" s="236"/>
      <c r="K36" s="236"/>
      <c r="L36" s="429"/>
      <c r="M36" s="24"/>
    </row>
    <row r="37" spans="1:14" ht="15.75" x14ac:dyDescent="0.2">
      <c r="A37" s="12" t="s">
        <v>452</v>
      </c>
      <c r="B37" s="236"/>
      <c r="C37" s="311"/>
      <c r="D37" s="171"/>
      <c r="E37" s="11"/>
      <c r="F37" s="321"/>
      <c r="G37" s="323"/>
      <c r="H37" s="171"/>
      <c r="I37" s="435"/>
      <c r="J37" s="236"/>
      <c r="K37" s="236"/>
      <c r="L37" s="429"/>
      <c r="M37" s="24"/>
    </row>
    <row r="38" spans="1:14" ht="15.75" x14ac:dyDescent="0.2">
      <c r="A38" s="12" t="s">
        <v>453</v>
      </c>
      <c r="B38" s="236"/>
      <c r="C38" s="311"/>
      <c r="D38" s="171"/>
      <c r="E38" s="24"/>
      <c r="F38" s="321"/>
      <c r="G38" s="322"/>
      <c r="H38" s="171"/>
      <c r="I38" s="435"/>
      <c r="J38" s="236"/>
      <c r="K38" s="236"/>
      <c r="L38" s="429"/>
      <c r="M38" s="24"/>
    </row>
    <row r="39" spans="1:14" ht="15.75" x14ac:dyDescent="0.2">
      <c r="A39" s="18" t="s">
        <v>454</v>
      </c>
      <c r="B39" s="278"/>
      <c r="C39" s="317"/>
      <c r="D39" s="169"/>
      <c r="E39" s="36"/>
      <c r="F39" s="324"/>
      <c r="G39" s="325"/>
      <c r="H39" s="169"/>
      <c r="I39" s="36"/>
      <c r="J39" s="236"/>
      <c r="K39" s="236"/>
      <c r="L39" s="430"/>
      <c r="M39" s="36"/>
    </row>
    <row r="40" spans="1:14" ht="15.75" x14ac:dyDescent="0.25">
      <c r="A40" s="47"/>
      <c r="B40" s="256"/>
      <c r="C40" s="256"/>
      <c r="D40" s="1026"/>
      <c r="E40" s="1026"/>
      <c r="F40" s="1026"/>
      <c r="G40" s="1026"/>
      <c r="H40" s="1026"/>
      <c r="I40" s="1026"/>
      <c r="J40" s="1026"/>
      <c r="K40" s="1026"/>
      <c r="L40" s="1026"/>
      <c r="M40" s="304"/>
    </row>
    <row r="41" spans="1:14" x14ac:dyDescent="0.2">
      <c r="A41" s="155"/>
    </row>
    <row r="42" spans="1:14" ht="15.75" x14ac:dyDescent="0.25">
      <c r="A42" s="147" t="s">
        <v>269</v>
      </c>
      <c r="B42" s="1027"/>
      <c r="C42" s="1027"/>
      <c r="D42" s="1027"/>
      <c r="E42" s="301"/>
      <c r="F42" s="1028"/>
      <c r="G42" s="1028"/>
      <c r="H42" s="1028"/>
      <c r="I42" s="304"/>
      <c r="J42" s="1028"/>
      <c r="K42" s="1028"/>
      <c r="L42" s="1028"/>
      <c r="M42" s="304"/>
    </row>
    <row r="43" spans="1:14" ht="15.75" x14ac:dyDescent="0.25">
      <c r="A43" s="163"/>
      <c r="B43" s="305"/>
      <c r="C43" s="305"/>
      <c r="D43" s="305"/>
      <c r="E43" s="305"/>
      <c r="F43" s="304"/>
      <c r="G43" s="304"/>
      <c r="H43" s="304"/>
      <c r="I43" s="304"/>
      <c r="J43" s="304"/>
      <c r="K43" s="304"/>
      <c r="L43" s="304"/>
      <c r="M43" s="304"/>
    </row>
    <row r="44" spans="1:14" ht="15.75" x14ac:dyDescent="0.25">
      <c r="A44" s="247"/>
      <c r="B44" s="1023" t="s">
        <v>0</v>
      </c>
      <c r="C44" s="1024"/>
      <c r="D44" s="1024"/>
      <c r="E44" s="243"/>
      <c r="F44" s="304"/>
      <c r="G44" s="304"/>
      <c r="H44" s="304"/>
      <c r="I44" s="304"/>
      <c r="J44" s="304"/>
      <c r="K44" s="304"/>
      <c r="L44" s="304"/>
      <c r="M44" s="304"/>
    </row>
    <row r="45" spans="1:14" s="3" customFormat="1" x14ac:dyDescent="0.2">
      <c r="A45" s="140"/>
      <c r="B45" s="152" t="s">
        <v>502</v>
      </c>
      <c r="C45" s="152" t="s">
        <v>503</v>
      </c>
      <c r="D45" s="162" t="s">
        <v>3</v>
      </c>
      <c r="E45" s="162" t="s">
        <v>29</v>
      </c>
      <c r="F45" s="174"/>
      <c r="G45" s="174"/>
      <c r="H45" s="173"/>
      <c r="I45" s="173"/>
      <c r="J45" s="174"/>
      <c r="K45" s="174"/>
      <c r="L45" s="173"/>
      <c r="M45" s="173"/>
      <c r="N45" s="148"/>
    </row>
    <row r="46" spans="1:14" s="3" customFormat="1" x14ac:dyDescent="0.2">
      <c r="A46" s="990"/>
      <c r="B46" s="244"/>
      <c r="C46" s="244"/>
      <c r="D46" s="245" t="s">
        <v>4</v>
      </c>
      <c r="E46" s="156" t="s">
        <v>30</v>
      </c>
      <c r="F46" s="173"/>
      <c r="G46" s="173"/>
      <c r="H46" s="173"/>
      <c r="I46" s="173"/>
      <c r="J46" s="173"/>
      <c r="K46" s="173"/>
      <c r="L46" s="173"/>
      <c r="M46" s="173"/>
      <c r="N46" s="148"/>
    </row>
    <row r="47" spans="1:14" s="3" customFormat="1" ht="15.75" x14ac:dyDescent="0.2">
      <c r="A47" s="14" t="s">
        <v>23</v>
      </c>
      <c r="B47" s="312">
        <v>120398.47166</v>
      </c>
      <c r="C47" s="313">
        <v>127487.56471999999</v>
      </c>
      <c r="D47" s="428">
        <f t="shared" ref="D47:D57" si="7">IF(B47=0, "    ---- ", IF(ABS(ROUND(100/B47*C47-100,1))&lt;999,ROUND(100/B47*C47-100,1),IF(ROUND(100/B47*C47-100,1)&gt;999,999,-999)))</f>
        <v>5.9</v>
      </c>
      <c r="E47" s="11">
        <f>IFERROR(100/'Skjema total MA'!C47*C47,0)</f>
        <v>2.6687364213306437</v>
      </c>
      <c r="F47" s="145"/>
      <c r="G47" s="33"/>
      <c r="H47" s="159"/>
      <c r="I47" s="159"/>
      <c r="J47" s="37"/>
      <c r="K47" s="37"/>
      <c r="L47" s="159"/>
      <c r="M47" s="159"/>
      <c r="N47" s="148"/>
    </row>
    <row r="48" spans="1:14" s="3" customFormat="1" ht="15.75" x14ac:dyDescent="0.2">
      <c r="A48" s="38" t="s">
        <v>455</v>
      </c>
      <c r="B48" s="283">
        <v>120398.47166</v>
      </c>
      <c r="C48" s="284">
        <v>127487.56471999999</v>
      </c>
      <c r="D48" s="257">
        <f t="shared" si="7"/>
        <v>5.9</v>
      </c>
      <c r="E48" s="27">
        <f>IFERROR(100/'Skjema total MA'!C48*C48,0)</f>
        <v>4.7848934211286789</v>
      </c>
      <c r="F48" s="145"/>
      <c r="G48" s="33"/>
      <c r="H48" s="145"/>
      <c r="I48" s="145"/>
      <c r="J48" s="33"/>
      <c r="K48" s="33"/>
      <c r="L48" s="159"/>
      <c r="M48" s="159"/>
      <c r="N48" s="148"/>
    </row>
    <row r="49" spans="1:14" s="3" customFormat="1" ht="15.75" x14ac:dyDescent="0.2">
      <c r="A49" s="38" t="s">
        <v>456</v>
      </c>
      <c r="B49" s="44"/>
      <c r="C49" s="289"/>
      <c r="D49" s="257"/>
      <c r="E49" s="27"/>
      <c r="F49" s="145"/>
      <c r="G49" s="33"/>
      <c r="H49" s="145"/>
      <c r="I49" s="145"/>
      <c r="J49" s="37"/>
      <c r="K49" s="37"/>
      <c r="L49" s="159"/>
      <c r="M49" s="159"/>
      <c r="N49" s="148"/>
    </row>
    <row r="50" spans="1:14" s="3" customFormat="1" x14ac:dyDescent="0.2">
      <c r="A50" s="298" t="s">
        <v>6</v>
      </c>
      <c r="B50" s="292"/>
      <c r="C50" s="293"/>
      <c r="D50" s="257"/>
      <c r="E50" s="23"/>
      <c r="F50" s="145"/>
      <c r="G50" s="33"/>
      <c r="H50" s="145"/>
      <c r="I50" s="145"/>
      <c r="J50" s="33"/>
      <c r="K50" s="33"/>
      <c r="L50" s="159"/>
      <c r="M50" s="159"/>
      <c r="N50" s="148"/>
    </row>
    <row r="51" spans="1:14" s="3" customFormat="1" x14ac:dyDescent="0.2">
      <c r="A51" s="298" t="s">
        <v>7</v>
      </c>
      <c r="B51" s="292"/>
      <c r="C51" s="293"/>
      <c r="D51" s="257"/>
      <c r="E51" s="23"/>
      <c r="F51" s="145"/>
      <c r="G51" s="33"/>
      <c r="H51" s="145"/>
      <c r="I51" s="145"/>
      <c r="J51" s="33"/>
      <c r="K51" s="33"/>
      <c r="L51" s="159"/>
      <c r="M51" s="159"/>
      <c r="N51" s="148"/>
    </row>
    <row r="52" spans="1:14" s="3" customFormat="1" x14ac:dyDescent="0.2">
      <c r="A52" s="298" t="s">
        <v>8</v>
      </c>
      <c r="B52" s="292"/>
      <c r="C52" s="293"/>
      <c r="D52" s="257"/>
      <c r="E52" s="23"/>
      <c r="F52" s="145"/>
      <c r="G52" s="33"/>
      <c r="H52" s="145"/>
      <c r="I52" s="145"/>
      <c r="J52" s="33"/>
      <c r="K52" s="33"/>
      <c r="L52" s="159"/>
      <c r="M52" s="159"/>
      <c r="N52" s="148"/>
    </row>
    <row r="53" spans="1:14" s="3" customFormat="1" ht="15.75" x14ac:dyDescent="0.2">
      <c r="A53" s="39" t="s">
        <v>457</v>
      </c>
      <c r="B53" s="312">
        <v>3148.8780000000002</v>
      </c>
      <c r="C53" s="313">
        <v>2624.6518760218</v>
      </c>
      <c r="D53" s="429">
        <f t="shared" si="7"/>
        <v>-16.600000000000001</v>
      </c>
      <c r="E53" s="11">
        <f>IFERROR(100/'Skjema total MA'!C53*C53,0)</f>
        <v>1.6038592407293903</v>
      </c>
      <c r="F53" s="145"/>
      <c r="G53" s="33"/>
      <c r="H53" s="145"/>
      <c r="I53" s="145"/>
      <c r="J53" s="33"/>
      <c r="K53" s="33"/>
      <c r="L53" s="159"/>
      <c r="M53" s="159"/>
      <c r="N53" s="148"/>
    </row>
    <row r="54" spans="1:14" s="3" customFormat="1" ht="15.75" x14ac:dyDescent="0.2">
      <c r="A54" s="38" t="s">
        <v>455</v>
      </c>
      <c r="B54" s="283">
        <v>3148.8780000000002</v>
      </c>
      <c r="C54" s="284">
        <v>2624.6518760218</v>
      </c>
      <c r="D54" s="257">
        <f t="shared" si="7"/>
        <v>-16.600000000000001</v>
      </c>
      <c r="E54" s="27">
        <f>IFERROR(100/'Skjema total MA'!C54*C54,0)</f>
        <v>1.6038592407293903</v>
      </c>
      <c r="F54" s="145"/>
      <c r="G54" s="33"/>
      <c r="H54" s="145"/>
      <c r="I54" s="145"/>
      <c r="J54" s="33"/>
      <c r="K54" s="33"/>
      <c r="L54" s="159"/>
      <c r="M54" s="159"/>
      <c r="N54" s="148"/>
    </row>
    <row r="55" spans="1:14" s="3" customFormat="1" ht="15.75" x14ac:dyDescent="0.2">
      <c r="A55" s="38" t="s">
        <v>456</v>
      </c>
      <c r="B55" s="283"/>
      <c r="C55" s="284"/>
      <c r="D55" s="257"/>
      <c r="E55" s="27"/>
      <c r="F55" s="145"/>
      <c r="G55" s="33"/>
      <c r="H55" s="145"/>
      <c r="I55" s="145"/>
      <c r="J55" s="33"/>
      <c r="K55" s="33"/>
      <c r="L55" s="159"/>
      <c r="M55" s="159"/>
      <c r="N55" s="148"/>
    </row>
    <row r="56" spans="1:14" s="3" customFormat="1" ht="15.75" x14ac:dyDescent="0.2">
      <c r="A56" s="39" t="s">
        <v>458</v>
      </c>
      <c r="B56" s="312">
        <v>5722.1710000000003</v>
      </c>
      <c r="C56" s="313">
        <v>5890.2740000000003</v>
      </c>
      <c r="D56" s="429">
        <f t="shared" si="7"/>
        <v>2.9</v>
      </c>
      <c r="E56" s="11">
        <f>IFERROR(100/'Skjema total MA'!C56*C56,0)</f>
        <v>4.6421542376601481</v>
      </c>
      <c r="F56" s="145"/>
      <c r="G56" s="33"/>
      <c r="H56" s="145"/>
      <c r="I56" s="145"/>
      <c r="J56" s="33"/>
      <c r="K56" s="33"/>
      <c r="L56" s="159"/>
      <c r="M56" s="159"/>
      <c r="N56" s="148"/>
    </row>
    <row r="57" spans="1:14" s="3" customFormat="1" ht="15.75" x14ac:dyDescent="0.2">
      <c r="A57" s="38" t="s">
        <v>455</v>
      </c>
      <c r="B57" s="283">
        <v>5722.1710000000003</v>
      </c>
      <c r="C57" s="284">
        <v>5890.2740000000003</v>
      </c>
      <c r="D57" s="257">
        <f t="shared" si="7"/>
        <v>2.9</v>
      </c>
      <c r="E57" s="27">
        <f>IFERROR(100/'Skjema total MA'!C57*C57,0)</f>
        <v>4.6422639954005112</v>
      </c>
      <c r="F57" s="145"/>
      <c r="G57" s="33"/>
      <c r="H57" s="145"/>
      <c r="I57" s="145"/>
      <c r="J57" s="33"/>
      <c r="K57" s="33"/>
      <c r="L57" s="159"/>
      <c r="M57" s="159"/>
      <c r="N57" s="148"/>
    </row>
    <row r="58" spans="1:14" s="3" customFormat="1" ht="15.75" x14ac:dyDescent="0.2">
      <c r="A58" s="46" t="s">
        <v>456</v>
      </c>
      <c r="B58" s="285"/>
      <c r="C58" s="286"/>
      <c r="D58" s="258"/>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1022"/>
      <c r="C62" s="1022"/>
      <c r="D62" s="1022"/>
      <c r="E62" s="301"/>
      <c r="F62" s="1022"/>
      <c r="G62" s="1022"/>
      <c r="H62" s="1022"/>
      <c r="I62" s="301"/>
      <c r="J62" s="1022"/>
      <c r="K62" s="1022"/>
      <c r="L62" s="1022"/>
      <c r="M62" s="301"/>
    </row>
    <row r="63" spans="1:14" x14ac:dyDescent="0.2">
      <c r="A63" s="144"/>
      <c r="B63" s="1023" t="s">
        <v>0</v>
      </c>
      <c r="C63" s="1024"/>
      <c r="D63" s="1025"/>
      <c r="E63" s="302"/>
      <c r="F63" s="1024" t="s">
        <v>1</v>
      </c>
      <c r="G63" s="1024"/>
      <c r="H63" s="1024"/>
      <c r="I63" s="306"/>
      <c r="J63" s="1023" t="s">
        <v>2</v>
      </c>
      <c r="K63" s="1024"/>
      <c r="L63" s="1024"/>
      <c r="M63" s="306"/>
    </row>
    <row r="64" spans="1:14" x14ac:dyDescent="0.2">
      <c r="A64" s="140"/>
      <c r="B64" s="152" t="s">
        <v>502</v>
      </c>
      <c r="C64" s="152" t="s">
        <v>503</v>
      </c>
      <c r="D64" s="245" t="s">
        <v>3</v>
      </c>
      <c r="E64" s="307" t="s">
        <v>29</v>
      </c>
      <c r="F64" s="152" t="s">
        <v>502</v>
      </c>
      <c r="G64" s="152" t="s">
        <v>503</v>
      </c>
      <c r="H64" s="245" t="s">
        <v>3</v>
      </c>
      <c r="I64" s="307" t="s">
        <v>29</v>
      </c>
      <c r="J64" s="152" t="s">
        <v>502</v>
      </c>
      <c r="K64" s="152" t="s">
        <v>503</v>
      </c>
      <c r="L64" s="245" t="s">
        <v>3</v>
      </c>
      <c r="M64" s="162" t="s">
        <v>29</v>
      </c>
    </row>
    <row r="65" spans="1:14" x14ac:dyDescent="0.2">
      <c r="A65" s="990"/>
      <c r="B65" s="156"/>
      <c r="C65" s="156"/>
      <c r="D65" s="246" t="s">
        <v>4</v>
      </c>
      <c r="E65" s="156" t="s">
        <v>30</v>
      </c>
      <c r="F65" s="161"/>
      <c r="G65" s="161"/>
      <c r="H65" s="245"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9"/>
      <c r="M66" s="11"/>
    </row>
    <row r="67" spans="1:14" x14ac:dyDescent="0.2">
      <c r="A67" s="420" t="s">
        <v>9</v>
      </c>
      <c r="B67" s="44"/>
      <c r="C67" s="145"/>
      <c r="D67" s="166"/>
      <c r="E67" s="27"/>
      <c r="F67" s="234"/>
      <c r="G67" s="145"/>
      <c r="H67" s="166"/>
      <c r="I67" s="27"/>
      <c r="J67" s="289"/>
      <c r="K67" s="44"/>
      <c r="L67" s="257"/>
      <c r="M67" s="27"/>
    </row>
    <row r="68" spans="1:14" x14ac:dyDescent="0.2">
      <c r="A68" s="21" t="s">
        <v>10</v>
      </c>
      <c r="B68" s="294"/>
      <c r="C68" s="295"/>
      <c r="D68" s="166"/>
      <c r="E68" s="27"/>
      <c r="F68" s="294"/>
      <c r="G68" s="295"/>
      <c r="H68" s="166"/>
      <c r="I68" s="27"/>
      <c r="J68" s="289"/>
      <c r="K68" s="44"/>
      <c r="L68" s="257"/>
      <c r="M68" s="27"/>
    </row>
    <row r="69" spans="1:14" ht="15.75" x14ac:dyDescent="0.2">
      <c r="A69" s="298" t="s">
        <v>459</v>
      </c>
      <c r="B69" s="283"/>
      <c r="C69" s="283"/>
      <c r="D69" s="166"/>
      <c r="E69" s="418"/>
      <c r="F69" s="283"/>
      <c r="G69" s="283"/>
      <c r="H69" s="166"/>
      <c r="I69" s="418"/>
      <c r="J69" s="292"/>
      <c r="K69" s="292"/>
      <c r="L69" s="166"/>
      <c r="M69" s="23"/>
    </row>
    <row r="70" spans="1:14" x14ac:dyDescent="0.2">
      <c r="A70" s="298" t="s">
        <v>12</v>
      </c>
      <c r="B70" s="296"/>
      <c r="C70" s="297"/>
      <c r="D70" s="166"/>
      <c r="E70" s="418"/>
      <c r="F70" s="283"/>
      <c r="G70" s="283"/>
      <c r="H70" s="166"/>
      <c r="I70" s="418"/>
      <c r="J70" s="292"/>
      <c r="K70" s="292"/>
      <c r="L70" s="166"/>
      <c r="M70" s="23"/>
    </row>
    <row r="71" spans="1:14" x14ac:dyDescent="0.2">
      <c r="A71" s="298" t="s">
        <v>13</v>
      </c>
      <c r="B71" s="235"/>
      <c r="C71" s="291"/>
      <c r="D71" s="166"/>
      <c r="E71" s="418"/>
      <c r="F71" s="283"/>
      <c r="G71" s="283"/>
      <c r="H71" s="166"/>
      <c r="I71" s="418"/>
      <c r="J71" s="292"/>
      <c r="K71" s="292"/>
      <c r="L71" s="166"/>
      <c r="M71" s="23"/>
    </row>
    <row r="72" spans="1:14" ht="15.75" x14ac:dyDescent="0.2">
      <c r="A72" s="298" t="s">
        <v>460</v>
      </c>
      <c r="B72" s="283"/>
      <c r="C72" s="283"/>
      <c r="D72" s="166"/>
      <c r="E72" s="418"/>
      <c r="F72" s="283"/>
      <c r="G72" s="283"/>
      <c r="H72" s="166"/>
      <c r="I72" s="418"/>
      <c r="J72" s="292"/>
      <c r="K72" s="292"/>
      <c r="L72" s="166"/>
      <c r="M72" s="23"/>
    </row>
    <row r="73" spans="1:14" x14ac:dyDescent="0.2">
      <c r="A73" s="298" t="s">
        <v>12</v>
      </c>
      <c r="B73" s="235"/>
      <c r="C73" s="291"/>
      <c r="D73" s="166"/>
      <c r="E73" s="418"/>
      <c r="F73" s="283"/>
      <c r="G73" s="283"/>
      <c r="H73" s="166"/>
      <c r="I73" s="418"/>
      <c r="J73" s="292"/>
      <c r="K73" s="292"/>
      <c r="L73" s="166"/>
      <c r="M73" s="23"/>
    </row>
    <row r="74" spans="1:14" s="3" customFormat="1" x14ac:dyDescent="0.2">
      <c r="A74" s="298" t="s">
        <v>13</v>
      </c>
      <c r="B74" s="235"/>
      <c r="C74" s="291"/>
      <c r="D74" s="166"/>
      <c r="E74" s="418"/>
      <c r="F74" s="283"/>
      <c r="G74" s="283"/>
      <c r="H74" s="166"/>
      <c r="I74" s="418"/>
      <c r="J74" s="292"/>
      <c r="K74" s="292"/>
      <c r="L74" s="166"/>
      <c r="M74" s="23"/>
      <c r="N74" s="148"/>
    </row>
    <row r="75" spans="1:14" s="3" customFormat="1" x14ac:dyDescent="0.2">
      <c r="A75" s="21" t="s">
        <v>346</v>
      </c>
      <c r="B75" s="234"/>
      <c r="C75" s="145"/>
      <c r="D75" s="166"/>
      <c r="E75" s="27"/>
      <c r="F75" s="234"/>
      <c r="G75" s="145"/>
      <c r="H75" s="166"/>
      <c r="I75" s="27"/>
      <c r="J75" s="289"/>
      <c r="K75" s="44"/>
      <c r="L75" s="257"/>
      <c r="M75" s="27"/>
      <c r="N75" s="148"/>
    </row>
    <row r="76" spans="1:14" s="3" customFormat="1" x14ac:dyDescent="0.2">
      <c r="A76" s="21" t="s">
        <v>345</v>
      </c>
      <c r="B76" s="234"/>
      <c r="C76" s="145"/>
      <c r="D76" s="166"/>
      <c r="E76" s="27"/>
      <c r="F76" s="234"/>
      <c r="G76" s="145"/>
      <c r="H76" s="166"/>
      <c r="I76" s="27"/>
      <c r="J76" s="289"/>
      <c r="K76" s="44"/>
      <c r="L76" s="257"/>
      <c r="M76" s="27"/>
      <c r="N76" s="148"/>
    </row>
    <row r="77" spans="1:14" ht="15.75" x14ac:dyDescent="0.2">
      <c r="A77" s="21" t="s">
        <v>461</v>
      </c>
      <c r="B77" s="234"/>
      <c r="C77" s="234"/>
      <c r="D77" s="166"/>
      <c r="E77" s="27"/>
      <c r="F77" s="234"/>
      <c r="G77" s="145"/>
      <c r="H77" s="166"/>
      <c r="I77" s="27"/>
      <c r="J77" s="289"/>
      <c r="K77" s="44"/>
      <c r="L77" s="257"/>
      <c r="M77" s="27"/>
    </row>
    <row r="78" spans="1:14" x14ac:dyDescent="0.2">
      <c r="A78" s="21" t="s">
        <v>9</v>
      </c>
      <c r="B78" s="234"/>
      <c r="C78" s="145"/>
      <c r="D78" s="166"/>
      <c r="E78" s="27"/>
      <c r="F78" s="234"/>
      <c r="G78" s="145"/>
      <c r="H78" s="166"/>
      <c r="I78" s="27"/>
      <c r="J78" s="289"/>
      <c r="K78" s="44"/>
      <c r="L78" s="257"/>
      <c r="M78" s="27"/>
    </row>
    <row r="79" spans="1:14" x14ac:dyDescent="0.2">
      <c r="A79" s="21" t="s">
        <v>10</v>
      </c>
      <c r="B79" s="294"/>
      <c r="C79" s="295"/>
      <c r="D79" s="166"/>
      <c r="E79" s="27"/>
      <c r="F79" s="294"/>
      <c r="G79" s="295"/>
      <c r="H79" s="166"/>
      <c r="I79" s="27"/>
      <c r="J79" s="289"/>
      <c r="K79" s="44"/>
      <c r="L79" s="257"/>
      <c r="M79" s="27"/>
    </row>
    <row r="80" spans="1:14" ht="15.75" x14ac:dyDescent="0.2">
      <c r="A80" s="298" t="s">
        <v>459</v>
      </c>
      <c r="B80" s="283"/>
      <c r="C80" s="283"/>
      <c r="D80" s="166"/>
      <c r="E80" s="418"/>
      <c r="F80" s="283"/>
      <c r="G80" s="283"/>
      <c r="H80" s="166"/>
      <c r="I80" s="418"/>
      <c r="J80" s="292"/>
      <c r="K80" s="292"/>
      <c r="L80" s="166"/>
      <c r="M80" s="23"/>
    </row>
    <row r="81" spans="1:13" x14ac:dyDescent="0.2">
      <c r="A81" s="298" t="s">
        <v>12</v>
      </c>
      <c r="B81" s="235"/>
      <c r="C81" s="291"/>
      <c r="D81" s="166"/>
      <c r="E81" s="418"/>
      <c r="F81" s="283"/>
      <c r="G81" s="283"/>
      <c r="H81" s="166"/>
      <c r="I81" s="418"/>
      <c r="J81" s="292"/>
      <c r="K81" s="292"/>
      <c r="L81" s="166"/>
      <c r="M81" s="23"/>
    </row>
    <row r="82" spans="1:13" x14ac:dyDescent="0.2">
      <c r="A82" s="298" t="s">
        <v>13</v>
      </c>
      <c r="B82" s="235"/>
      <c r="C82" s="291"/>
      <c r="D82" s="166"/>
      <c r="E82" s="418"/>
      <c r="F82" s="283"/>
      <c r="G82" s="283"/>
      <c r="H82" s="166"/>
      <c r="I82" s="418"/>
      <c r="J82" s="292"/>
      <c r="K82" s="292"/>
      <c r="L82" s="166"/>
      <c r="M82" s="23"/>
    </row>
    <row r="83" spans="1:13" ht="15.75" x14ac:dyDescent="0.2">
      <c r="A83" s="298" t="s">
        <v>460</v>
      </c>
      <c r="B83" s="283"/>
      <c r="C83" s="283"/>
      <c r="D83" s="166"/>
      <c r="E83" s="418"/>
      <c r="F83" s="283"/>
      <c r="G83" s="283"/>
      <c r="H83" s="166"/>
      <c r="I83" s="418"/>
      <c r="J83" s="292"/>
      <c r="K83" s="292"/>
      <c r="L83" s="166"/>
      <c r="M83" s="23"/>
    </row>
    <row r="84" spans="1:13" x14ac:dyDescent="0.2">
      <c r="A84" s="298" t="s">
        <v>12</v>
      </c>
      <c r="B84" s="235"/>
      <c r="C84" s="291"/>
      <c r="D84" s="166"/>
      <c r="E84" s="418"/>
      <c r="F84" s="283"/>
      <c r="G84" s="283"/>
      <c r="H84" s="166"/>
      <c r="I84" s="418"/>
      <c r="J84" s="292"/>
      <c r="K84" s="292"/>
      <c r="L84" s="166"/>
      <c r="M84" s="23"/>
    </row>
    <row r="85" spans="1:13" x14ac:dyDescent="0.2">
      <c r="A85" s="298" t="s">
        <v>13</v>
      </c>
      <c r="B85" s="235"/>
      <c r="C85" s="291"/>
      <c r="D85" s="166"/>
      <c r="E85" s="418"/>
      <c r="F85" s="283"/>
      <c r="G85" s="283"/>
      <c r="H85" s="166"/>
      <c r="I85" s="418"/>
      <c r="J85" s="292"/>
      <c r="K85" s="292"/>
      <c r="L85" s="166"/>
      <c r="M85" s="23"/>
    </row>
    <row r="86" spans="1:13" ht="15.75" x14ac:dyDescent="0.2">
      <c r="A86" s="21" t="s">
        <v>462</v>
      </c>
      <c r="B86" s="234"/>
      <c r="C86" s="145"/>
      <c r="D86" s="166"/>
      <c r="E86" s="27"/>
      <c r="F86" s="234"/>
      <c r="G86" s="145"/>
      <c r="H86" s="166"/>
      <c r="I86" s="27"/>
      <c r="J86" s="289"/>
      <c r="K86" s="44"/>
      <c r="L86" s="257"/>
      <c r="M86" s="27"/>
    </row>
    <row r="87" spans="1:13" ht="15.75" x14ac:dyDescent="0.2">
      <c r="A87" s="13" t="s">
        <v>444</v>
      </c>
      <c r="B87" s="354"/>
      <c r="C87" s="354"/>
      <c r="D87" s="171"/>
      <c r="E87" s="11"/>
      <c r="F87" s="353"/>
      <c r="G87" s="353"/>
      <c r="H87" s="171"/>
      <c r="I87" s="11"/>
      <c r="J87" s="311"/>
      <c r="K87" s="236"/>
      <c r="L87" s="429"/>
      <c r="M87" s="11"/>
    </row>
    <row r="88" spans="1:13" x14ac:dyDescent="0.2">
      <c r="A88" s="21" t="s">
        <v>9</v>
      </c>
      <c r="B88" s="234"/>
      <c r="C88" s="145"/>
      <c r="D88" s="166"/>
      <c r="E88" s="27"/>
      <c r="F88" s="234"/>
      <c r="G88" s="145"/>
      <c r="H88" s="166"/>
      <c r="I88" s="27"/>
      <c r="J88" s="289"/>
      <c r="K88" s="44"/>
      <c r="L88" s="257"/>
      <c r="M88" s="27"/>
    </row>
    <row r="89" spans="1:13" x14ac:dyDescent="0.2">
      <c r="A89" s="21" t="s">
        <v>10</v>
      </c>
      <c r="B89" s="234"/>
      <c r="C89" s="145"/>
      <c r="D89" s="166"/>
      <c r="E89" s="27"/>
      <c r="F89" s="234"/>
      <c r="G89" s="145"/>
      <c r="H89" s="166"/>
      <c r="I89" s="27"/>
      <c r="J89" s="289"/>
      <c r="K89" s="44"/>
      <c r="L89" s="257"/>
      <c r="M89" s="27"/>
    </row>
    <row r="90" spans="1:13" ht="15.75" x14ac:dyDescent="0.2">
      <c r="A90" s="298" t="s">
        <v>459</v>
      </c>
      <c r="B90" s="283"/>
      <c r="C90" s="283"/>
      <c r="D90" s="166"/>
      <c r="E90" s="418"/>
      <c r="F90" s="283"/>
      <c r="G90" s="283"/>
      <c r="H90" s="166"/>
      <c r="I90" s="418"/>
      <c r="J90" s="292"/>
      <c r="K90" s="292"/>
      <c r="L90" s="166"/>
      <c r="M90" s="23"/>
    </row>
    <row r="91" spans="1:13" x14ac:dyDescent="0.2">
      <c r="A91" s="298" t="s">
        <v>12</v>
      </c>
      <c r="B91" s="235"/>
      <c r="C91" s="291"/>
      <c r="D91" s="166"/>
      <c r="E91" s="418"/>
      <c r="F91" s="283"/>
      <c r="G91" s="283"/>
      <c r="H91" s="166"/>
      <c r="I91" s="418"/>
      <c r="J91" s="292"/>
      <c r="K91" s="292"/>
      <c r="L91" s="166"/>
      <c r="M91" s="23"/>
    </row>
    <row r="92" spans="1:13" x14ac:dyDescent="0.2">
      <c r="A92" s="298" t="s">
        <v>13</v>
      </c>
      <c r="B92" s="235"/>
      <c r="C92" s="291"/>
      <c r="D92" s="166"/>
      <c r="E92" s="418"/>
      <c r="F92" s="283"/>
      <c r="G92" s="283"/>
      <c r="H92" s="166"/>
      <c r="I92" s="418"/>
      <c r="J92" s="292"/>
      <c r="K92" s="292"/>
      <c r="L92" s="166"/>
      <c r="M92" s="23"/>
    </row>
    <row r="93" spans="1:13" ht="15.75" x14ac:dyDescent="0.2">
      <c r="A93" s="298" t="s">
        <v>460</v>
      </c>
      <c r="B93" s="283"/>
      <c r="C93" s="283"/>
      <c r="D93" s="166"/>
      <c r="E93" s="418"/>
      <c r="F93" s="283"/>
      <c r="G93" s="283"/>
      <c r="H93" s="166"/>
      <c r="I93" s="418"/>
      <c r="J93" s="292"/>
      <c r="K93" s="292"/>
      <c r="L93" s="166"/>
      <c r="M93" s="23"/>
    </row>
    <row r="94" spans="1:13" x14ac:dyDescent="0.2">
      <c r="A94" s="298" t="s">
        <v>12</v>
      </c>
      <c r="B94" s="235"/>
      <c r="C94" s="291"/>
      <c r="D94" s="166"/>
      <c r="E94" s="418"/>
      <c r="F94" s="283"/>
      <c r="G94" s="283"/>
      <c r="H94" s="166"/>
      <c r="I94" s="418"/>
      <c r="J94" s="292"/>
      <c r="K94" s="292"/>
      <c r="L94" s="166"/>
      <c r="M94" s="23"/>
    </row>
    <row r="95" spans="1:13" x14ac:dyDescent="0.2">
      <c r="A95" s="298" t="s">
        <v>13</v>
      </c>
      <c r="B95" s="235"/>
      <c r="C95" s="291"/>
      <c r="D95" s="166"/>
      <c r="E95" s="418"/>
      <c r="F95" s="283"/>
      <c r="G95" s="283"/>
      <c r="H95" s="166"/>
      <c r="I95" s="418"/>
      <c r="J95" s="292"/>
      <c r="K95" s="292"/>
      <c r="L95" s="166"/>
      <c r="M95" s="23"/>
    </row>
    <row r="96" spans="1:13" x14ac:dyDescent="0.2">
      <c r="A96" s="21" t="s">
        <v>344</v>
      </c>
      <c r="B96" s="234"/>
      <c r="C96" s="145"/>
      <c r="D96" s="166"/>
      <c r="E96" s="27"/>
      <c r="F96" s="234"/>
      <c r="G96" s="145"/>
      <c r="H96" s="166"/>
      <c r="I96" s="27"/>
      <c r="J96" s="289"/>
      <c r="K96" s="44"/>
      <c r="L96" s="257"/>
      <c r="M96" s="27"/>
    </row>
    <row r="97" spans="1:13" x14ac:dyDescent="0.2">
      <c r="A97" s="21" t="s">
        <v>343</v>
      </c>
      <c r="B97" s="234"/>
      <c r="C97" s="145"/>
      <c r="D97" s="166"/>
      <c r="E97" s="27"/>
      <c r="F97" s="234"/>
      <c r="G97" s="145"/>
      <c r="H97" s="166"/>
      <c r="I97" s="27"/>
      <c r="J97" s="289"/>
      <c r="K97" s="44"/>
      <c r="L97" s="257"/>
      <c r="M97" s="27"/>
    </row>
    <row r="98" spans="1:13" ht="15.75" x14ac:dyDescent="0.2">
      <c r="A98" s="21" t="s">
        <v>461</v>
      </c>
      <c r="B98" s="234"/>
      <c r="C98" s="234"/>
      <c r="D98" s="166"/>
      <c r="E98" s="27"/>
      <c r="F98" s="294"/>
      <c r="G98" s="294"/>
      <c r="H98" s="166"/>
      <c r="I98" s="27"/>
      <c r="J98" s="289"/>
      <c r="K98" s="44"/>
      <c r="L98" s="257"/>
      <c r="M98" s="27"/>
    </row>
    <row r="99" spans="1:13" x14ac:dyDescent="0.2">
      <c r="A99" s="21" t="s">
        <v>9</v>
      </c>
      <c r="B99" s="294"/>
      <c r="C99" s="295"/>
      <c r="D99" s="166"/>
      <c r="E99" s="27"/>
      <c r="F99" s="234"/>
      <c r="G99" s="145"/>
      <c r="H99" s="166"/>
      <c r="I99" s="27"/>
      <c r="J99" s="289"/>
      <c r="K99" s="44"/>
      <c r="L99" s="257"/>
      <c r="M99" s="27"/>
    </row>
    <row r="100" spans="1:13" x14ac:dyDescent="0.2">
      <c r="A100" s="21" t="s">
        <v>10</v>
      </c>
      <c r="B100" s="294"/>
      <c r="C100" s="295"/>
      <c r="D100" s="166"/>
      <c r="E100" s="27"/>
      <c r="F100" s="234"/>
      <c r="G100" s="234"/>
      <c r="H100" s="166"/>
      <c r="I100" s="27"/>
      <c r="J100" s="289"/>
      <c r="K100" s="44"/>
      <c r="L100" s="257"/>
      <c r="M100" s="27"/>
    </row>
    <row r="101" spans="1:13" ht="15.75" x14ac:dyDescent="0.2">
      <c r="A101" s="298" t="s">
        <v>459</v>
      </c>
      <c r="B101" s="283"/>
      <c r="C101" s="283"/>
      <c r="D101" s="166"/>
      <c r="E101" s="418"/>
      <c r="F101" s="283"/>
      <c r="G101" s="283"/>
      <c r="H101" s="166"/>
      <c r="I101" s="418"/>
      <c r="J101" s="292"/>
      <c r="K101" s="292"/>
      <c r="L101" s="166"/>
      <c r="M101" s="23"/>
    </row>
    <row r="102" spans="1:13" x14ac:dyDescent="0.2">
      <c r="A102" s="298" t="s">
        <v>12</v>
      </c>
      <c r="B102" s="235"/>
      <c r="C102" s="291"/>
      <c r="D102" s="166"/>
      <c r="E102" s="418"/>
      <c r="F102" s="283"/>
      <c r="G102" s="283"/>
      <c r="H102" s="166"/>
      <c r="I102" s="418"/>
      <c r="J102" s="292"/>
      <c r="K102" s="292"/>
      <c r="L102" s="166"/>
      <c r="M102" s="23"/>
    </row>
    <row r="103" spans="1:13" x14ac:dyDescent="0.2">
      <c r="A103" s="298" t="s">
        <v>13</v>
      </c>
      <c r="B103" s="235"/>
      <c r="C103" s="291"/>
      <c r="D103" s="166"/>
      <c r="E103" s="418"/>
      <c r="F103" s="283"/>
      <c r="G103" s="283"/>
      <c r="H103" s="166"/>
      <c r="I103" s="418"/>
      <c r="J103" s="292"/>
      <c r="K103" s="292"/>
      <c r="L103" s="166"/>
      <c r="M103" s="23"/>
    </row>
    <row r="104" spans="1:13" ht="15.75" x14ac:dyDescent="0.2">
      <c r="A104" s="298" t="s">
        <v>460</v>
      </c>
      <c r="B104" s="283"/>
      <c r="C104" s="283"/>
      <c r="D104" s="166"/>
      <c r="E104" s="418"/>
      <c r="F104" s="283"/>
      <c r="G104" s="283"/>
      <c r="H104" s="166"/>
      <c r="I104" s="418"/>
      <c r="J104" s="292"/>
      <c r="K104" s="292"/>
      <c r="L104" s="166"/>
      <c r="M104" s="23"/>
    </row>
    <row r="105" spans="1:13" x14ac:dyDescent="0.2">
      <c r="A105" s="298" t="s">
        <v>12</v>
      </c>
      <c r="B105" s="235"/>
      <c r="C105" s="291"/>
      <c r="D105" s="166"/>
      <c r="E105" s="418"/>
      <c r="F105" s="283"/>
      <c r="G105" s="283"/>
      <c r="H105" s="166"/>
      <c r="I105" s="418"/>
      <c r="J105" s="292"/>
      <c r="K105" s="292"/>
      <c r="L105" s="166"/>
      <c r="M105" s="23"/>
    </row>
    <row r="106" spans="1:13" x14ac:dyDescent="0.2">
      <c r="A106" s="298" t="s">
        <v>13</v>
      </c>
      <c r="B106" s="235"/>
      <c r="C106" s="291"/>
      <c r="D106" s="166"/>
      <c r="E106" s="418"/>
      <c r="F106" s="283"/>
      <c r="G106" s="283"/>
      <c r="H106" s="166"/>
      <c r="I106" s="418"/>
      <c r="J106" s="292"/>
      <c r="K106" s="292"/>
      <c r="L106" s="166"/>
      <c r="M106" s="23"/>
    </row>
    <row r="107" spans="1:13" ht="15.75" x14ac:dyDescent="0.2">
      <c r="A107" s="21" t="s">
        <v>462</v>
      </c>
      <c r="B107" s="234"/>
      <c r="C107" s="145"/>
      <c r="D107" s="166"/>
      <c r="E107" s="27"/>
      <c r="F107" s="234"/>
      <c r="G107" s="145"/>
      <c r="H107" s="166"/>
      <c r="I107" s="27"/>
      <c r="J107" s="289"/>
      <c r="K107" s="44"/>
      <c r="L107" s="257"/>
      <c r="M107" s="27"/>
    </row>
    <row r="108" spans="1:13" ht="15.75" x14ac:dyDescent="0.2">
      <c r="A108" s="21" t="s">
        <v>463</v>
      </c>
      <c r="B108" s="234"/>
      <c r="C108" s="234"/>
      <c r="D108" s="166"/>
      <c r="E108" s="27"/>
      <c r="F108" s="234"/>
      <c r="G108" s="234"/>
      <c r="H108" s="166"/>
      <c r="I108" s="27"/>
      <c r="J108" s="289"/>
      <c r="K108" s="44"/>
      <c r="L108" s="257"/>
      <c r="M108" s="27"/>
    </row>
    <row r="109" spans="1:13" ht="15.75" x14ac:dyDescent="0.2">
      <c r="A109" s="21" t="s">
        <v>464</v>
      </c>
      <c r="B109" s="234"/>
      <c r="C109" s="234"/>
      <c r="D109" s="166"/>
      <c r="E109" s="27"/>
      <c r="F109" s="234"/>
      <c r="G109" s="234"/>
      <c r="H109" s="166"/>
      <c r="I109" s="27"/>
      <c r="J109" s="289"/>
      <c r="K109" s="44"/>
      <c r="L109" s="257"/>
      <c r="M109" s="27"/>
    </row>
    <row r="110" spans="1:13" ht="15.75" x14ac:dyDescent="0.2">
      <c r="A110" s="21" t="s">
        <v>465</v>
      </c>
      <c r="B110" s="234"/>
      <c r="C110" s="234"/>
      <c r="D110" s="166"/>
      <c r="E110" s="27"/>
      <c r="F110" s="234"/>
      <c r="G110" s="234"/>
      <c r="H110" s="166"/>
      <c r="I110" s="27"/>
      <c r="J110" s="289"/>
      <c r="K110" s="44"/>
      <c r="L110" s="257"/>
      <c r="M110" s="27"/>
    </row>
    <row r="111" spans="1:13" ht="15.75" x14ac:dyDescent="0.2">
      <c r="A111" s="13" t="s">
        <v>445</v>
      </c>
      <c r="B111" s="310"/>
      <c r="C111" s="159"/>
      <c r="D111" s="171"/>
      <c r="E111" s="11"/>
      <c r="F111" s="310"/>
      <c r="G111" s="159"/>
      <c r="H111" s="171"/>
      <c r="I111" s="11"/>
      <c r="J111" s="311"/>
      <c r="K111" s="236"/>
      <c r="L111" s="429"/>
      <c r="M111" s="11"/>
    </row>
    <row r="112" spans="1:13" x14ac:dyDescent="0.2">
      <c r="A112" s="21" t="s">
        <v>9</v>
      </c>
      <c r="B112" s="234"/>
      <c r="C112" s="145"/>
      <c r="D112" s="166"/>
      <c r="E112" s="27"/>
      <c r="F112" s="234"/>
      <c r="G112" s="145"/>
      <c r="H112" s="166"/>
      <c r="I112" s="27"/>
      <c r="J112" s="289"/>
      <c r="K112" s="44"/>
      <c r="L112" s="257"/>
      <c r="M112" s="27"/>
    </row>
    <row r="113" spans="1:14" x14ac:dyDescent="0.2">
      <c r="A113" s="21" t="s">
        <v>10</v>
      </c>
      <c r="B113" s="234"/>
      <c r="C113" s="145"/>
      <c r="D113" s="166"/>
      <c r="E113" s="27"/>
      <c r="F113" s="234"/>
      <c r="G113" s="145"/>
      <c r="H113" s="166"/>
      <c r="I113" s="27"/>
      <c r="J113" s="289"/>
      <c r="K113" s="44"/>
      <c r="L113" s="257"/>
      <c r="M113" s="27"/>
    </row>
    <row r="114" spans="1:14" x14ac:dyDescent="0.2">
      <c r="A114" s="21" t="s">
        <v>26</v>
      </c>
      <c r="B114" s="234"/>
      <c r="C114" s="145"/>
      <c r="D114" s="166"/>
      <c r="E114" s="27"/>
      <c r="F114" s="234"/>
      <c r="G114" s="145"/>
      <c r="H114" s="166"/>
      <c r="I114" s="27"/>
      <c r="J114" s="289"/>
      <c r="K114" s="44"/>
      <c r="L114" s="257"/>
      <c r="M114" s="27"/>
    </row>
    <row r="115" spans="1:14" x14ac:dyDescent="0.2">
      <c r="A115" s="298" t="s">
        <v>15</v>
      </c>
      <c r="B115" s="283"/>
      <c r="C115" s="283"/>
      <c r="D115" s="166"/>
      <c r="E115" s="418"/>
      <c r="F115" s="283"/>
      <c r="G115" s="283"/>
      <c r="H115" s="166"/>
      <c r="I115" s="418"/>
      <c r="J115" s="292"/>
      <c r="K115" s="292"/>
      <c r="L115" s="166"/>
      <c r="M115" s="23"/>
    </row>
    <row r="116" spans="1:14" ht="15.75" x14ac:dyDescent="0.2">
      <c r="A116" s="21" t="s">
        <v>466</v>
      </c>
      <c r="B116" s="234"/>
      <c r="C116" s="234"/>
      <c r="D116" s="166"/>
      <c r="E116" s="27"/>
      <c r="F116" s="234"/>
      <c r="G116" s="234"/>
      <c r="H116" s="166"/>
      <c r="I116" s="27"/>
      <c r="J116" s="289"/>
      <c r="K116" s="44"/>
      <c r="L116" s="257"/>
      <c r="M116" s="27"/>
    </row>
    <row r="117" spans="1:14" ht="15.75" x14ac:dyDescent="0.2">
      <c r="A117" s="21" t="s">
        <v>467</v>
      </c>
      <c r="B117" s="234"/>
      <c r="C117" s="234"/>
      <c r="D117" s="166"/>
      <c r="E117" s="27"/>
      <c r="F117" s="234"/>
      <c r="G117" s="234"/>
      <c r="H117" s="166"/>
      <c r="I117" s="27"/>
      <c r="J117" s="289"/>
      <c r="K117" s="44"/>
      <c r="L117" s="257"/>
      <c r="M117" s="27"/>
    </row>
    <row r="118" spans="1:14" ht="15.75" x14ac:dyDescent="0.2">
      <c r="A118" s="21" t="s">
        <v>465</v>
      </c>
      <c r="B118" s="234"/>
      <c r="C118" s="234"/>
      <c r="D118" s="166"/>
      <c r="E118" s="27"/>
      <c r="F118" s="234"/>
      <c r="G118" s="234"/>
      <c r="H118" s="166"/>
      <c r="I118" s="27"/>
      <c r="J118" s="289"/>
      <c r="K118" s="44"/>
      <c r="L118" s="257"/>
      <c r="M118" s="27"/>
    </row>
    <row r="119" spans="1:14" ht="15.75" x14ac:dyDescent="0.2">
      <c r="A119" s="13" t="s">
        <v>446</v>
      </c>
      <c r="B119" s="310"/>
      <c r="C119" s="159"/>
      <c r="D119" s="171"/>
      <c r="E119" s="11"/>
      <c r="F119" s="310"/>
      <c r="G119" s="159"/>
      <c r="H119" s="171"/>
      <c r="I119" s="11"/>
      <c r="J119" s="311"/>
      <c r="K119" s="236"/>
      <c r="L119" s="429"/>
      <c r="M119" s="11"/>
    </row>
    <row r="120" spans="1:14" x14ac:dyDescent="0.2">
      <c r="A120" s="21" t="s">
        <v>9</v>
      </c>
      <c r="B120" s="234"/>
      <c r="C120" s="145"/>
      <c r="D120" s="166"/>
      <c r="E120" s="27"/>
      <c r="F120" s="234"/>
      <c r="G120" s="145"/>
      <c r="H120" s="166"/>
      <c r="I120" s="27"/>
      <c r="J120" s="289"/>
      <c r="K120" s="44"/>
      <c r="L120" s="257"/>
      <c r="M120" s="27"/>
    </row>
    <row r="121" spans="1:14" x14ac:dyDescent="0.2">
      <c r="A121" s="21" t="s">
        <v>10</v>
      </c>
      <c r="B121" s="234"/>
      <c r="C121" s="145"/>
      <c r="D121" s="166"/>
      <c r="E121" s="27"/>
      <c r="F121" s="234"/>
      <c r="G121" s="145"/>
      <c r="H121" s="166"/>
      <c r="I121" s="27"/>
      <c r="J121" s="289"/>
      <c r="K121" s="44"/>
      <c r="L121" s="257"/>
      <c r="M121" s="27"/>
    </row>
    <row r="122" spans="1:14" x14ac:dyDescent="0.2">
      <c r="A122" s="21" t="s">
        <v>26</v>
      </c>
      <c r="B122" s="234"/>
      <c r="C122" s="145"/>
      <c r="D122" s="166"/>
      <c r="E122" s="27"/>
      <c r="F122" s="234"/>
      <c r="G122" s="145"/>
      <c r="H122" s="166"/>
      <c r="I122" s="27"/>
      <c r="J122" s="289"/>
      <c r="K122" s="44"/>
      <c r="L122" s="257"/>
      <c r="M122" s="27"/>
    </row>
    <row r="123" spans="1:14" x14ac:dyDescent="0.2">
      <c r="A123" s="298" t="s">
        <v>14</v>
      </c>
      <c r="B123" s="283"/>
      <c r="C123" s="283"/>
      <c r="D123" s="166"/>
      <c r="E123" s="418"/>
      <c r="F123" s="283"/>
      <c r="G123" s="283"/>
      <c r="H123" s="166"/>
      <c r="I123" s="418"/>
      <c r="J123" s="292"/>
      <c r="K123" s="292"/>
      <c r="L123" s="166"/>
      <c r="M123" s="23"/>
    </row>
    <row r="124" spans="1:14" ht="15.75" x14ac:dyDescent="0.2">
      <c r="A124" s="21" t="s">
        <v>472</v>
      </c>
      <c r="B124" s="234"/>
      <c r="C124" s="234"/>
      <c r="D124" s="166"/>
      <c r="E124" s="27"/>
      <c r="F124" s="234"/>
      <c r="G124" s="234"/>
      <c r="H124" s="166"/>
      <c r="I124" s="27"/>
      <c r="J124" s="289"/>
      <c r="K124" s="44"/>
      <c r="L124" s="257"/>
      <c r="M124" s="27"/>
    </row>
    <row r="125" spans="1:14" ht="15.75" x14ac:dyDescent="0.2">
      <c r="A125" s="21" t="s">
        <v>464</v>
      </c>
      <c r="B125" s="234"/>
      <c r="C125" s="234"/>
      <c r="D125" s="166"/>
      <c r="E125" s="27"/>
      <c r="F125" s="234"/>
      <c r="G125" s="234"/>
      <c r="H125" s="166"/>
      <c r="I125" s="27"/>
      <c r="J125" s="289"/>
      <c r="K125" s="44"/>
      <c r="L125" s="257"/>
      <c r="M125" s="27"/>
    </row>
    <row r="126" spans="1:14" ht="15.75" x14ac:dyDescent="0.2">
      <c r="A126" s="10" t="s">
        <v>465</v>
      </c>
      <c r="B126" s="45"/>
      <c r="C126" s="45"/>
      <c r="D126" s="167"/>
      <c r="E126" s="419"/>
      <c r="F126" s="45"/>
      <c r="G126" s="45"/>
      <c r="H126" s="167"/>
      <c r="I126" s="22"/>
      <c r="J126" s="290"/>
      <c r="K126" s="45"/>
      <c r="L126" s="258"/>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1022"/>
      <c r="C130" s="1022"/>
      <c r="D130" s="1022"/>
      <c r="E130" s="301"/>
      <c r="F130" s="1022"/>
      <c r="G130" s="1022"/>
      <c r="H130" s="1022"/>
      <c r="I130" s="301"/>
      <c r="J130" s="1022"/>
      <c r="K130" s="1022"/>
      <c r="L130" s="1022"/>
      <c r="M130" s="301"/>
    </row>
    <row r="131" spans="1:14" s="3" customFormat="1" x14ac:dyDescent="0.2">
      <c r="A131" s="144"/>
      <c r="B131" s="1023" t="s">
        <v>0</v>
      </c>
      <c r="C131" s="1024"/>
      <c r="D131" s="1024"/>
      <c r="E131" s="303"/>
      <c r="F131" s="1023" t="s">
        <v>1</v>
      </c>
      <c r="G131" s="1024"/>
      <c r="H131" s="1024"/>
      <c r="I131" s="306"/>
      <c r="J131" s="1023" t="s">
        <v>2</v>
      </c>
      <c r="K131" s="1024"/>
      <c r="L131" s="1024"/>
      <c r="M131" s="306"/>
      <c r="N131" s="148"/>
    </row>
    <row r="132" spans="1:14" s="3" customFormat="1" x14ac:dyDescent="0.2">
      <c r="A132" s="140"/>
      <c r="B132" s="152" t="s">
        <v>502</v>
      </c>
      <c r="C132" s="152" t="s">
        <v>503</v>
      </c>
      <c r="D132" s="245" t="s">
        <v>3</v>
      </c>
      <c r="E132" s="307" t="s">
        <v>29</v>
      </c>
      <c r="F132" s="152" t="s">
        <v>502</v>
      </c>
      <c r="G132" s="152" t="s">
        <v>503</v>
      </c>
      <c r="H132" s="206" t="s">
        <v>3</v>
      </c>
      <c r="I132" s="162" t="s">
        <v>29</v>
      </c>
      <c r="J132" s="152" t="s">
        <v>502</v>
      </c>
      <c r="K132" s="152" t="s">
        <v>503</v>
      </c>
      <c r="L132" s="246" t="s">
        <v>3</v>
      </c>
      <c r="M132" s="162" t="s">
        <v>29</v>
      </c>
      <c r="N132" s="148"/>
    </row>
    <row r="133" spans="1:14" s="3" customFormat="1" x14ac:dyDescent="0.2">
      <c r="A133" s="990"/>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468</v>
      </c>
      <c r="B134" s="236"/>
      <c r="C134" s="311"/>
      <c r="D134" s="351"/>
      <c r="E134" s="11"/>
      <c r="F134" s="318"/>
      <c r="G134" s="319"/>
      <c r="H134" s="432"/>
      <c r="I134" s="24"/>
      <c r="J134" s="320"/>
      <c r="K134" s="320"/>
      <c r="L134" s="428"/>
      <c r="M134" s="11"/>
      <c r="N134" s="148"/>
    </row>
    <row r="135" spans="1:14" s="3" customFormat="1" ht="15.75" x14ac:dyDescent="0.2">
      <c r="A135" s="13" t="s">
        <v>473</v>
      </c>
      <c r="B135" s="236"/>
      <c r="C135" s="311"/>
      <c r="D135" s="171"/>
      <c r="E135" s="11"/>
      <c r="F135" s="236"/>
      <c r="G135" s="311"/>
      <c r="H135" s="433"/>
      <c r="I135" s="24"/>
      <c r="J135" s="310"/>
      <c r="K135" s="310"/>
      <c r="L135" s="429"/>
      <c r="M135" s="11"/>
      <c r="N135" s="148"/>
    </row>
    <row r="136" spans="1:14" s="3" customFormat="1" ht="15.75" x14ac:dyDescent="0.2">
      <c r="A136" s="13" t="s">
        <v>470</v>
      </c>
      <c r="B136" s="236"/>
      <c r="C136" s="311"/>
      <c r="D136" s="171"/>
      <c r="E136" s="11"/>
      <c r="F136" s="236"/>
      <c r="G136" s="311"/>
      <c r="H136" s="433"/>
      <c r="I136" s="24"/>
      <c r="J136" s="310"/>
      <c r="K136" s="310"/>
      <c r="L136" s="429"/>
      <c r="M136" s="11"/>
      <c r="N136" s="148"/>
    </row>
    <row r="137" spans="1:14" s="3" customFormat="1" ht="15.75" x14ac:dyDescent="0.2">
      <c r="A137" s="41" t="s">
        <v>471</v>
      </c>
      <c r="B137" s="278"/>
      <c r="C137" s="317"/>
      <c r="D137" s="169"/>
      <c r="E137" s="9"/>
      <c r="F137" s="278"/>
      <c r="G137" s="317"/>
      <c r="H137" s="434"/>
      <c r="I137" s="36"/>
      <c r="J137" s="316"/>
      <c r="K137" s="316"/>
      <c r="L137" s="430"/>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738" priority="132">
      <formula>kvartal &lt; 4</formula>
    </cfRule>
  </conditionalFormatting>
  <conditionalFormatting sqref="B69">
    <cfRule type="expression" dxfId="1737" priority="100">
      <formula>kvartal &lt; 4</formula>
    </cfRule>
  </conditionalFormatting>
  <conditionalFormatting sqref="C69">
    <cfRule type="expression" dxfId="1736" priority="99">
      <formula>kvartal &lt; 4</formula>
    </cfRule>
  </conditionalFormatting>
  <conditionalFormatting sqref="B72">
    <cfRule type="expression" dxfId="1735" priority="98">
      <formula>kvartal &lt; 4</formula>
    </cfRule>
  </conditionalFormatting>
  <conditionalFormatting sqref="C72">
    <cfRule type="expression" dxfId="1734" priority="97">
      <formula>kvartal &lt; 4</formula>
    </cfRule>
  </conditionalFormatting>
  <conditionalFormatting sqref="B80">
    <cfRule type="expression" dxfId="1733" priority="96">
      <formula>kvartal &lt; 4</formula>
    </cfRule>
  </conditionalFormatting>
  <conditionalFormatting sqref="C80">
    <cfRule type="expression" dxfId="1732" priority="95">
      <formula>kvartal &lt; 4</formula>
    </cfRule>
  </conditionalFormatting>
  <conditionalFormatting sqref="B83">
    <cfRule type="expression" dxfId="1731" priority="94">
      <formula>kvartal &lt; 4</formula>
    </cfRule>
  </conditionalFormatting>
  <conditionalFormatting sqref="C83">
    <cfRule type="expression" dxfId="1730" priority="93">
      <formula>kvartal &lt; 4</formula>
    </cfRule>
  </conditionalFormatting>
  <conditionalFormatting sqref="B90">
    <cfRule type="expression" dxfId="1729" priority="84">
      <formula>kvartal &lt; 4</formula>
    </cfRule>
  </conditionalFormatting>
  <conditionalFormatting sqref="C90">
    <cfRule type="expression" dxfId="1728" priority="83">
      <formula>kvartal &lt; 4</formula>
    </cfRule>
  </conditionalFormatting>
  <conditionalFormatting sqref="B93">
    <cfRule type="expression" dxfId="1727" priority="82">
      <formula>kvartal &lt; 4</formula>
    </cfRule>
  </conditionalFormatting>
  <conditionalFormatting sqref="C93">
    <cfRule type="expression" dxfId="1726" priority="81">
      <formula>kvartal &lt; 4</formula>
    </cfRule>
  </conditionalFormatting>
  <conditionalFormatting sqref="B101">
    <cfRule type="expression" dxfId="1725" priority="80">
      <formula>kvartal &lt; 4</formula>
    </cfRule>
  </conditionalFormatting>
  <conditionalFormatting sqref="C101">
    <cfRule type="expression" dxfId="1724" priority="79">
      <formula>kvartal &lt; 4</formula>
    </cfRule>
  </conditionalFormatting>
  <conditionalFormatting sqref="B104">
    <cfRule type="expression" dxfId="1723" priority="78">
      <formula>kvartal &lt; 4</formula>
    </cfRule>
  </conditionalFormatting>
  <conditionalFormatting sqref="C104">
    <cfRule type="expression" dxfId="1722" priority="77">
      <formula>kvartal &lt; 4</formula>
    </cfRule>
  </conditionalFormatting>
  <conditionalFormatting sqref="B115">
    <cfRule type="expression" dxfId="1721" priority="76">
      <formula>kvartal &lt; 4</formula>
    </cfRule>
  </conditionalFormatting>
  <conditionalFormatting sqref="C115">
    <cfRule type="expression" dxfId="1720" priority="75">
      <formula>kvartal &lt; 4</formula>
    </cfRule>
  </conditionalFormatting>
  <conditionalFormatting sqref="B123">
    <cfRule type="expression" dxfId="1719" priority="74">
      <formula>kvartal &lt; 4</formula>
    </cfRule>
  </conditionalFormatting>
  <conditionalFormatting sqref="C123">
    <cfRule type="expression" dxfId="1718" priority="73">
      <formula>kvartal &lt; 4</formula>
    </cfRule>
  </conditionalFormatting>
  <conditionalFormatting sqref="F70">
    <cfRule type="expression" dxfId="1717" priority="72">
      <formula>kvartal &lt; 4</formula>
    </cfRule>
  </conditionalFormatting>
  <conditionalFormatting sqref="G70">
    <cfRule type="expression" dxfId="1716" priority="71">
      <formula>kvartal &lt; 4</formula>
    </cfRule>
  </conditionalFormatting>
  <conditionalFormatting sqref="F71:G71">
    <cfRule type="expression" dxfId="1715" priority="70">
      <formula>kvartal &lt; 4</formula>
    </cfRule>
  </conditionalFormatting>
  <conditionalFormatting sqref="F73:G74">
    <cfRule type="expression" dxfId="1714" priority="69">
      <formula>kvartal &lt; 4</formula>
    </cfRule>
  </conditionalFormatting>
  <conditionalFormatting sqref="F81:G82">
    <cfRule type="expression" dxfId="1713" priority="68">
      <formula>kvartal &lt; 4</formula>
    </cfRule>
  </conditionalFormatting>
  <conditionalFormatting sqref="F84:G85">
    <cfRule type="expression" dxfId="1712" priority="67">
      <formula>kvartal &lt; 4</formula>
    </cfRule>
  </conditionalFormatting>
  <conditionalFormatting sqref="F91:G92">
    <cfRule type="expression" dxfId="1711" priority="62">
      <formula>kvartal &lt; 4</formula>
    </cfRule>
  </conditionalFormatting>
  <conditionalFormatting sqref="F94:G95">
    <cfRule type="expression" dxfId="1710" priority="61">
      <formula>kvartal &lt; 4</formula>
    </cfRule>
  </conditionalFormatting>
  <conditionalFormatting sqref="F102:G103">
    <cfRule type="expression" dxfId="1709" priority="60">
      <formula>kvartal &lt; 4</formula>
    </cfRule>
  </conditionalFormatting>
  <conditionalFormatting sqref="F105:G106">
    <cfRule type="expression" dxfId="1708" priority="59">
      <formula>kvartal &lt; 4</formula>
    </cfRule>
  </conditionalFormatting>
  <conditionalFormatting sqref="F115">
    <cfRule type="expression" dxfId="1707" priority="58">
      <formula>kvartal &lt; 4</formula>
    </cfRule>
  </conditionalFormatting>
  <conditionalFormatting sqref="G115">
    <cfRule type="expression" dxfId="1706" priority="57">
      <formula>kvartal &lt; 4</formula>
    </cfRule>
  </conditionalFormatting>
  <conditionalFormatting sqref="F123:G123">
    <cfRule type="expression" dxfId="1705" priority="56">
      <formula>kvartal &lt; 4</formula>
    </cfRule>
  </conditionalFormatting>
  <conditionalFormatting sqref="F69:G69">
    <cfRule type="expression" dxfId="1704" priority="55">
      <formula>kvartal &lt; 4</formula>
    </cfRule>
  </conditionalFormatting>
  <conditionalFormatting sqref="F72:G72">
    <cfRule type="expression" dxfId="1703" priority="54">
      <formula>kvartal &lt; 4</formula>
    </cfRule>
  </conditionalFormatting>
  <conditionalFormatting sqref="F80:G80">
    <cfRule type="expression" dxfId="1702" priority="53">
      <formula>kvartal &lt; 4</formula>
    </cfRule>
  </conditionalFormatting>
  <conditionalFormatting sqref="F83:G83">
    <cfRule type="expression" dxfId="1701" priority="52">
      <formula>kvartal &lt; 4</formula>
    </cfRule>
  </conditionalFormatting>
  <conditionalFormatting sqref="F90:G90">
    <cfRule type="expression" dxfId="1700" priority="46">
      <formula>kvartal &lt; 4</formula>
    </cfRule>
  </conditionalFormatting>
  <conditionalFormatting sqref="F93">
    <cfRule type="expression" dxfId="1699" priority="45">
      <formula>kvartal &lt; 4</formula>
    </cfRule>
  </conditionalFormatting>
  <conditionalFormatting sqref="G93">
    <cfRule type="expression" dxfId="1698" priority="44">
      <formula>kvartal &lt; 4</formula>
    </cfRule>
  </conditionalFormatting>
  <conditionalFormatting sqref="F101">
    <cfRule type="expression" dxfId="1697" priority="43">
      <formula>kvartal &lt; 4</formula>
    </cfRule>
  </conditionalFormatting>
  <conditionalFormatting sqref="G101">
    <cfRule type="expression" dxfId="1696" priority="42">
      <formula>kvartal &lt; 4</formula>
    </cfRule>
  </conditionalFormatting>
  <conditionalFormatting sqref="G104">
    <cfRule type="expression" dxfId="1695" priority="41">
      <formula>kvartal &lt; 4</formula>
    </cfRule>
  </conditionalFormatting>
  <conditionalFormatting sqref="F104">
    <cfRule type="expression" dxfId="1694" priority="40">
      <formula>kvartal &lt; 4</formula>
    </cfRule>
  </conditionalFormatting>
  <conditionalFormatting sqref="J69:K73">
    <cfRule type="expression" dxfId="1693" priority="39">
      <formula>kvartal &lt; 4</formula>
    </cfRule>
  </conditionalFormatting>
  <conditionalFormatting sqref="J74:K74">
    <cfRule type="expression" dxfId="1692" priority="38">
      <formula>kvartal &lt; 4</formula>
    </cfRule>
  </conditionalFormatting>
  <conditionalFormatting sqref="J80:K85">
    <cfRule type="expression" dxfId="1691" priority="37">
      <formula>kvartal &lt; 4</formula>
    </cfRule>
  </conditionalFormatting>
  <conditionalFormatting sqref="J90:K95">
    <cfRule type="expression" dxfId="1690" priority="34">
      <formula>kvartal &lt; 4</formula>
    </cfRule>
  </conditionalFormatting>
  <conditionalFormatting sqref="J101:K106">
    <cfRule type="expression" dxfId="1689" priority="33">
      <formula>kvartal &lt; 4</formula>
    </cfRule>
  </conditionalFormatting>
  <conditionalFormatting sqref="J115:K115">
    <cfRule type="expression" dxfId="1688" priority="32">
      <formula>kvartal &lt; 4</formula>
    </cfRule>
  </conditionalFormatting>
  <conditionalFormatting sqref="J123:K123">
    <cfRule type="expression" dxfId="1687" priority="31">
      <formula>kvartal &lt; 4</formula>
    </cfRule>
  </conditionalFormatting>
  <conditionalFormatting sqref="A50:A52">
    <cfRule type="expression" dxfId="1686" priority="12">
      <formula>kvartal &lt; 4</formula>
    </cfRule>
  </conditionalFormatting>
  <conditionalFormatting sqref="A69:A74">
    <cfRule type="expression" dxfId="1685" priority="10">
      <formula>kvartal &lt; 4</formula>
    </cfRule>
  </conditionalFormatting>
  <conditionalFormatting sqref="A80:A85">
    <cfRule type="expression" dxfId="1684" priority="9">
      <formula>kvartal &lt; 4</formula>
    </cfRule>
  </conditionalFormatting>
  <conditionalFormatting sqref="A90:A95">
    <cfRule type="expression" dxfId="1683" priority="6">
      <formula>kvartal &lt; 4</formula>
    </cfRule>
  </conditionalFormatting>
  <conditionalFormatting sqref="A101:A106">
    <cfRule type="expression" dxfId="1682" priority="5">
      <formula>kvartal &lt; 4</formula>
    </cfRule>
  </conditionalFormatting>
  <conditionalFormatting sqref="A115">
    <cfRule type="expression" dxfId="1681" priority="4">
      <formula>kvartal &lt; 4</formula>
    </cfRule>
  </conditionalFormatting>
  <conditionalFormatting sqref="A123">
    <cfRule type="expression" dxfId="1680" priority="3">
      <formula>kvartal &lt; 4</formula>
    </cfRule>
  </conditionalFormatting>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4"/>
  <dimension ref="A1:N144"/>
  <sheetViews>
    <sheetView showGridLines="0" zoomScale="120" zoomScaleNormal="120" workbookViewId="0"/>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133</v>
      </c>
      <c r="B1" s="988"/>
      <c r="C1" s="810" t="s">
        <v>501</v>
      </c>
      <c r="D1" s="26"/>
      <c r="E1" s="26"/>
      <c r="F1" s="26"/>
      <c r="G1" s="26"/>
      <c r="H1" s="26"/>
      <c r="I1" s="26"/>
      <c r="J1" s="26"/>
      <c r="K1" s="26"/>
      <c r="L1" s="26"/>
      <c r="M1" s="26"/>
    </row>
    <row r="2" spans="1:14" ht="15.75" x14ac:dyDescent="0.25">
      <c r="A2" s="165" t="s">
        <v>28</v>
      </c>
      <c r="B2" s="1027"/>
      <c r="C2" s="1027"/>
      <c r="D2" s="1027"/>
      <c r="E2" s="301"/>
      <c r="F2" s="1027"/>
      <c r="G2" s="1027"/>
      <c r="H2" s="1027"/>
      <c r="I2" s="301"/>
      <c r="J2" s="1027"/>
      <c r="K2" s="1027"/>
      <c r="L2" s="1027"/>
      <c r="M2" s="301"/>
    </row>
    <row r="3" spans="1:14" ht="15.75" x14ac:dyDescent="0.25">
      <c r="A3" s="848"/>
      <c r="B3" s="841"/>
      <c r="C3" s="849"/>
      <c r="D3" s="841"/>
      <c r="E3" s="841"/>
      <c r="F3" s="301"/>
      <c r="G3" s="301"/>
      <c r="H3" s="301"/>
      <c r="I3" s="301"/>
      <c r="J3" s="301"/>
      <c r="K3" s="301"/>
      <c r="L3" s="301"/>
      <c r="M3" s="301"/>
    </row>
    <row r="4" spans="1:14" x14ac:dyDescent="0.2">
      <c r="A4" s="144"/>
      <c r="B4" s="1023" t="s">
        <v>0</v>
      </c>
      <c r="C4" s="1024"/>
      <c r="D4" s="1024"/>
      <c r="E4" s="303"/>
      <c r="F4" s="1023" t="s">
        <v>1</v>
      </c>
      <c r="G4" s="1024"/>
      <c r="H4" s="1024"/>
      <c r="I4" s="306"/>
      <c r="J4" s="1023" t="s">
        <v>2</v>
      </c>
      <c r="K4" s="1024"/>
      <c r="L4" s="1024"/>
      <c r="M4" s="306"/>
    </row>
    <row r="5" spans="1:14" x14ac:dyDescent="0.2">
      <c r="A5" s="158"/>
      <c r="B5" s="152" t="s">
        <v>502</v>
      </c>
      <c r="C5" s="152" t="s">
        <v>503</v>
      </c>
      <c r="D5" s="245" t="s">
        <v>3</v>
      </c>
      <c r="E5" s="307" t="s">
        <v>29</v>
      </c>
      <c r="F5" s="152" t="s">
        <v>502</v>
      </c>
      <c r="G5" s="152" t="s">
        <v>503</v>
      </c>
      <c r="H5" s="245" t="s">
        <v>3</v>
      </c>
      <c r="I5" s="162" t="s">
        <v>29</v>
      </c>
      <c r="J5" s="152" t="s">
        <v>502</v>
      </c>
      <c r="K5" s="152" t="s">
        <v>503</v>
      </c>
      <c r="L5" s="245" t="s">
        <v>3</v>
      </c>
      <c r="M5" s="162" t="s">
        <v>29</v>
      </c>
    </row>
    <row r="6" spans="1:14" x14ac:dyDescent="0.2">
      <c r="A6" s="989"/>
      <c r="B6" s="156"/>
      <c r="C6" s="156"/>
      <c r="D6" s="246" t="s">
        <v>4</v>
      </c>
      <c r="E6" s="156" t="s">
        <v>30</v>
      </c>
      <c r="F6" s="161"/>
      <c r="G6" s="161"/>
      <c r="H6" s="245" t="s">
        <v>4</v>
      </c>
      <c r="I6" s="156" t="s">
        <v>30</v>
      </c>
      <c r="J6" s="161"/>
      <c r="K6" s="161"/>
      <c r="L6" s="245" t="s">
        <v>4</v>
      </c>
      <c r="M6" s="156" t="s">
        <v>30</v>
      </c>
    </row>
    <row r="7" spans="1:14" ht="15.75" x14ac:dyDescent="0.2">
      <c r="A7" s="14" t="s">
        <v>23</v>
      </c>
      <c r="B7" s="308">
        <v>13539.09604</v>
      </c>
      <c r="C7" s="309">
        <v>11672</v>
      </c>
      <c r="D7" s="351">
        <f>IF(B7=0, "    ---- ", IF(ABS(ROUND(100/B7*C7-100,1))&lt;999,ROUND(100/B7*C7-100,1),IF(ROUND(100/B7*C7-100,1)&gt;999,999,-999)))</f>
        <v>-13.8</v>
      </c>
      <c r="E7" s="11">
        <f>IFERROR(100/'Skjema total MA'!C7*C7,0)</f>
        <v>0.24550469604089911</v>
      </c>
      <c r="F7" s="308"/>
      <c r="G7" s="309"/>
      <c r="H7" s="351"/>
      <c r="I7" s="160"/>
      <c r="J7" s="310">
        <f t="shared" ref="J7:K10" si="0">SUM(B7,F7)</f>
        <v>13539.09604</v>
      </c>
      <c r="K7" s="311">
        <f t="shared" si="0"/>
        <v>11672</v>
      </c>
      <c r="L7" s="428">
        <f>IF(J7=0, "    ---- ", IF(ABS(ROUND(100/J7*K7-100,1))&lt;999,ROUND(100/J7*K7-100,1),IF(ROUND(100/J7*K7-100,1)&gt;999,999,-999)))</f>
        <v>-13.8</v>
      </c>
      <c r="M7" s="11">
        <f>IFERROR(100/'Skjema total MA'!I7*K7,0)</f>
        <v>7.7529636267678254E-2</v>
      </c>
    </row>
    <row r="8" spans="1:14" ht="15.75" x14ac:dyDescent="0.2">
      <c r="A8" s="21" t="s">
        <v>25</v>
      </c>
      <c r="B8" s="283">
        <v>8330.46947</v>
      </c>
      <c r="C8" s="284">
        <v>7536</v>
      </c>
      <c r="D8" s="166">
        <f t="shared" ref="D8:D10" si="1">IF(B8=0, "    ---- ", IF(ABS(ROUND(100/B8*C8-100,1))&lt;999,ROUND(100/B8*C8-100,1),IF(ROUND(100/B8*C8-100,1)&gt;999,999,-999)))</f>
        <v>-9.5</v>
      </c>
      <c r="E8" s="27">
        <f>IFERROR(100/'Skjema total MA'!C8*C8,0)</f>
        <v>0.24287824344610637</v>
      </c>
      <c r="F8" s="287"/>
      <c r="G8" s="288"/>
      <c r="H8" s="166"/>
      <c r="I8" s="175"/>
      <c r="J8" s="234">
        <f t="shared" si="0"/>
        <v>8330.46947</v>
      </c>
      <c r="K8" s="289">
        <f t="shared" si="0"/>
        <v>7536</v>
      </c>
      <c r="L8" s="166">
        <f t="shared" ref="L8:L9" si="2">IF(J8=0, "    ---- ", IF(ABS(ROUND(100/J8*K8-100,1))&lt;999,ROUND(100/J8*K8-100,1),IF(ROUND(100/J8*K8-100,1)&gt;999,999,-999)))</f>
        <v>-9.5</v>
      </c>
      <c r="M8" s="27">
        <f>IFERROR(100/'Skjema total MA'!I8*K8,0)</f>
        <v>0.24287824344610637</v>
      </c>
    </row>
    <row r="9" spans="1:14" ht="15.75" x14ac:dyDescent="0.2">
      <c r="A9" s="21" t="s">
        <v>24</v>
      </c>
      <c r="B9" s="283">
        <v>5208.6265700000004</v>
      </c>
      <c r="C9" s="284">
        <v>4136</v>
      </c>
      <c r="D9" s="166">
        <f t="shared" si="1"/>
        <v>-20.6</v>
      </c>
      <c r="E9" s="27">
        <f>IFERROR(100/'Skjema total MA'!C9*C9,0)</f>
        <v>0.43618188807524261</v>
      </c>
      <c r="F9" s="287"/>
      <c r="G9" s="288"/>
      <c r="H9" s="166"/>
      <c r="I9" s="175"/>
      <c r="J9" s="234">
        <f t="shared" si="0"/>
        <v>5208.6265700000004</v>
      </c>
      <c r="K9" s="289">
        <f t="shared" si="0"/>
        <v>4136</v>
      </c>
      <c r="L9" s="166">
        <f t="shared" si="2"/>
        <v>-20.6</v>
      </c>
      <c r="M9" s="27">
        <f>IFERROR(100/'Skjema total MA'!I9*K9,0)</f>
        <v>0.43618188807524261</v>
      </c>
    </row>
    <row r="10" spans="1:14" ht="15.75" x14ac:dyDescent="0.2">
      <c r="A10" s="13" t="s">
        <v>444</v>
      </c>
      <c r="B10" s="312">
        <v>6599.8879075415198</v>
      </c>
      <c r="C10" s="313">
        <v>2056</v>
      </c>
      <c r="D10" s="171">
        <f t="shared" si="1"/>
        <v>-68.8</v>
      </c>
      <c r="E10" s="11">
        <f>IFERROR(100/'Skjema total MA'!C10*C10,0)</f>
        <v>1.0421494265481602E-2</v>
      </c>
      <c r="F10" s="312"/>
      <c r="G10" s="313"/>
      <c r="H10" s="171"/>
      <c r="I10" s="160"/>
      <c r="J10" s="310">
        <f t="shared" si="0"/>
        <v>6599.8879075415198</v>
      </c>
      <c r="K10" s="311">
        <f t="shared" si="0"/>
        <v>2056</v>
      </c>
      <c r="L10" s="429">
        <f t="shared" ref="L10" si="3">IF(J10=0, "    ---- ", IF(ABS(ROUND(100/J10*K10-100,1))&lt;999,ROUND(100/J10*K10-100,1),IF(ROUND(100/J10*K10-100,1)&gt;999,999,-999)))</f>
        <v>-68.8</v>
      </c>
      <c r="M10" s="11">
        <f>IFERROR(100/'Skjema total MA'!I10*K10,0)</f>
        <v>2.5565829478091011E-3</v>
      </c>
    </row>
    <row r="11" spans="1:14" s="43" customFormat="1" ht="15.75" x14ac:dyDescent="0.2">
      <c r="A11" s="13" t="s">
        <v>445</v>
      </c>
      <c r="B11" s="312"/>
      <c r="C11" s="313"/>
      <c r="D11" s="171"/>
      <c r="E11" s="11"/>
      <c r="F11" s="312"/>
      <c r="G11" s="313"/>
      <c r="H11" s="171"/>
      <c r="I11" s="160"/>
      <c r="J11" s="310"/>
      <c r="K11" s="311"/>
      <c r="L11" s="429"/>
      <c r="M11" s="11"/>
      <c r="N11" s="143"/>
    </row>
    <row r="12" spans="1:14" s="43" customFormat="1" ht="15.75" x14ac:dyDescent="0.2">
      <c r="A12" s="41" t="s">
        <v>446</v>
      </c>
      <c r="B12" s="314"/>
      <c r="C12" s="315"/>
      <c r="D12" s="169"/>
      <c r="E12" s="36"/>
      <c r="F12" s="314"/>
      <c r="G12" s="315"/>
      <c r="H12" s="169"/>
      <c r="I12" s="169"/>
      <c r="J12" s="316"/>
      <c r="K12" s="317"/>
      <c r="L12" s="430"/>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1022"/>
      <c r="C18" s="1022"/>
      <c r="D18" s="1022"/>
      <c r="E18" s="301"/>
      <c r="F18" s="1022"/>
      <c r="G18" s="1022"/>
      <c r="H18" s="1022"/>
      <c r="I18" s="301"/>
      <c r="J18" s="1022"/>
      <c r="K18" s="1022"/>
      <c r="L18" s="1022"/>
      <c r="M18" s="301"/>
    </row>
    <row r="19" spans="1:14" x14ac:dyDescent="0.2">
      <c r="A19" s="144"/>
      <c r="B19" s="1023" t="s">
        <v>0</v>
      </c>
      <c r="C19" s="1024"/>
      <c r="D19" s="1024"/>
      <c r="E19" s="303"/>
      <c r="F19" s="1023" t="s">
        <v>1</v>
      </c>
      <c r="G19" s="1024"/>
      <c r="H19" s="1024"/>
      <c r="I19" s="306"/>
      <c r="J19" s="1023" t="s">
        <v>2</v>
      </c>
      <c r="K19" s="1024"/>
      <c r="L19" s="1024"/>
      <c r="M19" s="306"/>
    </row>
    <row r="20" spans="1:14" x14ac:dyDescent="0.2">
      <c r="A20" s="140" t="s">
        <v>5</v>
      </c>
      <c r="B20" s="152" t="s">
        <v>502</v>
      </c>
      <c r="C20" s="152" t="s">
        <v>503</v>
      </c>
      <c r="D20" s="162" t="s">
        <v>3</v>
      </c>
      <c r="E20" s="307" t="s">
        <v>29</v>
      </c>
      <c r="F20" s="152" t="s">
        <v>502</v>
      </c>
      <c r="G20" s="152" t="s">
        <v>503</v>
      </c>
      <c r="H20" s="162" t="s">
        <v>3</v>
      </c>
      <c r="I20" s="162" t="s">
        <v>29</v>
      </c>
      <c r="J20" s="152" t="s">
        <v>502</v>
      </c>
      <c r="K20" s="152" t="s">
        <v>503</v>
      </c>
      <c r="L20" s="162" t="s">
        <v>3</v>
      </c>
      <c r="M20" s="162" t="s">
        <v>29</v>
      </c>
    </row>
    <row r="21" spans="1:14" x14ac:dyDescent="0.2">
      <c r="A21" s="990"/>
      <c r="B21" s="156"/>
      <c r="C21" s="156"/>
      <c r="D21" s="246" t="s">
        <v>4</v>
      </c>
      <c r="E21" s="156" t="s">
        <v>30</v>
      </c>
      <c r="F21" s="161"/>
      <c r="G21" s="161"/>
      <c r="H21" s="245" t="s">
        <v>4</v>
      </c>
      <c r="I21" s="156" t="s">
        <v>30</v>
      </c>
      <c r="J21" s="161"/>
      <c r="K21" s="161"/>
      <c r="L21" s="156" t="s">
        <v>4</v>
      </c>
      <c r="M21" s="156" t="s">
        <v>30</v>
      </c>
    </row>
    <row r="22" spans="1:14" ht="15.75" x14ac:dyDescent="0.2">
      <c r="A22" s="14" t="s">
        <v>23</v>
      </c>
      <c r="B22" s="312"/>
      <c r="C22" s="312"/>
      <c r="D22" s="351"/>
      <c r="E22" s="11"/>
      <c r="F22" s="320"/>
      <c r="G22" s="320"/>
      <c r="H22" s="351"/>
      <c r="I22" s="11"/>
      <c r="J22" s="318"/>
      <c r="K22" s="318"/>
      <c r="L22" s="428"/>
      <c r="M22" s="24"/>
    </row>
    <row r="23" spans="1:14" ht="15.75" x14ac:dyDescent="0.2">
      <c r="A23" s="811" t="s">
        <v>447</v>
      </c>
      <c r="B23" s="283"/>
      <c r="C23" s="283"/>
      <c r="D23" s="166"/>
      <c r="E23" s="11"/>
      <c r="F23" s="292"/>
      <c r="G23" s="292"/>
      <c r="H23" s="166"/>
      <c r="I23" s="418"/>
      <c r="J23" s="292"/>
      <c r="K23" s="292"/>
      <c r="L23" s="166"/>
      <c r="M23" s="23"/>
    </row>
    <row r="24" spans="1:14" ht="15.75" x14ac:dyDescent="0.2">
      <c r="A24" s="811" t="s">
        <v>448</v>
      </c>
      <c r="B24" s="283"/>
      <c r="C24" s="283"/>
      <c r="D24" s="166"/>
      <c r="E24" s="11"/>
      <c r="F24" s="292"/>
      <c r="G24" s="292"/>
      <c r="H24" s="166"/>
      <c r="I24" s="418"/>
      <c r="J24" s="292"/>
      <c r="K24" s="292"/>
      <c r="L24" s="166"/>
      <c r="M24" s="23"/>
    </row>
    <row r="25" spans="1:14" ht="15.75" x14ac:dyDescent="0.2">
      <c r="A25" s="811" t="s">
        <v>449</v>
      </c>
      <c r="B25" s="283"/>
      <c r="C25" s="283"/>
      <c r="D25" s="166"/>
      <c r="E25" s="11"/>
      <c r="F25" s="292"/>
      <c r="G25" s="292"/>
      <c r="H25" s="166"/>
      <c r="I25" s="418"/>
      <c r="J25" s="292"/>
      <c r="K25" s="292"/>
      <c r="L25" s="166"/>
      <c r="M25" s="23"/>
    </row>
    <row r="26" spans="1:14" ht="15.75" x14ac:dyDescent="0.2">
      <c r="A26" s="811" t="s">
        <v>450</v>
      </c>
      <c r="B26" s="283"/>
      <c r="C26" s="283"/>
      <c r="D26" s="166"/>
      <c r="E26" s="11"/>
      <c r="F26" s="292"/>
      <c r="G26" s="292"/>
      <c r="H26" s="166"/>
      <c r="I26" s="418"/>
      <c r="J26" s="292"/>
      <c r="K26" s="292"/>
      <c r="L26" s="166"/>
      <c r="M26" s="23"/>
    </row>
    <row r="27" spans="1:14" x14ac:dyDescent="0.2">
      <c r="A27" s="811" t="s">
        <v>11</v>
      </c>
      <c r="B27" s="283"/>
      <c r="C27" s="283"/>
      <c r="D27" s="166"/>
      <c r="E27" s="11"/>
      <c r="F27" s="292"/>
      <c r="G27" s="292"/>
      <c r="H27" s="166"/>
      <c r="I27" s="418"/>
      <c r="J27" s="292"/>
      <c r="K27" s="292"/>
      <c r="L27" s="166"/>
      <c r="M27" s="23"/>
    </row>
    <row r="28" spans="1:14" ht="15.75" x14ac:dyDescent="0.2">
      <c r="A28" s="49" t="s">
        <v>272</v>
      </c>
      <c r="B28" s="44"/>
      <c r="C28" s="289"/>
      <c r="D28" s="166"/>
      <c r="E28" s="11"/>
      <c r="F28" s="234"/>
      <c r="G28" s="289"/>
      <c r="H28" s="166"/>
      <c r="I28" s="27"/>
      <c r="J28" s="44"/>
      <c r="K28" s="44"/>
      <c r="L28" s="257"/>
      <c r="M28" s="23"/>
    </row>
    <row r="29" spans="1:14" s="3" customFormat="1" ht="15.75" x14ac:dyDescent="0.2">
      <c r="A29" s="13" t="s">
        <v>444</v>
      </c>
      <c r="B29" s="236"/>
      <c r="C29" s="236"/>
      <c r="D29" s="171"/>
      <c r="E29" s="11"/>
      <c r="F29" s="310"/>
      <c r="G29" s="310"/>
      <c r="H29" s="171"/>
      <c r="I29" s="11"/>
      <c r="J29" s="236"/>
      <c r="K29" s="236"/>
      <c r="L29" s="429"/>
      <c r="M29" s="24"/>
      <c r="N29" s="148"/>
    </row>
    <row r="30" spans="1:14" s="3" customFormat="1" ht="15.75" x14ac:dyDescent="0.2">
      <c r="A30" s="811" t="s">
        <v>447</v>
      </c>
      <c r="B30" s="283"/>
      <c r="C30" s="283"/>
      <c r="D30" s="166"/>
      <c r="E30" s="11"/>
      <c r="F30" s="292"/>
      <c r="G30" s="292"/>
      <c r="H30" s="166"/>
      <c r="I30" s="418"/>
      <c r="J30" s="292"/>
      <c r="K30" s="292"/>
      <c r="L30" s="166"/>
      <c r="M30" s="23"/>
      <c r="N30" s="148"/>
    </row>
    <row r="31" spans="1:14" s="3" customFormat="1" ht="15.75" x14ac:dyDescent="0.2">
      <c r="A31" s="811" t="s">
        <v>448</v>
      </c>
      <c r="B31" s="283"/>
      <c r="C31" s="283"/>
      <c r="D31" s="166"/>
      <c r="E31" s="11"/>
      <c r="F31" s="292"/>
      <c r="G31" s="292"/>
      <c r="H31" s="166"/>
      <c r="I31" s="418"/>
      <c r="J31" s="292"/>
      <c r="K31" s="292"/>
      <c r="L31" s="166"/>
      <c r="M31" s="23"/>
      <c r="N31" s="148"/>
    </row>
    <row r="32" spans="1:14" ht="15.75" x14ac:dyDescent="0.2">
      <c r="A32" s="811" t="s">
        <v>449</v>
      </c>
      <c r="B32" s="283"/>
      <c r="C32" s="283"/>
      <c r="D32" s="166"/>
      <c r="E32" s="11"/>
      <c r="F32" s="292"/>
      <c r="G32" s="292"/>
      <c r="H32" s="166"/>
      <c r="I32" s="418"/>
      <c r="J32" s="292"/>
      <c r="K32" s="292"/>
      <c r="L32" s="166"/>
      <c r="M32" s="23"/>
    </row>
    <row r="33" spans="1:14" ht="15.75" x14ac:dyDescent="0.2">
      <c r="A33" s="811" t="s">
        <v>450</v>
      </c>
      <c r="B33" s="283"/>
      <c r="C33" s="283"/>
      <c r="D33" s="166"/>
      <c r="E33" s="11"/>
      <c r="F33" s="292"/>
      <c r="G33" s="292"/>
      <c r="H33" s="166"/>
      <c r="I33" s="418"/>
      <c r="J33" s="292"/>
      <c r="K33" s="292"/>
      <c r="L33" s="166"/>
      <c r="M33" s="23"/>
    </row>
    <row r="34" spans="1:14" ht="15.75" x14ac:dyDescent="0.2">
      <c r="A34" s="13" t="s">
        <v>445</v>
      </c>
      <c r="B34" s="236"/>
      <c r="C34" s="311"/>
      <c r="D34" s="171"/>
      <c r="E34" s="11"/>
      <c r="F34" s="310"/>
      <c r="G34" s="311"/>
      <c r="H34" s="171"/>
      <c r="I34" s="11"/>
      <c r="J34" s="236"/>
      <c r="K34" s="236"/>
      <c r="L34" s="429"/>
      <c r="M34" s="24"/>
    </row>
    <row r="35" spans="1:14" ht="15.75" x14ac:dyDescent="0.2">
      <c r="A35" s="13" t="s">
        <v>446</v>
      </c>
      <c r="B35" s="236"/>
      <c r="C35" s="311"/>
      <c r="D35" s="171"/>
      <c r="E35" s="11"/>
      <c r="F35" s="310"/>
      <c r="G35" s="311"/>
      <c r="H35" s="171"/>
      <c r="I35" s="11"/>
      <c r="J35" s="236"/>
      <c r="K35" s="236"/>
      <c r="L35" s="429"/>
      <c r="M35" s="24"/>
    </row>
    <row r="36" spans="1:14" ht="15.75" x14ac:dyDescent="0.2">
      <c r="A36" s="12" t="s">
        <v>280</v>
      </c>
      <c r="B36" s="236"/>
      <c r="C36" s="311"/>
      <c r="D36" s="171"/>
      <c r="E36" s="11"/>
      <c r="F36" s="321"/>
      <c r="G36" s="322"/>
      <c r="H36" s="171"/>
      <c r="I36" s="435"/>
      <c r="J36" s="236"/>
      <c r="K36" s="236"/>
      <c r="L36" s="429"/>
      <c r="M36" s="24"/>
    </row>
    <row r="37" spans="1:14" ht="15.75" x14ac:dyDescent="0.2">
      <c r="A37" s="12" t="s">
        <v>452</v>
      </c>
      <c r="B37" s="236"/>
      <c r="C37" s="311"/>
      <c r="D37" s="171"/>
      <c r="E37" s="11"/>
      <c r="F37" s="321"/>
      <c r="G37" s="323"/>
      <c r="H37" s="171"/>
      <c r="I37" s="435"/>
      <c r="J37" s="236"/>
      <c r="K37" s="236"/>
      <c r="L37" s="429"/>
      <c r="M37" s="24"/>
    </row>
    <row r="38" spans="1:14" ht="15.75" x14ac:dyDescent="0.2">
      <c r="A38" s="12" t="s">
        <v>453</v>
      </c>
      <c r="B38" s="236"/>
      <c r="C38" s="311"/>
      <c r="D38" s="171"/>
      <c r="E38" s="24"/>
      <c r="F38" s="321"/>
      <c r="G38" s="322"/>
      <c r="H38" s="171"/>
      <c r="I38" s="435"/>
      <c r="J38" s="236"/>
      <c r="K38" s="236"/>
      <c r="L38" s="429"/>
      <c r="M38" s="24"/>
    </row>
    <row r="39" spans="1:14" ht="15.75" x14ac:dyDescent="0.2">
      <c r="A39" s="18" t="s">
        <v>454</v>
      </c>
      <c r="B39" s="278"/>
      <c r="C39" s="317"/>
      <c r="D39" s="169"/>
      <c r="E39" s="36"/>
      <c r="F39" s="324"/>
      <c r="G39" s="325"/>
      <c r="H39" s="169"/>
      <c r="I39" s="36"/>
      <c r="J39" s="236"/>
      <c r="K39" s="236"/>
      <c r="L39" s="430"/>
      <c r="M39" s="36"/>
    </row>
    <row r="40" spans="1:14" ht="15.75" x14ac:dyDescent="0.25">
      <c r="A40" s="47"/>
      <c r="B40" s="256"/>
      <c r="C40" s="256"/>
      <c r="D40" s="1026"/>
      <c r="E40" s="1026"/>
      <c r="F40" s="1026"/>
      <c r="G40" s="1026"/>
      <c r="H40" s="1026"/>
      <c r="I40" s="1026"/>
      <c r="J40" s="1026"/>
      <c r="K40" s="1026"/>
      <c r="L40" s="1026"/>
      <c r="M40" s="304"/>
    </row>
    <row r="41" spans="1:14" x14ac:dyDescent="0.2">
      <c r="A41" s="155"/>
    </row>
    <row r="42" spans="1:14" ht="15.75" x14ac:dyDescent="0.25">
      <c r="A42" s="147" t="s">
        <v>269</v>
      </c>
      <c r="B42" s="1027"/>
      <c r="C42" s="1027"/>
      <c r="D42" s="1027"/>
      <c r="E42" s="301"/>
      <c r="F42" s="1028"/>
      <c r="G42" s="1028"/>
      <c r="H42" s="1028"/>
      <c r="I42" s="304"/>
      <c r="J42" s="1028"/>
      <c r="K42" s="1028"/>
      <c r="L42" s="1028"/>
      <c r="M42" s="304"/>
    </row>
    <row r="43" spans="1:14" ht="15.75" x14ac:dyDescent="0.25">
      <c r="A43" s="163"/>
      <c r="B43" s="305"/>
      <c r="C43" s="305"/>
      <c r="D43" s="305"/>
      <c r="E43" s="305"/>
      <c r="F43" s="304"/>
      <c r="G43" s="304"/>
      <c r="H43" s="304"/>
      <c r="I43" s="304"/>
      <c r="J43" s="304"/>
      <c r="K43" s="304"/>
      <c r="L43" s="304"/>
      <c r="M43" s="304"/>
    </row>
    <row r="44" spans="1:14" ht="15.75" x14ac:dyDescent="0.25">
      <c r="A44" s="247"/>
      <c r="B44" s="1023" t="s">
        <v>0</v>
      </c>
      <c r="C44" s="1024"/>
      <c r="D44" s="1024"/>
      <c r="E44" s="243"/>
      <c r="F44" s="304"/>
      <c r="G44" s="304"/>
      <c r="H44" s="304"/>
      <c r="I44" s="304"/>
      <c r="J44" s="304"/>
      <c r="K44" s="304"/>
      <c r="L44" s="304"/>
      <c r="M44" s="304"/>
    </row>
    <row r="45" spans="1:14" s="3" customFormat="1" x14ac:dyDescent="0.2">
      <c r="A45" s="140"/>
      <c r="B45" s="152" t="s">
        <v>502</v>
      </c>
      <c r="C45" s="152" t="s">
        <v>503</v>
      </c>
      <c r="D45" s="162" t="s">
        <v>3</v>
      </c>
      <c r="E45" s="162" t="s">
        <v>29</v>
      </c>
      <c r="F45" s="174"/>
      <c r="G45" s="174"/>
      <c r="H45" s="173"/>
      <c r="I45" s="173"/>
      <c r="J45" s="174"/>
      <c r="K45" s="174"/>
      <c r="L45" s="173"/>
      <c r="M45" s="173"/>
      <c r="N45" s="148"/>
    </row>
    <row r="46" spans="1:14" s="3" customFormat="1" x14ac:dyDescent="0.2">
      <c r="A46" s="990"/>
      <c r="B46" s="244"/>
      <c r="C46" s="244"/>
      <c r="D46" s="245" t="s">
        <v>4</v>
      </c>
      <c r="E46" s="156" t="s">
        <v>30</v>
      </c>
      <c r="F46" s="173"/>
      <c r="G46" s="173"/>
      <c r="H46" s="173"/>
      <c r="I46" s="173"/>
      <c r="J46" s="173"/>
      <c r="K46" s="173"/>
      <c r="L46" s="173"/>
      <c r="M46" s="173"/>
      <c r="N46" s="148"/>
    </row>
    <row r="47" spans="1:14" s="3" customFormat="1" ht="15.75" x14ac:dyDescent="0.2">
      <c r="A47" s="14" t="s">
        <v>23</v>
      </c>
      <c r="B47" s="312">
        <v>3961.9921289016102</v>
      </c>
      <c r="C47" s="313">
        <v>2991</v>
      </c>
      <c r="D47" s="428">
        <f t="shared" ref="D47:D57" si="4">IF(B47=0, "    ---- ", IF(ABS(ROUND(100/B47*C47-100,1))&lt;999,ROUND(100/B47*C47-100,1),IF(ROUND(100/B47*C47-100,1)&gt;999,999,-999)))</f>
        <v>-24.5</v>
      </c>
      <c r="E47" s="11">
        <f>IFERROR(100/'Skjema total MA'!C47*C47,0)</f>
        <v>6.2611523357051987E-2</v>
      </c>
      <c r="F47" s="145"/>
      <c r="G47" s="33"/>
      <c r="H47" s="159"/>
      <c r="I47" s="159"/>
      <c r="J47" s="37"/>
      <c r="K47" s="37"/>
      <c r="L47" s="159"/>
      <c r="M47" s="159"/>
      <c r="N47" s="148"/>
    </row>
    <row r="48" spans="1:14" s="3" customFormat="1" ht="15.75" x14ac:dyDescent="0.2">
      <c r="A48" s="38" t="s">
        <v>455</v>
      </c>
      <c r="B48" s="283">
        <v>3961.9921289016102</v>
      </c>
      <c r="C48" s="284">
        <v>2991</v>
      </c>
      <c r="D48" s="257">
        <f t="shared" si="4"/>
        <v>-24.5</v>
      </c>
      <c r="E48" s="27">
        <f>IFERROR(100/'Skjema total MA'!C48*C48,0)</f>
        <v>0.11225891916618203</v>
      </c>
      <c r="F48" s="145"/>
      <c r="G48" s="33"/>
      <c r="H48" s="145"/>
      <c r="I48" s="145"/>
      <c r="J48" s="33"/>
      <c r="K48" s="33"/>
      <c r="L48" s="159"/>
      <c r="M48" s="159"/>
      <c r="N48" s="148"/>
    </row>
    <row r="49" spans="1:14" s="3" customFormat="1" ht="15.75" x14ac:dyDescent="0.2">
      <c r="A49" s="38" t="s">
        <v>456</v>
      </c>
      <c r="B49" s="44"/>
      <c r="C49" s="289"/>
      <c r="D49" s="257"/>
      <c r="E49" s="27"/>
      <c r="F49" s="145"/>
      <c r="G49" s="33"/>
      <c r="H49" s="145"/>
      <c r="I49" s="145"/>
      <c r="J49" s="37"/>
      <c r="K49" s="37"/>
      <c r="L49" s="159"/>
      <c r="M49" s="159"/>
      <c r="N49" s="148"/>
    </row>
    <row r="50" spans="1:14" s="3" customFormat="1" x14ac:dyDescent="0.2">
      <c r="A50" s="298" t="s">
        <v>6</v>
      </c>
      <c r="B50" s="292"/>
      <c r="C50" s="293"/>
      <c r="D50" s="257"/>
      <c r="E50" s="23"/>
      <c r="F50" s="145"/>
      <c r="G50" s="33"/>
      <c r="H50" s="145"/>
      <c r="I50" s="145"/>
      <c r="J50" s="33"/>
      <c r="K50" s="33"/>
      <c r="L50" s="159"/>
      <c r="M50" s="159"/>
      <c r="N50" s="148"/>
    </row>
    <row r="51" spans="1:14" s="3" customFormat="1" x14ac:dyDescent="0.2">
      <c r="A51" s="298" t="s">
        <v>7</v>
      </c>
      <c r="B51" s="292"/>
      <c r="C51" s="293"/>
      <c r="D51" s="257"/>
      <c r="E51" s="23"/>
      <c r="F51" s="145"/>
      <c r="G51" s="33"/>
      <c r="H51" s="145"/>
      <c r="I51" s="145"/>
      <c r="J51" s="33"/>
      <c r="K51" s="33"/>
      <c r="L51" s="159"/>
      <c r="M51" s="159"/>
      <c r="N51" s="148"/>
    </row>
    <row r="52" spans="1:14" s="3" customFormat="1" x14ac:dyDescent="0.2">
      <c r="A52" s="298" t="s">
        <v>8</v>
      </c>
      <c r="B52" s="292"/>
      <c r="C52" s="293"/>
      <c r="D52" s="257"/>
      <c r="E52" s="23"/>
      <c r="F52" s="145"/>
      <c r="G52" s="33"/>
      <c r="H52" s="145"/>
      <c r="I52" s="145"/>
      <c r="J52" s="33"/>
      <c r="K52" s="33"/>
      <c r="L52" s="159"/>
      <c r="M52" s="159"/>
      <c r="N52" s="148"/>
    </row>
    <row r="53" spans="1:14" s="3" customFormat="1" ht="15.75" x14ac:dyDescent="0.2">
      <c r="A53" s="39" t="s">
        <v>457</v>
      </c>
      <c r="B53" s="312"/>
      <c r="C53" s="313"/>
      <c r="D53" s="429"/>
      <c r="E53" s="11"/>
      <c r="F53" s="145"/>
      <c r="G53" s="33"/>
      <c r="H53" s="145"/>
      <c r="I53" s="145"/>
      <c r="J53" s="33"/>
      <c r="K53" s="33"/>
      <c r="L53" s="159"/>
      <c r="M53" s="159"/>
      <c r="N53" s="148"/>
    </row>
    <row r="54" spans="1:14" s="3" customFormat="1" ht="15.75" x14ac:dyDescent="0.2">
      <c r="A54" s="38" t="s">
        <v>455</v>
      </c>
      <c r="B54" s="283"/>
      <c r="C54" s="284"/>
      <c r="D54" s="257"/>
      <c r="E54" s="27"/>
      <c r="F54" s="145"/>
      <c r="G54" s="33"/>
      <c r="H54" s="145"/>
      <c r="I54" s="145"/>
      <c r="J54" s="33"/>
      <c r="K54" s="33"/>
      <c r="L54" s="159"/>
      <c r="M54" s="159"/>
      <c r="N54" s="148"/>
    </row>
    <row r="55" spans="1:14" s="3" customFormat="1" ht="15.75" x14ac:dyDescent="0.2">
      <c r="A55" s="38" t="s">
        <v>456</v>
      </c>
      <c r="B55" s="283"/>
      <c r="C55" s="284"/>
      <c r="D55" s="257"/>
      <c r="E55" s="27"/>
      <c r="F55" s="145"/>
      <c r="G55" s="33"/>
      <c r="H55" s="145"/>
      <c r="I55" s="145"/>
      <c r="J55" s="33"/>
      <c r="K55" s="33"/>
      <c r="L55" s="159"/>
      <c r="M55" s="159"/>
      <c r="N55" s="148"/>
    </row>
    <row r="56" spans="1:14" s="3" customFormat="1" ht="15.75" x14ac:dyDescent="0.2">
      <c r="A56" s="39" t="s">
        <v>458</v>
      </c>
      <c r="B56" s="312">
        <v>264.21499999999997</v>
      </c>
      <c r="C56" s="313">
        <v>0</v>
      </c>
      <c r="D56" s="429">
        <f t="shared" si="4"/>
        <v>-100</v>
      </c>
      <c r="E56" s="11">
        <f>IFERROR(100/'Skjema total MA'!C56*C56,0)</f>
        <v>0</v>
      </c>
      <c r="F56" s="145"/>
      <c r="G56" s="33"/>
      <c r="H56" s="145"/>
      <c r="I56" s="145"/>
      <c r="J56" s="33"/>
      <c r="K56" s="33"/>
      <c r="L56" s="159"/>
      <c r="M56" s="159"/>
      <c r="N56" s="148"/>
    </row>
    <row r="57" spans="1:14" s="3" customFormat="1" ht="15.75" x14ac:dyDescent="0.2">
      <c r="A57" s="38" t="s">
        <v>455</v>
      </c>
      <c r="B57" s="283">
        <v>264.21499999999997</v>
      </c>
      <c r="C57" s="284">
        <v>0</v>
      </c>
      <c r="D57" s="257">
        <f t="shared" si="4"/>
        <v>-100</v>
      </c>
      <c r="E57" s="27">
        <f>IFERROR(100/'Skjema total MA'!C57*C57,0)</f>
        <v>0</v>
      </c>
      <c r="F57" s="145"/>
      <c r="G57" s="33"/>
      <c r="H57" s="145"/>
      <c r="I57" s="145"/>
      <c r="J57" s="33"/>
      <c r="K57" s="33"/>
      <c r="L57" s="159"/>
      <c r="M57" s="159"/>
      <c r="N57" s="148"/>
    </row>
    <row r="58" spans="1:14" s="3" customFormat="1" ht="15.75" x14ac:dyDescent="0.2">
      <c r="A58" s="46" t="s">
        <v>456</v>
      </c>
      <c r="B58" s="285"/>
      <c r="C58" s="286"/>
      <c r="D58" s="258"/>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1022"/>
      <c r="C62" s="1022"/>
      <c r="D62" s="1022"/>
      <c r="E62" s="301"/>
      <c r="F62" s="1022"/>
      <c r="G62" s="1022"/>
      <c r="H62" s="1022"/>
      <c r="I62" s="301"/>
      <c r="J62" s="1022"/>
      <c r="K62" s="1022"/>
      <c r="L62" s="1022"/>
      <c r="M62" s="301"/>
    </row>
    <row r="63" spans="1:14" x14ac:dyDescent="0.2">
      <c r="A63" s="144"/>
      <c r="B63" s="1023" t="s">
        <v>0</v>
      </c>
      <c r="C63" s="1024"/>
      <c r="D63" s="1025"/>
      <c r="E63" s="302"/>
      <c r="F63" s="1024" t="s">
        <v>1</v>
      </c>
      <c r="G63" s="1024"/>
      <c r="H63" s="1024"/>
      <c r="I63" s="306"/>
      <c r="J63" s="1023" t="s">
        <v>2</v>
      </c>
      <c r="K63" s="1024"/>
      <c r="L63" s="1024"/>
      <c r="M63" s="306"/>
    </row>
    <row r="64" spans="1:14" x14ac:dyDescent="0.2">
      <c r="A64" s="140"/>
      <c r="B64" s="152" t="s">
        <v>502</v>
      </c>
      <c r="C64" s="152" t="s">
        <v>503</v>
      </c>
      <c r="D64" s="245" t="s">
        <v>3</v>
      </c>
      <c r="E64" s="307" t="s">
        <v>29</v>
      </c>
      <c r="F64" s="152" t="s">
        <v>502</v>
      </c>
      <c r="G64" s="152" t="s">
        <v>503</v>
      </c>
      <c r="H64" s="245" t="s">
        <v>3</v>
      </c>
      <c r="I64" s="307" t="s">
        <v>29</v>
      </c>
      <c r="J64" s="152" t="s">
        <v>502</v>
      </c>
      <c r="K64" s="152" t="s">
        <v>503</v>
      </c>
      <c r="L64" s="245" t="s">
        <v>3</v>
      </c>
      <c r="M64" s="162" t="s">
        <v>29</v>
      </c>
    </row>
    <row r="65" spans="1:14" x14ac:dyDescent="0.2">
      <c r="A65" s="990"/>
      <c r="B65" s="156"/>
      <c r="C65" s="156"/>
      <c r="D65" s="246" t="s">
        <v>4</v>
      </c>
      <c r="E65" s="156" t="s">
        <v>30</v>
      </c>
      <c r="F65" s="161"/>
      <c r="G65" s="161"/>
      <c r="H65" s="245"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9"/>
      <c r="M66" s="11"/>
    </row>
    <row r="67" spans="1:14" x14ac:dyDescent="0.2">
      <c r="A67" s="420" t="s">
        <v>9</v>
      </c>
      <c r="B67" s="44"/>
      <c r="C67" s="145"/>
      <c r="D67" s="166"/>
      <c r="E67" s="27"/>
      <c r="F67" s="234"/>
      <c r="G67" s="145"/>
      <c r="H67" s="166"/>
      <c r="I67" s="27"/>
      <c r="J67" s="289"/>
      <c r="K67" s="44"/>
      <c r="L67" s="257"/>
      <c r="M67" s="27"/>
    </row>
    <row r="68" spans="1:14" x14ac:dyDescent="0.2">
      <c r="A68" s="21" t="s">
        <v>10</v>
      </c>
      <c r="B68" s="294"/>
      <c r="C68" s="295"/>
      <c r="D68" s="166"/>
      <c r="E68" s="27"/>
      <c r="F68" s="294"/>
      <c r="G68" s="295"/>
      <c r="H68" s="166"/>
      <c r="I68" s="27"/>
      <c r="J68" s="289"/>
      <c r="K68" s="44"/>
      <c r="L68" s="257"/>
      <c r="M68" s="27"/>
    </row>
    <row r="69" spans="1:14" ht="15.75" x14ac:dyDescent="0.2">
      <c r="A69" s="298" t="s">
        <v>459</v>
      </c>
      <c r="B69" s="283"/>
      <c r="C69" s="283"/>
      <c r="D69" s="166"/>
      <c r="E69" s="418"/>
      <c r="F69" s="283"/>
      <c r="G69" s="283"/>
      <c r="H69" s="166"/>
      <c r="I69" s="418"/>
      <c r="J69" s="292"/>
      <c r="K69" s="292"/>
      <c r="L69" s="166"/>
      <c r="M69" s="23"/>
    </row>
    <row r="70" spans="1:14" x14ac:dyDescent="0.2">
      <c r="A70" s="298" t="s">
        <v>12</v>
      </c>
      <c r="B70" s="296"/>
      <c r="C70" s="297"/>
      <c r="D70" s="166"/>
      <c r="E70" s="418"/>
      <c r="F70" s="283"/>
      <c r="G70" s="283"/>
      <c r="H70" s="166"/>
      <c r="I70" s="418"/>
      <c r="J70" s="292"/>
      <c r="K70" s="292"/>
      <c r="L70" s="166"/>
      <c r="M70" s="23"/>
    </row>
    <row r="71" spans="1:14" x14ac:dyDescent="0.2">
      <c r="A71" s="298" t="s">
        <v>13</v>
      </c>
      <c r="B71" s="235"/>
      <c r="C71" s="291"/>
      <c r="D71" s="166"/>
      <c r="E71" s="418"/>
      <c r="F71" s="283"/>
      <c r="G71" s="283"/>
      <c r="H71" s="166"/>
      <c r="I71" s="418"/>
      <c r="J71" s="292"/>
      <c r="K71" s="292"/>
      <c r="L71" s="166"/>
      <c r="M71" s="23"/>
    </row>
    <row r="72" spans="1:14" ht="15.75" x14ac:dyDescent="0.2">
      <c r="A72" s="298" t="s">
        <v>460</v>
      </c>
      <c r="B72" s="283"/>
      <c r="C72" s="283"/>
      <c r="D72" s="166"/>
      <c r="E72" s="418"/>
      <c r="F72" s="283"/>
      <c r="G72" s="283"/>
      <c r="H72" s="166"/>
      <c r="I72" s="418"/>
      <c r="J72" s="292"/>
      <c r="K72" s="292"/>
      <c r="L72" s="166"/>
      <c r="M72" s="23"/>
    </row>
    <row r="73" spans="1:14" x14ac:dyDescent="0.2">
      <c r="A73" s="298" t="s">
        <v>12</v>
      </c>
      <c r="B73" s="235"/>
      <c r="C73" s="291"/>
      <c r="D73" s="166"/>
      <c r="E73" s="418"/>
      <c r="F73" s="283"/>
      <c r="G73" s="283"/>
      <c r="H73" s="166"/>
      <c r="I73" s="418"/>
      <c r="J73" s="292"/>
      <c r="K73" s="292"/>
      <c r="L73" s="166"/>
      <c r="M73" s="23"/>
    </row>
    <row r="74" spans="1:14" s="3" customFormat="1" x14ac:dyDescent="0.2">
      <c r="A74" s="298" t="s">
        <v>13</v>
      </c>
      <c r="B74" s="235"/>
      <c r="C74" s="291"/>
      <c r="D74" s="166"/>
      <c r="E74" s="418"/>
      <c r="F74" s="283"/>
      <c r="G74" s="283"/>
      <c r="H74" s="166"/>
      <c r="I74" s="418"/>
      <c r="J74" s="292"/>
      <c r="K74" s="292"/>
      <c r="L74" s="166"/>
      <c r="M74" s="23"/>
      <c r="N74" s="148"/>
    </row>
    <row r="75" spans="1:14" s="3" customFormat="1" x14ac:dyDescent="0.2">
      <c r="A75" s="21" t="s">
        <v>346</v>
      </c>
      <c r="B75" s="234"/>
      <c r="C75" s="145"/>
      <c r="D75" s="166"/>
      <c r="E75" s="27"/>
      <c r="F75" s="234"/>
      <c r="G75" s="145"/>
      <c r="H75" s="166"/>
      <c r="I75" s="27"/>
      <c r="J75" s="289"/>
      <c r="K75" s="44"/>
      <c r="L75" s="257"/>
      <c r="M75" s="27"/>
      <c r="N75" s="148"/>
    </row>
    <row r="76" spans="1:14" s="3" customFormat="1" x14ac:dyDescent="0.2">
      <c r="A76" s="21" t="s">
        <v>345</v>
      </c>
      <c r="B76" s="234"/>
      <c r="C76" s="145"/>
      <c r="D76" s="166"/>
      <c r="E76" s="27"/>
      <c r="F76" s="234"/>
      <c r="G76" s="145"/>
      <c r="H76" s="166"/>
      <c r="I76" s="27"/>
      <c r="J76" s="289"/>
      <c r="K76" s="44"/>
      <c r="L76" s="257"/>
      <c r="M76" s="27"/>
      <c r="N76" s="148"/>
    </row>
    <row r="77" spans="1:14" ht="15.75" x14ac:dyDescent="0.2">
      <c r="A77" s="21" t="s">
        <v>461</v>
      </c>
      <c r="B77" s="234"/>
      <c r="C77" s="234"/>
      <c r="D77" s="166"/>
      <c r="E77" s="27"/>
      <c r="F77" s="234"/>
      <c r="G77" s="145"/>
      <c r="H77" s="166"/>
      <c r="I77" s="27"/>
      <c r="J77" s="289"/>
      <c r="K77" s="44"/>
      <c r="L77" s="257"/>
      <c r="M77" s="27"/>
    </row>
    <row r="78" spans="1:14" x14ac:dyDescent="0.2">
      <c r="A78" s="21" t="s">
        <v>9</v>
      </c>
      <c r="B78" s="234"/>
      <c r="C78" s="145"/>
      <c r="D78" s="166"/>
      <c r="E78" s="27"/>
      <c r="F78" s="234"/>
      <c r="G78" s="145"/>
      <c r="H78" s="166"/>
      <c r="I78" s="27"/>
      <c r="J78" s="289"/>
      <c r="K78" s="44"/>
      <c r="L78" s="257"/>
      <c r="M78" s="27"/>
    </row>
    <row r="79" spans="1:14" x14ac:dyDescent="0.2">
      <c r="A79" s="21" t="s">
        <v>10</v>
      </c>
      <c r="B79" s="294"/>
      <c r="C79" s="295"/>
      <c r="D79" s="166"/>
      <c r="E79" s="27"/>
      <c r="F79" s="294"/>
      <c r="G79" s="295"/>
      <c r="H79" s="166"/>
      <c r="I79" s="27"/>
      <c r="J79" s="289"/>
      <c r="K79" s="44"/>
      <c r="L79" s="257"/>
      <c r="M79" s="27"/>
    </row>
    <row r="80" spans="1:14" ht="15.75" x14ac:dyDescent="0.2">
      <c r="A80" s="298" t="s">
        <v>459</v>
      </c>
      <c r="B80" s="283"/>
      <c r="C80" s="283"/>
      <c r="D80" s="166"/>
      <c r="E80" s="418"/>
      <c r="F80" s="283"/>
      <c r="G80" s="283"/>
      <c r="H80" s="166"/>
      <c r="I80" s="418"/>
      <c r="J80" s="292"/>
      <c r="K80" s="292"/>
      <c r="L80" s="166"/>
      <c r="M80" s="23"/>
    </row>
    <row r="81" spans="1:13" x14ac:dyDescent="0.2">
      <c r="A81" s="298" t="s">
        <v>12</v>
      </c>
      <c r="B81" s="235"/>
      <c r="C81" s="291"/>
      <c r="D81" s="166"/>
      <c r="E81" s="418"/>
      <c r="F81" s="283"/>
      <c r="G81" s="283"/>
      <c r="H81" s="166"/>
      <c r="I81" s="418"/>
      <c r="J81" s="292"/>
      <c r="K81" s="292"/>
      <c r="L81" s="166"/>
      <c r="M81" s="23"/>
    </row>
    <row r="82" spans="1:13" x14ac:dyDescent="0.2">
      <c r="A82" s="298" t="s">
        <v>13</v>
      </c>
      <c r="B82" s="235"/>
      <c r="C82" s="291"/>
      <c r="D82" s="166"/>
      <c r="E82" s="418"/>
      <c r="F82" s="283"/>
      <c r="G82" s="283"/>
      <c r="H82" s="166"/>
      <c r="I82" s="418"/>
      <c r="J82" s="292"/>
      <c r="K82" s="292"/>
      <c r="L82" s="166"/>
      <c r="M82" s="23"/>
    </row>
    <row r="83" spans="1:13" ht="15.75" x14ac:dyDescent="0.2">
      <c r="A83" s="298" t="s">
        <v>460</v>
      </c>
      <c r="B83" s="283"/>
      <c r="C83" s="283"/>
      <c r="D83" s="166"/>
      <c r="E83" s="418"/>
      <c r="F83" s="283"/>
      <c r="G83" s="283"/>
      <c r="H83" s="166"/>
      <c r="I83" s="418"/>
      <c r="J83" s="292"/>
      <c r="K83" s="292"/>
      <c r="L83" s="166"/>
      <c r="M83" s="23"/>
    </row>
    <row r="84" spans="1:13" x14ac:dyDescent="0.2">
      <c r="A84" s="298" t="s">
        <v>12</v>
      </c>
      <c r="B84" s="235"/>
      <c r="C84" s="291"/>
      <c r="D84" s="166"/>
      <c r="E84" s="418"/>
      <c r="F84" s="283"/>
      <c r="G84" s="283"/>
      <c r="H84" s="166"/>
      <c r="I84" s="418"/>
      <c r="J84" s="292"/>
      <c r="K84" s="292"/>
      <c r="L84" s="166"/>
      <c r="M84" s="23"/>
    </row>
    <row r="85" spans="1:13" x14ac:dyDescent="0.2">
      <c r="A85" s="298" t="s">
        <v>13</v>
      </c>
      <c r="B85" s="235"/>
      <c r="C85" s="291"/>
      <c r="D85" s="166"/>
      <c r="E85" s="418"/>
      <c r="F85" s="283"/>
      <c r="G85" s="283"/>
      <c r="H85" s="166"/>
      <c r="I85" s="418"/>
      <c r="J85" s="292"/>
      <c r="K85" s="292"/>
      <c r="L85" s="166"/>
      <c r="M85" s="23"/>
    </row>
    <row r="86" spans="1:13" ht="15.75" x14ac:dyDescent="0.2">
      <c r="A86" s="21" t="s">
        <v>462</v>
      </c>
      <c r="B86" s="234"/>
      <c r="C86" s="145"/>
      <c r="D86" s="166"/>
      <c r="E86" s="27"/>
      <c r="F86" s="234"/>
      <c r="G86" s="145"/>
      <c r="H86" s="166"/>
      <c r="I86" s="27"/>
      <c r="J86" s="289"/>
      <c r="K86" s="44"/>
      <c r="L86" s="257"/>
      <c r="M86" s="27"/>
    </row>
    <row r="87" spans="1:13" ht="15.75" x14ac:dyDescent="0.2">
      <c r="A87" s="13" t="s">
        <v>444</v>
      </c>
      <c r="B87" s="354"/>
      <c r="C87" s="354"/>
      <c r="D87" s="171"/>
      <c r="E87" s="11"/>
      <c r="F87" s="353"/>
      <c r="G87" s="353"/>
      <c r="H87" s="171"/>
      <c r="I87" s="11"/>
      <c r="J87" s="311"/>
      <c r="K87" s="236"/>
      <c r="L87" s="429"/>
      <c r="M87" s="11"/>
    </row>
    <row r="88" spans="1:13" x14ac:dyDescent="0.2">
      <c r="A88" s="21" t="s">
        <v>9</v>
      </c>
      <c r="B88" s="234"/>
      <c r="C88" s="145"/>
      <c r="D88" s="166"/>
      <c r="E88" s="27"/>
      <c r="F88" s="234"/>
      <c r="G88" s="145"/>
      <c r="H88" s="166"/>
      <c r="I88" s="27"/>
      <c r="J88" s="289"/>
      <c r="K88" s="44"/>
      <c r="L88" s="257"/>
      <c r="M88" s="27"/>
    </row>
    <row r="89" spans="1:13" x14ac:dyDescent="0.2">
      <c r="A89" s="21" t="s">
        <v>10</v>
      </c>
      <c r="B89" s="234"/>
      <c r="C89" s="145"/>
      <c r="D89" s="166"/>
      <c r="E89" s="27"/>
      <c r="F89" s="234"/>
      <c r="G89" s="145"/>
      <c r="H89" s="166"/>
      <c r="I89" s="27"/>
      <c r="J89" s="289"/>
      <c r="K89" s="44"/>
      <c r="L89" s="257"/>
      <c r="M89" s="27"/>
    </row>
    <row r="90" spans="1:13" ht="15.75" x14ac:dyDescent="0.2">
      <c r="A90" s="298" t="s">
        <v>459</v>
      </c>
      <c r="B90" s="283"/>
      <c r="C90" s="283"/>
      <c r="D90" s="166"/>
      <c r="E90" s="418"/>
      <c r="F90" s="283"/>
      <c r="G90" s="283"/>
      <c r="H90" s="166"/>
      <c r="I90" s="418"/>
      <c r="J90" s="292"/>
      <c r="K90" s="292"/>
      <c r="L90" s="166"/>
      <c r="M90" s="23"/>
    </row>
    <row r="91" spans="1:13" x14ac:dyDescent="0.2">
      <c r="A91" s="298" t="s">
        <v>12</v>
      </c>
      <c r="B91" s="235"/>
      <c r="C91" s="291"/>
      <c r="D91" s="166"/>
      <c r="E91" s="418"/>
      <c r="F91" s="283"/>
      <c r="G91" s="283"/>
      <c r="H91" s="166"/>
      <c r="I91" s="418"/>
      <c r="J91" s="292"/>
      <c r="K91" s="292"/>
      <c r="L91" s="166"/>
      <c r="M91" s="23"/>
    </row>
    <row r="92" spans="1:13" x14ac:dyDescent="0.2">
      <c r="A92" s="298" t="s">
        <v>13</v>
      </c>
      <c r="B92" s="235"/>
      <c r="C92" s="291"/>
      <c r="D92" s="166"/>
      <c r="E92" s="418"/>
      <c r="F92" s="283"/>
      <c r="G92" s="283"/>
      <c r="H92" s="166"/>
      <c r="I92" s="418"/>
      <c r="J92" s="292"/>
      <c r="K92" s="292"/>
      <c r="L92" s="166"/>
      <c r="M92" s="23"/>
    </row>
    <row r="93" spans="1:13" ht="15.75" x14ac:dyDescent="0.2">
      <c r="A93" s="298" t="s">
        <v>460</v>
      </c>
      <c r="B93" s="283"/>
      <c r="C93" s="283"/>
      <c r="D93" s="166"/>
      <c r="E93" s="418"/>
      <c r="F93" s="283"/>
      <c r="G93" s="283"/>
      <c r="H93" s="166"/>
      <c r="I93" s="418"/>
      <c r="J93" s="292"/>
      <c r="K93" s="292"/>
      <c r="L93" s="166"/>
      <c r="M93" s="23"/>
    </row>
    <row r="94" spans="1:13" x14ac:dyDescent="0.2">
      <c r="A94" s="298" t="s">
        <v>12</v>
      </c>
      <c r="B94" s="235"/>
      <c r="C94" s="291"/>
      <c r="D94" s="166"/>
      <c r="E94" s="418"/>
      <c r="F94" s="283"/>
      <c r="G94" s="283"/>
      <c r="H94" s="166"/>
      <c r="I94" s="418"/>
      <c r="J94" s="292"/>
      <c r="K94" s="292"/>
      <c r="L94" s="166"/>
      <c r="M94" s="23"/>
    </row>
    <row r="95" spans="1:13" x14ac:dyDescent="0.2">
      <c r="A95" s="298" t="s">
        <v>13</v>
      </c>
      <c r="B95" s="235"/>
      <c r="C95" s="291"/>
      <c r="D95" s="166"/>
      <c r="E95" s="418"/>
      <c r="F95" s="283"/>
      <c r="G95" s="283"/>
      <c r="H95" s="166"/>
      <c r="I95" s="418"/>
      <c r="J95" s="292"/>
      <c r="K95" s="292"/>
      <c r="L95" s="166"/>
      <c r="M95" s="23"/>
    </row>
    <row r="96" spans="1:13" x14ac:dyDescent="0.2">
      <c r="A96" s="21" t="s">
        <v>344</v>
      </c>
      <c r="B96" s="234"/>
      <c r="C96" s="145"/>
      <c r="D96" s="166"/>
      <c r="E96" s="27"/>
      <c r="F96" s="234"/>
      <c r="G96" s="145"/>
      <c r="H96" s="166"/>
      <c r="I96" s="27"/>
      <c r="J96" s="289"/>
      <c r="K96" s="44"/>
      <c r="L96" s="257"/>
      <c r="M96" s="27"/>
    </row>
    <row r="97" spans="1:13" x14ac:dyDescent="0.2">
      <c r="A97" s="21" t="s">
        <v>343</v>
      </c>
      <c r="B97" s="234"/>
      <c r="C97" s="145"/>
      <c r="D97" s="166"/>
      <c r="E97" s="27"/>
      <c r="F97" s="234"/>
      <c r="G97" s="145"/>
      <c r="H97" s="166"/>
      <c r="I97" s="27"/>
      <c r="J97" s="289"/>
      <c r="K97" s="44"/>
      <c r="L97" s="257"/>
      <c r="M97" s="27"/>
    </row>
    <row r="98" spans="1:13" ht="15.75" x14ac:dyDescent="0.2">
      <c r="A98" s="21" t="s">
        <v>461</v>
      </c>
      <c r="B98" s="234"/>
      <c r="C98" s="234"/>
      <c r="D98" s="166"/>
      <c r="E98" s="27"/>
      <c r="F98" s="294"/>
      <c r="G98" s="294"/>
      <c r="H98" s="166"/>
      <c r="I98" s="27"/>
      <c r="J98" s="289"/>
      <c r="K98" s="44"/>
      <c r="L98" s="257"/>
      <c r="M98" s="27"/>
    </row>
    <row r="99" spans="1:13" x14ac:dyDescent="0.2">
      <c r="A99" s="21" t="s">
        <v>9</v>
      </c>
      <c r="B99" s="294"/>
      <c r="C99" s="295"/>
      <c r="D99" s="166"/>
      <c r="E99" s="27"/>
      <c r="F99" s="234"/>
      <c r="G99" s="145"/>
      <c r="H99" s="166"/>
      <c r="I99" s="27"/>
      <c r="J99" s="289"/>
      <c r="K99" s="44"/>
      <c r="L99" s="257"/>
      <c r="M99" s="27"/>
    </row>
    <row r="100" spans="1:13" x14ac:dyDescent="0.2">
      <c r="A100" s="21" t="s">
        <v>10</v>
      </c>
      <c r="B100" s="294"/>
      <c r="C100" s="295"/>
      <c r="D100" s="166"/>
      <c r="E100" s="27"/>
      <c r="F100" s="234"/>
      <c r="G100" s="234"/>
      <c r="H100" s="166"/>
      <c r="I100" s="27"/>
      <c r="J100" s="289"/>
      <c r="K100" s="44"/>
      <c r="L100" s="257"/>
      <c r="M100" s="27"/>
    </row>
    <row r="101" spans="1:13" ht="15.75" x14ac:dyDescent="0.2">
      <c r="A101" s="298" t="s">
        <v>459</v>
      </c>
      <c r="B101" s="283"/>
      <c r="C101" s="283"/>
      <c r="D101" s="166"/>
      <c r="E101" s="418"/>
      <c r="F101" s="283"/>
      <c r="G101" s="283"/>
      <c r="H101" s="166"/>
      <c r="I101" s="418"/>
      <c r="J101" s="292"/>
      <c r="K101" s="292"/>
      <c r="L101" s="166"/>
      <c r="M101" s="23"/>
    </row>
    <row r="102" spans="1:13" x14ac:dyDescent="0.2">
      <c r="A102" s="298" t="s">
        <v>12</v>
      </c>
      <c r="B102" s="235"/>
      <c r="C102" s="291"/>
      <c r="D102" s="166"/>
      <c r="E102" s="418"/>
      <c r="F102" s="283"/>
      <c r="G102" s="283"/>
      <c r="H102" s="166"/>
      <c r="I102" s="418"/>
      <c r="J102" s="292"/>
      <c r="K102" s="292"/>
      <c r="L102" s="166"/>
      <c r="M102" s="23"/>
    </row>
    <row r="103" spans="1:13" x14ac:dyDescent="0.2">
      <c r="A103" s="298" t="s">
        <v>13</v>
      </c>
      <c r="B103" s="235"/>
      <c r="C103" s="291"/>
      <c r="D103" s="166"/>
      <c r="E103" s="418"/>
      <c r="F103" s="283"/>
      <c r="G103" s="283"/>
      <c r="H103" s="166"/>
      <c r="I103" s="418"/>
      <c r="J103" s="292"/>
      <c r="K103" s="292"/>
      <c r="L103" s="166"/>
      <c r="M103" s="23"/>
    </row>
    <row r="104" spans="1:13" ht="15.75" x14ac:dyDescent="0.2">
      <c r="A104" s="298" t="s">
        <v>460</v>
      </c>
      <c r="B104" s="283"/>
      <c r="C104" s="283"/>
      <c r="D104" s="166"/>
      <c r="E104" s="418"/>
      <c r="F104" s="283"/>
      <c r="G104" s="283"/>
      <c r="H104" s="166"/>
      <c r="I104" s="418"/>
      <c r="J104" s="292"/>
      <c r="K104" s="292"/>
      <c r="L104" s="166"/>
      <c r="M104" s="23"/>
    </row>
    <row r="105" spans="1:13" x14ac:dyDescent="0.2">
      <c r="A105" s="298" t="s">
        <v>12</v>
      </c>
      <c r="B105" s="235"/>
      <c r="C105" s="291"/>
      <c r="D105" s="166"/>
      <c r="E105" s="418"/>
      <c r="F105" s="283"/>
      <c r="G105" s="283"/>
      <c r="H105" s="166"/>
      <c r="I105" s="418"/>
      <c r="J105" s="292"/>
      <c r="K105" s="292"/>
      <c r="L105" s="166"/>
      <c r="M105" s="23"/>
    </row>
    <row r="106" spans="1:13" x14ac:dyDescent="0.2">
      <c r="A106" s="298" t="s">
        <v>13</v>
      </c>
      <c r="B106" s="235"/>
      <c r="C106" s="291"/>
      <c r="D106" s="166"/>
      <c r="E106" s="418"/>
      <c r="F106" s="283"/>
      <c r="G106" s="283"/>
      <c r="H106" s="166"/>
      <c r="I106" s="418"/>
      <c r="J106" s="292"/>
      <c r="K106" s="292"/>
      <c r="L106" s="166"/>
      <c r="M106" s="23"/>
    </row>
    <row r="107" spans="1:13" ht="15.75" x14ac:dyDescent="0.2">
      <c r="A107" s="21" t="s">
        <v>462</v>
      </c>
      <c r="B107" s="234"/>
      <c r="C107" s="145"/>
      <c r="D107" s="166"/>
      <c r="E107" s="27"/>
      <c r="F107" s="234"/>
      <c r="G107" s="145"/>
      <c r="H107" s="166"/>
      <c r="I107" s="27"/>
      <c r="J107" s="289"/>
      <c r="K107" s="44"/>
      <c r="L107" s="257"/>
      <c r="M107" s="27"/>
    </row>
    <row r="108" spans="1:13" ht="15.75" x14ac:dyDescent="0.2">
      <c r="A108" s="21" t="s">
        <v>463</v>
      </c>
      <c r="B108" s="234"/>
      <c r="C108" s="234"/>
      <c r="D108" s="166"/>
      <c r="E108" s="27"/>
      <c r="F108" s="234"/>
      <c r="G108" s="234"/>
      <c r="H108" s="166"/>
      <c r="I108" s="27"/>
      <c r="J108" s="289"/>
      <c r="K108" s="44"/>
      <c r="L108" s="257"/>
      <c r="M108" s="27"/>
    </row>
    <row r="109" spans="1:13" ht="15.75" x14ac:dyDescent="0.2">
      <c r="A109" s="21" t="s">
        <v>464</v>
      </c>
      <c r="B109" s="234"/>
      <c r="C109" s="234"/>
      <c r="D109" s="166"/>
      <c r="E109" s="27"/>
      <c r="F109" s="234"/>
      <c r="G109" s="234"/>
      <c r="H109" s="166"/>
      <c r="I109" s="27"/>
      <c r="J109" s="289"/>
      <c r="K109" s="44"/>
      <c r="L109" s="257"/>
      <c r="M109" s="27"/>
    </row>
    <row r="110" spans="1:13" ht="15.75" x14ac:dyDescent="0.2">
      <c r="A110" s="21" t="s">
        <v>465</v>
      </c>
      <c r="B110" s="234"/>
      <c r="C110" s="234"/>
      <c r="D110" s="166"/>
      <c r="E110" s="27"/>
      <c r="F110" s="234"/>
      <c r="G110" s="234"/>
      <c r="H110" s="166"/>
      <c r="I110" s="27"/>
      <c r="J110" s="289"/>
      <c r="K110" s="44"/>
      <c r="L110" s="257"/>
      <c r="M110" s="27"/>
    </row>
    <row r="111" spans="1:13" ht="15.75" x14ac:dyDescent="0.2">
      <c r="A111" s="13" t="s">
        <v>445</v>
      </c>
      <c r="B111" s="310"/>
      <c r="C111" s="159"/>
      <c r="D111" s="171"/>
      <c r="E111" s="11"/>
      <c r="F111" s="310"/>
      <c r="G111" s="159"/>
      <c r="H111" s="171"/>
      <c r="I111" s="11"/>
      <c r="J111" s="311"/>
      <c r="K111" s="236"/>
      <c r="L111" s="429"/>
      <c r="M111" s="11"/>
    </row>
    <row r="112" spans="1:13" x14ac:dyDescent="0.2">
      <c r="A112" s="21" t="s">
        <v>9</v>
      </c>
      <c r="B112" s="234"/>
      <c r="C112" s="145"/>
      <c r="D112" s="166"/>
      <c r="E112" s="27"/>
      <c r="F112" s="234"/>
      <c r="G112" s="145"/>
      <c r="H112" s="166"/>
      <c r="I112" s="27"/>
      <c r="J112" s="289"/>
      <c r="K112" s="44"/>
      <c r="L112" s="257"/>
      <c r="M112" s="27"/>
    </row>
    <row r="113" spans="1:14" x14ac:dyDescent="0.2">
      <c r="A113" s="21" t="s">
        <v>10</v>
      </c>
      <c r="B113" s="234"/>
      <c r="C113" s="145"/>
      <c r="D113" s="166"/>
      <c r="E113" s="27"/>
      <c r="F113" s="234"/>
      <c r="G113" s="145"/>
      <c r="H113" s="166"/>
      <c r="I113" s="27"/>
      <c r="J113" s="289"/>
      <c r="K113" s="44"/>
      <c r="L113" s="257"/>
      <c r="M113" s="27"/>
    </row>
    <row r="114" spans="1:14" x14ac:dyDescent="0.2">
      <c r="A114" s="21" t="s">
        <v>26</v>
      </c>
      <c r="B114" s="234"/>
      <c r="C114" s="145"/>
      <c r="D114" s="166"/>
      <c r="E114" s="27"/>
      <c r="F114" s="234"/>
      <c r="G114" s="145"/>
      <c r="H114" s="166"/>
      <c r="I114" s="27"/>
      <c r="J114" s="289"/>
      <c r="K114" s="44"/>
      <c r="L114" s="257"/>
      <c r="M114" s="27"/>
    </row>
    <row r="115" spans="1:14" x14ac:dyDescent="0.2">
      <c r="A115" s="298" t="s">
        <v>15</v>
      </c>
      <c r="B115" s="283"/>
      <c r="C115" s="283"/>
      <c r="D115" s="166"/>
      <c r="E115" s="418"/>
      <c r="F115" s="283"/>
      <c r="G115" s="283"/>
      <c r="H115" s="166"/>
      <c r="I115" s="418"/>
      <c r="J115" s="292"/>
      <c r="K115" s="292"/>
      <c r="L115" s="166"/>
      <c r="M115" s="23"/>
    </row>
    <row r="116" spans="1:14" ht="15.75" x14ac:dyDescent="0.2">
      <c r="A116" s="21" t="s">
        <v>466</v>
      </c>
      <c r="B116" s="234"/>
      <c r="C116" s="234"/>
      <c r="D116" s="166"/>
      <c r="E116" s="27"/>
      <c r="F116" s="234"/>
      <c r="G116" s="234"/>
      <c r="H116" s="166"/>
      <c r="I116" s="27"/>
      <c r="J116" s="289"/>
      <c r="K116" s="44"/>
      <c r="L116" s="257"/>
      <c r="M116" s="27"/>
    </row>
    <row r="117" spans="1:14" ht="15.75" x14ac:dyDescent="0.2">
      <c r="A117" s="21" t="s">
        <v>467</v>
      </c>
      <c r="B117" s="234"/>
      <c r="C117" s="234"/>
      <c r="D117" s="166"/>
      <c r="E117" s="27"/>
      <c r="F117" s="234"/>
      <c r="G117" s="234"/>
      <c r="H117" s="166"/>
      <c r="I117" s="27"/>
      <c r="J117" s="289"/>
      <c r="K117" s="44"/>
      <c r="L117" s="257"/>
      <c r="M117" s="27"/>
    </row>
    <row r="118" spans="1:14" ht="15.75" x14ac:dyDescent="0.2">
      <c r="A118" s="21" t="s">
        <v>465</v>
      </c>
      <c r="B118" s="234"/>
      <c r="C118" s="234"/>
      <c r="D118" s="166"/>
      <c r="E118" s="27"/>
      <c r="F118" s="234"/>
      <c r="G118" s="234"/>
      <c r="H118" s="166"/>
      <c r="I118" s="27"/>
      <c r="J118" s="289"/>
      <c r="K118" s="44"/>
      <c r="L118" s="257"/>
      <c r="M118" s="27"/>
    </row>
    <row r="119" spans="1:14" ht="15.75" x14ac:dyDescent="0.2">
      <c r="A119" s="13" t="s">
        <v>446</v>
      </c>
      <c r="B119" s="310"/>
      <c r="C119" s="159"/>
      <c r="D119" s="171"/>
      <c r="E119" s="11"/>
      <c r="F119" s="310"/>
      <c r="G119" s="159"/>
      <c r="H119" s="171"/>
      <c r="I119" s="11"/>
      <c r="J119" s="311"/>
      <c r="K119" s="236"/>
      <c r="L119" s="429"/>
      <c r="M119" s="11"/>
    </row>
    <row r="120" spans="1:14" x14ac:dyDescent="0.2">
      <c r="A120" s="21" t="s">
        <v>9</v>
      </c>
      <c r="B120" s="234"/>
      <c r="C120" s="145"/>
      <c r="D120" s="166"/>
      <c r="E120" s="27"/>
      <c r="F120" s="234"/>
      <c r="G120" s="145"/>
      <c r="H120" s="166"/>
      <c r="I120" s="27"/>
      <c r="J120" s="289"/>
      <c r="K120" s="44"/>
      <c r="L120" s="257"/>
      <c r="M120" s="27"/>
    </row>
    <row r="121" spans="1:14" x14ac:dyDescent="0.2">
      <c r="A121" s="21" t="s">
        <v>10</v>
      </c>
      <c r="B121" s="234"/>
      <c r="C121" s="145"/>
      <c r="D121" s="166"/>
      <c r="E121" s="27"/>
      <c r="F121" s="234"/>
      <c r="G121" s="145"/>
      <c r="H121" s="166"/>
      <c r="I121" s="27"/>
      <c r="J121" s="289"/>
      <c r="K121" s="44"/>
      <c r="L121" s="257"/>
      <c r="M121" s="27"/>
    </row>
    <row r="122" spans="1:14" x14ac:dyDescent="0.2">
      <c r="A122" s="21" t="s">
        <v>26</v>
      </c>
      <c r="B122" s="234"/>
      <c r="C122" s="145"/>
      <c r="D122" s="166"/>
      <c r="E122" s="27"/>
      <c r="F122" s="234"/>
      <c r="G122" s="145"/>
      <c r="H122" s="166"/>
      <c r="I122" s="27"/>
      <c r="J122" s="289"/>
      <c r="K122" s="44"/>
      <c r="L122" s="257"/>
      <c r="M122" s="27"/>
    </row>
    <row r="123" spans="1:14" x14ac:dyDescent="0.2">
      <c r="A123" s="298" t="s">
        <v>14</v>
      </c>
      <c r="B123" s="283"/>
      <c r="C123" s="283"/>
      <c r="D123" s="166"/>
      <c r="E123" s="418"/>
      <c r="F123" s="283"/>
      <c r="G123" s="283"/>
      <c r="H123" s="166"/>
      <c r="I123" s="418"/>
      <c r="J123" s="292"/>
      <c r="K123" s="292"/>
      <c r="L123" s="166"/>
      <c r="M123" s="23"/>
    </row>
    <row r="124" spans="1:14" ht="15.75" x14ac:dyDescent="0.2">
      <c r="A124" s="21" t="s">
        <v>472</v>
      </c>
      <c r="B124" s="234"/>
      <c r="C124" s="234"/>
      <c r="D124" s="166"/>
      <c r="E124" s="27"/>
      <c r="F124" s="234"/>
      <c r="G124" s="234"/>
      <c r="H124" s="166"/>
      <c r="I124" s="27"/>
      <c r="J124" s="289"/>
      <c r="K124" s="44"/>
      <c r="L124" s="257"/>
      <c r="M124" s="27"/>
    </row>
    <row r="125" spans="1:14" ht="15.75" x14ac:dyDescent="0.2">
      <c r="A125" s="21" t="s">
        <v>464</v>
      </c>
      <c r="B125" s="234"/>
      <c r="C125" s="234"/>
      <c r="D125" s="166"/>
      <c r="E125" s="27"/>
      <c r="F125" s="234"/>
      <c r="G125" s="234"/>
      <c r="H125" s="166"/>
      <c r="I125" s="27"/>
      <c r="J125" s="289"/>
      <c r="K125" s="44"/>
      <c r="L125" s="257"/>
      <c r="M125" s="27"/>
    </row>
    <row r="126" spans="1:14" ht="15.75" x14ac:dyDescent="0.2">
      <c r="A126" s="10" t="s">
        <v>465</v>
      </c>
      <c r="B126" s="45"/>
      <c r="C126" s="45"/>
      <c r="D126" s="167"/>
      <c r="E126" s="419"/>
      <c r="F126" s="45"/>
      <c r="G126" s="45"/>
      <c r="H126" s="167"/>
      <c r="I126" s="22"/>
      <c r="J126" s="290"/>
      <c r="K126" s="45"/>
      <c r="L126" s="258"/>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1022"/>
      <c r="C130" s="1022"/>
      <c r="D130" s="1022"/>
      <c r="E130" s="301"/>
      <c r="F130" s="1022"/>
      <c r="G130" s="1022"/>
      <c r="H130" s="1022"/>
      <c r="I130" s="301"/>
      <c r="J130" s="1022"/>
      <c r="K130" s="1022"/>
      <c r="L130" s="1022"/>
      <c r="M130" s="301"/>
    </row>
    <row r="131" spans="1:14" s="3" customFormat="1" x14ac:dyDescent="0.2">
      <c r="A131" s="144"/>
      <c r="B131" s="1023" t="s">
        <v>0</v>
      </c>
      <c r="C131" s="1024"/>
      <c r="D131" s="1024"/>
      <c r="E131" s="303"/>
      <c r="F131" s="1023" t="s">
        <v>1</v>
      </c>
      <c r="G131" s="1024"/>
      <c r="H131" s="1024"/>
      <c r="I131" s="306"/>
      <c r="J131" s="1023" t="s">
        <v>2</v>
      </c>
      <c r="K131" s="1024"/>
      <c r="L131" s="1024"/>
      <c r="M131" s="306"/>
      <c r="N131" s="148"/>
    </row>
    <row r="132" spans="1:14" s="3" customFormat="1" x14ac:dyDescent="0.2">
      <c r="A132" s="140"/>
      <c r="B132" s="152" t="s">
        <v>502</v>
      </c>
      <c r="C132" s="152" t="s">
        <v>503</v>
      </c>
      <c r="D132" s="245" t="s">
        <v>3</v>
      </c>
      <c r="E132" s="307" t="s">
        <v>29</v>
      </c>
      <c r="F132" s="152" t="s">
        <v>502</v>
      </c>
      <c r="G132" s="152" t="s">
        <v>503</v>
      </c>
      <c r="H132" s="206" t="s">
        <v>3</v>
      </c>
      <c r="I132" s="162" t="s">
        <v>29</v>
      </c>
      <c r="J132" s="152" t="s">
        <v>502</v>
      </c>
      <c r="K132" s="152" t="s">
        <v>503</v>
      </c>
      <c r="L132" s="246" t="s">
        <v>3</v>
      </c>
      <c r="M132" s="162" t="s">
        <v>29</v>
      </c>
      <c r="N132" s="148"/>
    </row>
    <row r="133" spans="1:14" s="3" customFormat="1" x14ac:dyDescent="0.2">
      <c r="A133" s="990"/>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468</v>
      </c>
      <c r="B134" s="236"/>
      <c r="C134" s="311"/>
      <c r="D134" s="351"/>
      <c r="E134" s="11"/>
      <c r="F134" s="318"/>
      <c r="G134" s="319"/>
      <c r="H134" s="432"/>
      <c r="I134" s="24"/>
      <c r="J134" s="320"/>
      <c r="K134" s="320"/>
      <c r="L134" s="428"/>
      <c r="M134" s="11"/>
      <c r="N134" s="148"/>
    </row>
    <row r="135" spans="1:14" s="3" customFormat="1" ht="15.75" x14ac:dyDescent="0.2">
      <c r="A135" s="13" t="s">
        <v>473</v>
      </c>
      <c r="B135" s="236"/>
      <c r="C135" s="311"/>
      <c r="D135" s="171"/>
      <c r="E135" s="11"/>
      <c r="F135" s="236"/>
      <c r="G135" s="311"/>
      <c r="H135" s="433"/>
      <c r="I135" s="24"/>
      <c r="J135" s="310"/>
      <c r="K135" s="310"/>
      <c r="L135" s="429"/>
      <c r="M135" s="11"/>
      <c r="N135" s="148"/>
    </row>
    <row r="136" spans="1:14" s="3" customFormat="1" ht="15.75" x14ac:dyDescent="0.2">
      <c r="A136" s="13" t="s">
        <v>470</v>
      </c>
      <c r="B136" s="236"/>
      <c r="C136" s="311"/>
      <c r="D136" s="171"/>
      <c r="E136" s="11"/>
      <c r="F136" s="236"/>
      <c r="G136" s="311"/>
      <c r="H136" s="433"/>
      <c r="I136" s="24"/>
      <c r="J136" s="310"/>
      <c r="K136" s="310"/>
      <c r="L136" s="429"/>
      <c r="M136" s="11"/>
      <c r="N136" s="148"/>
    </row>
    <row r="137" spans="1:14" s="3" customFormat="1" ht="15.75" x14ac:dyDescent="0.2">
      <c r="A137" s="41" t="s">
        <v>471</v>
      </c>
      <c r="B137" s="278"/>
      <c r="C137" s="317"/>
      <c r="D137" s="169"/>
      <c r="E137" s="9"/>
      <c r="F137" s="278"/>
      <c r="G137" s="317"/>
      <c r="H137" s="434"/>
      <c r="I137" s="36"/>
      <c r="J137" s="316"/>
      <c r="K137" s="316"/>
      <c r="L137" s="430"/>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679" priority="132">
      <formula>kvartal &lt; 4</formula>
    </cfRule>
  </conditionalFormatting>
  <conditionalFormatting sqref="B69">
    <cfRule type="expression" dxfId="1678" priority="100">
      <formula>kvartal &lt; 4</formula>
    </cfRule>
  </conditionalFormatting>
  <conditionalFormatting sqref="C69">
    <cfRule type="expression" dxfId="1677" priority="99">
      <formula>kvartal &lt; 4</formula>
    </cfRule>
  </conditionalFormatting>
  <conditionalFormatting sqref="B72">
    <cfRule type="expression" dxfId="1676" priority="98">
      <formula>kvartal &lt; 4</formula>
    </cfRule>
  </conditionalFormatting>
  <conditionalFormatting sqref="C72">
    <cfRule type="expression" dxfId="1675" priority="97">
      <formula>kvartal &lt; 4</formula>
    </cfRule>
  </conditionalFormatting>
  <conditionalFormatting sqref="B80">
    <cfRule type="expression" dxfId="1674" priority="96">
      <formula>kvartal &lt; 4</formula>
    </cfRule>
  </conditionalFormatting>
  <conditionalFormatting sqref="C80">
    <cfRule type="expression" dxfId="1673" priority="95">
      <formula>kvartal &lt; 4</formula>
    </cfRule>
  </conditionalFormatting>
  <conditionalFormatting sqref="B83">
    <cfRule type="expression" dxfId="1672" priority="94">
      <formula>kvartal &lt; 4</formula>
    </cfRule>
  </conditionalFormatting>
  <conditionalFormatting sqref="C83">
    <cfRule type="expression" dxfId="1671" priority="93">
      <formula>kvartal &lt; 4</formula>
    </cfRule>
  </conditionalFormatting>
  <conditionalFormatting sqref="B90">
    <cfRule type="expression" dxfId="1670" priority="84">
      <formula>kvartal &lt; 4</formula>
    </cfRule>
  </conditionalFormatting>
  <conditionalFormatting sqref="C90">
    <cfRule type="expression" dxfId="1669" priority="83">
      <formula>kvartal &lt; 4</formula>
    </cfRule>
  </conditionalFormatting>
  <conditionalFormatting sqref="B93">
    <cfRule type="expression" dxfId="1668" priority="82">
      <formula>kvartal &lt; 4</formula>
    </cfRule>
  </conditionalFormatting>
  <conditionalFormatting sqref="C93">
    <cfRule type="expression" dxfId="1667" priority="81">
      <formula>kvartal &lt; 4</formula>
    </cfRule>
  </conditionalFormatting>
  <conditionalFormatting sqref="B101">
    <cfRule type="expression" dxfId="1666" priority="80">
      <formula>kvartal &lt; 4</formula>
    </cfRule>
  </conditionalFormatting>
  <conditionalFormatting sqref="C101">
    <cfRule type="expression" dxfId="1665" priority="79">
      <formula>kvartal &lt; 4</formula>
    </cfRule>
  </conditionalFormatting>
  <conditionalFormatting sqref="B104">
    <cfRule type="expression" dxfId="1664" priority="78">
      <formula>kvartal &lt; 4</formula>
    </cfRule>
  </conditionalFormatting>
  <conditionalFormatting sqref="C104">
    <cfRule type="expression" dxfId="1663" priority="77">
      <formula>kvartal &lt; 4</formula>
    </cfRule>
  </conditionalFormatting>
  <conditionalFormatting sqref="B115">
    <cfRule type="expression" dxfId="1662" priority="76">
      <formula>kvartal &lt; 4</formula>
    </cfRule>
  </conditionalFormatting>
  <conditionalFormatting sqref="C115">
    <cfRule type="expression" dxfId="1661" priority="75">
      <formula>kvartal &lt; 4</formula>
    </cfRule>
  </conditionalFormatting>
  <conditionalFormatting sqref="B123">
    <cfRule type="expression" dxfId="1660" priority="74">
      <formula>kvartal &lt; 4</formula>
    </cfRule>
  </conditionalFormatting>
  <conditionalFormatting sqref="C123">
    <cfRule type="expression" dxfId="1659" priority="73">
      <formula>kvartal &lt; 4</formula>
    </cfRule>
  </conditionalFormatting>
  <conditionalFormatting sqref="F70">
    <cfRule type="expression" dxfId="1658" priority="72">
      <formula>kvartal &lt; 4</formula>
    </cfRule>
  </conditionalFormatting>
  <conditionalFormatting sqref="G70">
    <cfRule type="expression" dxfId="1657" priority="71">
      <formula>kvartal &lt; 4</formula>
    </cfRule>
  </conditionalFormatting>
  <conditionalFormatting sqref="F71:G71">
    <cfRule type="expression" dxfId="1656" priority="70">
      <formula>kvartal &lt; 4</formula>
    </cfRule>
  </conditionalFormatting>
  <conditionalFormatting sqref="F73:G74">
    <cfRule type="expression" dxfId="1655" priority="69">
      <formula>kvartal &lt; 4</formula>
    </cfRule>
  </conditionalFormatting>
  <conditionalFormatting sqref="F81:G82">
    <cfRule type="expression" dxfId="1654" priority="68">
      <formula>kvartal &lt; 4</formula>
    </cfRule>
  </conditionalFormatting>
  <conditionalFormatting sqref="F84:G85">
    <cfRule type="expression" dxfId="1653" priority="67">
      <formula>kvartal &lt; 4</formula>
    </cfRule>
  </conditionalFormatting>
  <conditionalFormatting sqref="F91:G92">
    <cfRule type="expression" dxfId="1652" priority="62">
      <formula>kvartal &lt; 4</formula>
    </cfRule>
  </conditionalFormatting>
  <conditionalFormatting sqref="F94:G95">
    <cfRule type="expression" dxfId="1651" priority="61">
      <formula>kvartal &lt; 4</formula>
    </cfRule>
  </conditionalFormatting>
  <conditionalFormatting sqref="F102:G103">
    <cfRule type="expression" dxfId="1650" priority="60">
      <formula>kvartal &lt; 4</formula>
    </cfRule>
  </conditionalFormatting>
  <conditionalFormatting sqref="F105:G106">
    <cfRule type="expression" dxfId="1649" priority="59">
      <formula>kvartal &lt; 4</formula>
    </cfRule>
  </conditionalFormatting>
  <conditionalFormatting sqref="F115">
    <cfRule type="expression" dxfId="1648" priority="58">
      <formula>kvartal &lt; 4</formula>
    </cfRule>
  </conditionalFormatting>
  <conditionalFormatting sqref="G115">
    <cfRule type="expression" dxfId="1647" priority="57">
      <formula>kvartal &lt; 4</formula>
    </cfRule>
  </conditionalFormatting>
  <conditionalFormatting sqref="F123:G123">
    <cfRule type="expression" dxfId="1646" priority="56">
      <formula>kvartal &lt; 4</formula>
    </cfRule>
  </conditionalFormatting>
  <conditionalFormatting sqref="F69:G69">
    <cfRule type="expression" dxfId="1645" priority="55">
      <formula>kvartal &lt; 4</formula>
    </cfRule>
  </conditionalFormatting>
  <conditionalFormatting sqref="F72:G72">
    <cfRule type="expression" dxfId="1644" priority="54">
      <formula>kvartal &lt; 4</formula>
    </cfRule>
  </conditionalFormatting>
  <conditionalFormatting sqref="F80:G80">
    <cfRule type="expression" dxfId="1643" priority="53">
      <formula>kvartal &lt; 4</formula>
    </cfRule>
  </conditionalFormatting>
  <conditionalFormatting sqref="F83:G83">
    <cfRule type="expression" dxfId="1642" priority="52">
      <formula>kvartal &lt; 4</formula>
    </cfRule>
  </conditionalFormatting>
  <conditionalFormatting sqref="F90:G90">
    <cfRule type="expression" dxfId="1641" priority="46">
      <formula>kvartal &lt; 4</formula>
    </cfRule>
  </conditionalFormatting>
  <conditionalFormatting sqref="F93">
    <cfRule type="expression" dxfId="1640" priority="45">
      <formula>kvartal &lt; 4</formula>
    </cfRule>
  </conditionalFormatting>
  <conditionalFormatting sqref="G93">
    <cfRule type="expression" dxfId="1639" priority="44">
      <formula>kvartal &lt; 4</formula>
    </cfRule>
  </conditionalFormatting>
  <conditionalFormatting sqref="F101">
    <cfRule type="expression" dxfId="1638" priority="43">
      <formula>kvartal &lt; 4</formula>
    </cfRule>
  </conditionalFormatting>
  <conditionalFormatting sqref="G101">
    <cfRule type="expression" dxfId="1637" priority="42">
      <formula>kvartal &lt; 4</formula>
    </cfRule>
  </conditionalFormatting>
  <conditionalFormatting sqref="G104">
    <cfRule type="expression" dxfId="1636" priority="41">
      <formula>kvartal &lt; 4</formula>
    </cfRule>
  </conditionalFormatting>
  <conditionalFormatting sqref="F104">
    <cfRule type="expression" dxfId="1635" priority="40">
      <formula>kvartal &lt; 4</formula>
    </cfRule>
  </conditionalFormatting>
  <conditionalFormatting sqref="J69:K73">
    <cfRule type="expression" dxfId="1634" priority="39">
      <formula>kvartal &lt; 4</formula>
    </cfRule>
  </conditionalFormatting>
  <conditionalFormatting sqref="J74:K74">
    <cfRule type="expression" dxfId="1633" priority="38">
      <formula>kvartal &lt; 4</formula>
    </cfRule>
  </conditionalFormatting>
  <conditionalFormatting sqref="J80:K85">
    <cfRule type="expression" dxfId="1632" priority="37">
      <formula>kvartal &lt; 4</formula>
    </cfRule>
  </conditionalFormatting>
  <conditionalFormatting sqref="J90:K95">
    <cfRule type="expression" dxfId="1631" priority="34">
      <formula>kvartal &lt; 4</formula>
    </cfRule>
  </conditionalFormatting>
  <conditionalFormatting sqref="J101:K106">
    <cfRule type="expression" dxfId="1630" priority="33">
      <formula>kvartal &lt; 4</formula>
    </cfRule>
  </conditionalFormatting>
  <conditionalFormatting sqref="J115:K115">
    <cfRule type="expression" dxfId="1629" priority="32">
      <formula>kvartal &lt; 4</formula>
    </cfRule>
  </conditionalFormatting>
  <conditionalFormatting sqref="J123:K123">
    <cfRule type="expression" dxfId="1628" priority="31">
      <formula>kvartal &lt; 4</formula>
    </cfRule>
  </conditionalFormatting>
  <conditionalFormatting sqref="A50:A52">
    <cfRule type="expression" dxfId="1627" priority="12">
      <formula>kvartal &lt; 4</formula>
    </cfRule>
  </conditionalFormatting>
  <conditionalFormatting sqref="A69:A74">
    <cfRule type="expression" dxfId="1626" priority="10">
      <formula>kvartal &lt; 4</formula>
    </cfRule>
  </conditionalFormatting>
  <conditionalFormatting sqref="A80:A85">
    <cfRule type="expression" dxfId="1625" priority="9">
      <formula>kvartal &lt; 4</formula>
    </cfRule>
  </conditionalFormatting>
  <conditionalFormatting sqref="A90:A95">
    <cfRule type="expression" dxfId="1624" priority="6">
      <formula>kvartal &lt; 4</formula>
    </cfRule>
  </conditionalFormatting>
  <conditionalFormatting sqref="A101:A106">
    <cfRule type="expression" dxfId="1623" priority="5">
      <formula>kvartal &lt; 4</formula>
    </cfRule>
  </conditionalFormatting>
  <conditionalFormatting sqref="A115">
    <cfRule type="expression" dxfId="1622" priority="4">
      <formula>kvartal &lt; 4</formula>
    </cfRule>
  </conditionalFormatting>
  <conditionalFormatting sqref="A123">
    <cfRule type="expression" dxfId="1621" priority="3">
      <formula>kvartal &lt; 4</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N58"/>
  <sheetViews>
    <sheetView showGridLines="0" tabSelected="1" zoomScale="70" zoomScaleNormal="70" workbookViewId="0">
      <selection activeCell="C37" sqref="C37"/>
    </sheetView>
  </sheetViews>
  <sheetFormatPr baseColWidth="10" defaultColWidth="11.42578125" defaultRowHeight="25.5" x14ac:dyDescent="0.35"/>
  <cols>
    <col min="1" max="1" width="11.42578125" style="67"/>
    <col min="2" max="2" width="25" style="67" customWidth="1"/>
    <col min="3" max="3" width="141.7109375" style="67" customWidth="1"/>
    <col min="4" max="16384" width="11.42578125" style="67"/>
  </cols>
  <sheetData>
    <row r="1" spans="1:14" ht="20.100000000000001" customHeight="1" x14ac:dyDescent="0.35">
      <c r="C1" s="68"/>
      <c r="D1" s="69"/>
      <c r="E1" s="69"/>
      <c r="F1" s="69"/>
      <c r="G1" s="69"/>
      <c r="H1" s="69"/>
      <c r="I1" s="69"/>
      <c r="J1" s="69"/>
      <c r="K1" s="69"/>
      <c r="L1" s="69"/>
      <c r="M1" s="69"/>
      <c r="N1" s="69"/>
    </row>
    <row r="2" spans="1:14" ht="20.100000000000001" customHeight="1" x14ac:dyDescent="0.35">
      <c r="C2" s="277" t="s">
        <v>31</v>
      </c>
      <c r="D2" s="69"/>
      <c r="E2" s="69"/>
      <c r="F2" s="69"/>
      <c r="G2" s="69"/>
      <c r="H2" s="69"/>
      <c r="I2" s="69"/>
      <c r="J2" s="69"/>
      <c r="K2" s="69"/>
      <c r="L2" s="69"/>
      <c r="M2" s="69"/>
      <c r="N2" s="69"/>
    </row>
    <row r="3" spans="1:14" ht="20.100000000000001" customHeight="1" x14ac:dyDescent="0.35">
      <c r="C3" s="70"/>
      <c r="D3" s="69"/>
      <c r="E3" s="69"/>
      <c r="F3" s="69"/>
      <c r="G3" s="69"/>
      <c r="H3" s="69"/>
      <c r="I3" s="69"/>
      <c r="J3" s="69"/>
      <c r="K3" s="69"/>
      <c r="L3" s="69"/>
      <c r="M3" s="69"/>
      <c r="N3" s="69"/>
    </row>
    <row r="4" spans="1:14" ht="20.100000000000001" customHeight="1" x14ac:dyDescent="0.35">
      <c r="C4" s="70"/>
      <c r="D4" s="69"/>
      <c r="E4" s="69"/>
      <c r="F4" s="69"/>
      <c r="G4" s="69"/>
      <c r="H4" s="69"/>
      <c r="I4" s="69"/>
      <c r="J4" s="69"/>
      <c r="K4" s="69"/>
      <c r="L4" s="69"/>
      <c r="M4" s="69"/>
      <c r="N4" s="69"/>
    </row>
    <row r="5" spans="1:14" ht="20.100000000000001" customHeight="1" x14ac:dyDescent="0.35">
      <c r="A5" s="70"/>
      <c r="B5" s="70"/>
      <c r="C5" s="70"/>
      <c r="D5" s="69"/>
      <c r="E5" s="69"/>
      <c r="F5" s="69"/>
      <c r="G5" s="69"/>
      <c r="H5" s="69"/>
      <c r="I5" s="69"/>
      <c r="J5" s="69"/>
      <c r="K5" s="69"/>
      <c r="L5" s="69"/>
      <c r="M5" s="69"/>
      <c r="N5" s="69"/>
    </row>
    <row r="6" spans="1:14" ht="20.100000000000001" customHeight="1" x14ac:dyDescent="0.35">
      <c r="A6" s="71" t="s">
        <v>32</v>
      </c>
      <c r="B6" s="71"/>
      <c r="C6" s="70"/>
      <c r="D6" s="69"/>
      <c r="E6" s="69"/>
      <c r="F6" s="69"/>
      <c r="G6" s="69"/>
      <c r="H6" s="69"/>
      <c r="I6" s="69"/>
      <c r="J6" s="69"/>
      <c r="K6" s="69"/>
      <c r="L6" s="69"/>
      <c r="M6" s="69"/>
      <c r="N6" s="69"/>
    </row>
    <row r="7" spans="1:14" ht="20.100000000000001" customHeight="1" x14ac:dyDescent="0.35">
      <c r="A7" s="70"/>
      <c r="B7" s="70" t="s">
        <v>33</v>
      </c>
      <c r="C7" s="70" t="s">
        <v>34</v>
      </c>
      <c r="D7" s="69"/>
      <c r="E7" s="69"/>
      <c r="F7" s="69"/>
      <c r="G7" s="69"/>
      <c r="H7" s="69"/>
      <c r="I7" s="69"/>
      <c r="J7" s="69"/>
      <c r="K7" s="69"/>
      <c r="L7" s="69"/>
      <c r="M7" s="69"/>
      <c r="N7" s="69"/>
    </row>
    <row r="8" spans="1:14" ht="20.100000000000001" customHeight="1" x14ac:dyDescent="0.35">
      <c r="A8" s="70"/>
      <c r="B8" s="70" t="s">
        <v>35</v>
      </c>
      <c r="C8" s="70" t="s">
        <v>36</v>
      </c>
      <c r="D8" s="69"/>
      <c r="E8" s="69"/>
      <c r="F8" s="69"/>
      <c r="G8" s="69"/>
      <c r="H8" s="69"/>
      <c r="I8" s="69"/>
      <c r="J8" s="69"/>
      <c r="K8" s="69"/>
      <c r="L8" s="69"/>
      <c r="M8" s="69"/>
      <c r="N8" s="69"/>
    </row>
    <row r="9" spans="1:14" ht="20.100000000000001" customHeight="1" x14ac:dyDescent="0.35">
      <c r="A9" s="70"/>
      <c r="B9" s="70" t="s">
        <v>37</v>
      </c>
      <c r="C9" s="70" t="s">
        <v>40</v>
      </c>
      <c r="D9" s="69"/>
      <c r="E9" s="69"/>
      <c r="F9" s="69"/>
      <c r="G9" s="69"/>
      <c r="H9" s="69"/>
      <c r="I9" s="69"/>
      <c r="J9" s="69"/>
      <c r="K9" s="69"/>
      <c r="L9" s="69"/>
      <c r="M9" s="69"/>
      <c r="N9" s="69"/>
    </row>
    <row r="10" spans="1:14" ht="20.100000000000001" customHeight="1" x14ac:dyDescent="0.35">
      <c r="A10" s="70"/>
      <c r="B10" s="70" t="s">
        <v>38</v>
      </c>
      <c r="C10" s="70" t="s">
        <v>42</v>
      </c>
      <c r="D10" s="69"/>
      <c r="E10" s="69"/>
      <c r="F10" s="69"/>
      <c r="G10" s="69"/>
      <c r="H10" s="69"/>
      <c r="I10" s="69"/>
      <c r="J10" s="69"/>
      <c r="K10" s="69"/>
      <c r="L10" s="69"/>
      <c r="M10" s="69"/>
      <c r="N10" s="69"/>
    </row>
    <row r="11" spans="1:14" ht="20.100000000000001" customHeight="1" x14ac:dyDescent="0.35">
      <c r="A11" s="70"/>
      <c r="B11" s="70" t="s">
        <v>39</v>
      </c>
      <c r="C11" s="70" t="s">
        <v>43</v>
      </c>
      <c r="D11" s="69"/>
      <c r="E11" s="69"/>
      <c r="F11" s="69"/>
      <c r="G11" s="69"/>
      <c r="H11" s="69"/>
      <c r="I11" s="69"/>
      <c r="J11" s="69"/>
      <c r="K11" s="69"/>
      <c r="L11" s="69"/>
      <c r="M11" s="69"/>
      <c r="N11" s="69"/>
    </row>
    <row r="12" spans="1:14" ht="20.100000000000001" customHeight="1" x14ac:dyDescent="0.35">
      <c r="A12" s="70"/>
      <c r="B12" s="70" t="s">
        <v>41</v>
      </c>
      <c r="C12" s="70" t="s">
        <v>44</v>
      </c>
      <c r="D12" s="69"/>
      <c r="E12" s="69"/>
      <c r="F12" s="69"/>
      <c r="G12" s="69"/>
      <c r="H12" s="69"/>
      <c r="I12" s="69"/>
      <c r="J12" s="69"/>
      <c r="K12" s="69"/>
      <c r="L12" s="69"/>
      <c r="M12" s="69"/>
      <c r="N12" s="69"/>
    </row>
    <row r="13" spans="1:14" ht="18.75" customHeight="1" x14ac:dyDescent="0.35">
      <c r="A13" s="70"/>
      <c r="B13" s="70"/>
      <c r="C13" s="70"/>
      <c r="D13" s="69"/>
      <c r="E13" s="69"/>
      <c r="F13" s="69"/>
      <c r="G13" s="69"/>
      <c r="H13" s="69"/>
      <c r="I13" s="69"/>
      <c r="J13" s="69"/>
      <c r="K13" s="69"/>
      <c r="L13" s="69"/>
      <c r="M13" s="69"/>
      <c r="N13" s="69"/>
    </row>
    <row r="14" spans="1:14" ht="20.100000000000001" customHeight="1" x14ac:dyDescent="0.35">
      <c r="A14" s="276" t="s">
        <v>45</v>
      </c>
      <c r="B14" s="71"/>
      <c r="C14" s="70"/>
      <c r="D14" s="69"/>
      <c r="E14" s="69"/>
      <c r="F14" s="69"/>
      <c r="G14" s="69"/>
      <c r="H14" s="69"/>
      <c r="I14" s="69"/>
      <c r="J14" s="69"/>
      <c r="K14" s="69"/>
      <c r="L14" s="69"/>
      <c r="M14" s="69"/>
      <c r="N14" s="69"/>
    </row>
    <row r="15" spans="1:14" ht="20.100000000000001" customHeight="1" x14ac:dyDescent="0.35">
      <c r="A15" s="70"/>
      <c r="B15" s="70" t="s">
        <v>46</v>
      </c>
      <c r="C15" s="70"/>
      <c r="D15" s="69"/>
      <c r="E15" s="69"/>
      <c r="F15" s="69"/>
      <c r="G15" s="69"/>
      <c r="H15" s="69"/>
      <c r="I15" s="69"/>
      <c r="J15" s="69"/>
      <c r="K15" s="69"/>
      <c r="L15" s="69"/>
      <c r="M15" s="69"/>
      <c r="N15" s="69"/>
    </row>
    <row r="16" spans="1:14" ht="20.100000000000001" customHeight="1" x14ac:dyDescent="0.35">
      <c r="A16" s="70"/>
      <c r="B16" s="71" t="s">
        <v>47</v>
      </c>
      <c r="C16" s="70" t="s">
        <v>48</v>
      </c>
      <c r="D16" s="69"/>
      <c r="E16" s="69"/>
      <c r="F16" s="69"/>
      <c r="G16" s="69"/>
      <c r="H16" s="69"/>
      <c r="I16" s="69"/>
      <c r="J16" s="69"/>
      <c r="K16" s="69"/>
      <c r="L16" s="69"/>
      <c r="M16" s="69"/>
      <c r="N16" s="69"/>
    </row>
    <row r="17" spans="1:14" ht="20.100000000000001" customHeight="1" x14ac:dyDescent="0.35">
      <c r="A17" s="70"/>
      <c r="B17" s="71" t="s">
        <v>49</v>
      </c>
      <c r="C17" s="70" t="s">
        <v>50</v>
      </c>
      <c r="D17" s="69"/>
      <c r="E17" s="69"/>
      <c r="F17" s="69"/>
      <c r="G17" s="69"/>
      <c r="H17" s="69"/>
      <c r="I17" s="69"/>
      <c r="J17" s="69"/>
      <c r="K17" s="69"/>
      <c r="L17" s="69"/>
      <c r="M17" s="69"/>
      <c r="N17" s="69"/>
    </row>
    <row r="18" spans="1:14" ht="20.100000000000001" customHeight="1" x14ac:dyDescent="0.35">
      <c r="A18" s="70"/>
      <c r="B18" s="71" t="s">
        <v>337</v>
      </c>
      <c r="C18" s="70" t="s">
        <v>338</v>
      </c>
      <c r="D18" s="69"/>
      <c r="E18" s="69"/>
      <c r="F18" s="69"/>
      <c r="G18" s="69"/>
      <c r="H18" s="69"/>
      <c r="I18" s="69"/>
      <c r="J18" s="69"/>
      <c r="K18" s="69"/>
      <c r="L18" s="69"/>
      <c r="M18" s="69"/>
      <c r="N18" s="69"/>
    </row>
    <row r="19" spans="1:14" ht="20.100000000000001" customHeight="1" x14ac:dyDescent="0.35">
      <c r="A19" s="70"/>
      <c r="B19" s="70" t="s">
        <v>339</v>
      </c>
      <c r="C19" s="70" t="s">
        <v>267</v>
      </c>
      <c r="D19" s="69"/>
      <c r="E19" s="69"/>
      <c r="F19" s="69"/>
      <c r="G19" s="69"/>
      <c r="H19" s="69"/>
      <c r="I19" s="69"/>
      <c r="J19" s="69"/>
      <c r="K19" s="69"/>
      <c r="L19" s="69"/>
      <c r="M19" s="69"/>
      <c r="N19" s="69"/>
    </row>
    <row r="20" spans="1:14" s="349" customFormat="1" ht="20.100000000000001" customHeight="1" x14ac:dyDescent="0.35">
      <c r="A20" s="347"/>
      <c r="B20" s="347" t="s">
        <v>341</v>
      </c>
      <c r="C20" s="347" t="s">
        <v>340</v>
      </c>
      <c r="D20" s="348"/>
      <c r="E20" s="348"/>
      <c r="F20" s="348"/>
      <c r="G20" s="348"/>
      <c r="H20" s="348"/>
      <c r="I20" s="348"/>
      <c r="J20" s="348"/>
      <c r="K20" s="348"/>
      <c r="L20" s="348"/>
      <c r="M20" s="348"/>
      <c r="N20" s="348"/>
    </row>
    <row r="21" spans="1:14" ht="20.100000000000001" customHeight="1" x14ac:dyDescent="0.35">
      <c r="A21" s="70"/>
      <c r="B21" s="70"/>
      <c r="C21" s="70"/>
    </row>
    <row r="22" spans="1:14" ht="18.75" customHeight="1" x14ac:dyDescent="0.35">
      <c r="A22" s="70"/>
      <c r="B22" s="347" t="s">
        <v>253</v>
      </c>
      <c r="C22" s="347"/>
    </row>
    <row r="23" spans="1:14" ht="20.100000000000001" customHeight="1" x14ac:dyDescent="0.35">
      <c r="A23" s="70"/>
      <c r="B23" s="350" t="s">
        <v>254</v>
      </c>
      <c r="C23" s="347" t="s">
        <v>255</v>
      </c>
    </row>
    <row r="24" spans="1:14" ht="20.100000000000001" customHeight="1" x14ac:dyDescent="0.35">
      <c r="A24" s="70"/>
      <c r="B24" s="350" t="s">
        <v>256</v>
      </c>
      <c r="C24" s="347" t="s">
        <v>257</v>
      </c>
    </row>
    <row r="25" spans="1:14" ht="20.100000000000001" customHeight="1" x14ac:dyDescent="0.35">
      <c r="A25" s="70"/>
      <c r="B25" s="350" t="s">
        <v>258</v>
      </c>
      <c r="C25" s="347" t="s">
        <v>259</v>
      </c>
    </row>
    <row r="26" spans="1:14" ht="20.100000000000001" customHeight="1" x14ac:dyDescent="0.35">
      <c r="A26" s="70"/>
      <c r="B26" s="350" t="s">
        <v>260</v>
      </c>
      <c r="C26" s="347" t="s">
        <v>261</v>
      </c>
    </row>
    <row r="27" spans="1:14" ht="20.100000000000001" customHeight="1" x14ac:dyDescent="0.35">
      <c r="A27" s="70"/>
      <c r="B27" s="350" t="s">
        <v>171</v>
      </c>
      <c r="C27" s="347" t="s">
        <v>262</v>
      </c>
    </row>
    <row r="28" spans="1:14" ht="20.100000000000001" customHeight="1" x14ac:dyDescent="0.35">
      <c r="A28" s="70"/>
      <c r="B28" s="350" t="s">
        <v>263</v>
      </c>
      <c r="C28" s="347" t="s">
        <v>499</v>
      </c>
    </row>
    <row r="29" spans="1:14" ht="20.100000000000001" customHeight="1" x14ac:dyDescent="0.35">
      <c r="A29" s="70"/>
      <c r="B29" s="350" t="s">
        <v>264</v>
      </c>
      <c r="C29" s="347" t="s">
        <v>500</v>
      </c>
    </row>
    <row r="30" spans="1:14" ht="18.75" customHeight="1" x14ac:dyDescent="0.35">
      <c r="A30" s="70"/>
      <c r="B30" s="350" t="s">
        <v>265</v>
      </c>
      <c r="C30" s="347" t="s">
        <v>266</v>
      </c>
    </row>
    <row r="31" spans="1:14" ht="18.75" customHeight="1" x14ac:dyDescent="0.35">
      <c r="A31" s="70"/>
      <c r="B31" s="350"/>
      <c r="C31" s="347"/>
    </row>
    <row r="32" spans="1:14" ht="20.100000000000001" customHeight="1" x14ac:dyDescent="0.35">
      <c r="A32" s="70"/>
      <c r="B32" s="70"/>
      <c r="C32" s="70"/>
    </row>
    <row r="33" spans="1:14" x14ac:dyDescent="0.35">
      <c r="A33" s="71" t="s">
        <v>51</v>
      </c>
      <c r="B33" s="70"/>
      <c r="C33" s="70"/>
    </row>
    <row r="34" spans="1:14" ht="26.25" hidden="1" customHeight="1" x14ac:dyDescent="0.4">
      <c r="C34" s="72"/>
    </row>
    <row r="35" spans="1:14" ht="26.25" hidden="1" customHeight="1" x14ac:dyDescent="0.4">
      <c r="C35" s="72"/>
    </row>
    <row r="36" spans="1:14" ht="18.75" customHeight="1" x14ac:dyDescent="0.4">
      <c r="C36" s="345"/>
      <c r="D36" s="346"/>
    </row>
    <row r="37" spans="1:14" ht="26.25" x14ac:dyDescent="0.4">
      <c r="C37" s="72"/>
    </row>
    <row r="38" spans="1:14" ht="26.25" x14ac:dyDescent="0.4">
      <c r="C38" s="72"/>
    </row>
    <row r="39" spans="1:14" ht="26.25" x14ac:dyDescent="0.4">
      <c r="C39" s="345"/>
      <c r="D39" s="349"/>
      <c r="E39" s="349"/>
      <c r="F39" s="349"/>
      <c r="G39" s="349"/>
      <c r="H39" s="349"/>
      <c r="I39" s="349"/>
      <c r="J39" s="349"/>
      <c r="K39" s="349"/>
      <c r="L39" s="349"/>
      <c r="M39" s="349"/>
      <c r="N39" s="349"/>
    </row>
    <row r="40" spans="1:14" ht="26.25" x14ac:dyDescent="0.4">
      <c r="C40" s="72"/>
    </row>
    <row r="41" spans="1:14" ht="26.25" x14ac:dyDescent="0.4">
      <c r="C41" s="72"/>
    </row>
    <row r="42" spans="1:14" ht="26.25" x14ac:dyDescent="0.4">
      <c r="C42" s="72"/>
    </row>
    <row r="43" spans="1:14" ht="26.25" x14ac:dyDescent="0.4">
      <c r="C43" s="72"/>
    </row>
    <row r="44" spans="1:14" ht="26.25" x14ac:dyDescent="0.4">
      <c r="C44" s="72"/>
    </row>
    <row r="45" spans="1:14" ht="26.25" x14ac:dyDescent="0.4">
      <c r="C45" s="72"/>
    </row>
    <row r="46" spans="1:14" ht="26.25" x14ac:dyDescent="0.4">
      <c r="C46" s="72"/>
    </row>
    <row r="47" spans="1:14" ht="26.25" x14ac:dyDescent="0.4">
      <c r="C47" s="72"/>
    </row>
    <row r="48" spans="1:14" ht="26.25" x14ac:dyDescent="0.4">
      <c r="C48" s="72"/>
    </row>
    <row r="49" spans="3:3" ht="26.25" x14ac:dyDescent="0.4">
      <c r="C49" s="72"/>
    </row>
    <row r="50" spans="3:3" ht="26.25" x14ac:dyDescent="0.4">
      <c r="C50" s="72"/>
    </row>
    <row r="51" spans="3:3" ht="26.25" x14ac:dyDescent="0.4">
      <c r="C51" s="72"/>
    </row>
    <row r="52" spans="3:3" ht="26.25" x14ac:dyDescent="0.4">
      <c r="C52" s="72"/>
    </row>
    <row r="53" spans="3:3" ht="26.25" x14ac:dyDescent="0.4">
      <c r="C53" s="72"/>
    </row>
    <row r="54" spans="3:3" ht="26.25" x14ac:dyDescent="0.4">
      <c r="C54" s="72"/>
    </row>
    <row r="55" spans="3:3" ht="26.25" x14ac:dyDescent="0.4">
      <c r="C55" s="72"/>
    </row>
    <row r="56" spans="3:3" ht="26.25" x14ac:dyDescent="0.4">
      <c r="C56" s="72"/>
    </row>
    <row r="57" spans="3:3" ht="26.25" x14ac:dyDescent="0.4">
      <c r="C57" s="72"/>
    </row>
    <row r="58" spans="3:3" ht="26.25" x14ac:dyDescent="0.4">
      <c r="C58" s="72"/>
    </row>
  </sheetData>
  <hyperlinks>
    <hyperlink ref="A6" location="Figurer!A1" display="FIGURER" xr:uid="{00000000-0004-0000-0100-000000000000}"/>
    <hyperlink ref="A14" location="'Tabel 1.1'!A1" display="TABELLER" xr:uid="{00000000-0004-0000-0100-000001000000}"/>
    <hyperlink ref="B16" location="'Tabell 1.1'!A1" display="Tabell 1.1" xr:uid="{00000000-0004-0000-0100-000002000000}"/>
    <hyperlink ref="B17" location="'Tabell 1.2'!A1" display="Tabell 1.2" xr:uid="{00000000-0004-0000-0100-000003000000}"/>
    <hyperlink ref="A33" location="'Noter og kommentarer'!A1" display="NOTER OG KOMMENTARER" xr:uid="{00000000-0004-0000-0100-000004000000}"/>
    <hyperlink ref="B23" location="'Tabell 4'!A1" display="Tabell 4" xr:uid="{00000000-0004-0000-0100-000005000000}"/>
    <hyperlink ref="B27" location="'Tabell 6'!A1" display="Tabell 6" xr:uid="{00000000-0004-0000-0100-000006000000}"/>
    <hyperlink ref="B30" location="'Tabell 8'!A1" display="Tabell 8" xr:uid="{00000000-0004-0000-0100-000007000000}"/>
    <hyperlink ref="B24" location="'Tabell 5.1'!A1" display="Tabell 5.1" xr:uid="{00000000-0004-0000-0100-000008000000}"/>
    <hyperlink ref="B25" location="'Tabell 5.2'!A1" display="Tabell 5.2" xr:uid="{00000000-0004-0000-0100-000009000000}"/>
    <hyperlink ref="B26" location="'Tabell 5.3'!A1" display="Tabell 5.3" xr:uid="{00000000-0004-0000-0100-00000A000000}"/>
    <hyperlink ref="B28" location="'Tabell 7a'!A1" display="Tabell 7a" xr:uid="{00000000-0004-0000-0100-00000B000000}"/>
    <hyperlink ref="B29" location="'Tabell 7b'!A1" display="Tabell 7b" xr:uid="{00000000-0004-0000-0100-00000C000000}"/>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20"/>
  <dimension ref="A1:N144"/>
  <sheetViews>
    <sheetView showGridLines="0" zoomScale="120" zoomScaleNormal="120" workbookViewId="0"/>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133</v>
      </c>
      <c r="B1" s="988"/>
      <c r="C1" s="248" t="s">
        <v>63</v>
      </c>
      <c r="D1" s="26"/>
      <c r="E1" s="26"/>
      <c r="F1" s="26"/>
      <c r="G1" s="26"/>
      <c r="H1" s="26"/>
      <c r="I1" s="26"/>
      <c r="J1" s="26"/>
      <c r="K1" s="26"/>
      <c r="L1" s="26"/>
      <c r="M1" s="26"/>
    </row>
    <row r="2" spans="1:14" ht="15.75" x14ac:dyDescent="0.25">
      <c r="A2" s="165" t="s">
        <v>28</v>
      </c>
      <c r="B2" s="1027"/>
      <c r="C2" s="1027"/>
      <c r="D2" s="1027"/>
      <c r="E2" s="301"/>
      <c r="F2" s="1027"/>
      <c r="G2" s="1027"/>
      <c r="H2" s="1027"/>
      <c r="I2" s="301"/>
      <c r="J2" s="1027"/>
      <c r="K2" s="1027"/>
      <c r="L2" s="1027"/>
      <c r="M2" s="301"/>
    </row>
    <row r="3" spans="1:14" ht="15.75" x14ac:dyDescent="0.25">
      <c r="A3" s="163"/>
      <c r="B3" s="301"/>
      <c r="C3" s="301"/>
      <c r="D3" s="301"/>
      <c r="E3" s="301"/>
      <c r="F3" s="301"/>
      <c r="G3" s="301"/>
      <c r="H3" s="301"/>
      <c r="I3" s="301"/>
      <c r="J3" s="301"/>
      <c r="K3" s="301"/>
      <c r="L3" s="301"/>
      <c r="M3" s="301"/>
    </row>
    <row r="4" spans="1:14" x14ac:dyDescent="0.2">
      <c r="A4" s="144"/>
      <c r="B4" s="1023" t="s">
        <v>0</v>
      </c>
      <c r="C4" s="1024"/>
      <c r="D4" s="1024"/>
      <c r="E4" s="303"/>
      <c r="F4" s="1023" t="s">
        <v>1</v>
      </c>
      <c r="G4" s="1024"/>
      <c r="H4" s="1024"/>
      <c r="I4" s="306"/>
      <c r="J4" s="1023" t="s">
        <v>2</v>
      </c>
      <c r="K4" s="1024"/>
      <c r="L4" s="1024"/>
      <c r="M4" s="306"/>
    </row>
    <row r="5" spans="1:14" x14ac:dyDescent="0.2">
      <c r="A5" s="158"/>
      <c r="B5" s="152" t="s">
        <v>502</v>
      </c>
      <c r="C5" s="152" t="s">
        <v>503</v>
      </c>
      <c r="D5" s="245" t="s">
        <v>3</v>
      </c>
      <c r="E5" s="307" t="s">
        <v>29</v>
      </c>
      <c r="F5" s="152" t="s">
        <v>502</v>
      </c>
      <c r="G5" s="152" t="s">
        <v>503</v>
      </c>
      <c r="H5" s="245" t="s">
        <v>3</v>
      </c>
      <c r="I5" s="162" t="s">
        <v>29</v>
      </c>
      <c r="J5" s="152" t="s">
        <v>502</v>
      </c>
      <c r="K5" s="152" t="s">
        <v>503</v>
      </c>
      <c r="L5" s="245" t="s">
        <v>3</v>
      </c>
      <c r="M5" s="162" t="s">
        <v>29</v>
      </c>
    </row>
    <row r="6" spans="1:14" x14ac:dyDescent="0.2">
      <c r="A6" s="989"/>
      <c r="B6" s="156"/>
      <c r="C6" s="156"/>
      <c r="D6" s="246" t="s">
        <v>4</v>
      </c>
      <c r="E6" s="156" t="s">
        <v>30</v>
      </c>
      <c r="F6" s="161"/>
      <c r="G6" s="161"/>
      <c r="H6" s="245" t="s">
        <v>4</v>
      </c>
      <c r="I6" s="156" t="s">
        <v>30</v>
      </c>
      <c r="J6" s="161"/>
      <c r="K6" s="161"/>
      <c r="L6" s="245" t="s">
        <v>4</v>
      </c>
      <c r="M6" s="156" t="s">
        <v>30</v>
      </c>
    </row>
    <row r="7" spans="1:14" ht="15.75" x14ac:dyDescent="0.2">
      <c r="A7" s="14" t="s">
        <v>23</v>
      </c>
      <c r="B7" s="308"/>
      <c r="C7" s="309"/>
      <c r="D7" s="351"/>
      <c r="E7" s="11"/>
      <c r="F7" s="308"/>
      <c r="G7" s="309"/>
      <c r="H7" s="351"/>
      <c r="I7" s="160"/>
      <c r="J7" s="310"/>
      <c r="K7" s="311"/>
      <c r="L7" s="428"/>
      <c r="M7" s="11"/>
    </row>
    <row r="8" spans="1:14" ht="15.75" x14ac:dyDescent="0.2">
      <c r="A8" s="21" t="s">
        <v>25</v>
      </c>
      <c r="B8" s="283"/>
      <c r="C8" s="284"/>
      <c r="D8" s="166"/>
      <c r="E8" s="27"/>
      <c r="F8" s="287"/>
      <c r="G8" s="288"/>
      <c r="H8" s="166"/>
      <c r="I8" s="175"/>
      <c r="J8" s="234"/>
      <c r="K8" s="289"/>
      <c r="L8" s="166"/>
      <c r="M8" s="27"/>
    </row>
    <row r="9" spans="1:14" ht="15.75" x14ac:dyDescent="0.2">
      <c r="A9" s="21" t="s">
        <v>24</v>
      </c>
      <c r="B9" s="283"/>
      <c r="C9" s="284"/>
      <c r="D9" s="166"/>
      <c r="E9" s="27"/>
      <c r="F9" s="287"/>
      <c r="G9" s="288"/>
      <c r="H9" s="166"/>
      <c r="I9" s="175"/>
      <c r="J9" s="234"/>
      <c r="K9" s="289"/>
      <c r="L9" s="166"/>
      <c r="M9" s="27"/>
    </row>
    <row r="10" spans="1:14" ht="15.75" x14ac:dyDescent="0.2">
      <c r="A10" s="13" t="s">
        <v>444</v>
      </c>
      <c r="B10" s="312"/>
      <c r="C10" s="313"/>
      <c r="D10" s="171"/>
      <c r="E10" s="11"/>
      <c r="F10" s="312"/>
      <c r="G10" s="313"/>
      <c r="H10" s="171"/>
      <c r="I10" s="160"/>
      <c r="J10" s="310"/>
      <c r="K10" s="311"/>
      <c r="L10" s="429"/>
      <c r="M10" s="11"/>
    </row>
    <row r="11" spans="1:14" s="43" customFormat="1" ht="15.75" x14ac:dyDescent="0.2">
      <c r="A11" s="13" t="s">
        <v>445</v>
      </c>
      <c r="B11" s="312"/>
      <c r="C11" s="313"/>
      <c r="D11" s="171"/>
      <c r="E11" s="11"/>
      <c r="F11" s="312"/>
      <c r="G11" s="313"/>
      <c r="H11" s="171"/>
      <c r="I11" s="160"/>
      <c r="J11" s="310"/>
      <c r="K11" s="311"/>
      <c r="L11" s="429"/>
      <c r="M11" s="11"/>
      <c r="N11" s="143"/>
    </row>
    <row r="12" spans="1:14" s="43" customFormat="1" ht="15.75" x14ac:dyDescent="0.2">
      <c r="A12" s="41" t="s">
        <v>446</v>
      </c>
      <c r="B12" s="314"/>
      <c r="C12" s="315"/>
      <c r="D12" s="169"/>
      <c r="E12" s="36"/>
      <c r="F12" s="314"/>
      <c r="G12" s="315"/>
      <c r="H12" s="169"/>
      <c r="I12" s="169"/>
      <c r="J12" s="316"/>
      <c r="K12" s="317"/>
      <c r="L12" s="430"/>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1022"/>
      <c r="C18" s="1022"/>
      <c r="D18" s="1022"/>
      <c r="E18" s="301"/>
      <c r="F18" s="1022"/>
      <c r="G18" s="1022"/>
      <c r="H18" s="1022"/>
      <c r="I18" s="301"/>
      <c r="J18" s="1022"/>
      <c r="K18" s="1022"/>
      <c r="L18" s="1022"/>
      <c r="M18" s="301"/>
    </row>
    <row r="19" spans="1:14" x14ac:dyDescent="0.2">
      <c r="A19" s="144"/>
      <c r="B19" s="1023" t="s">
        <v>0</v>
      </c>
      <c r="C19" s="1024"/>
      <c r="D19" s="1024"/>
      <c r="E19" s="303"/>
      <c r="F19" s="1023" t="s">
        <v>1</v>
      </c>
      <c r="G19" s="1024"/>
      <c r="H19" s="1024"/>
      <c r="I19" s="306"/>
      <c r="J19" s="1023" t="s">
        <v>2</v>
      </c>
      <c r="K19" s="1024"/>
      <c r="L19" s="1024"/>
      <c r="M19" s="306"/>
    </row>
    <row r="20" spans="1:14" x14ac:dyDescent="0.2">
      <c r="A20" s="140" t="s">
        <v>5</v>
      </c>
      <c r="B20" s="152" t="s">
        <v>502</v>
      </c>
      <c r="C20" s="152" t="s">
        <v>503</v>
      </c>
      <c r="D20" s="162" t="s">
        <v>3</v>
      </c>
      <c r="E20" s="307" t="s">
        <v>29</v>
      </c>
      <c r="F20" s="152" t="s">
        <v>502</v>
      </c>
      <c r="G20" s="152" t="s">
        <v>503</v>
      </c>
      <c r="H20" s="162" t="s">
        <v>3</v>
      </c>
      <c r="I20" s="162" t="s">
        <v>29</v>
      </c>
      <c r="J20" s="152" t="s">
        <v>502</v>
      </c>
      <c r="K20" s="152" t="s">
        <v>503</v>
      </c>
      <c r="L20" s="162" t="s">
        <v>3</v>
      </c>
      <c r="M20" s="162" t="s">
        <v>29</v>
      </c>
    </row>
    <row r="21" spans="1:14" x14ac:dyDescent="0.2">
      <c r="A21" s="990"/>
      <c r="B21" s="156"/>
      <c r="C21" s="156"/>
      <c r="D21" s="246" t="s">
        <v>4</v>
      </c>
      <c r="E21" s="156" t="s">
        <v>30</v>
      </c>
      <c r="F21" s="161"/>
      <c r="G21" s="161"/>
      <c r="H21" s="245" t="s">
        <v>4</v>
      </c>
      <c r="I21" s="156" t="s">
        <v>30</v>
      </c>
      <c r="J21" s="161"/>
      <c r="K21" s="161"/>
      <c r="L21" s="156" t="s">
        <v>4</v>
      </c>
      <c r="M21" s="156" t="s">
        <v>30</v>
      </c>
    </row>
    <row r="22" spans="1:14" ht="15.75" x14ac:dyDescent="0.2">
      <c r="A22" s="14" t="s">
        <v>23</v>
      </c>
      <c r="B22" s="312"/>
      <c r="C22" s="312"/>
      <c r="D22" s="351"/>
      <c r="E22" s="11"/>
      <c r="F22" s="320"/>
      <c r="G22" s="320"/>
      <c r="H22" s="351"/>
      <c r="I22" s="11"/>
      <c r="J22" s="318"/>
      <c r="K22" s="318"/>
      <c r="L22" s="428"/>
      <c r="M22" s="24"/>
    </row>
    <row r="23" spans="1:14" ht="15.75" x14ac:dyDescent="0.2">
      <c r="A23" s="811" t="s">
        <v>447</v>
      </c>
      <c r="B23" s="283"/>
      <c r="C23" s="283"/>
      <c r="D23" s="166"/>
      <c r="E23" s="11"/>
      <c r="F23" s="292"/>
      <c r="G23" s="292"/>
      <c r="H23" s="166"/>
      <c r="I23" s="418"/>
      <c r="J23" s="292"/>
      <c r="K23" s="292"/>
      <c r="L23" s="166"/>
      <c r="M23" s="23"/>
    </row>
    <row r="24" spans="1:14" ht="15.75" x14ac:dyDescent="0.2">
      <c r="A24" s="811" t="s">
        <v>448</v>
      </c>
      <c r="B24" s="283"/>
      <c r="C24" s="283"/>
      <c r="D24" s="166"/>
      <c r="E24" s="11"/>
      <c r="F24" s="292"/>
      <c r="G24" s="292"/>
      <c r="H24" s="166"/>
      <c r="I24" s="418"/>
      <c r="J24" s="292"/>
      <c r="K24" s="292"/>
      <c r="L24" s="166"/>
      <c r="M24" s="23"/>
    </row>
    <row r="25" spans="1:14" ht="15.75" x14ac:dyDescent="0.2">
      <c r="A25" s="811" t="s">
        <v>449</v>
      </c>
      <c r="B25" s="283"/>
      <c r="C25" s="283"/>
      <c r="D25" s="166"/>
      <c r="E25" s="11"/>
      <c r="F25" s="292"/>
      <c r="G25" s="292"/>
      <c r="H25" s="166"/>
      <c r="I25" s="418"/>
      <c r="J25" s="292"/>
      <c r="K25" s="292"/>
      <c r="L25" s="166"/>
      <c r="M25" s="23"/>
    </row>
    <row r="26" spans="1:14" ht="15.75" x14ac:dyDescent="0.2">
      <c r="A26" s="811" t="s">
        <v>450</v>
      </c>
      <c r="B26" s="283"/>
      <c r="C26" s="283"/>
      <c r="D26" s="166"/>
      <c r="E26" s="11"/>
      <c r="F26" s="292"/>
      <c r="G26" s="292"/>
      <c r="H26" s="166"/>
      <c r="I26" s="418"/>
      <c r="J26" s="292"/>
      <c r="K26" s="292"/>
      <c r="L26" s="166"/>
      <c r="M26" s="23"/>
    </row>
    <row r="27" spans="1:14" x14ac:dyDescent="0.2">
      <c r="A27" s="811" t="s">
        <v>11</v>
      </c>
      <c r="B27" s="283"/>
      <c r="C27" s="283"/>
      <c r="D27" s="166"/>
      <c r="E27" s="11"/>
      <c r="F27" s="292"/>
      <c r="G27" s="292"/>
      <c r="H27" s="166"/>
      <c r="I27" s="418"/>
      <c r="J27" s="292"/>
      <c r="K27" s="292"/>
      <c r="L27" s="166"/>
      <c r="M27" s="23"/>
    </row>
    <row r="28" spans="1:14" ht="15.75" x14ac:dyDescent="0.2">
      <c r="A28" s="49" t="s">
        <v>272</v>
      </c>
      <c r="B28" s="44"/>
      <c r="C28" s="289"/>
      <c r="D28" s="166"/>
      <c r="E28" s="11"/>
      <c r="F28" s="234"/>
      <c r="G28" s="289"/>
      <c r="H28" s="166"/>
      <c r="I28" s="27"/>
      <c r="J28" s="44"/>
      <c r="K28" s="44"/>
      <c r="L28" s="257"/>
      <c r="M28" s="23"/>
    </row>
    <row r="29" spans="1:14" s="3" customFormat="1" ht="15.75" x14ac:dyDescent="0.2">
      <c r="A29" s="13" t="s">
        <v>444</v>
      </c>
      <c r="B29" s="236"/>
      <c r="C29" s="236"/>
      <c r="D29" s="171"/>
      <c r="E29" s="11"/>
      <c r="F29" s="310"/>
      <c r="G29" s="310"/>
      <c r="H29" s="171"/>
      <c r="I29" s="11"/>
      <c r="J29" s="236"/>
      <c r="K29" s="236"/>
      <c r="L29" s="429"/>
      <c r="M29" s="24"/>
      <c r="N29" s="148"/>
    </row>
    <row r="30" spans="1:14" s="3" customFormat="1" ht="15.75" x14ac:dyDescent="0.2">
      <c r="A30" s="811" t="s">
        <v>447</v>
      </c>
      <c r="B30" s="283"/>
      <c r="C30" s="283"/>
      <c r="D30" s="166"/>
      <c r="E30" s="11"/>
      <c r="F30" s="292"/>
      <c r="G30" s="292"/>
      <c r="H30" s="166"/>
      <c r="I30" s="418"/>
      <c r="J30" s="292"/>
      <c r="K30" s="292"/>
      <c r="L30" s="166"/>
      <c r="M30" s="23"/>
      <c r="N30" s="148"/>
    </row>
    <row r="31" spans="1:14" s="3" customFormat="1" ht="15.75" x14ac:dyDescent="0.2">
      <c r="A31" s="811" t="s">
        <v>448</v>
      </c>
      <c r="B31" s="283"/>
      <c r="C31" s="283"/>
      <c r="D31" s="166"/>
      <c r="E31" s="11"/>
      <c r="F31" s="292"/>
      <c r="G31" s="292"/>
      <c r="H31" s="166"/>
      <c r="I31" s="418"/>
      <c r="J31" s="292"/>
      <c r="K31" s="292"/>
      <c r="L31" s="166"/>
      <c r="M31" s="23"/>
      <c r="N31" s="148"/>
    </row>
    <row r="32" spans="1:14" ht="15.75" x14ac:dyDescent="0.2">
      <c r="A32" s="811" t="s">
        <v>449</v>
      </c>
      <c r="B32" s="283"/>
      <c r="C32" s="283"/>
      <c r="D32" s="166"/>
      <c r="E32" s="11"/>
      <c r="F32" s="292"/>
      <c r="G32" s="292"/>
      <c r="H32" s="166"/>
      <c r="I32" s="418"/>
      <c r="J32" s="292"/>
      <c r="K32" s="292"/>
      <c r="L32" s="166"/>
      <c r="M32" s="23"/>
    </row>
    <row r="33" spans="1:14" ht="15.75" x14ac:dyDescent="0.2">
      <c r="A33" s="811" t="s">
        <v>450</v>
      </c>
      <c r="B33" s="283"/>
      <c r="C33" s="283"/>
      <c r="D33" s="166"/>
      <c r="E33" s="11"/>
      <c r="F33" s="292"/>
      <c r="G33" s="292"/>
      <c r="H33" s="166"/>
      <c r="I33" s="418"/>
      <c r="J33" s="292"/>
      <c r="K33" s="292"/>
      <c r="L33" s="166"/>
      <c r="M33" s="23"/>
    </row>
    <row r="34" spans="1:14" ht="15.75" x14ac:dyDescent="0.2">
      <c r="A34" s="13" t="s">
        <v>445</v>
      </c>
      <c r="B34" s="236"/>
      <c r="C34" s="311"/>
      <c r="D34" s="171"/>
      <c r="E34" s="11"/>
      <c r="F34" s="310"/>
      <c r="G34" s="311"/>
      <c r="H34" s="171"/>
      <c r="I34" s="11"/>
      <c r="J34" s="236"/>
      <c r="K34" s="236"/>
      <c r="L34" s="429"/>
      <c r="M34" s="24"/>
    </row>
    <row r="35" spans="1:14" ht="15.75" x14ac:dyDescent="0.2">
      <c r="A35" s="13" t="s">
        <v>446</v>
      </c>
      <c r="B35" s="236"/>
      <c r="C35" s="311"/>
      <c r="D35" s="171"/>
      <c r="E35" s="11"/>
      <c r="F35" s="310"/>
      <c r="G35" s="311"/>
      <c r="H35" s="171"/>
      <c r="I35" s="11"/>
      <c r="J35" s="236"/>
      <c r="K35" s="236"/>
      <c r="L35" s="429"/>
      <c r="M35" s="24"/>
    </row>
    <row r="36" spans="1:14" ht="15.75" x14ac:dyDescent="0.2">
      <c r="A36" s="12" t="s">
        <v>280</v>
      </c>
      <c r="B36" s="236"/>
      <c r="C36" s="311"/>
      <c r="D36" s="171"/>
      <c r="E36" s="11"/>
      <c r="F36" s="321"/>
      <c r="G36" s="322"/>
      <c r="H36" s="171"/>
      <c r="I36" s="435"/>
      <c r="J36" s="236"/>
      <c r="K36" s="236"/>
      <c r="L36" s="429"/>
      <c r="M36" s="24"/>
    </row>
    <row r="37" spans="1:14" ht="15.75" x14ac:dyDescent="0.2">
      <c r="A37" s="12" t="s">
        <v>452</v>
      </c>
      <c r="B37" s="236"/>
      <c r="C37" s="311"/>
      <c r="D37" s="171"/>
      <c r="E37" s="11"/>
      <c r="F37" s="321"/>
      <c r="G37" s="323"/>
      <c r="H37" s="171"/>
      <c r="I37" s="435"/>
      <c r="J37" s="236"/>
      <c r="K37" s="236"/>
      <c r="L37" s="429"/>
      <c r="M37" s="24"/>
    </row>
    <row r="38" spans="1:14" ht="15.75" x14ac:dyDescent="0.2">
      <c r="A38" s="12" t="s">
        <v>453</v>
      </c>
      <c r="B38" s="236"/>
      <c r="C38" s="311"/>
      <c r="D38" s="171"/>
      <c r="E38" s="24"/>
      <c r="F38" s="321"/>
      <c r="G38" s="322"/>
      <c r="H38" s="171"/>
      <c r="I38" s="435"/>
      <c r="J38" s="236"/>
      <c r="K38" s="236"/>
      <c r="L38" s="429"/>
      <c r="M38" s="24"/>
    </row>
    <row r="39" spans="1:14" ht="15.75" x14ac:dyDescent="0.2">
      <c r="A39" s="18" t="s">
        <v>454</v>
      </c>
      <c r="B39" s="278"/>
      <c r="C39" s="317"/>
      <c r="D39" s="169"/>
      <c r="E39" s="36"/>
      <c r="F39" s="324"/>
      <c r="G39" s="325"/>
      <c r="H39" s="169"/>
      <c r="I39" s="36"/>
      <c r="J39" s="236"/>
      <c r="K39" s="236"/>
      <c r="L39" s="430"/>
      <c r="M39" s="36"/>
    </row>
    <row r="40" spans="1:14" ht="15.75" x14ac:dyDescent="0.25">
      <c r="A40" s="47"/>
      <c r="B40" s="256"/>
      <c r="C40" s="256"/>
      <c r="D40" s="1026"/>
      <c r="E40" s="1026"/>
      <c r="F40" s="1026"/>
      <c r="G40" s="1026"/>
      <c r="H40" s="1026"/>
      <c r="I40" s="1026"/>
      <c r="J40" s="1026"/>
      <c r="K40" s="1026"/>
      <c r="L40" s="1026"/>
      <c r="M40" s="304"/>
    </row>
    <row r="41" spans="1:14" x14ac:dyDescent="0.2">
      <c r="A41" s="155"/>
    </row>
    <row r="42" spans="1:14" ht="15.75" x14ac:dyDescent="0.25">
      <c r="A42" s="147" t="s">
        <v>269</v>
      </c>
      <c r="B42" s="1027"/>
      <c r="C42" s="1027"/>
      <c r="D42" s="1027"/>
      <c r="E42" s="301"/>
      <c r="F42" s="1028"/>
      <c r="G42" s="1028"/>
      <c r="H42" s="1028"/>
      <c r="I42" s="304"/>
      <c r="J42" s="1028"/>
      <c r="K42" s="1028"/>
      <c r="L42" s="1028"/>
      <c r="M42" s="304"/>
    </row>
    <row r="43" spans="1:14" ht="15.75" x14ac:dyDescent="0.25">
      <c r="A43" s="163"/>
      <c r="B43" s="305"/>
      <c r="C43" s="305"/>
      <c r="D43" s="305"/>
      <c r="E43" s="305"/>
      <c r="F43" s="304"/>
      <c r="G43" s="304"/>
      <c r="H43" s="304"/>
      <c r="I43" s="304"/>
      <c r="J43" s="304"/>
      <c r="K43" s="304"/>
      <c r="L43" s="304"/>
      <c r="M43" s="304"/>
    </row>
    <row r="44" spans="1:14" ht="15.75" x14ac:dyDescent="0.25">
      <c r="A44" s="247"/>
      <c r="B44" s="1023" t="s">
        <v>0</v>
      </c>
      <c r="C44" s="1024"/>
      <c r="D44" s="1024"/>
      <c r="E44" s="243"/>
      <c r="F44" s="304"/>
      <c r="G44" s="304"/>
      <c r="H44" s="304"/>
      <c r="I44" s="304"/>
      <c r="J44" s="304"/>
      <c r="K44" s="304"/>
      <c r="L44" s="304"/>
      <c r="M44" s="304"/>
    </row>
    <row r="45" spans="1:14" s="3" customFormat="1" x14ac:dyDescent="0.2">
      <c r="A45" s="140"/>
      <c r="B45" s="152" t="s">
        <v>502</v>
      </c>
      <c r="C45" s="152" t="s">
        <v>503</v>
      </c>
      <c r="D45" s="162" t="s">
        <v>3</v>
      </c>
      <c r="E45" s="162" t="s">
        <v>29</v>
      </c>
      <c r="F45" s="174"/>
      <c r="G45" s="174"/>
      <c r="H45" s="173"/>
      <c r="I45" s="173"/>
      <c r="J45" s="174"/>
      <c r="K45" s="174"/>
      <c r="L45" s="173"/>
      <c r="M45" s="173"/>
      <c r="N45" s="148"/>
    </row>
    <row r="46" spans="1:14" s="3" customFormat="1" x14ac:dyDescent="0.2">
      <c r="A46" s="990"/>
      <c r="B46" s="244"/>
      <c r="C46" s="244"/>
      <c r="D46" s="245" t="s">
        <v>4</v>
      </c>
      <c r="E46" s="156" t="s">
        <v>30</v>
      </c>
      <c r="F46" s="173"/>
      <c r="G46" s="173"/>
      <c r="H46" s="173"/>
      <c r="I46" s="173"/>
      <c r="J46" s="173"/>
      <c r="K46" s="173"/>
      <c r="L46" s="173"/>
      <c r="M46" s="173"/>
      <c r="N46" s="148"/>
    </row>
    <row r="47" spans="1:14" s="3" customFormat="1" ht="15.75" x14ac:dyDescent="0.2">
      <c r="A47" s="14" t="s">
        <v>23</v>
      </c>
      <c r="B47" s="312">
        <v>2804.9383899999998</v>
      </c>
      <c r="C47" s="313">
        <v>2524.9679599999999</v>
      </c>
      <c r="D47" s="428">
        <f t="shared" ref="D47:D48" si="0">IF(B47=0, "    ---- ", IF(ABS(ROUND(100/B47*C47-100,1))&lt;999,ROUND(100/B47*C47-100,1),IF(ROUND(100/B47*C47-100,1)&gt;999,999,-999)))</f>
        <v>-10</v>
      </c>
      <c r="E47" s="11">
        <f>IFERROR(100/'Skjema total MA'!C47*C47,0)</f>
        <v>5.2855931261567332E-2</v>
      </c>
      <c r="F47" s="145"/>
      <c r="G47" s="33"/>
      <c r="H47" s="159"/>
      <c r="I47" s="159"/>
      <c r="J47" s="37"/>
      <c r="K47" s="37"/>
      <c r="L47" s="159"/>
      <c r="M47" s="159"/>
      <c r="N47" s="148"/>
    </row>
    <row r="48" spans="1:14" s="3" customFormat="1" ht="15.75" x14ac:dyDescent="0.2">
      <c r="A48" s="38" t="s">
        <v>455</v>
      </c>
      <c r="B48" s="283">
        <v>908.76266999999996</v>
      </c>
      <c r="C48" s="284">
        <v>1001.35307</v>
      </c>
      <c r="D48" s="257">
        <f t="shared" si="0"/>
        <v>10.199999999999999</v>
      </c>
      <c r="E48" s="27">
        <f>IFERROR(100/'Skjema total MA'!C48*C48,0)</f>
        <v>3.7583020174502914E-2</v>
      </c>
      <c r="F48" s="145"/>
      <c r="G48" s="33"/>
      <c r="H48" s="145"/>
      <c r="I48" s="145"/>
      <c r="J48" s="33"/>
      <c r="K48" s="33"/>
      <c r="L48" s="159"/>
      <c r="M48" s="159"/>
      <c r="N48" s="148"/>
    </row>
    <row r="49" spans="1:14" s="3" customFormat="1" ht="15.75" x14ac:dyDescent="0.2">
      <c r="A49" s="38" t="s">
        <v>456</v>
      </c>
      <c r="B49" s="44">
        <v>1896.17572</v>
      </c>
      <c r="C49" s="289">
        <v>1523.6148900000001</v>
      </c>
      <c r="D49" s="257">
        <f>IF(B49=0, "    ---- ", IF(ABS(ROUND(100/B49*C49-100,1))&lt;999,ROUND(100/B49*C49-100,1),IF(ROUND(100/B49*C49-100,1)&gt;999,999,-999)))</f>
        <v>-19.600000000000001</v>
      </c>
      <c r="E49" s="27">
        <f>IFERROR(100/'Skjema total MA'!C49*C49,0)</f>
        <v>7.2116966280086028E-2</v>
      </c>
      <c r="F49" s="145"/>
      <c r="G49" s="33"/>
      <c r="H49" s="145"/>
      <c r="I49" s="145"/>
      <c r="J49" s="37"/>
      <c r="K49" s="37"/>
      <c r="L49" s="159"/>
      <c r="M49" s="159"/>
      <c r="N49" s="148"/>
    </row>
    <row r="50" spans="1:14" s="3" customFormat="1" x14ac:dyDescent="0.2">
      <c r="A50" s="298" t="s">
        <v>6</v>
      </c>
      <c r="B50" s="292">
        <v>1896.17572</v>
      </c>
      <c r="C50" s="293">
        <v>1523.6148900000001</v>
      </c>
      <c r="D50" s="257">
        <f>IF(B50=0, "    ---- ", IF(ABS(ROUND(100/B50*C50-100,1))&lt;999,ROUND(100/B50*C50-100,1),IF(ROUND(100/B50*C50-100,1)&gt;999,999,-999)))</f>
        <v>-19.600000000000001</v>
      </c>
      <c r="E50" s="27">
        <f>IFERROR(100/'Skjema total MA'!C50*C50,0)</f>
        <v>100</v>
      </c>
      <c r="F50" s="145"/>
      <c r="G50" s="33"/>
      <c r="H50" s="145"/>
      <c r="I50" s="145"/>
      <c r="J50" s="33"/>
      <c r="K50" s="33"/>
      <c r="L50" s="159"/>
      <c r="M50" s="159"/>
      <c r="N50" s="148"/>
    </row>
    <row r="51" spans="1:14" s="3" customFormat="1" x14ac:dyDescent="0.2">
      <c r="A51" s="298" t="s">
        <v>7</v>
      </c>
      <c r="B51" s="292"/>
      <c r="C51" s="293"/>
      <c r="D51" s="257"/>
      <c r="E51" s="23"/>
      <c r="F51" s="145"/>
      <c r="G51" s="33"/>
      <c r="H51" s="145"/>
      <c r="I51" s="145"/>
      <c r="J51" s="33"/>
      <c r="K51" s="33"/>
      <c r="L51" s="159"/>
      <c r="M51" s="159"/>
      <c r="N51" s="148"/>
    </row>
    <row r="52" spans="1:14" s="3" customFormat="1" x14ac:dyDescent="0.2">
      <c r="A52" s="298" t="s">
        <v>8</v>
      </c>
      <c r="B52" s="292"/>
      <c r="C52" s="293"/>
      <c r="D52" s="257"/>
      <c r="E52" s="23"/>
      <c r="F52" s="145"/>
      <c r="G52" s="33"/>
      <c r="H52" s="145"/>
      <c r="I52" s="145"/>
      <c r="J52" s="33"/>
      <c r="K52" s="33"/>
      <c r="L52" s="159"/>
      <c r="M52" s="159"/>
      <c r="N52" s="148"/>
    </row>
    <row r="53" spans="1:14" s="3" customFormat="1" ht="15.75" x14ac:dyDescent="0.2">
      <c r="A53" s="39" t="s">
        <v>457</v>
      </c>
      <c r="B53" s="312"/>
      <c r="C53" s="313"/>
      <c r="D53" s="429"/>
      <c r="E53" s="11"/>
      <c r="F53" s="145"/>
      <c r="G53" s="33"/>
      <c r="H53" s="145"/>
      <c r="I53" s="145"/>
      <c r="J53" s="33"/>
      <c r="K53" s="33"/>
      <c r="L53" s="159"/>
      <c r="M53" s="159"/>
      <c r="N53" s="148"/>
    </row>
    <row r="54" spans="1:14" s="3" customFormat="1" ht="15.75" x14ac:dyDescent="0.2">
      <c r="A54" s="38" t="s">
        <v>455</v>
      </c>
      <c r="B54" s="283"/>
      <c r="C54" s="284"/>
      <c r="D54" s="257"/>
      <c r="E54" s="27"/>
      <c r="F54" s="145"/>
      <c r="G54" s="33"/>
      <c r="H54" s="145"/>
      <c r="I54" s="145"/>
      <c r="J54" s="33"/>
      <c r="K54" s="33"/>
      <c r="L54" s="159"/>
      <c r="M54" s="159"/>
      <c r="N54" s="148"/>
    </row>
    <row r="55" spans="1:14" s="3" customFormat="1" ht="15.75" x14ac:dyDescent="0.2">
      <c r="A55" s="38" t="s">
        <v>456</v>
      </c>
      <c r="B55" s="283"/>
      <c r="C55" s="284"/>
      <c r="D55" s="257"/>
      <c r="E55" s="27"/>
      <c r="F55" s="145"/>
      <c r="G55" s="33"/>
      <c r="H55" s="145"/>
      <c r="I55" s="145"/>
      <c r="J55" s="33"/>
      <c r="K55" s="33"/>
      <c r="L55" s="159"/>
      <c r="M55" s="159"/>
      <c r="N55" s="148"/>
    </row>
    <row r="56" spans="1:14" s="3" customFormat="1" ht="15.75" x14ac:dyDescent="0.2">
      <c r="A56" s="39" t="s">
        <v>458</v>
      </c>
      <c r="B56" s="312"/>
      <c r="C56" s="313"/>
      <c r="D56" s="429"/>
      <c r="E56" s="11"/>
      <c r="F56" s="145"/>
      <c r="G56" s="33"/>
      <c r="H56" s="145"/>
      <c r="I56" s="145"/>
      <c r="J56" s="33"/>
      <c r="K56" s="33"/>
      <c r="L56" s="159"/>
      <c r="M56" s="159"/>
      <c r="N56" s="148"/>
    </row>
    <row r="57" spans="1:14" s="3" customFormat="1" ht="15.75" x14ac:dyDescent="0.2">
      <c r="A57" s="38" t="s">
        <v>455</v>
      </c>
      <c r="B57" s="283"/>
      <c r="C57" s="284"/>
      <c r="D57" s="257"/>
      <c r="E57" s="27"/>
      <c r="F57" s="145"/>
      <c r="G57" s="33"/>
      <c r="H57" s="145"/>
      <c r="I57" s="145"/>
      <c r="J57" s="33"/>
      <c r="K57" s="33"/>
      <c r="L57" s="159"/>
      <c r="M57" s="159"/>
      <c r="N57" s="148"/>
    </row>
    <row r="58" spans="1:14" s="3" customFormat="1" ht="15.75" x14ac:dyDescent="0.2">
      <c r="A58" s="46" t="s">
        <v>456</v>
      </c>
      <c r="B58" s="285"/>
      <c r="C58" s="286"/>
      <c r="D58" s="258"/>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1022"/>
      <c r="C62" s="1022"/>
      <c r="D62" s="1022"/>
      <c r="E62" s="301"/>
      <c r="F62" s="1022"/>
      <c r="G62" s="1022"/>
      <c r="H62" s="1022"/>
      <c r="I62" s="301"/>
      <c r="J62" s="1022"/>
      <c r="K62" s="1022"/>
      <c r="L62" s="1022"/>
      <c r="M62" s="301"/>
    </row>
    <row r="63" spans="1:14" x14ac:dyDescent="0.2">
      <c r="A63" s="144"/>
      <c r="B63" s="1023" t="s">
        <v>0</v>
      </c>
      <c r="C63" s="1024"/>
      <c r="D63" s="1025"/>
      <c r="E63" s="302"/>
      <c r="F63" s="1024" t="s">
        <v>1</v>
      </c>
      <c r="G63" s="1024"/>
      <c r="H63" s="1024"/>
      <c r="I63" s="306"/>
      <c r="J63" s="1023" t="s">
        <v>2</v>
      </c>
      <c r="K63" s="1024"/>
      <c r="L63" s="1024"/>
      <c r="M63" s="306"/>
    </row>
    <row r="64" spans="1:14" x14ac:dyDescent="0.2">
      <c r="A64" s="140"/>
      <c r="B64" s="152" t="s">
        <v>502</v>
      </c>
      <c r="C64" s="152" t="s">
        <v>503</v>
      </c>
      <c r="D64" s="245" t="s">
        <v>3</v>
      </c>
      <c r="E64" s="307" t="s">
        <v>29</v>
      </c>
      <c r="F64" s="152" t="s">
        <v>502</v>
      </c>
      <c r="G64" s="152" t="s">
        <v>503</v>
      </c>
      <c r="H64" s="245" t="s">
        <v>3</v>
      </c>
      <c r="I64" s="307" t="s">
        <v>29</v>
      </c>
      <c r="J64" s="152" t="s">
        <v>502</v>
      </c>
      <c r="K64" s="152" t="s">
        <v>503</v>
      </c>
      <c r="L64" s="245" t="s">
        <v>3</v>
      </c>
      <c r="M64" s="162" t="s">
        <v>29</v>
      </c>
    </row>
    <row r="65" spans="1:14" x14ac:dyDescent="0.2">
      <c r="A65" s="990"/>
      <c r="B65" s="156"/>
      <c r="C65" s="156"/>
      <c r="D65" s="246" t="s">
        <v>4</v>
      </c>
      <c r="E65" s="156" t="s">
        <v>30</v>
      </c>
      <c r="F65" s="161"/>
      <c r="G65" s="161"/>
      <c r="H65" s="245"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9"/>
      <c r="M66" s="11"/>
    </row>
    <row r="67" spans="1:14" x14ac:dyDescent="0.2">
      <c r="A67" s="420" t="s">
        <v>9</v>
      </c>
      <c r="B67" s="44"/>
      <c r="C67" s="145"/>
      <c r="D67" s="166"/>
      <c r="E67" s="27"/>
      <c r="F67" s="234"/>
      <c r="G67" s="145"/>
      <c r="H67" s="166"/>
      <c r="I67" s="27"/>
      <c r="J67" s="289"/>
      <c r="K67" s="44"/>
      <c r="L67" s="257"/>
      <c r="M67" s="27"/>
    </row>
    <row r="68" spans="1:14" x14ac:dyDescent="0.2">
      <c r="A68" s="21" t="s">
        <v>10</v>
      </c>
      <c r="B68" s="294"/>
      <c r="C68" s="295"/>
      <c r="D68" s="166"/>
      <c r="E68" s="27"/>
      <c r="F68" s="294"/>
      <c r="G68" s="295"/>
      <c r="H68" s="166"/>
      <c r="I68" s="27"/>
      <c r="J68" s="289"/>
      <c r="K68" s="44"/>
      <c r="L68" s="257"/>
      <c r="M68" s="27"/>
    </row>
    <row r="69" spans="1:14" ht="15.75" x14ac:dyDescent="0.2">
      <c r="A69" s="298" t="s">
        <v>459</v>
      </c>
      <c r="B69" s="283"/>
      <c r="C69" s="283"/>
      <c r="D69" s="166"/>
      <c r="E69" s="418"/>
      <c r="F69" s="283"/>
      <c r="G69" s="283"/>
      <c r="H69" s="166"/>
      <c r="I69" s="418"/>
      <c r="J69" s="292"/>
      <c r="K69" s="292"/>
      <c r="L69" s="166"/>
      <c r="M69" s="23"/>
    </row>
    <row r="70" spans="1:14" x14ac:dyDescent="0.2">
      <c r="A70" s="298" t="s">
        <v>12</v>
      </c>
      <c r="B70" s="296"/>
      <c r="C70" s="297"/>
      <c r="D70" s="166"/>
      <c r="E70" s="418"/>
      <c r="F70" s="283"/>
      <c r="G70" s="283"/>
      <c r="H70" s="166"/>
      <c r="I70" s="418"/>
      <c r="J70" s="292"/>
      <c r="K70" s="292"/>
      <c r="L70" s="166"/>
      <c r="M70" s="23"/>
    </row>
    <row r="71" spans="1:14" x14ac:dyDescent="0.2">
      <c r="A71" s="298" t="s">
        <v>13</v>
      </c>
      <c r="B71" s="235"/>
      <c r="C71" s="291"/>
      <c r="D71" s="166"/>
      <c r="E71" s="418"/>
      <c r="F71" s="283"/>
      <c r="G71" s="283"/>
      <c r="H71" s="166"/>
      <c r="I71" s="418"/>
      <c r="J71" s="292"/>
      <c r="K71" s="292"/>
      <c r="L71" s="166"/>
      <c r="M71" s="23"/>
    </row>
    <row r="72" spans="1:14" ht="15.75" x14ac:dyDescent="0.2">
      <c r="A72" s="298" t="s">
        <v>460</v>
      </c>
      <c r="B72" s="283"/>
      <c r="C72" s="283"/>
      <c r="D72" s="166"/>
      <c r="E72" s="418"/>
      <c r="F72" s="283"/>
      <c r="G72" s="283"/>
      <c r="H72" s="166"/>
      <c r="I72" s="418"/>
      <c r="J72" s="292"/>
      <c r="K72" s="292"/>
      <c r="L72" s="166"/>
      <c r="M72" s="23"/>
    </row>
    <row r="73" spans="1:14" x14ac:dyDescent="0.2">
      <c r="A73" s="298" t="s">
        <v>12</v>
      </c>
      <c r="B73" s="235"/>
      <c r="C73" s="291"/>
      <c r="D73" s="166"/>
      <c r="E73" s="418"/>
      <c r="F73" s="283"/>
      <c r="G73" s="283"/>
      <c r="H73" s="166"/>
      <c r="I73" s="418"/>
      <c r="J73" s="292"/>
      <c r="K73" s="292"/>
      <c r="L73" s="166"/>
      <c r="M73" s="23"/>
    </row>
    <row r="74" spans="1:14" s="3" customFormat="1" x14ac:dyDescent="0.2">
      <c r="A74" s="298" t="s">
        <v>13</v>
      </c>
      <c r="B74" s="235"/>
      <c r="C74" s="291"/>
      <c r="D74" s="166"/>
      <c r="E74" s="418"/>
      <c r="F74" s="283"/>
      <c r="G74" s="283"/>
      <c r="H74" s="166"/>
      <c r="I74" s="418"/>
      <c r="J74" s="292"/>
      <c r="K74" s="292"/>
      <c r="L74" s="166"/>
      <c r="M74" s="23"/>
      <c r="N74" s="148"/>
    </row>
    <row r="75" spans="1:14" s="3" customFormat="1" x14ac:dyDescent="0.2">
      <c r="A75" s="21" t="s">
        <v>346</v>
      </c>
      <c r="B75" s="234"/>
      <c r="C75" s="145"/>
      <c r="D75" s="166"/>
      <c r="E75" s="27"/>
      <c r="F75" s="234"/>
      <c r="G75" s="145"/>
      <c r="H75" s="166"/>
      <c r="I75" s="27"/>
      <c r="J75" s="289"/>
      <c r="K75" s="44"/>
      <c r="L75" s="257"/>
      <c r="M75" s="27"/>
      <c r="N75" s="148"/>
    </row>
    <row r="76" spans="1:14" s="3" customFormat="1" x14ac:dyDescent="0.2">
      <c r="A76" s="21" t="s">
        <v>345</v>
      </c>
      <c r="B76" s="234"/>
      <c r="C76" s="145"/>
      <c r="D76" s="166"/>
      <c r="E76" s="27"/>
      <c r="F76" s="234"/>
      <c r="G76" s="145"/>
      <c r="H76" s="166"/>
      <c r="I76" s="27"/>
      <c r="J76" s="289"/>
      <c r="K76" s="44"/>
      <c r="L76" s="257"/>
      <c r="M76" s="27"/>
      <c r="N76" s="148"/>
    </row>
    <row r="77" spans="1:14" ht="15.75" x14ac:dyDescent="0.2">
      <c r="A77" s="21" t="s">
        <v>461</v>
      </c>
      <c r="B77" s="234"/>
      <c r="C77" s="234"/>
      <c r="D77" s="166"/>
      <c r="E77" s="27"/>
      <c r="F77" s="234"/>
      <c r="G77" s="145"/>
      <c r="H77" s="166"/>
      <c r="I77" s="27"/>
      <c r="J77" s="289"/>
      <c r="K77" s="44"/>
      <c r="L77" s="257"/>
      <c r="M77" s="27"/>
    </row>
    <row r="78" spans="1:14" x14ac:dyDescent="0.2">
      <c r="A78" s="21" t="s">
        <v>9</v>
      </c>
      <c r="B78" s="234"/>
      <c r="C78" s="145"/>
      <c r="D78" s="166"/>
      <c r="E78" s="27"/>
      <c r="F78" s="234"/>
      <c r="G78" s="145"/>
      <c r="H78" s="166"/>
      <c r="I78" s="27"/>
      <c r="J78" s="289"/>
      <c r="K78" s="44"/>
      <c r="L78" s="257"/>
      <c r="M78" s="27"/>
    </row>
    <row r="79" spans="1:14" x14ac:dyDescent="0.2">
      <c r="A79" s="21" t="s">
        <v>10</v>
      </c>
      <c r="B79" s="294"/>
      <c r="C79" s="295"/>
      <c r="D79" s="166"/>
      <c r="E79" s="27"/>
      <c r="F79" s="294"/>
      <c r="G79" s="295"/>
      <c r="H79" s="166"/>
      <c r="I79" s="27"/>
      <c r="J79" s="289"/>
      <c r="K79" s="44"/>
      <c r="L79" s="257"/>
      <c r="M79" s="27"/>
    </row>
    <row r="80" spans="1:14" ht="15.75" x14ac:dyDescent="0.2">
      <c r="A80" s="298" t="s">
        <v>459</v>
      </c>
      <c r="B80" s="283"/>
      <c r="C80" s="283"/>
      <c r="D80" s="166"/>
      <c r="E80" s="418"/>
      <c r="F80" s="283"/>
      <c r="G80" s="283"/>
      <c r="H80" s="166"/>
      <c r="I80" s="418"/>
      <c r="J80" s="292"/>
      <c r="K80" s="292"/>
      <c r="L80" s="166"/>
      <c r="M80" s="23"/>
    </row>
    <row r="81" spans="1:13" x14ac:dyDescent="0.2">
      <c r="A81" s="298" t="s">
        <v>12</v>
      </c>
      <c r="B81" s="235"/>
      <c r="C81" s="291"/>
      <c r="D81" s="166"/>
      <c r="E81" s="418"/>
      <c r="F81" s="283"/>
      <c r="G81" s="283"/>
      <c r="H81" s="166"/>
      <c r="I81" s="418"/>
      <c r="J81" s="292"/>
      <c r="K81" s="292"/>
      <c r="L81" s="166"/>
      <c r="M81" s="23"/>
    </row>
    <row r="82" spans="1:13" x14ac:dyDescent="0.2">
      <c r="A82" s="298" t="s">
        <v>13</v>
      </c>
      <c r="B82" s="235"/>
      <c r="C82" s="291"/>
      <c r="D82" s="166"/>
      <c r="E82" s="418"/>
      <c r="F82" s="283"/>
      <c r="G82" s="283"/>
      <c r="H82" s="166"/>
      <c r="I82" s="418"/>
      <c r="J82" s="292"/>
      <c r="K82" s="292"/>
      <c r="L82" s="166"/>
      <c r="M82" s="23"/>
    </row>
    <row r="83" spans="1:13" ht="15.75" x14ac:dyDescent="0.2">
      <c r="A83" s="298" t="s">
        <v>460</v>
      </c>
      <c r="B83" s="283"/>
      <c r="C83" s="283"/>
      <c r="D83" s="166"/>
      <c r="E83" s="418"/>
      <c r="F83" s="283"/>
      <c r="G83" s="283"/>
      <c r="H83" s="166"/>
      <c r="I83" s="418"/>
      <c r="J83" s="292"/>
      <c r="K83" s="292"/>
      <c r="L83" s="166"/>
      <c r="M83" s="23"/>
    </row>
    <row r="84" spans="1:13" x14ac:dyDescent="0.2">
      <c r="A84" s="298" t="s">
        <v>12</v>
      </c>
      <c r="B84" s="235"/>
      <c r="C84" s="291"/>
      <c r="D84" s="166"/>
      <c r="E84" s="418"/>
      <c r="F84" s="283"/>
      <c r="G84" s="283"/>
      <c r="H84" s="166"/>
      <c r="I84" s="418"/>
      <c r="J84" s="292"/>
      <c r="K84" s="292"/>
      <c r="L84" s="166"/>
      <c r="M84" s="23"/>
    </row>
    <row r="85" spans="1:13" x14ac:dyDescent="0.2">
      <c r="A85" s="298" t="s">
        <v>13</v>
      </c>
      <c r="B85" s="235"/>
      <c r="C85" s="291"/>
      <c r="D85" s="166"/>
      <c r="E85" s="418"/>
      <c r="F85" s="283"/>
      <c r="G85" s="283"/>
      <c r="H85" s="166"/>
      <c r="I85" s="418"/>
      <c r="J85" s="292"/>
      <c r="K85" s="292"/>
      <c r="L85" s="166"/>
      <c r="M85" s="23"/>
    </row>
    <row r="86" spans="1:13" ht="15.75" x14ac:dyDescent="0.2">
      <c r="A86" s="21" t="s">
        <v>462</v>
      </c>
      <c r="B86" s="234"/>
      <c r="C86" s="145"/>
      <c r="D86" s="166"/>
      <c r="E86" s="27"/>
      <c r="F86" s="234"/>
      <c r="G86" s="145"/>
      <c r="H86" s="166"/>
      <c r="I86" s="27"/>
      <c r="J86" s="289"/>
      <c r="K86" s="44"/>
      <c r="L86" s="257"/>
      <c r="M86" s="27"/>
    </row>
    <row r="87" spans="1:13" ht="15.75" x14ac:dyDescent="0.2">
      <c r="A87" s="13" t="s">
        <v>444</v>
      </c>
      <c r="B87" s="354"/>
      <c r="C87" s="354"/>
      <c r="D87" s="171"/>
      <c r="E87" s="11"/>
      <c r="F87" s="353"/>
      <c r="G87" s="353"/>
      <c r="H87" s="171"/>
      <c r="I87" s="11"/>
      <c r="J87" s="311"/>
      <c r="K87" s="236"/>
      <c r="L87" s="429"/>
      <c r="M87" s="11"/>
    </row>
    <row r="88" spans="1:13" x14ac:dyDescent="0.2">
      <c r="A88" s="21" t="s">
        <v>9</v>
      </c>
      <c r="B88" s="234"/>
      <c r="C88" s="145"/>
      <c r="D88" s="166"/>
      <c r="E88" s="27"/>
      <c r="F88" s="234"/>
      <c r="G88" s="145"/>
      <c r="H88" s="166"/>
      <c r="I88" s="27"/>
      <c r="J88" s="289"/>
      <c r="K88" s="44"/>
      <c r="L88" s="257"/>
      <c r="M88" s="27"/>
    </row>
    <row r="89" spans="1:13" x14ac:dyDescent="0.2">
      <c r="A89" s="21" t="s">
        <v>10</v>
      </c>
      <c r="B89" s="234"/>
      <c r="C89" s="145"/>
      <c r="D89" s="166"/>
      <c r="E89" s="27"/>
      <c r="F89" s="234"/>
      <c r="G89" s="145"/>
      <c r="H89" s="166"/>
      <c r="I89" s="27"/>
      <c r="J89" s="289"/>
      <c r="K89" s="44"/>
      <c r="L89" s="257"/>
      <c r="M89" s="27"/>
    </row>
    <row r="90" spans="1:13" ht="15.75" x14ac:dyDescent="0.2">
      <c r="A90" s="298" t="s">
        <v>459</v>
      </c>
      <c r="B90" s="283"/>
      <c r="C90" s="283"/>
      <c r="D90" s="166"/>
      <c r="E90" s="418"/>
      <c r="F90" s="283"/>
      <c r="G90" s="283"/>
      <c r="H90" s="166"/>
      <c r="I90" s="418"/>
      <c r="J90" s="292"/>
      <c r="K90" s="292"/>
      <c r="L90" s="166"/>
      <c r="M90" s="23"/>
    </row>
    <row r="91" spans="1:13" x14ac:dyDescent="0.2">
      <c r="A91" s="298" t="s">
        <v>12</v>
      </c>
      <c r="B91" s="235"/>
      <c r="C91" s="291"/>
      <c r="D91" s="166"/>
      <c r="E91" s="418"/>
      <c r="F91" s="283"/>
      <c r="G91" s="283"/>
      <c r="H91" s="166"/>
      <c r="I91" s="418"/>
      <c r="J91" s="292"/>
      <c r="K91" s="292"/>
      <c r="L91" s="166"/>
      <c r="M91" s="23"/>
    </row>
    <row r="92" spans="1:13" x14ac:dyDescent="0.2">
      <c r="A92" s="298" t="s">
        <v>13</v>
      </c>
      <c r="B92" s="235"/>
      <c r="C92" s="291"/>
      <c r="D92" s="166"/>
      <c r="E92" s="418"/>
      <c r="F92" s="283"/>
      <c r="G92" s="283"/>
      <c r="H92" s="166"/>
      <c r="I92" s="418"/>
      <c r="J92" s="292"/>
      <c r="K92" s="292"/>
      <c r="L92" s="166"/>
      <c r="M92" s="23"/>
    </row>
    <row r="93" spans="1:13" ht="15.75" x14ac:dyDescent="0.2">
      <c r="A93" s="298" t="s">
        <v>460</v>
      </c>
      <c r="B93" s="283"/>
      <c r="C93" s="283"/>
      <c r="D93" s="166"/>
      <c r="E93" s="418"/>
      <c r="F93" s="283"/>
      <c r="G93" s="283"/>
      <c r="H93" s="166"/>
      <c r="I93" s="418"/>
      <c r="J93" s="292"/>
      <c r="K93" s="292"/>
      <c r="L93" s="166"/>
      <c r="M93" s="23"/>
    </row>
    <row r="94" spans="1:13" x14ac:dyDescent="0.2">
      <c r="A94" s="298" t="s">
        <v>12</v>
      </c>
      <c r="B94" s="235"/>
      <c r="C94" s="291"/>
      <c r="D94" s="166"/>
      <c r="E94" s="418"/>
      <c r="F94" s="283"/>
      <c r="G94" s="283"/>
      <c r="H94" s="166"/>
      <c r="I94" s="418"/>
      <c r="J94" s="292"/>
      <c r="K94" s="292"/>
      <c r="L94" s="166"/>
      <c r="M94" s="23"/>
    </row>
    <row r="95" spans="1:13" x14ac:dyDescent="0.2">
      <c r="A95" s="298" t="s">
        <v>13</v>
      </c>
      <c r="B95" s="235"/>
      <c r="C95" s="291"/>
      <c r="D95" s="166"/>
      <c r="E95" s="418"/>
      <c r="F95" s="283"/>
      <c r="G95" s="283"/>
      <c r="H95" s="166"/>
      <c r="I95" s="418"/>
      <c r="J95" s="292"/>
      <c r="K95" s="292"/>
      <c r="L95" s="166"/>
      <c r="M95" s="23"/>
    </row>
    <row r="96" spans="1:13" x14ac:dyDescent="0.2">
      <c r="A96" s="21" t="s">
        <v>344</v>
      </c>
      <c r="B96" s="234"/>
      <c r="C96" s="145"/>
      <c r="D96" s="166"/>
      <c r="E96" s="27"/>
      <c r="F96" s="234"/>
      <c r="G96" s="145"/>
      <c r="H96" s="166"/>
      <c r="I96" s="27"/>
      <c r="J96" s="289"/>
      <c r="K96" s="44"/>
      <c r="L96" s="257"/>
      <c r="M96" s="27"/>
    </row>
    <row r="97" spans="1:13" x14ac:dyDescent="0.2">
      <c r="A97" s="21" t="s">
        <v>343</v>
      </c>
      <c r="B97" s="234"/>
      <c r="C97" s="145"/>
      <c r="D97" s="166"/>
      <c r="E97" s="27"/>
      <c r="F97" s="234"/>
      <c r="G97" s="145"/>
      <c r="H97" s="166"/>
      <c r="I97" s="27"/>
      <c r="J97" s="289"/>
      <c r="K97" s="44"/>
      <c r="L97" s="257"/>
      <c r="M97" s="27"/>
    </row>
    <row r="98" spans="1:13" ht="15.75" x14ac:dyDescent="0.2">
      <c r="A98" s="21" t="s">
        <v>461</v>
      </c>
      <c r="B98" s="234"/>
      <c r="C98" s="234"/>
      <c r="D98" s="166"/>
      <c r="E98" s="27"/>
      <c r="F98" s="294"/>
      <c r="G98" s="294"/>
      <c r="H98" s="166"/>
      <c r="I98" s="27"/>
      <c r="J98" s="289"/>
      <c r="K98" s="44"/>
      <c r="L98" s="257"/>
      <c r="M98" s="27"/>
    </row>
    <row r="99" spans="1:13" x14ac:dyDescent="0.2">
      <c r="A99" s="21" t="s">
        <v>9</v>
      </c>
      <c r="B99" s="294"/>
      <c r="C99" s="295"/>
      <c r="D99" s="166"/>
      <c r="E99" s="27"/>
      <c r="F99" s="234"/>
      <c r="G99" s="145"/>
      <c r="H99" s="166"/>
      <c r="I99" s="27"/>
      <c r="J99" s="289"/>
      <c r="K99" s="44"/>
      <c r="L99" s="257"/>
      <c r="M99" s="27"/>
    </row>
    <row r="100" spans="1:13" x14ac:dyDescent="0.2">
      <c r="A100" s="21" t="s">
        <v>10</v>
      </c>
      <c r="B100" s="294"/>
      <c r="C100" s="295"/>
      <c r="D100" s="166"/>
      <c r="E100" s="27"/>
      <c r="F100" s="234"/>
      <c r="G100" s="234"/>
      <c r="H100" s="166"/>
      <c r="I100" s="27"/>
      <c r="J100" s="289"/>
      <c r="K100" s="44"/>
      <c r="L100" s="257"/>
      <c r="M100" s="27"/>
    </row>
    <row r="101" spans="1:13" ht="15.75" x14ac:dyDescent="0.2">
      <c r="A101" s="298" t="s">
        <v>459</v>
      </c>
      <c r="B101" s="283"/>
      <c r="C101" s="283"/>
      <c r="D101" s="166"/>
      <c r="E101" s="418"/>
      <c r="F101" s="283"/>
      <c r="G101" s="283"/>
      <c r="H101" s="166"/>
      <c r="I101" s="418"/>
      <c r="J101" s="292"/>
      <c r="K101" s="292"/>
      <c r="L101" s="166"/>
      <c r="M101" s="23"/>
    </row>
    <row r="102" spans="1:13" x14ac:dyDescent="0.2">
      <c r="A102" s="298" t="s">
        <v>12</v>
      </c>
      <c r="B102" s="235"/>
      <c r="C102" s="291"/>
      <c r="D102" s="166"/>
      <c r="E102" s="418"/>
      <c r="F102" s="283"/>
      <c r="G102" s="283"/>
      <c r="H102" s="166"/>
      <c r="I102" s="418"/>
      <c r="J102" s="292"/>
      <c r="K102" s="292"/>
      <c r="L102" s="166"/>
      <c r="M102" s="23"/>
    </row>
    <row r="103" spans="1:13" x14ac:dyDescent="0.2">
      <c r="A103" s="298" t="s">
        <v>13</v>
      </c>
      <c r="B103" s="235"/>
      <c r="C103" s="291"/>
      <c r="D103" s="166"/>
      <c r="E103" s="418"/>
      <c r="F103" s="283"/>
      <c r="G103" s="283"/>
      <c r="H103" s="166"/>
      <c r="I103" s="418"/>
      <c r="J103" s="292"/>
      <c r="K103" s="292"/>
      <c r="L103" s="166"/>
      <c r="M103" s="23"/>
    </row>
    <row r="104" spans="1:13" ht="15.75" x14ac:dyDescent="0.2">
      <c r="A104" s="298" t="s">
        <v>460</v>
      </c>
      <c r="B104" s="283"/>
      <c r="C104" s="283"/>
      <c r="D104" s="166"/>
      <c r="E104" s="418"/>
      <c r="F104" s="283"/>
      <c r="G104" s="283"/>
      <c r="H104" s="166"/>
      <c r="I104" s="418"/>
      <c r="J104" s="292"/>
      <c r="K104" s="292"/>
      <c r="L104" s="166"/>
      <c r="M104" s="23"/>
    </row>
    <row r="105" spans="1:13" x14ac:dyDescent="0.2">
      <c r="A105" s="298" t="s">
        <v>12</v>
      </c>
      <c r="B105" s="235"/>
      <c r="C105" s="291"/>
      <c r="D105" s="166"/>
      <c r="E105" s="418"/>
      <c r="F105" s="283"/>
      <c r="G105" s="283"/>
      <c r="H105" s="166"/>
      <c r="I105" s="418"/>
      <c r="J105" s="292"/>
      <c r="K105" s="292"/>
      <c r="L105" s="166"/>
      <c r="M105" s="23"/>
    </row>
    <row r="106" spans="1:13" x14ac:dyDescent="0.2">
      <c r="A106" s="298" t="s">
        <v>13</v>
      </c>
      <c r="B106" s="235"/>
      <c r="C106" s="291"/>
      <c r="D106" s="166"/>
      <c r="E106" s="418"/>
      <c r="F106" s="283"/>
      <c r="G106" s="283"/>
      <c r="H106" s="166"/>
      <c r="I106" s="418"/>
      <c r="J106" s="292"/>
      <c r="K106" s="292"/>
      <c r="L106" s="166"/>
      <c r="M106" s="23"/>
    </row>
    <row r="107" spans="1:13" ht="15.75" x14ac:dyDescent="0.2">
      <c r="A107" s="21" t="s">
        <v>462</v>
      </c>
      <c r="B107" s="234"/>
      <c r="C107" s="145"/>
      <c r="D107" s="166"/>
      <c r="E107" s="27"/>
      <c r="F107" s="234"/>
      <c r="G107" s="145"/>
      <c r="H107" s="166"/>
      <c r="I107" s="27"/>
      <c r="J107" s="289"/>
      <c r="K107" s="44"/>
      <c r="L107" s="257"/>
      <c r="M107" s="27"/>
    </row>
    <row r="108" spans="1:13" ht="15.75" x14ac:dyDescent="0.2">
      <c r="A108" s="21" t="s">
        <v>463</v>
      </c>
      <c r="B108" s="234"/>
      <c r="C108" s="234"/>
      <c r="D108" s="166"/>
      <c r="E108" s="27"/>
      <c r="F108" s="234"/>
      <c r="G108" s="234"/>
      <c r="H108" s="166"/>
      <c r="I108" s="27"/>
      <c r="J108" s="289"/>
      <c r="K108" s="44"/>
      <c r="L108" s="257"/>
      <c r="M108" s="27"/>
    </row>
    <row r="109" spans="1:13" ht="15.75" x14ac:dyDescent="0.2">
      <c r="A109" s="21" t="s">
        <v>464</v>
      </c>
      <c r="B109" s="234"/>
      <c r="C109" s="234"/>
      <c r="D109" s="166"/>
      <c r="E109" s="27"/>
      <c r="F109" s="234"/>
      <c r="G109" s="234"/>
      <c r="H109" s="166"/>
      <c r="I109" s="27"/>
      <c r="J109" s="289"/>
      <c r="K109" s="44"/>
      <c r="L109" s="257"/>
      <c r="M109" s="27"/>
    </row>
    <row r="110" spans="1:13" ht="15.75" x14ac:dyDescent="0.2">
      <c r="A110" s="21" t="s">
        <v>465</v>
      </c>
      <c r="B110" s="234"/>
      <c r="C110" s="234"/>
      <c r="D110" s="166"/>
      <c r="E110" s="27"/>
      <c r="F110" s="234"/>
      <c r="G110" s="234"/>
      <c r="H110" s="166"/>
      <c r="I110" s="27"/>
      <c r="J110" s="289"/>
      <c r="K110" s="44"/>
      <c r="L110" s="257"/>
      <c r="M110" s="27"/>
    </row>
    <row r="111" spans="1:13" ht="15.75" x14ac:dyDescent="0.2">
      <c r="A111" s="13" t="s">
        <v>445</v>
      </c>
      <c r="B111" s="310"/>
      <c r="C111" s="159"/>
      <c r="D111" s="171"/>
      <c r="E111" s="11"/>
      <c r="F111" s="310"/>
      <c r="G111" s="159"/>
      <c r="H111" s="171"/>
      <c r="I111" s="11"/>
      <c r="J111" s="311"/>
      <c r="K111" s="236"/>
      <c r="L111" s="429"/>
      <c r="M111" s="11"/>
    </row>
    <row r="112" spans="1:13" x14ac:dyDescent="0.2">
      <c r="A112" s="21" t="s">
        <v>9</v>
      </c>
      <c r="B112" s="234"/>
      <c r="C112" s="145"/>
      <c r="D112" s="166"/>
      <c r="E112" s="27"/>
      <c r="F112" s="234"/>
      <c r="G112" s="145"/>
      <c r="H112" s="166"/>
      <c r="I112" s="27"/>
      <c r="J112" s="289"/>
      <c r="K112" s="44"/>
      <c r="L112" s="257"/>
      <c r="M112" s="27"/>
    </row>
    <row r="113" spans="1:14" x14ac:dyDescent="0.2">
      <c r="A113" s="21" t="s">
        <v>10</v>
      </c>
      <c r="B113" s="234"/>
      <c r="C113" s="145"/>
      <c r="D113" s="166"/>
      <c r="E113" s="27"/>
      <c r="F113" s="234"/>
      <c r="G113" s="145"/>
      <c r="H113" s="166"/>
      <c r="I113" s="27"/>
      <c r="J113" s="289"/>
      <c r="K113" s="44"/>
      <c r="L113" s="257"/>
      <c r="M113" s="27"/>
    </row>
    <row r="114" spans="1:14" x14ac:dyDescent="0.2">
      <c r="A114" s="21" t="s">
        <v>26</v>
      </c>
      <c r="B114" s="234"/>
      <c r="C114" s="145"/>
      <c r="D114" s="166"/>
      <c r="E114" s="27"/>
      <c r="F114" s="234"/>
      <c r="G114" s="145"/>
      <c r="H114" s="166"/>
      <c r="I114" s="27"/>
      <c r="J114" s="289"/>
      <c r="K114" s="44"/>
      <c r="L114" s="257"/>
      <c r="M114" s="27"/>
    </row>
    <row r="115" spans="1:14" x14ac:dyDescent="0.2">
      <c r="A115" s="298" t="s">
        <v>15</v>
      </c>
      <c r="B115" s="283"/>
      <c r="C115" s="283"/>
      <c r="D115" s="166"/>
      <c r="E115" s="418"/>
      <c r="F115" s="283"/>
      <c r="G115" s="283"/>
      <c r="H115" s="166"/>
      <c r="I115" s="418"/>
      <c r="J115" s="292"/>
      <c r="K115" s="292"/>
      <c r="L115" s="166"/>
      <c r="M115" s="23"/>
    </row>
    <row r="116" spans="1:14" ht="15.75" x14ac:dyDescent="0.2">
      <c r="A116" s="21" t="s">
        <v>466</v>
      </c>
      <c r="B116" s="234"/>
      <c r="C116" s="234"/>
      <c r="D116" s="166"/>
      <c r="E116" s="27"/>
      <c r="F116" s="234"/>
      <c r="G116" s="234"/>
      <c r="H116" s="166"/>
      <c r="I116" s="27"/>
      <c r="J116" s="289"/>
      <c r="K116" s="44"/>
      <c r="L116" s="257"/>
      <c r="M116" s="27"/>
    </row>
    <row r="117" spans="1:14" ht="15.75" x14ac:dyDescent="0.2">
      <c r="A117" s="21" t="s">
        <v>467</v>
      </c>
      <c r="B117" s="234"/>
      <c r="C117" s="234"/>
      <c r="D117" s="166"/>
      <c r="E117" s="27"/>
      <c r="F117" s="234"/>
      <c r="G117" s="234"/>
      <c r="H117" s="166"/>
      <c r="I117" s="27"/>
      <c r="J117" s="289"/>
      <c r="K117" s="44"/>
      <c r="L117" s="257"/>
      <c r="M117" s="27"/>
    </row>
    <row r="118" spans="1:14" ht="15.75" x14ac:dyDescent="0.2">
      <c r="A118" s="21" t="s">
        <v>465</v>
      </c>
      <c r="B118" s="234"/>
      <c r="C118" s="234"/>
      <c r="D118" s="166"/>
      <c r="E118" s="27"/>
      <c r="F118" s="234"/>
      <c r="G118" s="234"/>
      <c r="H118" s="166"/>
      <c r="I118" s="27"/>
      <c r="J118" s="289"/>
      <c r="K118" s="44"/>
      <c r="L118" s="257"/>
      <c r="M118" s="27"/>
    </row>
    <row r="119" spans="1:14" ht="15.75" x14ac:dyDescent="0.2">
      <c r="A119" s="13" t="s">
        <v>446</v>
      </c>
      <c r="B119" s="310"/>
      <c r="C119" s="159"/>
      <c r="D119" s="171"/>
      <c r="E119" s="11"/>
      <c r="F119" s="310"/>
      <c r="G119" s="159"/>
      <c r="H119" s="171"/>
      <c r="I119" s="11"/>
      <c r="J119" s="311"/>
      <c r="K119" s="236"/>
      <c r="L119" s="429"/>
      <c r="M119" s="11"/>
    </row>
    <row r="120" spans="1:14" x14ac:dyDescent="0.2">
      <c r="A120" s="21" t="s">
        <v>9</v>
      </c>
      <c r="B120" s="234"/>
      <c r="C120" s="145"/>
      <c r="D120" s="166"/>
      <c r="E120" s="27"/>
      <c r="F120" s="234"/>
      <c r="G120" s="145"/>
      <c r="H120" s="166"/>
      <c r="I120" s="27"/>
      <c r="J120" s="289"/>
      <c r="K120" s="44"/>
      <c r="L120" s="257"/>
      <c r="M120" s="27"/>
    </row>
    <row r="121" spans="1:14" x14ac:dyDescent="0.2">
      <c r="A121" s="21" t="s">
        <v>10</v>
      </c>
      <c r="B121" s="234"/>
      <c r="C121" s="145"/>
      <c r="D121" s="166"/>
      <c r="E121" s="27"/>
      <c r="F121" s="234"/>
      <c r="G121" s="145"/>
      <c r="H121" s="166"/>
      <c r="I121" s="27"/>
      <c r="J121" s="289"/>
      <c r="K121" s="44"/>
      <c r="L121" s="257"/>
      <c r="M121" s="27"/>
    </row>
    <row r="122" spans="1:14" x14ac:dyDescent="0.2">
      <c r="A122" s="21" t="s">
        <v>26</v>
      </c>
      <c r="B122" s="234"/>
      <c r="C122" s="145"/>
      <c r="D122" s="166"/>
      <c r="E122" s="27"/>
      <c r="F122" s="234"/>
      <c r="G122" s="145"/>
      <c r="H122" s="166"/>
      <c r="I122" s="27"/>
      <c r="J122" s="289"/>
      <c r="K122" s="44"/>
      <c r="L122" s="257"/>
      <c r="M122" s="27"/>
    </row>
    <row r="123" spans="1:14" x14ac:dyDescent="0.2">
      <c r="A123" s="298" t="s">
        <v>14</v>
      </c>
      <c r="B123" s="283"/>
      <c r="C123" s="283"/>
      <c r="D123" s="166"/>
      <c r="E123" s="418"/>
      <c r="F123" s="283"/>
      <c r="G123" s="283"/>
      <c r="H123" s="166"/>
      <c r="I123" s="418"/>
      <c r="J123" s="292"/>
      <c r="K123" s="292"/>
      <c r="L123" s="166"/>
      <c r="M123" s="23"/>
    </row>
    <row r="124" spans="1:14" ht="15.75" x14ac:dyDescent="0.2">
      <c r="A124" s="21" t="s">
        <v>472</v>
      </c>
      <c r="B124" s="234"/>
      <c r="C124" s="234"/>
      <c r="D124" s="166"/>
      <c r="E124" s="27"/>
      <c r="F124" s="234"/>
      <c r="G124" s="234"/>
      <c r="H124" s="166"/>
      <c r="I124" s="27"/>
      <c r="J124" s="289"/>
      <c r="K124" s="44"/>
      <c r="L124" s="257"/>
      <c r="M124" s="27"/>
    </row>
    <row r="125" spans="1:14" ht="15.75" x14ac:dyDescent="0.2">
      <c r="A125" s="21" t="s">
        <v>464</v>
      </c>
      <c r="B125" s="234"/>
      <c r="C125" s="234"/>
      <c r="D125" s="166"/>
      <c r="E125" s="27"/>
      <c r="F125" s="234"/>
      <c r="G125" s="234"/>
      <c r="H125" s="166"/>
      <c r="I125" s="27"/>
      <c r="J125" s="289"/>
      <c r="K125" s="44"/>
      <c r="L125" s="257"/>
      <c r="M125" s="27"/>
    </row>
    <row r="126" spans="1:14" ht="15.75" x14ac:dyDescent="0.2">
      <c r="A126" s="10" t="s">
        <v>465</v>
      </c>
      <c r="B126" s="45"/>
      <c r="C126" s="45"/>
      <c r="D126" s="167"/>
      <c r="E126" s="419"/>
      <c r="F126" s="45"/>
      <c r="G126" s="45"/>
      <c r="H126" s="167"/>
      <c r="I126" s="22"/>
      <c r="J126" s="290"/>
      <c r="K126" s="45"/>
      <c r="L126" s="258"/>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1022"/>
      <c r="C130" s="1022"/>
      <c r="D130" s="1022"/>
      <c r="E130" s="301"/>
      <c r="F130" s="1022"/>
      <c r="G130" s="1022"/>
      <c r="H130" s="1022"/>
      <c r="I130" s="301"/>
      <c r="J130" s="1022"/>
      <c r="K130" s="1022"/>
      <c r="L130" s="1022"/>
      <c r="M130" s="301"/>
    </row>
    <row r="131" spans="1:14" s="3" customFormat="1" x14ac:dyDescent="0.2">
      <c r="A131" s="144"/>
      <c r="B131" s="1023" t="s">
        <v>0</v>
      </c>
      <c r="C131" s="1024"/>
      <c r="D131" s="1024"/>
      <c r="E131" s="303"/>
      <c r="F131" s="1023" t="s">
        <v>1</v>
      </c>
      <c r="G131" s="1024"/>
      <c r="H131" s="1024"/>
      <c r="I131" s="306"/>
      <c r="J131" s="1023" t="s">
        <v>2</v>
      </c>
      <c r="K131" s="1024"/>
      <c r="L131" s="1024"/>
      <c r="M131" s="306"/>
      <c r="N131" s="148"/>
    </row>
    <row r="132" spans="1:14" s="3" customFormat="1" x14ac:dyDescent="0.2">
      <c r="A132" s="140"/>
      <c r="B132" s="152" t="s">
        <v>502</v>
      </c>
      <c r="C132" s="152" t="s">
        <v>503</v>
      </c>
      <c r="D132" s="245" t="s">
        <v>3</v>
      </c>
      <c r="E132" s="307" t="s">
        <v>29</v>
      </c>
      <c r="F132" s="152" t="s">
        <v>502</v>
      </c>
      <c r="G132" s="152" t="s">
        <v>503</v>
      </c>
      <c r="H132" s="206" t="s">
        <v>3</v>
      </c>
      <c r="I132" s="162" t="s">
        <v>29</v>
      </c>
      <c r="J132" s="152" t="s">
        <v>502</v>
      </c>
      <c r="K132" s="152" t="s">
        <v>503</v>
      </c>
      <c r="L132" s="246" t="s">
        <v>3</v>
      </c>
      <c r="M132" s="162" t="s">
        <v>29</v>
      </c>
      <c r="N132" s="148"/>
    </row>
    <row r="133" spans="1:14" s="3" customFormat="1" x14ac:dyDescent="0.2">
      <c r="A133" s="990"/>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468</v>
      </c>
      <c r="B134" s="236">
        <v>40068430.182120003</v>
      </c>
      <c r="C134" s="311">
        <v>34174716.911899999</v>
      </c>
      <c r="D134" s="351">
        <f t="shared" ref="D134:D137" si="1">IF(B134=0, "    ---- ", IF(ABS(ROUND(100/B134*C134-100,1))&lt;999,ROUND(100/B134*C134-100,1),IF(ROUND(100/B134*C134-100,1)&gt;999,999,-999)))</f>
        <v>-14.7</v>
      </c>
      <c r="E134" s="11">
        <f>IFERROR(100/'Skjema total MA'!C134*C134,0)</f>
        <v>88.906989589032278</v>
      </c>
      <c r="F134" s="318">
        <v>152808.77100000001</v>
      </c>
      <c r="G134" s="319">
        <v>74308.707999999999</v>
      </c>
      <c r="H134" s="432">
        <f t="shared" ref="H134:H136" si="2">IF(F134=0, "    ---- ", IF(ABS(ROUND(100/F134*G134-100,1))&lt;999,ROUND(100/F134*G134-100,1),IF(ROUND(100/F134*G134-100,1)&gt;999,999,-999)))</f>
        <v>-51.4</v>
      </c>
      <c r="I134" s="24">
        <f>IFERROR(100/'Skjema total MA'!F134*G134,0)</f>
        <v>100</v>
      </c>
      <c r="J134" s="320">
        <f t="shared" ref="J134:K137" si="3">SUM(B134,F134)</f>
        <v>40221238.953120001</v>
      </c>
      <c r="K134" s="320">
        <f t="shared" si="3"/>
        <v>34249025.619899996</v>
      </c>
      <c r="L134" s="428">
        <f t="shared" ref="L134:L137" si="4">IF(J134=0, "    ---- ", IF(ABS(ROUND(100/J134*K134-100,1))&lt;999,ROUND(100/J134*K134-100,1),IF(ROUND(100/J134*K134-100,1)&gt;999,999,-999)))</f>
        <v>-14.8</v>
      </c>
      <c r="M134" s="11">
        <f>IFERROR(100/'Skjema total MA'!I134*K134,0)</f>
        <v>88.928392919374318</v>
      </c>
      <c r="N134" s="148"/>
    </row>
    <row r="135" spans="1:14" s="3" customFormat="1" ht="15.75" x14ac:dyDescent="0.2">
      <c r="A135" s="13" t="s">
        <v>473</v>
      </c>
      <c r="B135" s="236">
        <v>507748922.5025</v>
      </c>
      <c r="C135" s="311">
        <v>537548840.24074996</v>
      </c>
      <c r="D135" s="171">
        <f t="shared" si="1"/>
        <v>5.9</v>
      </c>
      <c r="E135" s="11">
        <f>IFERROR(100/'Skjema total MA'!C135*C135,0)</f>
        <v>86.289049099879009</v>
      </c>
      <c r="F135" s="236">
        <v>2703759.0266499999</v>
      </c>
      <c r="G135" s="311">
        <v>2013752.24184</v>
      </c>
      <c r="H135" s="433">
        <f t="shared" si="2"/>
        <v>-25.5</v>
      </c>
      <c r="I135" s="24">
        <f>IFERROR(100/'Skjema total MA'!F135*G135,0)</f>
        <v>100</v>
      </c>
      <c r="J135" s="310">
        <f t="shared" si="3"/>
        <v>510452681.52915001</v>
      </c>
      <c r="K135" s="310">
        <f t="shared" si="3"/>
        <v>539562592.48258996</v>
      </c>
      <c r="L135" s="429">
        <f t="shared" si="4"/>
        <v>5.7</v>
      </c>
      <c r="M135" s="11">
        <f>IFERROR(100/'Skjema total MA'!I135*K135,0)</f>
        <v>86.333227476849714</v>
      </c>
      <c r="N135" s="148"/>
    </row>
    <row r="136" spans="1:14" s="3" customFormat="1" ht="15.75" x14ac:dyDescent="0.2">
      <c r="A136" s="13" t="s">
        <v>470</v>
      </c>
      <c r="B136" s="236">
        <v>-19888.667000000001</v>
      </c>
      <c r="C136" s="311">
        <v>3357566.0550000002</v>
      </c>
      <c r="D136" s="171">
        <f t="shared" si="1"/>
        <v>-999</v>
      </c>
      <c r="E136" s="11">
        <f>IFERROR(100/'Skjema total MA'!C136*C136,0)</f>
        <v>90.247354307256657</v>
      </c>
      <c r="F136" s="236">
        <v>31148.103999999999</v>
      </c>
      <c r="G136" s="311">
        <v>-507465.17200000002</v>
      </c>
      <c r="H136" s="433">
        <f t="shared" si="2"/>
        <v>-999</v>
      </c>
      <c r="I136" s="24">
        <f>IFERROR(100/'Skjema total MA'!F136*G136,0)</f>
        <v>100</v>
      </c>
      <c r="J136" s="310">
        <f t="shared" si="3"/>
        <v>11259.436999999998</v>
      </c>
      <c r="K136" s="310">
        <f t="shared" si="3"/>
        <v>2850100.8830000004</v>
      </c>
      <c r="L136" s="429">
        <f t="shared" si="4"/>
        <v>999</v>
      </c>
      <c r="M136" s="11">
        <f>IFERROR(100/'Skjema total MA'!I136*K136,0)</f>
        <v>88.706980057562191</v>
      </c>
      <c r="N136" s="148"/>
    </row>
    <row r="137" spans="1:14" s="3" customFormat="1" ht="15.75" x14ac:dyDescent="0.2">
      <c r="A137" s="41" t="s">
        <v>471</v>
      </c>
      <c r="B137" s="278">
        <v>291578.90500000003</v>
      </c>
      <c r="C137" s="317">
        <v>7656038.8039999995</v>
      </c>
      <c r="D137" s="169">
        <f t="shared" si="1"/>
        <v>999</v>
      </c>
      <c r="E137" s="9">
        <f>IFERROR(100/'Skjema total MA'!C137*C137,0)</f>
        <v>99.473078597717816</v>
      </c>
      <c r="F137" s="278"/>
      <c r="G137" s="317"/>
      <c r="H137" s="434"/>
      <c r="I137" s="36"/>
      <c r="J137" s="316">
        <f t="shared" si="3"/>
        <v>291578.90500000003</v>
      </c>
      <c r="K137" s="316">
        <f t="shared" si="3"/>
        <v>7656038.8039999995</v>
      </c>
      <c r="L137" s="430">
        <f t="shared" si="4"/>
        <v>999</v>
      </c>
      <c r="M137" s="36">
        <f>IFERROR(100/'Skjema total MA'!I137*K137,0)</f>
        <v>99.473078597717816</v>
      </c>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620" priority="132">
      <formula>kvartal &lt; 4</formula>
    </cfRule>
  </conditionalFormatting>
  <conditionalFormatting sqref="B69">
    <cfRule type="expression" dxfId="1619" priority="100">
      <formula>kvartal &lt; 4</formula>
    </cfRule>
  </conditionalFormatting>
  <conditionalFormatting sqref="C69">
    <cfRule type="expression" dxfId="1618" priority="99">
      <formula>kvartal &lt; 4</formula>
    </cfRule>
  </conditionalFormatting>
  <conditionalFormatting sqref="B72">
    <cfRule type="expression" dxfId="1617" priority="98">
      <formula>kvartal &lt; 4</formula>
    </cfRule>
  </conditionalFormatting>
  <conditionalFormatting sqref="C72">
    <cfRule type="expression" dxfId="1616" priority="97">
      <formula>kvartal &lt; 4</formula>
    </cfRule>
  </conditionalFormatting>
  <conditionalFormatting sqref="B80">
    <cfRule type="expression" dxfId="1615" priority="96">
      <formula>kvartal &lt; 4</formula>
    </cfRule>
  </conditionalFormatting>
  <conditionalFormatting sqref="C80">
    <cfRule type="expression" dxfId="1614" priority="95">
      <formula>kvartal &lt; 4</formula>
    </cfRule>
  </conditionalFormatting>
  <conditionalFormatting sqref="B83">
    <cfRule type="expression" dxfId="1613" priority="94">
      <formula>kvartal &lt; 4</formula>
    </cfRule>
  </conditionalFormatting>
  <conditionalFormatting sqref="C83">
    <cfRule type="expression" dxfId="1612" priority="93">
      <formula>kvartal &lt; 4</formula>
    </cfRule>
  </conditionalFormatting>
  <conditionalFormatting sqref="B90">
    <cfRule type="expression" dxfId="1611" priority="84">
      <formula>kvartal &lt; 4</formula>
    </cfRule>
  </conditionalFormatting>
  <conditionalFormatting sqref="C90">
    <cfRule type="expression" dxfId="1610" priority="83">
      <formula>kvartal &lt; 4</formula>
    </cfRule>
  </conditionalFormatting>
  <conditionalFormatting sqref="B93">
    <cfRule type="expression" dxfId="1609" priority="82">
      <formula>kvartal &lt; 4</formula>
    </cfRule>
  </conditionalFormatting>
  <conditionalFormatting sqref="C93">
    <cfRule type="expression" dxfId="1608" priority="81">
      <formula>kvartal &lt; 4</formula>
    </cfRule>
  </conditionalFormatting>
  <conditionalFormatting sqref="B101">
    <cfRule type="expression" dxfId="1607" priority="80">
      <formula>kvartal &lt; 4</formula>
    </cfRule>
  </conditionalFormatting>
  <conditionalFormatting sqref="C101">
    <cfRule type="expression" dxfId="1606" priority="79">
      <formula>kvartal &lt; 4</formula>
    </cfRule>
  </conditionalFormatting>
  <conditionalFormatting sqref="B104">
    <cfRule type="expression" dxfId="1605" priority="78">
      <formula>kvartal &lt; 4</formula>
    </cfRule>
  </conditionalFormatting>
  <conditionalFormatting sqref="C104">
    <cfRule type="expression" dxfId="1604" priority="77">
      <formula>kvartal &lt; 4</formula>
    </cfRule>
  </conditionalFormatting>
  <conditionalFormatting sqref="B115">
    <cfRule type="expression" dxfId="1603" priority="76">
      <formula>kvartal &lt; 4</formula>
    </cfRule>
  </conditionalFormatting>
  <conditionalFormatting sqref="C115">
    <cfRule type="expression" dxfId="1602" priority="75">
      <formula>kvartal &lt; 4</formula>
    </cfRule>
  </conditionalFormatting>
  <conditionalFormatting sqref="B123">
    <cfRule type="expression" dxfId="1601" priority="74">
      <formula>kvartal &lt; 4</formula>
    </cfRule>
  </conditionalFormatting>
  <conditionalFormatting sqref="C123">
    <cfRule type="expression" dxfId="1600" priority="73">
      <formula>kvartal &lt; 4</formula>
    </cfRule>
  </conditionalFormatting>
  <conditionalFormatting sqref="F70">
    <cfRule type="expression" dxfId="1599" priority="72">
      <formula>kvartal &lt; 4</formula>
    </cfRule>
  </conditionalFormatting>
  <conditionalFormatting sqref="G70">
    <cfRule type="expression" dxfId="1598" priority="71">
      <formula>kvartal &lt; 4</formula>
    </cfRule>
  </conditionalFormatting>
  <conditionalFormatting sqref="F71:G71">
    <cfRule type="expression" dxfId="1597" priority="70">
      <formula>kvartal &lt; 4</formula>
    </cfRule>
  </conditionalFormatting>
  <conditionalFormatting sqref="F73:G74">
    <cfRule type="expression" dxfId="1596" priority="69">
      <formula>kvartal &lt; 4</formula>
    </cfRule>
  </conditionalFormatting>
  <conditionalFormatting sqref="F81:G82">
    <cfRule type="expression" dxfId="1595" priority="68">
      <formula>kvartal &lt; 4</formula>
    </cfRule>
  </conditionalFormatting>
  <conditionalFormatting sqref="F84:G85">
    <cfRule type="expression" dxfId="1594" priority="67">
      <formula>kvartal &lt; 4</formula>
    </cfRule>
  </conditionalFormatting>
  <conditionalFormatting sqref="F91:G92">
    <cfRule type="expression" dxfId="1593" priority="62">
      <formula>kvartal &lt; 4</formula>
    </cfRule>
  </conditionalFormatting>
  <conditionalFormatting sqref="F94:G95">
    <cfRule type="expression" dxfId="1592" priority="61">
      <formula>kvartal &lt; 4</formula>
    </cfRule>
  </conditionalFormatting>
  <conditionalFormatting sqref="F102:G103">
    <cfRule type="expression" dxfId="1591" priority="60">
      <formula>kvartal &lt; 4</formula>
    </cfRule>
  </conditionalFormatting>
  <conditionalFormatting sqref="F105:G106">
    <cfRule type="expression" dxfId="1590" priority="59">
      <formula>kvartal &lt; 4</formula>
    </cfRule>
  </conditionalFormatting>
  <conditionalFormatting sqref="F115">
    <cfRule type="expression" dxfId="1589" priority="58">
      <formula>kvartal &lt; 4</formula>
    </cfRule>
  </conditionalFormatting>
  <conditionalFormatting sqref="G115">
    <cfRule type="expression" dxfId="1588" priority="57">
      <formula>kvartal &lt; 4</formula>
    </cfRule>
  </conditionalFormatting>
  <conditionalFormatting sqref="F123:G123">
    <cfRule type="expression" dxfId="1587" priority="56">
      <formula>kvartal &lt; 4</formula>
    </cfRule>
  </conditionalFormatting>
  <conditionalFormatting sqref="F69:G69">
    <cfRule type="expression" dxfId="1586" priority="55">
      <formula>kvartal &lt; 4</formula>
    </cfRule>
  </conditionalFormatting>
  <conditionalFormatting sqref="F72:G72">
    <cfRule type="expression" dxfId="1585" priority="54">
      <formula>kvartal &lt; 4</formula>
    </cfRule>
  </conditionalFormatting>
  <conditionalFormatting sqref="F80:G80">
    <cfRule type="expression" dxfId="1584" priority="53">
      <formula>kvartal &lt; 4</formula>
    </cfRule>
  </conditionalFormatting>
  <conditionalFormatting sqref="F83:G83">
    <cfRule type="expression" dxfId="1583" priority="52">
      <formula>kvartal &lt; 4</formula>
    </cfRule>
  </conditionalFormatting>
  <conditionalFormatting sqref="F90:G90">
    <cfRule type="expression" dxfId="1582" priority="46">
      <formula>kvartal &lt; 4</formula>
    </cfRule>
  </conditionalFormatting>
  <conditionalFormatting sqref="F93">
    <cfRule type="expression" dxfId="1581" priority="45">
      <formula>kvartal &lt; 4</formula>
    </cfRule>
  </conditionalFormatting>
  <conditionalFormatting sqref="G93">
    <cfRule type="expression" dxfId="1580" priority="44">
      <formula>kvartal &lt; 4</formula>
    </cfRule>
  </conditionalFormatting>
  <conditionalFormatting sqref="F101">
    <cfRule type="expression" dxfId="1579" priority="43">
      <formula>kvartal &lt; 4</formula>
    </cfRule>
  </conditionalFormatting>
  <conditionalFormatting sqref="G101">
    <cfRule type="expression" dxfId="1578" priority="42">
      <formula>kvartal &lt; 4</formula>
    </cfRule>
  </conditionalFormatting>
  <conditionalFormatting sqref="G104">
    <cfRule type="expression" dxfId="1577" priority="41">
      <formula>kvartal &lt; 4</formula>
    </cfRule>
  </conditionalFormatting>
  <conditionalFormatting sqref="F104">
    <cfRule type="expression" dxfId="1576" priority="40">
      <formula>kvartal &lt; 4</formula>
    </cfRule>
  </conditionalFormatting>
  <conditionalFormatting sqref="J69:K73">
    <cfRule type="expression" dxfId="1575" priority="39">
      <formula>kvartal &lt; 4</formula>
    </cfRule>
  </conditionalFormatting>
  <conditionalFormatting sqref="J74:K74">
    <cfRule type="expression" dxfId="1574" priority="38">
      <formula>kvartal &lt; 4</formula>
    </cfRule>
  </conditionalFormatting>
  <conditionalFormatting sqref="J80:K85">
    <cfRule type="expression" dxfId="1573" priority="37">
      <formula>kvartal &lt; 4</formula>
    </cfRule>
  </conditionalFormatting>
  <conditionalFormatting sqref="J90:K95">
    <cfRule type="expression" dxfId="1572" priority="34">
      <formula>kvartal &lt; 4</formula>
    </cfRule>
  </conditionalFormatting>
  <conditionalFormatting sqref="J101:K106">
    <cfRule type="expression" dxfId="1571" priority="33">
      <formula>kvartal &lt; 4</formula>
    </cfRule>
  </conditionalFormatting>
  <conditionalFormatting sqref="J115:K115">
    <cfRule type="expression" dxfId="1570" priority="32">
      <formula>kvartal &lt; 4</formula>
    </cfRule>
  </conditionalFormatting>
  <conditionalFormatting sqref="J123:K123">
    <cfRule type="expression" dxfId="1569" priority="31">
      <formula>kvartal &lt; 4</formula>
    </cfRule>
  </conditionalFormatting>
  <conditionalFormatting sqref="A50:A52">
    <cfRule type="expression" dxfId="1568" priority="12">
      <formula>kvartal &lt; 4</formula>
    </cfRule>
  </conditionalFormatting>
  <conditionalFormatting sqref="A69:A74">
    <cfRule type="expression" dxfId="1567" priority="10">
      <formula>kvartal &lt; 4</formula>
    </cfRule>
  </conditionalFormatting>
  <conditionalFormatting sqref="A80:A85">
    <cfRule type="expression" dxfId="1566" priority="9">
      <formula>kvartal &lt; 4</formula>
    </cfRule>
  </conditionalFormatting>
  <conditionalFormatting sqref="A90:A95">
    <cfRule type="expression" dxfId="1565" priority="6">
      <formula>kvartal &lt; 4</formula>
    </cfRule>
  </conditionalFormatting>
  <conditionalFormatting sqref="A101:A106">
    <cfRule type="expression" dxfId="1564" priority="5">
      <formula>kvartal &lt; 4</formula>
    </cfRule>
  </conditionalFormatting>
  <conditionalFormatting sqref="A115">
    <cfRule type="expression" dxfId="1563" priority="4">
      <formula>kvartal &lt; 4</formula>
    </cfRule>
  </conditionalFormatting>
  <conditionalFormatting sqref="A123">
    <cfRule type="expression" dxfId="1562" priority="3">
      <formula>kvartal &lt; 4</formula>
    </cfRule>
  </conditionalFormatting>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2"/>
  <dimension ref="A1:N144"/>
  <sheetViews>
    <sheetView showGridLines="0" zoomScale="120" zoomScaleNormal="120" workbookViewId="0"/>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133</v>
      </c>
      <c r="B1" s="988"/>
      <c r="C1" s="248" t="s">
        <v>132</v>
      </c>
      <c r="D1" s="26"/>
      <c r="E1" s="26"/>
      <c r="F1" s="26"/>
      <c r="G1" s="26"/>
      <c r="H1" s="26"/>
      <c r="I1" s="26"/>
      <c r="J1" s="26"/>
      <c r="K1" s="26"/>
      <c r="L1" s="26"/>
      <c r="M1" s="26"/>
    </row>
    <row r="2" spans="1:14" ht="15.75" x14ac:dyDescent="0.25">
      <c r="A2" s="165" t="s">
        <v>28</v>
      </c>
      <c r="B2" s="1027"/>
      <c r="C2" s="1027"/>
      <c r="D2" s="1027"/>
      <c r="E2" s="301"/>
      <c r="F2" s="1027"/>
      <c r="G2" s="1027"/>
      <c r="H2" s="1027"/>
      <c r="I2" s="301"/>
      <c r="J2" s="1027"/>
      <c r="K2" s="1027"/>
      <c r="L2" s="1027"/>
      <c r="M2" s="301"/>
    </row>
    <row r="3" spans="1:14" ht="15.75" x14ac:dyDescent="0.25">
      <c r="A3" s="163"/>
      <c r="B3" s="301"/>
      <c r="C3" s="301"/>
      <c r="D3" s="301"/>
      <c r="E3" s="301"/>
      <c r="F3" s="301"/>
      <c r="G3" s="301"/>
      <c r="H3" s="301"/>
      <c r="I3" s="301"/>
      <c r="J3" s="301"/>
      <c r="K3" s="301"/>
      <c r="L3" s="301"/>
      <c r="M3" s="301"/>
    </row>
    <row r="4" spans="1:14" x14ac:dyDescent="0.2">
      <c r="A4" s="144"/>
      <c r="B4" s="1023" t="s">
        <v>0</v>
      </c>
      <c r="C4" s="1024"/>
      <c r="D4" s="1024"/>
      <c r="E4" s="303"/>
      <c r="F4" s="1023" t="s">
        <v>1</v>
      </c>
      <c r="G4" s="1024"/>
      <c r="H4" s="1024"/>
      <c r="I4" s="306"/>
      <c r="J4" s="1023" t="s">
        <v>2</v>
      </c>
      <c r="K4" s="1024"/>
      <c r="L4" s="1024"/>
      <c r="M4" s="306"/>
    </row>
    <row r="5" spans="1:14" x14ac:dyDescent="0.2">
      <c r="A5" s="158"/>
      <c r="B5" s="152" t="s">
        <v>502</v>
      </c>
      <c r="C5" s="152" t="s">
        <v>503</v>
      </c>
      <c r="D5" s="245" t="s">
        <v>3</v>
      </c>
      <c r="E5" s="307" t="s">
        <v>29</v>
      </c>
      <c r="F5" s="152" t="s">
        <v>502</v>
      </c>
      <c r="G5" s="152" t="s">
        <v>503</v>
      </c>
      <c r="H5" s="245" t="s">
        <v>3</v>
      </c>
      <c r="I5" s="162" t="s">
        <v>29</v>
      </c>
      <c r="J5" s="152" t="s">
        <v>502</v>
      </c>
      <c r="K5" s="152" t="s">
        <v>503</v>
      </c>
      <c r="L5" s="245" t="s">
        <v>3</v>
      </c>
      <c r="M5" s="162" t="s">
        <v>29</v>
      </c>
    </row>
    <row r="6" spans="1:14" x14ac:dyDescent="0.2">
      <c r="A6" s="989"/>
      <c r="B6" s="156"/>
      <c r="C6" s="156"/>
      <c r="D6" s="246" t="s">
        <v>4</v>
      </c>
      <c r="E6" s="156" t="s">
        <v>30</v>
      </c>
      <c r="F6" s="161"/>
      <c r="G6" s="161"/>
      <c r="H6" s="245" t="s">
        <v>4</v>
      </c>
      <c r="I6" s="156" t="s">
        <v>30</v>
      </c>
      <c r="J6" s="161"/>
      <c r="K6" s="161"/>
      <c r="L6" s="245" t="s">
        <v>4</v>
      </c>
      <c r="M6" s="156" t="s">
        <v>30</v>
      </c>
    </row>
    <row r="7" spans="1:14" ht="15.75" x14ac:dyDescent="0.2">
      <c r="A7" s="14" t="s">
        <v>23</v>
      </c>
      <c r="B7" s="308">
        <v>11203</v>
      </c>
      <c r="C7" s="309">
        <v>13455</v>
      </c>
      <c r="D7" s="351">
        <f>IF(B7=0, "    ---- ", IF(ABS(ROUND(100/B7*C7-100,1))&lt;999,ROUND(100/B7*C7-100,1),IF(ROUND(100/B7*C7-100,1)&gt;999,999,-999)))</f>
        <v>20.100000000000001</v>
      </c>
      <c r="E7" s="11">
        <f>IFERROR(100/'Skjema total MA'!C7*C7,0)</f>
        <v>0.28300768379286306</v>
      </c>
      <c r="F7" s="308"/>
      <c r="G7" s="309"/>
      <c r="H7" s="351"/>
      <c r="I7" s="160"/>
      <c r="J7" s="310">
        <f t="shared" ref="J7:K10" si="0">SUM(B7,F7)</f>
        <v>11203</v>
      </c>
      <c r="K7" s="311">
        <f t="shared" si="0"/>
        <v>13455</v>
      </c>
      <c r="L7" s="428">
        <f>IF(J7=0, "    ---- ", IF(ABS(ROUND(100/J7*K7-100,1))&lt;999,ROUND(100/J7*K7-100,1),IF(ROUND(100/J7*K7-100,1)&gt;999,999,-999)))</f>
        <v>20.100000000000001</v>
      </c>
      <c r="M7" s="11">
        <f>IFERROR(100/'Skjema total MA'!I7*K7,0)</f>
        <v>8.9372965728376538E-2</v>
      </c>
    </row>
    <row r="8" spans="1:14" ht="15.75" x14ac:dyDescent="0.2">
      <c r="A8" s="21" t="s">
        <v>25</v>
      </c>
      <c r="B8" s="283">
        <v>10538</v>
      </c>
      <c r="C8" s="284">
        <v>12705</v>
      </c>
      <c r="D8" s="166">
        <f t="shared" ref="D8:D10" si="1">IF(B8=0, "    ---- ", IF(ABS(ROUND(100/B8*C8-100,1))&lt;999,ROUND(100/B8*C8-100,1),IF(ROUND(100/B8*C8-100,1)&gt;999,999,-999)))</f>
        <v>20.6</v>
      </c>
      <c r="E8" s="27">
        <f>IFERROR(100/'Skjema total MA'!C8*C8,0)</f>
        <v>0.40947028702000815</v>
      </c>
      <c r="F8" s="287"/>
      <c r="G8" s="288"/>
      <c r="H8" s="166"/>
      <c r="I8" s="175"/>
      <c r="J8" s="234">
        <f t="shared" si="0"/>
        <v>10538</v>
      </c>
      <c r="K8" s="289">
        <f t="shared" si="0"/>
        <v>12705</v>
      </c>
      <c r="L8" s="166">
        <f t="shared" ref="L8:L9" si="2">IF(J8=0, "    ---- ", IF(ABS(ROUND(100/J8*K8-100,1))&lt;999,ROUND(100/J8*K8-100,1),IF(ROUND(100/J8*K8-100,1)&gt;999,999,-999)))</f>
        <v>20.6</v>
      </c>
      <c r="M8" s="27">
        <f>IFERROR(100/'Skjema total MA'!I8*K8,0)</f>
        <v>0.40947028702000815</v>
      </c>
    </row>
    <row r="9" spans="1:14" ht="15.75" x14ac:dyDescent="0.2">
      <c r="A9" s="21" t="s">
        <v>24</v>
      </c>
      <c r="B9" s="283">
        <v>665</v>
      </c>
      <c r="C9" s="284">
        <v>750</v>
      </c>
      <c r="D9" s="166">
        <f t="shared" si="1"/>
        <v>12.8</v>
      </c>
      <c r="E9" s="27">
        <f>IFERROR(100/'Skjema total MA'!C9*C9,0)</f>
        <v>7.9094878156777557E-2</v>
      </c>
      <c r="F9" s="287"/>
      <c r="G9" s="288"/>
      <c r="H9" s="166"/>
      <c r="I9" s="175"/>
      <c r="J9" s="234">
        <f t="shared" si="0"/>
        <v>665</v>
      </c>
      <c r="K9" s="289">
        <f t="shared" si="0"/>
        <v>750</v>
      </c>
      <c r="L9" s="166">
        <f t="shared" si="2"/>
        <v>12.8</v>
      </c>
      <c r="M9" s="27">
        <f>IFERROR(100/'Skjema total MA'!I9*K9,0)</f>
        <v>7.9094878156777557E-2</v>
      </c>
    </row>
    <row r="10" spans="1:14" ht="15.75" x14ac:dyDescent="0.2">
      <c r="A10" s="13" t="s">
        <v>444</v>
      </c>
      <c r="B10" s="312">
        <v>13911.054</v>
      </c>
      <c r="C10" s="313">
        <v>13198</v>
      </c>
      <c r="D10" s="171">
        <f t="shared" si="1"/>
        <v>-5.0999999999999996</v>
      </c>
      <c r="E10" s="11">
        <f>IFERROR(100/'Skjema total MA'!C10*C10,0)</f>
        <v>6.689828857773647E-2</v>
      </c>
      <c r="F10" s="312"/>
      <c r="G10" s="313"/>
      <c r="H10" s="171"/>
      <c r="I10" s="160"/>
      <c r="J10" s="310">
        <f t="shared" si="0"/>
        <v>13911.054</v>
      </c>
      <c r="K10" s="311">
        <f t="shared" si="0"/>
        <v>13198</v>
      </c>
      <c r="L10" s="429">
        <f t="shared" ref="L10" si="3">IF(J10=0, "    ---- ", IF(ABS(ROUND(100/J10*K10-100,1))&lt;999,ROUND(100/J10*K10-100,1),IF(ROUND(100/J10*K10-100,1)&gt;999,999,-999)))</f>
        <v>-5.0999999999999996</v>
      </c>
      <c r="M10" s="11">
        <f>IFERROR(100/'Skjema total MA'!I10*K10,0)</f>
        <v>1.6411372444155893E-2</v>
      </c>
    </row>
    <row r="11" spans="1:14" s="43" customFormat="1" ht="15.75" x14ac:dyDescent="0.2">
      <c r="A11" s="13" t="s">
        <v>445</v>
      </c>
      <c r="B11" s="312"/>
      <c r="C11" s="313"/>
      <c r="D11" s="171"/>
      <c r="E11" s="11"/>
      <c r="F11" s="312"/>
      <c r="G11" s="313"/>
      <c r="H11" s="171"/>
      <c r="I11" s="160"/>
      <c r="J11" s="310"/>
      <c r="K11" s="311"/>
      <c r="L11" s="429"/>
      <c r="M11" s="11"/>
      <c r="N11" s="143"/>
    </row>
    <row r="12" spans="1:14" s="43" customFormat="1" ht="15.75" x14ac:dyDescent="0.2">
      <c r="A12" s="41" t="s">
        <v>446</v>
      </c>
      <c r="B12" s="314"/>
      <c r="C12" s="315"/>
      <c r="D12" s="169"/>
      <c r="E12" s="36"/>
      <c r="F12" s="314"/>
      <c r="G12" s="315"/>
      <c r="H12" s="169"/>
      <c r="I12" s="169"/>
      <c r="J12" s="316"/>
      <c r="K12" s="317"/>
      <c r="L12" s="430"/>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1022"/>
      <c r="C18" s="1022"/>
      <c r="D18" s="1022"/>
      <c r="E18" s="301"/>
      <c r="F18" s="1022"/>
      <c r="G18" s="1022"/>
      <c r="H18" s="1022"/>
      <c r="I18" s="301"/>
      <c r="J18" s="1022"/>
      <c r="K18" s="1022"/>
      <c r="L18" s="1022"/>
      <c r="M18" s="301"/>
    </row>
    <row r="19" spans="1:14" x14ac:dyDescent="0.2">
      <c r="A19" s="144"/>
      <c r="B19" s="1023" t="s">
        <v>0</v>
      </c>
      <c r="C19" s="1024"/>
      <c r="D19" s="1024"/>
      <c r="E19" s="303"/>
      <c r="F19" s="1023" t="s">
        <v>1</v>
      </c>
      <c r="G19" s="1024"/>
      <c r="H19" s="1024"/>
      <c r="I19" s="306"/>
      <c r="J19" s="1023" t="s">
        <v>2</v>
      </c>
      <c r="K19" s="1024"/>
      <c r="L19" s="1024"/>
      <c r="M19" s="306"/>
    </row>
    <row r="20" spans="1:14" x14ac:dyDescent="0.2">
      <c r="A20" s="140" t="s">
        <v>5</v>
      </c>
      <c r="B20" s="152" t="s">
        <v>502</v>
      </c>
      <c r="C20" s="152" t="s">
        <v>503</v>
      </c>
      <c r="D20" s="162" t="s">
        <v>3</v>
      </c>
      <c r="E20" s="307" t="s">
        <v>29</v>
      </c>
      <c r="F20" s="152" t="s">
        <v>502</v>
      </c>
      <c r="G20" s="152" t="s">
        <v>503</v>
      </c>
      <c r="H20" s="162" t="s">
        <v>3</v>
      </c>
      <c r="I20" s="162" t="s">
        <v>29</v>
      </c>
      <c r="J20" s="152" t="s">
        <v>502</v>
      </c>
      <c r="K20" s="152" t="s">
        <v>503</v>
      </c>
      <c r="L20" s="162" t="s">
        <v>3</v>
      </c>
      <c r="M20" s="162" t="s">
        <v>29</v>
      </c>
    </row>
    <row r="21" spans="1:14" x14ac:dyDescent="0.2">
      <c r="A21" s="990"/>
      <c r="B21" s="156"/>
      <c r="C21" s="156"/>
      <c r="D21" s="246" t="s">
        <v>4</v>
      </c>
      <c r="E21" s="156" t="s">
        <v>30</v>
      </c>
      <c r="F21" s="161"/>
      <c r="G21" s="161"/>
      <c r="H21" s="245" t="s">
        <v>4</v>
      </c>
      <c r="I21" s="156" t="s">
        <v>30</v>
      </c>
      <c r="J21" s="161"/>
      <c r="K21" s="161"/>
      <c r="L21" s="156" t="s">
        <v>4</v>
      </c>
      <c r="M21" s="156" t="s">
        <v>30</v>
      </c>
    </row>
    <row r="22" spans="1:14" ht="15.75" x14ac:dyDescent="0.2">
      <c r="A22" s="14" t="s">
        <v>23</v>
      </c>
      <c r="B22" s="312">
        <v>12719</v>
      </c>
      <c r="C22" s="312">
        <v>14755</v>
      </c>
      <c r="D22" s="351">
        <f t="shared" ref="D22:D29" si="4">IF(B22=0, "    ---- ", IF(ABS(ROUND(100/B22*C22-100,1))&lt;999,ROUND(100/B22*C22-100,1),IF(ROUND(100/B22*C22-100,1)&gt;999,999,-999)))</f>
        <v>16</v>
      </c>
      <c r="E22" s="11">
        <f>IFERROR(100/'Skjema total MA'!C22*C22,0)</f>
        <v>0.83167223472181329</v>
      </c>
      <c r="F22" s="320"/>
      <c r="G22" s="320"/>
      <c r="H22" s="351"/>
      <c r="I22" s="11"/>
      <c r="J22" s="318">
        <f t="shared" ref="J22:K29" si="5">SUM(B22,F22)</f>
        <v>12719</v>
      </c>
      <c r="K22" s="318">
        <f t="shared" si="5"/>
        <v>14755</v>
      </c>
      <c r="L22" s="428">
        <f t="shared" ref="L22:L29" si="6">IF(J22=0, "    ---- ", IF(ABS(ROUND(100/J22*K22-100,1))&lt;999,ROUND(100/J22*K22-100,1),IF(ROUND(100/J22*K22-100,1)&gt;999,999,-999)))</f>
        <v>16</v>
      </c>
      <c r="M22" s="24">
        <f>IFERROR(100/'Skjema total MA'!I22*K22,0)</f>
        <v>0.45233777832816763</v>
      </c>
    </row>
    <row r="23" spans="1:14" ht="15.75" x14ac:dyDescent="0.2">
      <c r="A23" s="811" t="s">
        <v>447</v>
      </c>
      <c r="B23" s="283"/>
      <c r="C23" s="283"/>
      <c r="D23" s="166"/>
      <c r="E23" s="11"/>
      <c r="F23" s="292"/>
      <c r="G23" s="292"/>
      <c r="H23" s="166"/>
      <c r="I23" s="418"/>
      <c r="J23" s="292"/>
      <c r="K23" s="292"/>
      <c r="L23" s="166"/>
      <c r="M23" s="23"/>
    </row>
    <row r="24" spans="1:14" ht="15.75" x14ac:dyDescent="0.2">
      <c r="A24" s="811" t="s">
        <v>448</v>
      </c>
      <c r="B24" s="283"/>
      <c r="C24" s="283"/>
      <c r="D24" s="166"/>
      <c r="E24" s="11"/>
      <c r="F24" s="292"/>
      <c r="G24" s="292"/>
      <c r="H24" s="166"/>
      <c r="I24" s="418"/>
      <c r="J24" s="292"/>
      <c r="K24" s="292"/>
      <c r="L24" s="166"/>
      <c r="M24" s="23"/>
    </row>
    <row r="25" spans="1:14" ht="15.75" x14ac:dyDescent="0.2">
      <c r="A25" s="811" t="s">
        <v>449</v>
      </c>
      <c r="B25" s="283"/>
      <c r="C25" s="283"/>
      <c r="D25" s="166"/>
      <c r="E25" s="11"/>
      <c r="F25" s="292"/>
      <c r="G25" s="292"/>
      <c r="H25" s="166"/>
      <c r="I25" s="418"/>
      <c r="J25" s="292"/>
      <c r="K25" s="292"/>
      <c r="L25" s="166"/>
      <c r="M25" s="23"/>
    </row>
    <row r="26" spans="1:14" ht="15.75" x14ac:dyDescent="0.2">
      <c r="A26" s="811" t="s">
        <v>450</v>
      </c>
      <c r="B26" s="283"/>
      <c r="C26" s="283"/>
      <c r="D26" s="166"/>
      <c r="E26" s="11"/>
      <c r="F26" s="292"/>
      <c r="G26" s="292"/>
      <c r="H26" s="166"/>
      <c r="I26" s="418"/>
      <c r="J26" s="292"/>
      <c r="K26" s="292"/>
      <c r="L26" s="166"/>
      <c r="M26" s="23"/>
    </row>
    <row r="27" spans="1:14" x14ac:dyDescent="0.2">
      <c r="A27" s="811" t="s">
        <v>11</v>
      </c>
      <c r="B27" s="283"/>
      <c r="C27" s="283"/>
      <c r="D27" s="166"/>
      <c r="E27" s="11"/>
      <c r="F27" s="292"/>
      <c r="G27" s="292"/>
      <c r="H27" s="166"/>
      <c r="I27" s="418"/>
      <c r="J27" s="292"/>
      <c r="K27" s="292"/>
      <c r="L27" s="166"/>
      <c r="M27" s="23"/>
    </row>
    <row r="28" spans="1:14" ht="15.75" x14ac:dyDescent="0.2">
      <c r="A28" s="49" t="s">
        <v>272</v>
      </c>
      <c r="B28" s="44">
        <v>12719</v>
      </c>
      <c r="C28" s="289">
        <v>14755</v>
      </c>
      <c r="D28" s="166">
        <f t="shared" si="4"/>
        <v>16</v>
      </c>
      <c r="E28" s="11">
        <f>IFERROR(100/'Skjema total MA'!C28*C28,0)</f>
        <v>0.7739800250968677</v>
      </c>
      <c r="F28" s="234"/>
      <c r="G28" s="289"/>
      <c r="H28" s="166"/>
      <c r="I28" s="27"/>
      <c r="J28" s="44">
        <f t="shared" si="5"/>
        <v>12719</v>
      </c>
      <c r="K28" s="44">
        <f t="shared" si="5"/>
        <v>14755</v>
      </c>
      <c r="L28" s="257">
        <f t="shared" si="6"/>
        <v>16</v>
      </c>
      <c r="M28" s="23">
        <f>IFERROR(100/'Skjema total MA'!I28*K28,0)</f>
        <v>0.7739800250968677</v>
      </c>
    </row>
    <row r="29" spans="1:14" s="3" customFormat="1" ht="15.75" x14ac:dyDescent="0.2">
      <c r="A29" s="13" t="s">
        <v>444</v>
      </c>
      <c r="B29" s="236">
        <v>26700.946</v>
      </c>
      <c r="C29" s="236">
        <v>39798</v>
      </c>
      <c r="D29" s="171">
        <f t="shared" si="4"/>
        <v>49.1</v>
      </c>
      <c r="E29" s="11">
        <f>IFERROR(100/'Skjema total MA'!C29*C29,0)</f>
        <v>8.6990640153319101E-2</v>
      </c>
      <c r="F29" s="310"/>
      <c r="G29" s="310"/>
      <c r="H29" s="171"/>
      <c r="I29" s="11"/>
      <c r="J29" s="236">
        <f t="shared" si="5"/>
        <v>26700.946</v>
      </c>
      <c r="K29" s="236">
        <f t="shared" si="5"/>
        <v>39798</v>
      </c>
      <c r="L29" s="429">
        <f t="shared" si="6"/>
        <v>49.1</v>
      </c>
      <c r="M29" s="24">
        <f>IFERROR(100/'Skjema total MA'!I29*K29,0)</f>
        <v>5.6621215701896425E-2</v>
      </c>
      <c r="N29" s="148"/>
    </row>
    <row r="30" spans="1:14" s="3" customFormat="1" ht="15.75" x14ac:dyDescent="0.2">
      <c r="A30" s="811" t="s">
        <v>447</v>
      </c>
      <c r="B30" s="283"/>
      <c r="C30" s="283"/>
      <c r="D30" s="166"/>
      <c r="E30" s="11"/>
      <c r="F30" s="292"/>
      <c r="G30" s="292"/>
      <c r="H30" s="166"/>
      <c r="I30" s="418"/>
      <c r="J30" s="292"/>
      <c r="K30" s="292"/>
      <c r="L30" s="166"/>
      <c r="M30" s="23"/>
      <c r="N30" s="148"/>
    </row>
    <row r="31" spans="1:14" s="3" customFormat="1" ht="15.75" x14ac:dyDescent="0.2">
      <c r="A31" s="811" t="s">
        <v>448</v>
      </c>
      <c r="B31" s="283"/>
      <c r="C31" s="283"/>
      <c r="D31" s="166"/>
      <c r="E31" s="11"/>
      <c r="F31" s="292"/>
      <c r="G31" s="292"/>
      <c r="H31" s="166"/>
      <c r="I31" s="418"/>
      <c r="J31" s="292"/>
      <c r="K31" s="292"/>
      <c r="L31" s="166"/>
      <c r="M31" s="23"/>
      <c r="N31" s="148"/>
    </row>
    <row r="32" spans="1:14" ht="15.75" x14ac:dyDescent="0.2">
      <c r="A32" s="811" t="s">
        <v>449</v>
      </c>
      <c r="B32" s="283"/>
      <c r="C32" s="283"/>
      <c r="D32" s="166"/>
      <c r="E32" s="11"/>
      <c r="F32" s="292"/>
      <c r="G32" s="292"/>
      <c r="H32" s="166"/>
      <c r="I32" s="418"/>
      <c r="J32" s="292"/>
      <c r="K32" s="292"/>
      <c r="L32" s="166"/>
      <c r="M32" s="23"/>
    </row>
    <row r="33" spans="1:14" ht="15.75" x14ac:dyDescent="0.2">
      <c r="A33" s="811" t="s">
        <v>450</v>
      </c>
      <c r="B33" s="283"/>
      <c r="C33" s="283"/>
      <c r="D33" s="166"/>
      <c r="E33" s="11"/>
      <c r="F33" s="292"/>
      <c r="G33" s="292"/>
      <c r="H33" s="166"/>
      <c r="I33" s="418"/>
      <c r="J33" s="292"/>
      <c r="K33" s="292"/>
      <c r="L33" s="166"/>
      <c r="M33" s="23"/>
    </row>
    <row r="34" spans="1:14" ht="15.75" x14ac:dyDescent="0.2">
      <c r="A34" s="13" t="s">
        <v>445</v>
      </c>
      <c r="B34" s="236"/>
      <c r="C34" s="311"/>
      <c r="D34" s="171"/>
      <c r="E34" s="11"/>
      <c r="F34" s="310"/>
      <c r="G34" s="311"/>
      <c r="H34" s="171"/>
      <c r="I34" s="11"/>
      <c r="J34" s="236"/>
      <c r="K34" s="236"/>
      <c r="L34" s="429"/>
      <c r="M34" s="24"/>
    </row>
    <row r="35" spans="1:14" ht="15.75" x14ac:dyDescent="0.2">
      <c r="A35" s="13" t="s">
        <v>446</v>
      </c>
      <c r="B35" s="236"/>
      <c r="C35" s="311"/>
      <c r="D35" s="171"/>
      <c r="E35" s="11"/>
      <c r="F35" s="310"/>
      <c r="G35" s="311"/>
      <c r="H35" s="171"/>
      <c r="I35" s="11"/>
      <c r="J35" s="236"/>
      <c r="K35" s="236"/>
      <c r="L35" s="429"/>
      <c r="M35" s="24"/>
    </row>
    <row r="36" spans="1:14" ht="15.75" x14ac:dyDescent="0.2">
      <c r="A36" s="12" t="s">
        <v>280</v>
      </c>
      <c r="B36" s="236"/>
      <c r="C36" s="311"/>
      <c r="D36" s="171"/>
      <c r="E36" s="11"/>
      <c r="F36" s="321"/>
      <c r="G36" s="322"/>
      <c r="H36" s="171"/>
      <c r="I36" s="435"/>
      <c r="J36" s="236"/>
      <c r="K36" s="236"/>
      <c r="L36" s="429"/>
      <c r="M36" s="24"/>
    </row>
    <row r="37" spans="1:14" ht="15.75" x14ac:dyDescent="0.2">
      <c r="A37" s="12" t="s">
        <v>452</v>
      </c>
      <c r="B37" s="236"/>
      <c r="C37" s="311"/>
      <c r="D37" s="171"/>
      <c r="E37" s="11"/>
      <c r="F37" s="321"/>
      <c r="G37" s="323"/>
      <c r="H37" s="171"/>
      <c r="I37" s="435"/>
      <c r="J37" s="236"/>
      <c r="K37" s="236"/>
      <c r="L37" s="429"/>
      <c r="M37" s="24"/>
    </row>
    <row r="38" spans="1:14" ht="15.75" x14ac:dyDescent="0.2">
      <c r="A38" s="12" t="s">
        <v>453</v>
      </c>
      <c r="B38" s="236"/>
      <c r="C38" s="311"/>
      <c r="D38" s="171"/>
      <c r="E38" s="24"/>
      <c r="F38" s="321"/>
      <c r="G38" s="322"/>
      <c r="H38" s="171"/>
      <c r="I38" s="435"/>
      <c r="J38" s="236"/>
      <c r="K38" s="236"/>
      <c r="L38" s="429"/>
      <c r="M38" s="24"/>
    </row>
    <row r="39" spans="1:14" ht="15.75" x14ac:dyDescent="0.2">
      <c r="A39" s="18" t="s">
        <v>454</v>
      </c>
      <c r="B39" s="278"/>
      <c r="C39" s="317"/>
      <c r="D39" s="169"/>
      <c r="E39" s="36"/>
      <c r="F39" s="324"/>
      <c r="G39" s="325"/>
      <c r="H39" s="169"/>
      <c r="I39" s="36"/>
      <c r="J39" s="236"/>
      <c r="K39" s="236"/>
      <c r="L39" s="430"/>
      <c r="M39" s="36"/>
    </row>
    <row r="40" spans="1:14" ht="15.75" x14ac:dyDescent="0.25">
      <c r="A40" s="47"/>
      <c r="B40" s="256"/>
      <c r="C40" s="256"/>
      <c r="D40" s="1026"/>
      <c r="E40" s="1026"/>
      <c r="F40" s="1026"/>
      <c r="G40" s="1026"/>
      <c r="H40" s="1026"/>
      <c r="I40" s="1026"/>
      <c r="J40" s="1026"/>
      <c r="K40" s="1026"/>
      <c r="L40" s="1026"/>
      <c r="M40" s="304"/>
    </row>
    <row r="41" spans="1:14" x14ac:dyDescent="0.2">
      <c r="A41" s="155"/>
    </row>
    <row r="42" spans="1:14" ht="15.75" x14ac:dyDescent="0.25">
      <c r="A42" s="147" t="s">
        <v>269</v>
      </c>
      <c r="B42" s="1027"/>
      <c r="C42" s="1027"/>
      <c r="D42" s="1027"/>
      <c r="E42" s="301"/>
      <c r="F42" s="1028"/>
      <c r="G42" s="1028"/>
      <c r="H42" s="1028"/>
      <c r="I42" s="304"/>
      <c r="J42" s="1028"/>
      <c r="K42" s="1028"/>
      <c r="L42" s="1028"/>
      <c r="M42" s="304"/>
    </row>
    <row r="43" spans="1:14" ht="15.75" x14ac:dyDescent="0.25">
      <c r="A43" s="163"/>
      <c r="B43" s="305"/>
      <c r="C43" s="305"/>
      <c r="D43" s="305"/>
      <c r="E43" s="305"/>
      <c r="F43" s="304"/>
      <c r="G43" s="304"/>
      <c r="H43" s="304"/>
      <c r="I43" s="304"/>
      <c r="J43" s="304"/>
      <c r="K43" s="304"/>
      <c r="L43" s="304"/>
      <c r="M43" s="304"/>
    </row>
    <row r="44" spans="1:14" ht="15.75" x14ac:dyDescent="0.25">
      <c r="A44" s="247"/>
      <c r="B44" s="1023" t="s">
        <v>0</v>
      </c>
      <c r="C44" s="1024"/>
      <c r="D44" s="1024"/>
      <c r="E44" s="243"/>
      <c r="F44" s="304"/>
      <c r="G44" s="304"/>
      <c r="H44" s="304"/>
      <c r="I44" s="304"/>
      <c r="J44" s="304"/>
      <c r="K44" s="304"/>
      <c r="L44" s="304"/>
      <c r="M44" s="304"/>
    </row>
    <row r="45" spans="1:14" s="3" customFormat="1" x14ac:dyDescent="0.2">
      <c r="A45" s="140"/>
      <c r="B45" s="152" t="s">
        <v>502</v>
      </c>
      <c r="C45" s="152" t="s">
        <v>503</v>
      </c>
      <c r="D45" s="162" t="s">
        <v>3</v>
      </c>
      <c r="E45" s="162" t="s">
        <v>29</v>
      </c>
      <c r="F45" s="174"/>
      <c r="G45" s="174"/>
      <c r="H45" s="173"/>
      <c r="I45" s="173"/>
      <c r="J45" s="174"/>
      <c r="K45" s="174"/>
      <c r="L45" s="173"/>
      <c r="M45" s="173"/>
      <c r="N45" s="148"/>
    </row>
    <row r="46" spans="1:14" s="3" customFormat="1" x14ac:dyDescent="0.2">
      <c r="A46" s="990"/>
      <c r="B46" s="244"/>
      <c r="C46" s="244"/>
      <c r="D46" s="245" t="s">
        <v>4</v>
      </c>
      <c r="E46" s="156" t="s">
        <v>30</v>
      </c>
      <c r="F46" s="173"/>
      <c r="G46" s="173"/>
      <c r="H46" s="173"/>
      <c r="I46" s="173"/>
      <c r="J46" s="173"/>
      <c r="K46" s="173"/>
      <c r="L46" s="173"/>
      <c r="M46" s="173"/>
      <c r="N46" s="148"/>
    </row>
    <row r="47" spans="1:14" s="3" customFormat="1" ht="15.75" x14ac:dyDescent="0.2">
      <c r="A47" s="14" t="s">
        <v>23</v>
      </c>
      <c r="B47" s="312">
        <v>151435</v>
      </c>
      <c r="C47" s="313">
        <v>166508</v>
      </c>
      <c r="D47" s="428">
        <f t="shared" ref="D47:D48" si="7">IF(B47=0, "    ---- ", IF(ABS(ROUND(100/B47*C47-100,1))&lt;999,ROUND(100/B47*C47-100,1),IF(ROUND(100/B47*C47-100,1)&gt;999,999,-999)))</f>
        <v>10</v>
      </c>
      <c r="E47" s="11">
        <f>IFERROR(100/'Skjema total MA'!C47*C47,0)</f>
        <v>3.4855631999786065</v>
      </c>
      <c r="F47" s="145"/>
      <c r="G47" s="33"/>
      <c r="H47" s="159"/>
      <c r="I47" s="159"/>
      <c r="J47" s="37"/>
      <c r="K47" s="37"/>
      <c r="L47" s="159"/>
      <c r="M47" s="159"/>
      <c r="N47" s="148"/>
    </row>
    <row r="48" spans="1:14" s="3" customFormat="1" ht="15.75" x14ac:dyDescent="0.2">
      <c r="A48" s="38" t="s">
        <v>455</v>
      </c>
      <c r="B48" s="283">
        <v>151435</v>
      </c>
      <c r="C48" s="284">
        <v>166508</v>
      </c>
      <c r="D48" s="257">
        <f t="shared" si="7"/>
        <v>10</v>
      </c>
      <c r="E48" s="27">
        <f>IFERROR(100/'Skjema total MA'!C48*C48,0)</f>
        <v>6.2494176237120147</v>
      </c>
      <c r="F48" s="145"/>
      <c r="G48" s="33"/>
      <c r="H48" s="145"/>
      <c r="I48" s="145"/>
      <c r="J48" s="33"/>
      <c r="K48" s="33"/>
      <c r="L48" s="159"/>
      <c r="M48" s="159"/>
      <c r="N48" s="148"/>
    </row>
    <row r="49" spans="1:14" s="3" customFormat="1" ht="15.75" x14ac:dyDescent="0.2">
      <c r="A49" s="38" t="s">
        <v>456</v>
      </c>
      <c r="B49" s="44"/>
      <c r="C49" s="289"/>
      <c r="D49" s="257"/>
      <c r="E49" s="27"/>
      <c r="F49" s="145"/>
      <c r="G49" s="33"/>
      <c r="H49" s="145"/>
      <c r="I49" s="145"/>
      <c r="J49" s="37"/>
      <c r="K49" s="37"/>
      <c r="L49" s="159"/>
      <c r="M49" s="159"/>
      <c r="N49" s="148"/>
    </row>
    <row r="50" spans="1:14" s="3" customFormat="1" x14ac:dyDescent="0.2">
      <c r="A50" s="298" t="s">
        <v>6</v>
      </c>
      <c r="B50" s="292"/>
      <c r="C50" s="293"/>
      <c r="D50" s="257"/>
      <c r="E50" s="23"/>
      <c r="F50" s="145"/>
      <c r="G50" s="33"/>
      <c r="H50" s="145"/>
      <c r="I50" s="145"/>
      <c r="J50" s="33"/>
      <c r="K50" s="33"/>
      <c r="L50" s="159"/>
      <c r="M50" s="159"/>
      <c r="N50" s="148"/>
    </row>
    <row r="51" spans="1:14" s="3" customFormat="1" x14ac:dyDescent="0.2">
      <c r="A51" s="298" t="s">
        <v>7</v>
      </c>
      <c r="B51" s="292"/>
      <c r="C51" s="293"/>
      <c r="D51" s="257"/>
      <c r="E51" s="23"/>
      <c r="F51" s="145"/>
      <c r="G51" s="33"/>
      <c r="H51" s="145"/>
      <c r="I51" s="145"/>
      <c r="J51" s="33"/>
      <c r="K51" s="33"/>
      <c r="L51" s="159"/>
      <c r="M51" s="159"/>
      <c r="N51" s="148"/>
    </row>
    <row r="52" spans="1:14" s="3" customFormat="1" x14ac:dyDescent="0.2">
      <c r="A52" s="298" t="s">
        <v>8</v>
      </c>
      <c r="B52" s="292"/>
      <c r="C52" s="293"/>
      <c r="D52" s="257"/>
      <c r="E52" s="23"/>
      <c r="F52" s="145"/>
      <c r="G52" s="33"/>
      <c r="H52" s="145"/>
      <c r="I52" s="145"/>
      <c r="J52" s="33"/>
      <c r="K52" s="33"/>
      <c r="L52" s="159"/>
      <c r="M52" s="159"/>
      <c r="N52" s="148"/>
    </row>
    <row r="53" spans="1:14" s="3" customFormat="1" ht="15.75" x14ac:dyDescent="0.2">
      <c r="A53" s="39" t="s">
        <v>457</v>
      </c>
      <c r="B53" s="312"/>
      <c r="C53" s="313"/>
      <c r="D53" s="429"/>
      <c r="E53" s="11"/>
      <c r="F53" s="145"/>
      <c r="G53" s="33"/>
      <c r="H53" s="145"/>
      <c r="I53" s="145"/>
      <c r="J53" s="33"/>
      <c r="K53" s="33"/>
      <c r="L53" s="159"/>
      <c r="M53" s="159"/>
      <c r="N53" s="148"/>
    </row>
    <row r="54" spans="1:14" s="3" customFormat="1" ht="15.75" x14ac:dyDescent="0.2">
      <c r="A54" s="38" t="s">
        <v>455</v>
      </c>
      <c r="B54" s="283"/>
      <c r="C54" s="284"/>
      <c r="D54" s="257"/>
      <c r="E54" s="27"/>
      <c r="F54" s="145"/>
      <c r="G54" s="33"/>
      <c r="H54" s="145"/>
      <c r="I54" s="145"/>
      <c r="J54" s="33"/>
      <c r="K54" s="33"/>
      <c r="L54" s="159"/>
      <c r="M54" s="159"/>
      <c r="N54" s="148"/>
    </row>
    <row r="55" spans="1:14" s="3" customFormat="1" ht="15.75" x14ac:dyDescent="0.2">
      <c r="A55" s="38" t="s">
        <v>456</v>
      </c>
      <c r="B55" s="283"/>
      <c r="C55" s="284"/>
      <c r="D55" s="257"/>
      <c r="E55" s="27"/>
      <c r="F55" s="145"/>
      <c r="G55" s="33"/>
      <c r="H55" s="145"/>
      <c r="I55" s="145"/>
      <c r="J55" s="33"/>
      <c r="K55" s="33"/>
      <c r="L55" s="159"/>
      <c r="M55" s="159"/>
      <c r="N55" s="148"/>
    </row>
    <row r="56" spans="1:14" s="3" customFormat="1" ht="15.75" x14ac:dyDescent="0.2">
      <c r="A56" s="39" t="s">
        <v>458</v>
      </c>
      <c r="B56" s="312"/>
      <c r="C56" s="313"/>
      <c r="D56" s="429"/>
      <c r="E56" s="11"/>
      <c r="F56" s="145"/>
      <c r="G56" s="33"/>
      <c r="H56" s="145"/>
      <c r="I56" s="145"/>
      <c r="J56" s="33"/>
      <c r="K56" s="33"/>
      <c r="L56" s="159"/>
      <c r="M56" s="159"/>
      <c r="N56" s="148"/>
    </row>
    <row r="57" spans="1:14" s="3" customFormat="1" ht="15.75" x14ac:dyDescent="0.2">
      <c r="A57" s="38" t="s">
        <v>455</v>
      </c>
      <c r="B57" s="283"/>
      <c r="C57" s="284"/>
      <c r="D57" s="257"/>
      <c r="E57" s="27"/>
      <c r="F57" s="145"/>
      <c r="G57" s="33"/>
      <c r="H57" s="145"/>
      <c r="I57" s="145"/>
      <c r="J57" s="33"/>
      <c r="K57" s="33"/>
      <c r="L57" s="159"/>
      <c r="M57" s="159"/>
      <c r="N57" s="148"/>
    </row>
    <row r="58" spans="1:14" s="3" customFormat="1" ht="15.75" x14ac:dyDescent="0.2">
      <c r="A58" s="46" t="s">
        <v>456</v>
      </c>
      <c r="B58" s="285"/>
      <c r="C58" s="286"/>
      <c r="D58" s="258"/>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1022"/>
      <c r="C62" s="1022"/>
      <c r="D62" s="1022"/>
      <c r="E62" s="301"/>
      <c r="F62" s="1022"/>
      <c r="G62" s="1022"/>
      <c r="H62" s="1022"/>
      <c r="I62" s="301"/>
      <c r="J62" s="1022"/>
      <c r="K62" s="1022"/>
      <c r="L62" s="1022"/>
      <c r="M62" s="301"/>
    </row>
    <row r="63" spans="1:14" x14ac:dyDescent="0.2">
      <c r="A63" s="144"/>
      <c r="B63" s="1023" t="s">
        <v>0</v>
      </c>
      <c r="C63" s="1024"/>
      <c r="D63" s="1025"/>
      <c r="E63" s="302"/>
      <c r="F63" s="1024" t="s">
        <v>1</v>
      </c>
      <c r="G63" s="1024"/>
      <c r="H63" s="1024"/>
      <c r="I63" s="306"/>
      <c r="J63" s="1023" t="s">
        <v>2</v>
      </c>
      <c r="K63" s="1024"/>
      <c r="L63" s="1024"/>
      <c r="M63" s="306"/>
    </row>
    <row r="64" spans="1:14" x14ac:dyDescent="0.2">
      <c r="A64" s="140"/>
      <c r="B64" s="152" t="s">
        <v>502</v>
      </c>
      <c r="C64" s="152" t="s">
        <v>503</v>
      </c>
      <c r="D64" s="245" t="s">
        <v>3</v>
      </c>
      <c r="E64" s="307" t="s">
        <v>29</v>
      </c>
      <c r="F64" s="152" t="s">
        <v>502</v>
      </c>
      <c r="G64" s="152" t="s">
        <v>503</v>
      </c>
      <c r="H64" s="245" t="s">
        <v>3</v>
      </c>
      <c r="I64" s="307" t="s">
        <v>29</v>
      </c>
      <c r="J64" s="152" t="s">
        <v>502</v>
      </c>
      <c r="K64" s="152" t="s">
        <v>503</v>
      </c>
      <c r="L64" s="245" t="s">
        <v>3</v>
      </c>
      <c r="M64" s="162" t="s">
        <v>29</v>
      </c>
    </row>
    <row r="65" spans="1:14" x14ac:dyDescent="0.2">
      <c r="A65" s="990"/>
      <c r="B65" s="156"/>
      <c r="C65" s="156"/>
      <c r="D65" s="246" t="s">
        <v>4</v>
      </c>
      <c r="E65" s="156" t="s">
        <v>30</v>
      </c>
      <c r="F65" s="161"/>
      <c r="G65" s="161"/>
      <c r="H65" s="245"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9"/>
      <c r="M66" s="11"/>
    </row>
    <row r="67" spans="1:14" x14ac:dyDescent="0.2">
      <c r="A67" s="420" t="s">
        <v>9</v>
      </c>
      <c r="B67" s="44"/>
      <c r="C67" s="145"/>
      <c r="D67" s="166"/>
      <c r="E67" s="27"/>
      <c r="F67" s="234"/>
      <c r="G67" s="145"/>
      <c r="H67" s="166"/>
      <c r="I67" s="27"/>
      <c r="J67" s="289"/>
      <c r="K67" s="44"/>
      <c r="L67" s="257"/>
      <c r="M67" s="27"/>
    </row>
    <row r="68" spans="1:14" x14ac:dyDescent="0.2">
      <c r="A68" s="21" t="s">
        <v>10</v>
      </c>
      <c r="B68" s="294"/>
      <c r="C68" s="295"/>
      <c r="D68" s="166"/>
      <c r="E68" s="27"/>
      <c r="F68" s="294"/>
      <c r="G68" s="295"/>
      <c r="H68" s="166"/>
      <c r="I68" s="27"/>
      <c r="J68" s="289"/>
      <c r="K68" s="44"/>
      <c r="L68" s="257"/>
      <c r="M68" s="27"/>
    </row>
    <row r="69" spans="1:14" ht="15.75" x14ac:dyDescent="0.2">
      <c r="A69" s="298" t="s">
        <v>459</v>
      </c>
      <c r="B69" s="283"/>
      <c r="C69" s="283"/>
      <c r="D69" s="166"/>
      <c r="E69" s="418"/>
      <c r="F69" s="283"/>
      <c r="G69" s="283"/>
      <c r="H69" s="166"/>
      <c r="I69" s="418"/>
      <c r="J69" s="292"/>
      <c r="K69" s="292"/>
      <c r="L69" s="166"/>
      <c r="M69" s="23"/>
    </row>
    <row r="70" spans="1:14" x14ac:dyDescent="0.2">
      <c r="A70" s="298" t="s">
        <v>12</v>
      </c>
      <c r="B70" s="296"/>
      <c r="C70" s="297"/>
      <c r="D70" s="166"/>
      <c r="E70" s="418"/>
      <c r="F70" s="283"/>
      <c r="G70" s="283"/>
      <c r="H70" s="166"/>
      <c r="I70" s="418"/>
      <c r="J70" s="292"/>
      <c r="K70" s="292"/>
      <c r="L70" s="166"/>
      <c r="M70" s="23"/>
    </row>
    <row r="71" spans="1:14" x14ac:dyDescent="0.2">
      <c r="A71" s="298" t="s">
        <v>13</v>
      </c>
      <c r="B71" s="235"/>
      <c r="C71" s="291"/>
      <c r="D71" s="166"/>
      <c r="E71" s="418"/>
      <c r="F71" s="283"/>
      <c r="G71" s="283"/>
      <c r="H71" s="166"/>
      <c r="I71" s="418"/>
      <c r="J71" s="292"/>
      <c r="K71" s="292"/>
      <c r="L71" s="166"/>
      <c r="M71" s="23"/>
    </row>
    <row r="72" spans="1:14" ht="15.75" x14ac:dyDescent="0.2">
      <c r="A72" s="298" t="s">
        <v>460</v>
      </c>
      <c r="B72" s="283"/>
      <c r="C72" s="283"/>
      <c r="D72" s="166"/>
      <c r="E72" s="418"/>
      <c r="F72" s="283"/>
      <c r="G72" s="283"/>
      <c r="H72" s="166"/>
      <c r="I72" s="418"/>
      <c r="J72" s="292"/>
      <c r="K72" s="292"/>
      <c r="L72" s="166"/>
      <c r="M72" s="23"/>
    </row>
    <row r="73" spans="1:14" x14ac:dyDescent="0.2">
      <c r="A73" s="298" t="s">
        <v>12</v>
      </c>
      <c r="B73" s="235"/>
      <c r="C73" s="291"/>
      <c r="D73" s="166"/>
      <c r="E73" s="418"/>
      <c r="F73" s="283"/>
      <c r="G73" s="283"/>
      <c r="H73" s="166"/>
      <c r="I73" s="418"/>
      <c r="J73" s="292"/>
      <c r="K73" s="292"/>
      <c r="L73" s="166"/>
      <c r="M73" s="23"/>
    </row>
    <row r="74" spans="1:14" s="3" customFormat="1" x14ac:dyDescent="0.2">
      <c r="A74" s="298" t="s">
        <v>13</v>
      </c>
      <c r="B74" s="235"/>
      <c r="C74" s="291"/>
      <c r="D74" s="166"/>
      <c r="E74" s="418"/>
      <c r="F74" s="283"/>
      <c r="G74" s="283"/>
      <c r="H74" s="166"/>
      <c r="I74" s="418"/>
      <c r="J74" s="292"/>
      <c r="K74" s="292"/>
      <c r="L74" s="166"/>
      <c r="M74" s="23"/>
      <c r="N74" s="148"/>
    </row>
    <row r="75" spans="1:14" s="3" customFormat="1" x14ac:dyDescent="0.2">
      <c r="A75" s="21" t="s">
        <v>346</v>
      </c>
      <c r="B75" s="234"/>
      <c r="C75" s="145"/>
      <c r="D75" s="166"/>
      <c r="E75" s="27"/>
      <c r="F75" s="234"/>
      <c r="G75" s="145"/>
      <c r="H75" s="166"/>
      <c r="I75" s="27"/>
      <c r="J75" s="289"/>
      <c r="K75" s="44"/>
      <c r="L75" s="257"/>
      <c r="M75" s="27"/>
      <c r="N75" s="148"/>
    </row>
    <row r="76" spans="1:14" s="3" customFormat="1" x14ac:dyDescent="0.2">
      <c r="A76" s="21" t="s">
        <v>345</v>
      </c>
      <c r="B76" s="234"/>
      <c r="C76" s="145"/>
      <c r="D76" s="166"/>
      <c r="E76" s="27"/>
      <c r="F76" s="234"/>
      <c r="G76" s="145"/>
      <c r="H76" s="166"/>
      <c r="I76" s="27"/>
      <c r="J76" s="289"/>
      <c r="K76" s="44"/>
      <c r="L76" s="257"/>
      <c r="M76" s="27"/>
      <c r="N76" s="148"/>
    </row>
    <row r="77" spans="1:14" ht="15.75" x14ac:dyDescent="0.2">
      <c r="A77" s="21" t="s">
        <v>461</v>
      </c>
      <c r="B77" s="234"/>
      <c r="C77" s="234"/>
      <c r="D77" s="166"/>
      <c r="E77" s="27"/>
      <c r="F77" s="234"/>
      <c r="G77" s="145"/>
      <c r="H77" s="166"/>
      <c r="I77" s="27"/>
      <c r="J77" s="289"/>
      <c r="K77" s="44"/>
      <c r="L77" s="257"/>
      <c r="M77" s="27"/>
    </row>
    <row r="78" spans="1:14" x14ac:dyDescent="0.2">
      <c r="A78" s="21" t="s">
        <v>9</v>
      </c>
      <c r="B78" s="234"/>
      <c r="C78" s="145"/>
      <c r="D78" s="166"/>
      <c r="E78" s="27"/>
      <c r="F78" s="234"/>
      <c r="G78" s="145"/>
      <c r="H78" s="166"/>
      <c r="I78" s="27"/>
      <c r="J78" s="289"/>
      <c r="K78" s="44"/>
      <c r="L78" s="257"/>
      <c r="M78" s="27"/>
    </row>
    <row r="79" spans="1:14" x14ac:dyDescent="0.2">
      <c r="A79" s="21" t="s">
        <v>10</v>
      </c>
      <c r="B79" s="294"/>
      <c r="C79" s="295"/>
      <c r="D79" s="166"/>
      <c r="E79" s="27"/>
      <c r="F79" s="294"/>
      <c r="G79" s="295"/>
      <c r="H79" s="166"/>
      <c r="I79" s="27"/>
      <c r="J79" s="289"/>
      <c r="K79" s="44"/>
      <c r="L79" s="257"/>
      <c r="M79" s="27"/>
    </row>
    <row r="80" spans="1:14" ht="15.75" x14ac:dyDescent="0.2">
      <c r="A80" s="298" t="s">
        <v>459</v>
      </c>
      <c r="B80" s="283"/>
      <c r="C80" s="283"/>
      <c r="D80" s="166"/>
      <c r="E80" s="418"/>
      <c r="F80" s="283"/>
      <c r="G80" s="283"/>
      <c r="H80" s="166"/>
      <c r="I80" s="418"/>
      <c r="J80" s="292"/>
      <c r="K80" s="292"/>
      <c r="L80" s="166"/>
      <c r="M80" s="23"/>
    </row>
    <row r="81" spans="1:13" x14ac:dyDescent="0.2">
      <c r="A81" s="298" t="s">
        <v>12</v>
      </c>
      <c r="B81" s="235"/>
      <c r="C81" s="291"/>
      <c r="D81" s="166"/>
      <c r="E81" s="418"/>
      <c r="F81" s="283"/>
      <c r="G81" s="283"/>
      <c r="H81" s="166"/>
      <c r="I81" s="418"/>
      <c r="J81" s="292"/>
      <c r="K81" s="292"/>
      <c r="L81" s="166"/>
      <c r="M81" s="23"/>
    </row>
    <row r="82" spans="1:13" x14ac:dyDescent="0.2">
      <c r="A82" s="298" t="s">
        <v>13</v>
      </c>
      <c r="B82" s="235"/>
      <c r="C82" s="291"/>
      <c r="D82" s="166"/>
      <c r="E82" s="418"/>
      <c r="F82" s="283"/>
      <c r="G82" s="283"/>
      <c r="H82" s="166"/>
      <c r="I82" s="418"/>
      <c r="J82" s="292"/>
      <c r="K82" s="292"/>
      <c r="L82" s="166"/>
      <c r="M82" s="23"/>
    </row>
    <row r="83" spans="1:13" ht="15.75" x14ac:dyDescent="0.2">
      <c r="A83" s="298" t="s">
        <v>460</v>
      </c>
      <c r="B83" s="283"/>
      <c r="C83" s="283"/>
      <c r="D83" s="166"/>
      <c r="E83" s="418"/>
      <c r="F83" s="283"/>
      <c r="G83" s="283"/>
      <c r="H83" s="166"/>
      <c r="I83" s="418"/>
      <c r="J83" s="292"/>
      <c r="K83" s="292"/>
      <c r="L83" s="166"/>
      <c r="M83" s="23"/>
    </row>
    <row r="84" spans="1:13" x14ac:dyDescent="0.2">
      <c r="A84" s="298" t="s">
        <v>12</v>
      </c>
      <c r="B84" s="235"/>
      <c r="C84" s="291"/>
      <c r="D84" s="166"/>
      <c r="E84" s="418"/>
      <c r="F84" s="283"/>
      <c r="G84" s="283"/>
      <c r="H84" s="166"/>
      <c r="I84" s="418"/>
      <c r="J84" s="292"/>
      <c r="K84" s="292"/>
      <c r="L84" s="166"/>
      <c r="M84" s="23"/>
    </row>
    <row r="85" spans="1:13" x14ac:dyDescent="0.2">
      <c r="A85" s="298" t="s">
        <v>13</v>
      </c>
      <c r="B85" s="235"/>
      <c r="C85" s="291"/>
      <c r="D85" s="166"/>
      <c r="E85" s="418"/>
      <c r="F85" s="283"/>
      <c r="G85" s="283"/>
      <c r="H85" s="166"/>
      <c r="I85" s="418"/>
      <c r="J85" s="292"/>
      <c r="K85" s="292"/>
      <c r="L85" s="166"/>
      <c r="M85" s="23"/>
    </row>
    <row r="86" spans="1:13" ht="15.75" x14ac:dyDescent="0.2">
      <c r="A86" s="21" t="s">
        <v>462</v>
      </c>
      <c r="B86" s="234"/>
      <c r="C86" s="145"/>
      <c r="D86" s="166"/>
      <c r="E86" s="27"/>
      <c r="F86" s="234"/>
      <c r="G86" s="145"/>
      <c r="H86" s="166"/>
      <c r="I86" s="27"/>
      <c r="J86" s="289"/>
      <c r="K86" s="44"/>
      <c r="L86" s="257"/>
      <c r="M86" s="27"/>
    </row>
    <row r="87" spans="1:13" ht="15.75" x14ac:dyDescent="0.2">
      <c r="A87" s="13" t="s">
        <v>444</v>
      </c>
      <c r="B87" s="354"/>
      <c r="C87" s="354"/>
      <c r="D87" s="171"/>
      <c r="E87" s="11"/>
      <c r="F87" s="353"/>
      <c r="G87" s="353"/>
      <c r="H87" s="171"/>
      <c r="I87" s="11"/>
      <c r="J87" s="311"/>
      <c r="K87" s="236"/>
      <c r="L87" s="429"/>
      <c r="M87" s="11"/>
    </row>
    <row r="88" spans="1:13" x14ac:dyDescent="0.2">
      <c r="A88" s="21" t="s">
        <v>9</v>
      </c>
      <c r="B88" s="234"/>
      <c r="C88" s="145"/>
      <c r="D88" s="166"/>
      <c r="E88" s="27"/>
      <c r="F88" s="234"/>
      <c r="G88" s="145"/>
      <c r="H88" s="166"/>
      <c r="I88" s="27"/>
      <c r="J88" s="289"/>
      <c r="K88" s="44"/>
      <c r="L88" s="257"/>
      <c r="M88" s="27"/>
    </row>
    <row r="89" spans="1:13" x14ac:dyDescent="0.2">
      <c r="A89" s="21" t="s">
        <v>10</v>
      </c>
      <c r="B89" s="234"/>
      <c r="C89" s="145"/>
      <c r="D89" s="166"/>
      <c r="E89" s="27"/>
      <c r="F89" s="234"/>
      <c r="G89" s="145"/>
      <c r="H89" s="166"/>
      <c r="I89" s="27"/>
      <c r="J89" s="289"/>
      <c r="K89" s="44"/>
      <c r="L89" s="257"/>
      <c r="M89" s="27"/>
    </row>
    <row r="90" spans="1:13" ht="15.75" x14ac:dyDescent="0.2">
      <c r="A90" s="298" t="s">
        <v>459</v>
      </c>
      <c r="B90" s="283"/>
      <c r="C90" s="283"/>
      <c r="D90" s="166"/>
      <c r="E90" s="418"/>
      <c r="F90" s="283"/>
      <c r="G90" s="283"/>
      <c r="H90" s="166"/>
      <c r="I90" s="418"/>
      <c r="J90" s="292"/>
      <c r="K90" s="292"/>
      <c r="L90" s="166"/>
      <c r="M90" s="23"/>
    </row>
    <row r="91" spans="1:13" x14ac:dyDescent="0.2">
      <c r="A91" s="298" t="s">
        <v>12</v>
      </c>
      <c r="B91" s="235"/>
      <c r="C91" s="291"/>
      <c r="D91" s="166"/>
      <c r="E91" s="418"/>
      <c r="F91" s="283"/>
      <c r="G91" s="283"/>
      <c r="H91" s="166"/>
      <c r="I91" s="418"/>
      <c r="J91" s="292"/>
      <c r="K91" s="292"/>
      <c r="L91" s="166"/>
      <c r="M91" s="23"/>
    </row>
    <row r="92" spans="1:13" x14ac:dyDescent="0.2">
      <c r="A92" s="298" t="s">
        <v>13</v>
      </c>
      <c r="B92" s="235"/>
      <c r="C92" s="291"/>
      <c r="D92" s="166"/>
      <c r="E92" s="418"/>
      <c r="F92" s="283"/>
      <c r="G92" s="283"/>
      <c r="H92" s="166"/>
      <c r="I92" s="418"/>
      <c r="J92" s="292"/>
      <c r="K92" s="292"/>
      <c r="L92" s="166"/>
      <c r="M92" s="23"/>
    </row>
    <row r="93" spans="1:13" ht="15.75" x14ac:dyDescent="0.2">
      <c r="A93" s="298" t="s">
        <v>460</v>
      </c>
      <c r="B93" s="283"/>
      <c r="C93" s="283"/>
      <c r="D93" s="166"/>
      <c r="E93" s="418"/>
      <c r="F93" s="283"/>
      <c r="G93" s="283"/>
      <c r="H93" s="166"/>
      <c r="I93" s="418"/>
      <c r="J93" s="292"/>
      <c r="K93" s="292"/>
      <c r="L93" s="166"/>
      <c r="M93" s="23"/>
    </row>
    <row r="94" spans="1:13" x14ac:dyDescent="0.2">
      <c r="A94" s="298" t="s">
        <v>12</v>
      </c>
      <c r="B94" s="235"/>
      <c r="C94" s="291"/>
      <c r="D94" s="166"/>
      <c r="E94" s="418"/>
      <c r="F94" s="283"/>
      <c r="G94" s="283"/>
      <c r="H94" s="166"/>
      <c r="I94" s="418"/>
      <c r="J94" s="292"/>
      <c r="K94" s="292"/>
      <c r="L94" s="166"/>
      <c r="M94" s="23"/>
    </row>
    <row r="95" spans="1:13" x14ac:dyDescent="0.2">
      <c r="A95" s="298" t="s">
        <v>13</v>
      </c>
      <c r="B95" s="235"/>
      <c r="C95" s="291"/>
      <c r="D95" s="166"/>
      <c r="E95" s="418"/>
      <c r="F95" s="283"/>
      <c r="G95" s="283"/>
      <c r="H95" s="166"/>
      <c r="I95" s="418"/>
      <c r="J95" s="292"/>
      <c r="K95" s="292"/>
      <c r="L95" s="166"/>
      <c r="M95" s="23"/>
    </row>
    <row r="96" spans="1:13" x14ac:dyDescent="0.2">
      <c r="A96" s="21" t="s">
        <v>344</v>
      </c>
      <c r="B96" s="234"/>
      <c r="C96" s="145"/>
      <c r="D96" s="166"/>
      <c r="E96" s="27"/>
      <c r="F96" s="234"/>
      <c r="G96" s="145"/>
      <c r="H96" s="166"/>
      <c r="I96" s="27"/>
      <c r="J96" s="289"/>
      <c r="K96" s="44"/>
      <c r="L96" s="257"/>
      <c r="M96" s="27"/>
    </row>
    <row r="97" spans="1:13" x14ac:dyDescent="0.2">
      <c r="A97" s="21" t="s">
        <v>343</v>
      </c>
      <c r="B97" s="234"/>
      <c r="C97" s="145"/>
      <c r="D97" s="166"/>
      <c r="E97" s="27"/>
      <c r="F97" s="234"/>
      <c r="G97" s="145"/>
      <c r="H97" s="166"/>
      <c r="I97" s="27"/>
      <c r="J97" s="289"/>
      <c r="K97" s="44"/>
      <c r="L97" s="257"/>
      <c r="M97" s="27"/>
    </row>
    <row r="98" spans="1:13" ht="15.75" x14ac:dyDescent="0.2">
      <c r="A98" s="21" t="s">
        <v>461</v>
      </c>
      <c r="B98" s="234"/>
      <c r="C98" s="234"/>
      <c r="D98" s="166"/>
      <c r="E98" s="27"/>
      <c r="F98" s="294"/>
      <c r="G98" s="294"/>
      <c r="H98" s="166"/>
      <c r="I98" s="27"/>
      <c r="J98" s="289"/>
      <c r="K98" s="44"/>
      <c r="L98" s="257"/>
      <c r="M98" s="27"/>
    </row>
    <row r="99" spans="1:13" x14ac:dyDescent="0.2">
      <c r="A99" s="21" t="s">
        <v>9</v>
      </c>
      <c r="B99" s="294"/>
      <c r="C99" s="295"/>
      <c r="D99" s="166"/>
      <c r="E99" s="27"/>
      <c r="F99" s="234"/>
      <c r="G99" s="145"/>
      <c r="H99" s="166"/>
      <c r="I99" s="27"/>
      <c r="J99" s="289"/>
      <c r="K99" s="44"/>
      <c r="L99" s="257"/>
      <c r="M99" s="27"/>
    </row>
    <row r="100" spans="1:13" x14ac:dyDescent="0.2">
      <c r="A100" s="21" t="s">
        <v>10</v>
      </c>
      <c r="B100" s="294"/>
      <c r="C100" s="295"/>
      <c r="D100" s="166"/>
      <c r="E100" s="27"/>
      <c r="F100" s="234"/>
      <c r="G100" s="234"/>
      <c r="H100" s="166"/>
      <c r="I100" s="27"/>
      <c r="J100" s="289"/>
      <c r="K100" s="44"/>
      <c r="L100" s="257"/>
      <c r="M100" s="27"/>
    </row>
    <row r="101" spans="1:13" ht="15.75" x14ac:dyDescent="0.2">
      <c r="A101" s="298" t="s">
        <v>459</v>
      </c>
      <c r="B101" s="283"/>
      <c r="C101" s="283"/>
      <c r="D101" s="166"/>
      <c r="E101" s="418"/>
      <c r="F101" s="283"/>
      <c r="G101" s="283"/>
      <c r="H101" s="166"/>
      <c r="I101" s="418"/>
      <c r="J101" s="292"/>
      <c r="K101" s="292"/>
      <c r="L101" s="166"/>
      <c r="M101" s="23"/>
    </row>
    <row r="102" spans="1:13" x14ac:dyDescent="0.2">
      <c r="A102" s="298" t="s">
        <v>12</v>
      </c>
      <c r="B102" s="235"/>
      <c r="C102" s="291"/>
      <c r="D102" s="166"/>
      <c r="E102" s="418"/>
      <c r="F102" s="283"/>
      <c r="G102" s="283"/>
      <c r="H102" s="166"/>
      <c r="I102" s="418"/>
      <c r="J102" s="292"/>
      <c r="K102" s="292"/>
      <c r="L102" s="166"/>
      <c r="M102" s="23"/>
    </row>
    <row r="103" spans="1:13" x14ac:dyDescent="0.2">
      <c r="A103" s="298" t="s">
        <v>13</v>
      </c>
      <c r="B103" s="235"/>
      <c r="C103" s="291"/>
      <c r="D103" s="166"/>
      <c r="E103" s="418"/>
      <c r="F103" s="283"/>
      <c r="G103" s="283"/>
      <c r="H103" s="166"/>
      <c r="I103" s="418"/>
      <c r="J103" s="292"/>
      <c r="K103" s="292"/>
      <c r="L103" s="166"/>
      <c r="M103" s="23"/>
    </row>
    <row r="104" spans="1:13" ht="15.75" x14ac:dyDescent="0.2">
      <c r="A104" s="298" t="s">
        <v>460</v>
      </c>
      <c r="B104" s="283"/>
      <c r="C104" s="283"/>
      <c r="D104" s="166"/>
      <c r="E104" s="418"/>
      <c r="F104" s="283"/>
      <c r="G104" s="283"/>
      <c r="H104" s="166"/>
      <c r="I104" s="418"/>
      <c r="J104" s="292"/>
      <c r="K104" s="292"/>
      <c r="L104" s="166"/>
      <c r="M104" s="23"/>
    </row>
    <row r="105" spans="1:13" x14ac:dyDescent="0.2">
      <c r="A105" s="298" t="s">
        <v>12</v>
      </c>
      <c r="B105" s="235"/>
      <c r="C105" s="291"/>
      <c r="D105" s="166"/>
      <c r="E105" s="418"/>
      <c r="F105" s="283"/>
      <c r="G105" s="283"/>
      <c r="H105" s="166"/>
      <c r="I105" s="418"/>
      <c r="J105" s="292"/>
      <c r="K105" s="292"/>
      <c r="L105" s="166"/>
      <c r="M105" s="23"/>
    </row>
    <row r="106" spans="1:13" x14ac:dyDescent="0.2">
      <c r="A106" s="298" t="s">
        <v>13</v>
      </c>
      <c r="B106" s="235"/>
      <c r="C106" s="291"/>
      <c r="D106" s="166"/>
      <c r="E106" s="418"/>
      <c r="F106" s="283"/>
      <c r="G106" s="283"/>
      <c r="H106" s="166"/>
      <c r="I106" s="418"/>
      <c r="J106" s="292"/>
      <c r="K106" s="292"/>
      <c r="L106" s="166"/>
      <c r="M106" s="23"/>
    </row>
    <row r="107" spans="1:13" ht="15.75" x14ac:dyDescent="0.2">
      <c r="A107" s="21" t="s">
        <v>462</v>
      </c>
      <c r="B107" s="234"/>
      <c r="C107" s="145"/>
      <c r="D107" s="166"/>
      <c r="E107" s="27"/>
      <c r="F107" s="234"/>
      <c r="G107" s="145"/>
      <c r="H107" s="166"/>
      <c r="I107" s="27"/>
      <c r="J107" s="289"/>
      <c r="K107" s="44"/>
      <c r="L107" s="257"/>
      <c r="M107" s="27"/>
    </row>
    <row r="108" spans="1:13" ht="15.75" x14ac:dyDescent="0.2">
      <c r="A108" s="21" t="s">
        <v>463</v>
      </c>
      <c r="B108" s="234"/>
      <c r="C108" s="234"/>
      <c r="D108" s="166"/>
      <c r="E108" s="27"/>
      <c r="F108" s="234"/>
      <c r="G108" s="234"/>
      <c r="H108" s="166"/>
      <c r="I108" s="27"/>
      <c r="J108" s="289"/>
      <c r="K108" s="44"/>
      <c r="L108" s="257"/>
      <c r="M108" s="27"/>
    </row>
    <row r="109" spans="1:13" ht="15.75" x14ac:dyDescent="0.2">
      <c r="A109" s="21" t="s">
        <v>464</v>
      </c>
      <c r="B109" s="234"/>
      <c r="C109" s="234"/>
      <c r="D109" s="166"/>
      <c r="E109" s="27"/>
      <c r="F109" s="234"/>
      <c r="G109" s="234"/>
      <c r="H109" s="166"/>
      <c r="I109" s="27"/>
      <c r="J109" s="289"/>
      <c r="K109" s="44"/>
      <c r="L109" s="257"/>
      <c r="M109" s="27"/>
    </row>
    <row r="110" spans="1:13" ht="15.75" x14ac:dyDescent="0.2">
      <c r="A110" s="21" t="s">
        <v>465</v>
      </c>
      <c r="B110" s="234"/>
      <c r="C110" s="234"/>
      <c r="D110" s="166"/>
      <c r="E110" s="27"/>
      <c r="F110" s="234"/>
      <c r="G110" s="234"/>
      <c r="H110" s="166"/>
      <c r="I110" s="27"/>
      <c r="J110" s="289"/>
      <c r="K110" s="44"/>
      <c r="L110" s="257"/>
      <c r="M110" s="27"/>
    </row>
    <row r="111" spans="1:13" ht="15.75" x14ac:dyDescent="0.2">
      <c r="A111" s="13" t="s">
        <v>445</v>
      </c>
      <c r="B111" s="310"/>
      <c r="C111" s="159"/>
      <c r="D111" s="171"/>
      <c r="E111" s="11"/>
      <c r="F111" s="310"/>
      <c r="G111" s="159"/>
      <c r="H111" s="171"/>
      <c r="I111" s="11"/>
      <c r="J111" s="311"/>
      <c r="K111" s="236"/>
      <c r="L111" s="429"/>
      <c r="M111" s="11"/>
    </row>
    <row r="112" spans="1:13" x14ac:dyDescent="0.2">
      <c r="A112" s="21" t="s">
        <v>9</v>
      </c>
      <c r="B112" s="234"/>
      <c r="C112" s="145"/>
      <c r="D112" s="166"/>
      <c r="E112" s="27"/>
      <c r="F112" s="234"/>
      <c r="G112" s="145"/>
      <c r="H112" s="166"/>
      <c r="I112" s="27"/>
      <c r="J112" s="289"/>
      <c r="K112" s="44"/>
      <c r="L112" s="257"/>
      <c r="M112" s="27"/>
    </row>
    <row r="113" spans="1:14" x14ac:dyDescent="0.2">
      <c r="A113" s="21" t="s">
        <v>10</v>
      </c>
      <c r="B113" s="234"/>
      <c r="C113" s="145"/>
      <c r="D113" s="166"/>
      <c r="E113" s="27"/>
      <c r="F113" s="234"/>
      <c r="G113" s="145"/>
      <c r="H113" s="166"/>
      <c r="I113" s="27"/>
      <c r="J113" s="289"/>
      <c r="K113" s="44"/>
      <c r="L113" s="257"/>
      <c r="M113" s="27"/>
    </row>
    <row r="114" spans="1:14" x14ac:dyDescent="0.2">
      <c r="A114" s="21" t="s">
        <v>26</v>
      </c>
      <c r="B114" s="234"/>
      <c r="C114" s="145"/>
      <c r="D114" s="166"/>
      <c r="E114" s="27"/>
      <c r="F114" s="234"/>
      <c r="G114" s="145"/>
      <c r="H114" s="166"/>
      <c r="I114" s="27"/>
      <c r="J114" s="289"/>
      <c r="K114" s="44"/>
      <c r="L114" s="257"/>
      <c r="M114" s="27"/>
    </row>
    <row r="115" spans="1:14" x14ac:dyDescent="0.2">
      <c r="A115" s="298" t="s">
        <v>15</v>
      </c>
      <c r="B115" s="283"/>
      <c r="C115" s="283"/>
      <c r="D115" s="166"/>
      <c r="E115" s="418"/>
      <c r="F115" s="283"/>
      <c r="G115" s="283"/>
      <c r="H115" s="166"/>
      <c r="I115" s="418"/>
      <c r="J115" s="292"/>
      <c r="K115" s="292"/>
      <c r="L115" s="166"/>
      <c r="M115" s="23"/>
    </row>
    <row r="116" spans="1:14" ht="15.75" x14ac:dyDescent="0.2">
      <c r="A116" s="21" t="s">
        <v>466</v>
      </c>
      <c r="B116" s="234"/>
      <c r="C116" s="234"/>
      <c r="D116" s="166"/>
      <c r="E116" s="27"/>
      <c r="F116" s="234"/>
      <c r="G116" s="234"/>
      <c r="H116" s="166"/>
      <c r="I116" s="27"/>
      <c r="J116" s="289"/>
      <c r="K116" s="44"/>
      <c r="L116" s="257"/>
      <c r="M116" s="27"/>
    </row>
    <row r="117" spans="1:14" ht="15.75" x14ac:dyDescent="0.2">
      <c r="A117" s="21" t="s">
        <v>467</v>
      </c>
      <c r="B117" s="234"/>
      <c r="C117" s="234"/>
      <c r="D117" s="166"/>
      <c r="E117" s="27"/>
      <c r="F117" s="234"/>
      <c r="G117" s="234"/>
      <c r="H117" s="166"/>
      <c r="I117" s="27"/>
      <c r="J117" s="289"/>
      <c r="K117" s="44"/>
      <c r="L117" s="257"/>
      <c r="M117" s="27"/>
    </row>
    <row r="118" spans="1:14" ht="15.75" x14ac:dyDescent="0.2">
      <c r="A118" s="21" t="s">
        <v>465</v>
      </c>
      <c r="B118" s="234"/>
      <c r="C118" s="234"/>
      <c r="D118" s="166"/>
      <c r="E118" s="27"/>
      <c r="F118" s="234"/>
      <c r="G118" s="234"/>
      <c r="H118" s="166"/>
      <c r="I118" s="27"/>
      <c r="J118" s="289"/>
      <c r="K118" s="44"/>
      <c r="L118" s="257"/>
      <c r="M118" s="27"/>
    </row>
    <row r="119" spans="1:14" ht="15.75" x14ac:dyDescent="0.2">
      <c r="A119" s="13" t="s">
        <v>446</v>
      </c>
      <c r="B119" s="310"/>
      <c r="C119" s="159"/>
      <c r="D119" s="171"/>
      <c r="E119" s="11"/>
      <c r="F119" s="310"/>
      <c r="G119" s="159"/>
      <c r="H119" s="171"/>
      <c r="I119" s="11"/>
      <c r="J119" s="311"/>
      <c r="K119" s="236"/>
      <c r="L119" s="429"/>
      <c r="M119" s="11"/>
    </row>
    <row r="120" spans="1:14" x14ac:dyDescent="0.2">
      <c r="A120" s="21" t="s">
        <v>9</v>
      </c>
      <c r="B120" s="234"/>
      <c r="C120" s="145"/>
      <c r="D120" s="166"/>
      <c r="E120" s="27"/>
      <c r="F120" s="234"/>
      <c r="G120" s="145"/>
      <c r="H120" s="166"/>
      <c r="I120" s="27"/>
      <c r="J120" s="289"/>
      <c r="K120" s="44"/>
      <c r="L120" s="257"/>
      <c r="M120" s="27"/>
    </row>
    <row r="121" spans="1:14" x14ac:dyDescent="0.2">
      <c r="A121" s="21" t="s">
        <v>10</v>
      </c>
      <c r="B121" s="234"/>
      <c r="C121" s="145"/>
      <c r="D121" s="166"/>
      <c r="E121" s="27"/>
      <c r="F121" s="234"/>
      <c r="G121" s="145"/>
      <c r="H121" s="166"/>
      <c r="I121" s="27"/>
      <c r="J121" s="289"/>
      <c r="K121" s="44"/>
      <c r="L121" s="257"/>
      <c r="M121" s="27"/>
    </row>
    <row r="122" spans="1:14" x14ac:dyDescent="0.2">
      <c r="A122" s="21" t="s">
        <v>26</v>
      </c>
      <c r="B122" s="234"/>
      <c r="C122" s="145"/>
      <c r="D122" s="166"/>
      <c r="E122" s="27"/>
      <c r="F122" s="234"/>
      <c r="G122" s="145"/>
      <c r="H122" s="166"/>
      <c r="I122" s="27"/>
      <c r="J122" s="289"/>
      <c r="K122" s="44"/>
      <c r="L122" s="257"/>
      <c r="M122" s="27"/>
    </row>
    <row r="123" spans="1:14" x14ac:dyDescent="0.2">
      <c r="A123" s="298" t="s">
        <v>14</v>
      </c>
      <c r="B123" s="283"/>
      <c r="C123" s="283"/>
      <c r="D123" s="166"/>
      <c r="E123" s="418"/>
      <c r="F123" s="283"/>
      <c r="G123" s="283"/>
      <c r="H123" s="166"/>
      <c r="I123" s="418"/>
      <c r="J123" s="292"/>
      <c r="K123" s="292"/>
      <c r="L123" s="166"/>
      <c r="M123" s="23"/>
    </row>
    <row r="124" spans="1:14" ht="15.75" x14ac:dyDescent="0.2">
      <c r="A124" s="21" t="s">
        <v>472</v>
      </c>
      <c r="B124" s="234"/>
      <c r="C124" s="234"/>
      <c r="D124" s="166"/>
      <c r="E124" s="27"/>
      <c r="F124" s="234"/>
      <c r="G124" s="234"/>
      <c r="H124" s="166"/>
      <c r="I124" s="27"/>
      <c r="J124" s="289"/>
      <c r="K124" s="44"/>
      <c r="L124" s="257"/>
      <c r="M124" s="27"/>
    </row>
    <row r="125" spans="1:14" ht="15.75" x14ac:dyDescent="0.2">
      <c r="A125" s="21" t="s">
        <v>464</v>
      </c>
      <c r="B125" s="234"/>
      <c r="C125" s="234"/>
      <c r="D125" s="166"/>
      <c r="E125" s="27"/>
      <c r="F125" s="234"/>
      <c r="G125" s="234"/>
      <c r="H125" s="166"/>
      <c r="I125" s="27"/>
      <c r="J125" s="289"/>
      <c r="K125" s="44"/>
      <c r="L125" s="257"/>
      <c r="M125" s="27"/>
    </row>
    <row r="126" spans="1:14" ht="15.75" x14ac:dyDescent="0.2">
      <c r="A126" s="10" t="s">
        <v>465</v>
      </c>
      <c r="B126" s="45"/>
      <c r="C126" s="45"/>
      <c r="D126" s="167"/>
      <c r="E126" s="419"/>
      <c r="F126" s="45"/>
      <c r="G126" s="45"/>
      <c r="H126" s="167"/>
      <c r="I126" s="22"/>
      <c r="J126" s="290"/>
      <c r="K126" s="45"/>
      <c r="L126" s="258"/>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1022"/>
      <c r="C130" s="1022"/>
      <c r="D130" s="1022"/>
      <c r="E130" s="301"/>
      <c r="F130" s="1022"/>
      <c r="G130" s="1022"/>
      <c r="H130" s="1022"/>
      <c r="I130" s="301"/>
      <c r="J130" s="1022"/>
      <c r="K130" s="1022"/>
      <c r="L130" s="1022"/>
      <c r="M130" s="301"/>
    </row>
    <row r="131" spans="1:14" s="3" customFormat="1" x14ac:dyDescent="0.2">
      <c r="A131" s="144"/>
      <c r="B131" s="1023" t="s">
        <v>0</v>
      </c>
      <c r="C131" s="1024"/>
      <c r="D131" s="1024"/>
      <c r="E131" s="303"/>
      <c r="F131" s="1023" t="s">
        <v>1</v>
      </c>
      <c r="G131" s="1024"/>
      <c r="H131" s="1024"/>
      <c r="I131" s="306"/>
      <c r="J131" s="1023" t="s">
        <v>2</v>
      </c>
      <c r="K131" s="1024"/>
      <c r="L131" s="1024"/>
      <c r="M131" s="306"/>
      <c r="N131" s="148"/>
    </row>
    <row r="132" spans="1:14" s="3" customFormat="1" x14ac:dyDescent="0.2">
      <c r="A132" s="140"/>
      <c r="B132" s="152" t="s">
        <v>502</v>
      </c>
      <c r="C132" s="152" t="s">
        <v>503</v>
      </c>
      <c r="D132" s="245" t="s">
        <v>3</v>
      </c>
      <c r="E132" s="307" t="s">
        <v>29</v>
      </c>
      <c r="F132" s="152" t="s">
        <v>502</v>
      </c>
      <c r="G132" s="152" t="s">
        <v>503</v>
      </c>
      <c r="H132" s="206" t="s">
        <v>3</v>
      </c>
      <c r="I132" s="162" t="s">
        <v>29</v>
      </c>
      <c r="J132" s="152" t="s">
        <v>502</v>
      </c>
      <c r="K132" s="152" t="s">
        <v>503</v>
      </c>
      <c r="L132" s="246" t="s">
        <v>3</v>
      </c>
      <c r="M132" s="162" t="s">
        <v>29</v>
      </c>
      <c r="N132" s="148"/>
    </row>
    <row r="133" spans="1:14" s="3" customFormat="1" x14ac:dyDescent="0.2">
      <c r="A133" s="990"/>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468</v>
      </c>
      <c r="B134" s="236"/>
      <c r="C134" s="311"/>
      <c r="D134" s="351"/>
      <c r="E134" s="11"/>
      <c r="F134" s="318"/>
      <c r="G134" s="319"/>
      <c r="H134" s="432"/>
      <c r="I134" s="24"/>
      <c r="J134" s="320"/>
      <c r="K134" s="320"/>
      <c r="L134" s="428"/>
      <c r="M134" s="11"/>
      <c r="N134" s="148"/>
    </row>
    <row r="135" spans="1:14" s="3" customFormat="1" ht="15.75" x14ac:dyDescent="0.2">
      <c r="A135" s="13" t="s">
        <v>473</v>
      </c>
      <c r="B135" s="236"/>
      <c r="C135" s="311"/>
      <c r="D135" s="171"/>
      <c r="E135" s="11"/>
      <c r="F135" s="236"/>
      <c r="G135" s="311"/>
      <c r="H135" s="433"/>
      <c r="I135" s="24"/>
      <c r="J135" s="310"/>
      <c r="K135" s="310"/>
      <c r="L135" s="429"/>
      <c r="M135" s="11"/>
      <c r="N135" s="148"/>
    </row>
    <row r="136" spans="1:14" s="3" customFormat="1" ht="15.75" x14ac:dyDescent="0.2">
      <c r="A136" s="13" t="s">
        <v>470</v>
      </c>
      <c r="B136" s="236"/>
      <c r="C136" s="311"/>
      <c r="D136" s="171"/>
      <c r="E136" s="11"/>
      <c r="F136" s="236"/>
      <c r="G136" s="311"/>
      <c r="H136" s="433"/>
      <c r="I136" s="24"/>
      <c r="J136" s="310"/>
      <c r="K136" s="310"/>
      <c r="L136" s="429"/>
      <c r="M136" s="11"/>
      <c r="N136" s="148"/>
    </row>
    <row r="137" spans="1:14" s="3" customFormat="1" ht="15.75" x14ac:dyDescent="0.2">
      <c r="A137" s="41" t="s">
        <v>471</v>
      </c>
      <c r="B137" s="278"/>
      <c r="C137" s="317"/>
      <c r="D137" s="169"/>
      <c r="E137" s="9"/>
      <c r="F137" s="278"/>
      <c r="G137" s="317"/>
      <c r="H137" s="434"/>
      <c r="I137" s="36"/>
      <c r="J137" s="316"/>
      <c r="K137" s="316"/>
      <c r="L137" s="430"/>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561" priority="132">
      <formula>kvartal &lt; 4</formula>
    </cfRule>
  </conditionalFormatting>
  <conditionalFormatting sqref="B69">
    <cfRule type="expression" dxfId="1560" priority="100">
      <formula>kvartal &lt; 4</formula>
    </cfRule>
  </conditionalFormatting>
  <conditionalFormatting sqref="C69">
    <cfRule type="expression" dxfId="1559" priority="99">
      <formula>kvartal &lt; 4</formula>
    </cfRule>
  </conditionalFormatting>
  <conditionalFormatting sqref="B72">
    <cfRule type="expression" dxfId="1558" priority="98">
      <formula>kvartal &lt; 4</formula>
    </cfRule>
  </conditionalFormatting>
  <conditionalFormatting sqref="C72">
    <cfRule type="expression" dxfId="1557" priority="97">
      <formula>kvartal &lt; 4</formula>
    </cfRule>
  </conditionalFormatting>
  <conditionalFormatting sqref="B80">
    <cfRule type="expression" dxfId="1556" priority="96">
      <formula>kvartal &lt; 4</formula>
    </cfRule>
  </conditionalFormatting>
  <conditionalFormatting sqref="C80">
    <cfRule type="expression" dxfId="1555" priority="95">
      <formula>kvartal &lt; 4</formula>
    </cfRule>
  </conditionalFormatting>
  <conditionalFormatting sqref="B83">
    <cfRule type="expression" dxfId="1554" priority="94">
      <formula>kvartal &lt; 4</formula>
    </cfRule>
  </conditionalFormatting>
  <conditionalFormatting sqref="C83">
    <cfRule type="expression" dxfId="1553" priority="93">
      <formula>kvartal &lt; 4</formula>
    </cfRule>
  </conditionalFormatting>
  <conditionalFormatting sqref="B90">
    <cfRule type="expression" dxfId="1552" priority="84">
      <formula>kvartal &lt; 4</formula>
    </cfRule>
  </conditionalFormatting>
  <conditionalFormatting sqref="C90">
    <cfRule type="expression" dxfId="1551" priority="83">
      <formula>kvartal &lt; 4</formula>
    </cfRule>
  </conditionalFormatting>
  <conditionalFormatting sqref="B93">
    <cfRule type="expression" dxfId="1550" priority="82">
      <formula>kvartal &lt; 4</formula>
    </cfRule>
  </conditionalFormatting>
  <conditionalFormatting sqref="C93">
    <cfRule type="expression" dxfId="1549" priority="81">
      <formula>kvartal &lt; 4</formula>
    </cfRule>
  </conditionalFormatting>
  <conditionalFormatting sqref="B101">
    <cfRule type="expression" dxfId="1548" priority="80">
      <formula>kvartal &lt; 4</formula>
    </cfRule>
  </conditionalFormatting>
  <conditionalFormatting sqref="C101">
    <cfRule type="expression" dxfId="1547" priority="79">
      <formula>kvartal &lt; 4</formula>
    </cfRule>
  </conditionalFormatting>
  <conditionalFormatting sqref="B104">
    <cfRule type="expression" dxfId="1546" priority="78">
      <formula>kvartal &lt; 4</formula>
    </cfRule>
  </conditionalFormatting>
  <conditionalFormatting sqref="C104">
    <cfRule type="expression" dxfId="1545" priority="77">
      <formula>kvartal &lt; 4</formula>
    </cfRule>
  </conditionalFormatting>
  <conditionalFormatting sqref="B115">
    <cfRule type="expression" dxfId="1544" priority="76">
      <formula>kvartal &lt; 4</formula>
    </cfRule>
  </conditionalFormatting>
  <conditionalFormatting sqref="C115">
    <cfRule type="expression" dxfId="1543" priority="75">
      <formula>kvartal &lt; 4</formula>
    </cfRule>
  </conditionalFormatting>
  <conditionalFormatting sqref="B123">
    <cfRule type="expression" dxfId="1542" priority="74">
      <formula>kvartal &lt; 4</formula>
    </cfRule>
  </conditionalFormatting>
  <conditionalFormatting sqref="C123">
    <cfRule type="expression" dxfId="1541" priority="73">
      <formula>kvartal &lt; 4</formula>
    </cfRule>
  </conditionalFormatting>
  <conditionalFormatting sqref="F70">
    <cfRule type="expression" dxfId="1540" priority="72">
      <formula>kvartal &lt; 4</formula>
    </cfRule>
  </conditionalFormatting>
  <conditionalFormatting sqref="G70">
    <cfRule type="expression" dxfId="1539" priority="71">
      <formula>kvartal &lt; 4</formula>
    </cfRule>
  </conditionalFormatting>
  <conditionalFormatting sqref="F71:G71">
    <cfRule type="expression" dxfId="1538" priority="70">
      <formula>kvartal &lt; 4</formula>
    </cfRule>
  </conditionalFormatting>
  <conditionalFormatting sqref="F73:G74">
    <cfRule type="expression" dxfId="1537" priority="69">
      <formula>kvartal &lt; 4</formula>
    </cfRule>
  </conditionalFormatting>
  <conditionalFormatting sqref="F81:G82">
    <cfRule type="expression" dxfId="1536" priority="68">
      <formula>kvartal &lt; 4</formula>
    </cfRule>
  </conditionalFormatting>
  <conditionalFormatting sqref="F84:G85">
    <cfRule type="expression" dxfId="1535" priority="67">
      <formula>kvartal &lt; 4</formula>
    </cfRule>
  </conditionalFormatting>
  <conditionalFormatting sqref="F91:G92">
    <cfRule type="expression" dxfId="1534" priority="62">
      <formula>kvartal &lt; 4</formula>
    </cfRule>
  </conditionalFormatting>
  <conditionalFormatting sqref="F94:G95">
    <cfRule type="expression" dxfId="1533" priority="61">
      <formula>kvartal &lt; 4</formula>
    </cfRule>
  </conditionalFormatting>
  <conditionalFormatting sqref="F102:G103">
    <cfRule type="expression" dxfId="1532" priority="60">
      <formula>kvartal &lt; 4</formula>
    </cfRule>
  </conditionalFormatting>
  <conditionalFormatting sqref="F105:G106">
    <cfRule type="expression" dxfId="1531" priority="59">
      <formula>kvartal &lt; 4</formula>
    </cfRule>
  </conditionalFormatting>
  <conditionalFormatting sqref="F115">
    <cfRule type="expression" dxfId="1530" priority="58">
      <formula>kvartal &lt; 4</formula>
    </cfRule>
  </conditionalFormatting>
  <conditionalFormatting sqref="G115">
    <cfRule type="expression" dxfId="1529" priority="57">
      <formula>kvartal &lt; 4</formula>
    </cfRule>
  </conditionalFormatting>
  <conditionalFormatting sqref="F123:G123">
    <cfRule type="expression" dxfId="1528" priority="56">
      <formula>kvartal &lt; 4</formula>
    </cfRule>
  </conditionalFormatting>
  <conditionalFormatting sqref="F69:G69">
    <cfRule type="expression" dxfId="1527" priority="55">
      <formula>kvartal &lt; 4</formula>
    </cfRule>
  </conditionalFormatting>
  <conditionalFormatting sqref="F72:G72">
    <cfRule type="expression" dxfId="1526" priority="54">
      <formula>kvartal &lt; 4</formula>
    </cfRule>
  </conditionalFormatting>
  <conditionalFormatting sqref="F80:G80">
    <cfRule type="expression" dxfId="1525" priority="53">
      <formula>kvartal &lt; 4</formula>
    </cfRule>
  </conditionalFormatting>
  <conditionalFormatting sqref="F83:G83">
    <cfRule type="expression" dxfId="1524" priority="52">
      <formula>kvartal &lt; 4</formula>
    </cfRule>
  </conditionalFormatting>
  <conditionalFormatting sqref="F90:G90">
    <cfRule type="expression" dxfId="1523" priority="46">
      <formula>kvartal &lt; 4</formula>
    </cfRule>
  </conditionalFormatting>
  <conditionalFormatting sqref="F93">
    <cfRule type="expression" dxfId="1522" priority="45">
      <formula>kvartal &lt; 4</formula>
    </cfRule>
  </conditionalFormatting>
  <conditionalFormatting sqref="G93">
    <cfRule type="expression" dxfId="1521" priority="44">
      <formula>kvartal &lt; 4</formula>
    </cfRule>
  </conditionalFormatting>
  <conditionalFormatting sqref="F101">
    <cfRule type="expression" dxfId="1520" priority="43">
      <formula>kvartal &lt; 4</formula>
    </cfRule>
  </conditionalFormatting>
  <conditionalFormatting sqref="G101">
    <cfRule type="expression" dxfId="1519" priority="42">
      <formula>kvartal &lt; 4</formula>
    </cfRule>
  </conditionalFormatting>
  <conditionalFormatting sqref="G104">
    <cfRule type="expression" dxfId="1518" priority="41">
      <formula>kvartal &lt; 4</formula>
    </cfRule>
  </conditionalFormatting>
  <conditionalFormatting sqref="F104">
    <cfRule type="expression" dxfId="1517" priority="40">
      <formula>kvartal &lt; 4</formula>
    </cfRule>
  </conditionalFormatting>
  <conditionalFormatting sqref="J69:K73">
    <cfRule type="expression" dxfId="1516" priority="39">
      <formula>kvartal &lt; 4</formula>
    </cfRule>
  </conditionalFormatting>
  <conditionalFormatting sqref="J74:K74">
    <cfRule type="expression" dxfId="1515" priority="38">
      <formula>kvartal &lt; 4</formula>
    </cfRule>
  </conditionalFormatting>
  <conditionalFormatting sqref="J80:K85">
    <cfRule type="expression" dxfId="1514" priority="37">
      <formula>kvartal &lt; 4</formula>
    </cfRule>
  </conditionalFormatting>
  <conditionalFormatting sqref="J90:K95">
    <cfRule type="expression" dxfId="1513" priority="34">
      <formula>kvartal &lt; 4</formula>
    </cfRule>
  </conditionalFormatting>
  <conditionalFormatting sqref="J101:K106">
    <cfRule type="expression" dxfId="1512" priority="33">
      <formula>kvartal &lt; 4</formula>
    </cfRule>
  </conditionalFormatting>
  <conditionalFormatting sqref="J115:K115">
    <cfRule type="expression" dxfId="1511" priority="32">
      <formula>kvartal &lt; 4</formula>
    </cfRule>
  </conditionalFormatting>
  <conditionalFormatting sqref="J123:K123">
    <cfRule type="expression" dxfId="1510" priority="31">
      <formula>kvartal &lt; 4</formula>
    </cfRule>
  </conditionalFormatting>
  <conditionalFormatting sqref="A50:A52">
    <cfRule type="expression" dxfId="1509" priority="12">
      <formula>kvartal &lt; 4</formula>
    </cfRule>
  </conditionalFormatting>
  <conditionalFormatting sqref="A69:A74">
    <cfRule type="expression" dxfId="1508" priority="10">
      <formula>kvartal &lt; 4</formula>
    </cfRule>
  </conditionalFormatting>
  <conditionalFormatting sqref="A80:A85">
    <cfRule type="expression" dxfId="1507" priority="9">
      <formula>kvartal &lt; 4</formula>
    </cfRule>
  </conditionalFormatting>
  <conditionalFormatting sqref="A90:A95">
    <cfRule type="expression" dxfId="1506" priority="6">
      <formula>kvartal &lt; 4</formula>
    </cfRule>
  </conditionalFormatting>
  <conditionalFormatting sqref="A101:A106">
    <cfRule type="expression" dxfId="1505" priority="5">
      <formula>kvartal &lt; 4</formula>
    </cfRule>
  </conditionalFormatting>
  <conditionalFormatting sqref="A115">
    <cfRule type="expression" dxfId="1504" priority="4">
      <formula>kvartal &lt; 4</formula>
    </cfRule>
  </conditionalFormatting>
  <conditionalFormatting sqref="A123">
    <cfRule type="expression" dxfId="1503" priority="3">
      <formula>kvartal &lt; 4</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3"/>
  <dimension ref="A1:N144"/>
  <sheetViews>
    <sheetView showGridLines="0" zoomScale="120" zoomScaleNormal="120" workbookViewId="0"/>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133</v>
      </c>
      <c r="B1" s="988"/>
      <c r="C1" s="248" t="s">
        <v>491</v>
      </c>
      <c r="D1" s="26"/>
      <c r="E1" s="26"/>
      <c r="F1" s="26"/>
      <c r="G1" s="26"/>
      <c r="H1" s="26"/>
      <c r="I1" s="26"/>
      <c r="J1" s="26"/>
      <c r="K1" s="26"/>
      <c r="L1" s="26"/>
      <c r="M1" s="26"/>
    </row>
    <row r="2" spans="1:14" ht="15.75" x14ac:dyDescent="0.25">
      <c r="A2" s="165" t="s">
        <v>28</v>
      </c>
      <c r="B2" s="1027"/>
      <c r="C2" s="1027"/>
      <c r="D2" s="1027"/>
      <c r="E2" s="301"/>
      <c r="F2" s="1027"/>
      <c r="G2" s="1027"/>
      <c r="H2" s="1027"/>
      <c r="I2" s="301"/>
      <c r="J2" s="1027"/>
      <c r="K2" s="1027"/>
      <c r="L2" s="1027"/>
      <c r="M2" s="301"/>
    </row>
    <row r="3" spans="1:14" ht="15.75" x14ac:dyDescent="0.25">
      <c r="A3" s="163"/>
      <c r="B3" s="301"/>
      <c r="C3" s="301"/>
      <c r="D3" s="301"/>
      <c r="E3" s="301"/>
      <c r="F3" s="301"/>
      <c r="G3" s="301"/>
      <c r="H3" s="301"/>
      <c r="I3" s="301"/>
      <c r="J3" s="301"/>
      <c r="K3" s="301"/>
      <c r="L3" s="301"/>
      <c r="M3" s="301"/>
    </row>
    <row r="4" spans="1:14" x14ac:dyDescent="0.2">
      <c r="A4" s="144"/>
      <c r="B4" s="1023" t="s">
        <v>0</v>
      </c>
      <c r="C4" s="1024"/>
      <c r="D4" s="1024"/>
      <c r="E4" s="303"/>
      <c r="F4" s="1023" t="s">
        <v>1</v>
      </c>
      <c r="G4" s="1024"/>
      <c r="H4" s="1024"/>
      <c r="I4" s="306"/>
      <c r="J4" s="1023" t="s">
        <v>2</v>
      </c>
      <c r="K4" s="1024"/>
      <c r="L4" s="1024"/>
      <c r="M4" s="306"/>
    </row>
    <row r="5" spans="1:14" x14ac:dyDescent="0.2">
      <c r="A5" s="158"/>
      <c r="B5" s="152" t="s">
        <v>502</v>
      </c>
      <c r="C5" s="152" t="s">
        <v>503</v>
      </c>
      <c r="D5" s="245" t="s">
        <v>3</v>
      </c>
      <c r="E5" s="307" t="s">
        <v>29</v>
      </c>
      <c r="F5" s="152" t="s">
        <v>502</v>
      </c>
      <c r="G5" s="152" t="s">
        <v>503</v>
      </c>
      <c r="H5" s="245" t="s">
        <v>3</v>
      </c>
      <c r="I5" s="162" t="s">
        <v>29</v>
      </c>
      <c r="J5" s="152" t="s">
        <v>502</v>
      </c>
      <c r="K5" s="152" t="s">
        <v>503</v>
      </c>
      <c r="L5" s="245" t="s">
        <v>3</v>
      </c>
      <c r="M5" s="162" t="s">
        <v>29</v>
      </c>
    </row>
    <row r="6" spans="1:14" x14ac:dyDescent="0.2">
      <c r="A6" s="989"/>
      <c r="B6" s="156"/>
      <c r="C6" s="156"/>
      <c r="D6" s="246" t="s">
        <v>4</v>
      </c>
      <c r="E6" s="156" t="s">
        <v>30</v>
      </c>
      <c r="F6" s="161"/>
      <c r="G6" s="161"/>
      <c r="H6" s="245" t="s">
        <v>4</v>
      </c>
      <c r="I6" s="156" t="s">
        <v>30</v>
      </c>
      <c r="J6" s="161"/>
      <c r="K6" s="161"/>
      <c r="L6" s="245" t="s">
        <v>4</v>
      </c>
      <c r="M6" s="156" t="s">
        <v>30</v>
      </c>
    </row>
    <row r="7" spans="1:14" ht="15.75" x14ac:dyDescent="0.2">
      <c r="A7" s="14" t="s">
        <v>23</v>
      </c>
      <c r="B7" s="308"/>
      <c r="C7" s="309"/>
      <c r="D7" s="351"/>
      <c r="E7" s="11"/>
      <c r="F7" s="308"/>
      <c r="G7" s="309"/>
      <c r="H7" s="351"/>
      <c r="I7" s="160"/>
      <c r="J7" s="310"/>
      <c r="K7" s="311"/>
      <c r="L7" s="428"/>
      <c r="M7" s="11"/>
    </row>
    <row r="8" spans="1:14" ht="15.75" x14ac:dyDescent="0.2">
      <c r="A8" s="21" t="s">
        <v>25</v>
      </c>
      <c r="B8" s="283"/>
      <c r="C8" s="284"/>
      <c r="D8" s="166"/>
      <c r="E8" s="27"/>
      <c r="F8" s="287"/>
      <c r="G8" s="288"/>
      <c r="H8" s="166"/>
      <c r="I8" s="175"/>
      <c r="J8" s="234"/>
      <c r="K8" s="289"/>
      <c r="L8" s="166"/>
      <c r="M8" s="27"/>
    </row>
    <row r="9" spans="1:14" ht="15.75" x14ac:dyDescent="0.2">
      <c r="A9" s="21" t="s">
        <v>24</v>
      </c>
      <c r="B9" s="283"/>
      <c r="C9" s="284"/>
      <c r="D9" s="166"/>
      <c r="E9" s="27"/>
      <c r="F9" s="287"/>
      <c r="G9" s="288"/>
      <c r="H9" s="166"/>
      <c r="I9" s="175"/>
      <c r="J9" s="234"/>
      <c r="K9" s="289"/>
      <c r="L9" s="166"/>
      <c r="M9" s="27"/>
    </row>
    <row r="10" spans="1:14" ht="15.75" x14ac:dyDescent="0.2">
      <c r="A10" s="13" t="s">
        <v>444</v>
      </c>
      <c r="B10" s="312"/>
      <c r="C10" s="313"/>
      <c r="D10" s="171"/>
      <c r="E10" s="11"/>
      <c r="F10" s="312"/>
      <c r="G10" s="313"/>
      <c r="H10" s="171"/>
      <c r="I10" s="160"/>
      <c r="J10" s="310"/>
      <c r="K10" s="311"/>
      <c r="L10" s="429"/>
      <c r="M10" s="11"/>
    </row>
    <row r="11" spans="1:14" s="43" customFormat="1" ht="15.75" x14ac:dyDescent="0.2">
      <c r="A11" s="13" t="s">
        <v>445</v>
      </c>
      <c r="B11" s="312"/>
      <c r="C11" s="313"/>
      <c r="D11" s="171"/>
      <c r="E11" s="11"/>
      <c r="F11" s="312"/>
      <c r="G11" s="313"/>
      <c r="H11" s="171"/>
      <c r="I11" s="160"/>
      <c r="J11" s="310"/>
      <c r="K11" s="311"/>
      <c r="L11" s="429"/>
      <c r="M11" s="11"/>
      <c r="N11" s="143"/>
    </row>
    <row r="12" spans="1:14" s="43" customFormat="1" ht="15.75" x14ac:dyDescent="0.2">
      <c r="A12" s="41" t="s">
        <v>446</v>
      </c>
      <c r="B12" s="314"/>
      <c r="C12" s="315"/>
      <c r="D12" s="169"/>
      <c r="E12" s="36"/>
      <c r="F12" s="314"/>
      <c r="G12" s="315"/>
      <c r="H12" s="169"/>
      <c r="I12" s="169"/>
      <c r="J12" s="316"/>
      <c r="K12" s="317"/>
      <c r="L12" s="430"/>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1022"/>
      <c r="C18" s="1022"/>
      <c r="D18" s="1022"/>
      <c r="E18" s="301"/>
      <c r="F18" s="1022"/>
      <c r="G18" s="1022"/>
      <c r="H18" s="1022"/>
      <c r="I18" s="301"/>
      <c r="J18" s="1022"/>
      <c r="K18" s="1022"/>
      <c r="L18" s="1022"/>
      <c r="M18" s="301"/>
    </row>
    <row r="19" spans="1:14" x14ac:dyDescent="0.2">
      <c r="A19" s="144"/>
      <c r="B19" s="1023" t="s">
        <v>0</v>
      </c>
      <c r="C19" s="1024"/>
      <c r="D19" s="1024"/>
      <c r="E19" s="303"/>
      <c r="F19" s="1023" t="s">
        <v>1</v>
      </c>
      <c r="G19" s="1024"/>
      <c r="H19" s="1024"/>
      <c r="I19" s="306"/>
      <c r="J19" s="1023" t="s">
        <v>2</v>
      </c>
      <c r="K19" s="1024"/>
      <c r="L19" s="1024"/>
      <c r="M19" s="306"/>
    </row>
    <row r="20" spans="1:14" x14ac:dyDescent="0.2">
      <c r="A20" s="140" t="s">
        <v>5</v>
      </c>
      <c r="B20" s="152" t="s">
        <v>502</v>
      </c>
      <c r="C20" s="152" t="s">
        <v>503</v>
      </c>
      <c r="D20" s="162" t="s">
        <v>3</v>
      </c>
      <c r="E20" s="307" t="s">
        <v>29</v>
      </c>
      <c r="F20" s="152" t="s">
        <v>502</v>
      </c>
      <c r="G20" s="152" t="s">
        <v>503</v>
      </c>
      <c r="H20" s="162" t="s">
        <v>3</v>
      </c>
      <c r="I20" s="162" t="s">
        <v>29</v>
      </c>
      <c r="J20" s="152" t="s">
        <v>502</v>
      </c>
      <c r="K20" s="152" t="s">
        <v>503</v>
      </c>
      <c r="L20" s="162" t="s">
        <v>3</v>
      </c>
      <c r="M20" s="162" t="s">
        <v>29</v>
      </c>
    </row>
    <row r="21" spans="1:14" x14ac:dyDescent="0.2">
      <c r="A21" s="990"/>
      <c r="B21" s="156"/>
      <c r="C21" s="156"/>
      <c r="D21" s="246" t="s">
        <v>4</v>
      </c>
      <c r="E21" s="156" t="s">
        <v>30</v>
      </c>
      <c r="F21" s="161"/>
      <c r="G21" s="161"/>
      <c r="H21" s="245" t="s">
        <v>4</v>
      </c>
      <c r="I21" s="156" t="s">
        <v>30</v>
      </c>
      <c r="J21" s="161"/>
      <c r="K21" s="161"/>
      <c r="L21" s="156" t="s">
        <v>4</v>
      </c>
      <c r="M21" s="156" t="s">
        <v>30</v>
      </c>
    </row>
    <row r="22" spans="1:14" ht="15.75" x14ac:dyDescent="0.2">
      <c r="A22" s="14" t="s">
        <v>23</v>
      </c>
      <c r="B22" s="312"/>
      <c r="C22" s="312"/>
      <c r="D22" s="351"/>
      <c r="E22" s="11"/>
      <c r="F22" s="320"/>
      <c r="G22" s="320"/>
      <c r="H22" s="351"/>
      <c r="I22" s="11"/>
      <c r="J22" s="318"/>
      <c r="K22" s="318"/>
      <c r="L22" s="428"/>
      <c r="M22" s="24"/>
    </row>
    <row r="23" spans="1:14" ht="15.75" x14ac:dyDescent="0.2">
      <c r="A23" s="811" t="s">
        <v>447</v>
      </c>
      <c r="B23" s="283"/>
      <c r="C23" s="283"/>
      <c r="D23" s="166"/>
      <c r="E23" s="11"/>
      <c r="F23" s="292"/>
      <c r="G23" s="292"/>
      <c r="H23" s="166"/>
      <c r="I23" s="418"/>
      <c r="J23" s="292"/>
      <c r="K23" s="292"/>
      <c r="L23" s="166"/>
      <c r="M23" s="23"/>
    </row>
    <row r="24" spans="1:14" ht="15.75" x14ac:dyDescent="0.2">
      <c r="A24" s="811" t="s">
        <v>448</v>
      </c>
      <c r="B24" s="283"/>
      <c r="C24" s="283"/>
      <c r="D24" s="166"/>
      <c r="E24" s="11"/>
      <c r="F24" s="292"/>
      <c r="G24" s="292"/>
      <c r="H24" s="166"/>
      <c r="I24" s="418"/>
      <c r="J24" s="292"/>
      <c r="K24" s="292"/>
      <c r="L24" s="166"/>
      <c r="M24" s="23"/>
    </row>
    <row r="25" spans="1:14" ht="15.75" x14ac:dyDescent="0.2">
      <c r="A25" s="811" t="s">
        <v>449</v>
      </c>
      <c r="B25" s="283"/>
      <c r="C25" s="283"/>
      <c r="D25" s="166"/>
      <c r="E25" s="11"/>
      <c r="F25" s="292"/>
      <c r="G25" s="292"/>
      <c r="H25" s="166"/>
      <c r="I25" s="418"/>
      <c r="J25" s="292"/>
      <c r="K25" s="292"/>
      <c r="L25" s="166"/>
      <c r="M25" s="23"/>
    </row>
    <row r="26" spans="1:14" ht="15.75" x14ac:dyDescent="0.2">
      <c r="A26" s="811" t="s">
        <v>450</v>
      </c>
      <c r="B26" s="283"/>
      <c r="C26" s="283"/>
      <c r="D26" s="166"/>
      <c r="E26" s="11"/>
      <c r="F26" s="292"/>
      <c r="G26" s="292"/>
      <c r="H26" s="166"/>
      <c r="I26" s="418"/>
      <c r="J26" s="292"/>
      <c r="K26" s="292"/>
      <c r="L26" s="166"/>
      <c r="M26" s="23"/>
    </row>
    <row r="27" spans="1:14" x14ac:dyDescent="0.2">
      <c r="A27" s="811" t="s">
        <v>11</v>
      </c>
      <c r="B27" s="283"/>
      <c r="C27" s="283"/>
      <c r="D27" s="166"/>
      <c r="E27" s="11"/>
      <c r="F27" s="292"/>
      <c r="G27" s="292"/>
      <c r="H27" s="166"/>
      <c r="I27" s="418"/>
      <c r="J27" s="292"/>
      <c r="K27" s="292"/>
      <c r="L27" s="166"/>
      <c r="M27" s="23"/>
    </row>
    <row r="28" spans="1:14" ht="15.75" x14ac:dyDescent="0.2">
      <c r="A28" s="49" t="s">
        <v>272</v>
      </c>
      <c r="B28" s="44"/>
      <c r="C28" s="289"/>
      <c r="D28" s="166"/>
      <c r="E28" s="11"/>
      <c r="F28" s="234"/>
      <c r="G28" s="289"/>
      <c r="H28" s="166"/>
      <c r="I28" s="27"/>
      <c r="J28" s="44"/>
      <c r="K28" s="44"/>
      <c r="L28" s="257"/>
      <c r="M28" s="23"/>
    </row>
    <row r="29" spans="1:14" s="3" customFormat="1" ht="15.75" x14ac:dyDescent="0.2">
      <c r="A29" s="13" t="s">
        <v>444</v>
      </c>
      <c r="B29" s="236"/>
      <c r="C29" s="236"/>
      <c r="D29" s="171"/>
      <c r="E29" s="11"/>
      <c r="F29" s="310"/>
      <c r="G29" s="310"/>
      <c r="H29" s="171"/>
      <c r="I29" s="11"/>
      <c r="J29" s="236"/>
      <c r="K29" s="236"/>
      <c r="L29" s="429"/>
      <c r="M29" s="24"/>
      <c r="N29" s="148"/>
    </row>
    <row r="30" spans="1:14" s="3" customFormat="1" ht="15.75" x14ac:dyDescent="0.2">
      <c r="A30" s="811" t="s">
        <v>447</v>
      </c>
      <c r="B30" s="283"/>
      <c r="C30" s="283"/>
      <c r="D30" s="166"/>
      <c r="E30" s="11"/>
      <c r="F30" s="292"/>
      <c r="G30" s="292"/>
      <c r="H30" s="166"/>
      <c r="I30" s="418"/>
      <c r="J30" s="292"/>
      <c r="K30" s="292"/>
      <c r="L30" s="166"/>
      <c r="M30" s="23"/>
      <c r="N30" s="148"/>
    </row>
    <row r="31" spans="1:14" s="3" customFormat="1" ht="15.75" x14ac:dyDescent="0.2">
      <c r="A31" s="811" t="s">
        <v>448</v>
      </c>
      <c r="B31" s="283"/>
      <c r="C31" s="283"/>
      <c r="D31" s="166"/>
      <c r="E31" s="11"/>
      <c r="F31" s="292"/>
      <c r="G31" s="292"/>
      <c r="H31" s="166"/>
      <c r="I31" s="418"/>
      <c r="J31" s="292"/>
      <c r="K31" s="292"/>
      <c r="L31" s="166"/>
      <c r="M31" s="23"/>
      <c r="N31" s="148"/>
    </row>
    <row r="32" spans="1:14" ht="15.75" x14ac:dyDescent="0.2">
      <c r="A32" s="811" t="s">
        <v>449</v>
      </c>
      <c r="B32" s="283"/>
      <c r="C32" s="283"/>
      <c r="D32" s="166"/>
      <c r="E32" s="11"/>
      <c r="F32" s="292"/>
      <c r="G32" s="292"/>
      <c r="H32" s="166"/>
      <c r="I32" s="418"/>
      <c r="J32" s="292"/>
      <c r="K32" s="292"/>
      <c r="L32" s="166"/>
      <c r="M32" s="23"/>
    </row>
    <row r="33" spans="1:14" ht="15.75" x14ac:dyDescent="0.2">
      <c r="A33" s="811" t="s">
        <v>450</v>
      </c>
      <c r="B33" s="283"/>
      <c r="C33" s="283"/>
      <c r="D33" s="166"/>
      <c r="E33" s="11"/>
      <c r="F33" s="292"/>
      <c r="G33" s="292"/>
      <c r="H33" s="166"/>
      <c r="I33" s="418"/>
      <c r="J33" s="292"/>
      <c r="K33" s="292"/>
      <c r="L33" s="166"/>
      <c r="M33" s="23"/>
    </row>
    <row r="34" spans="1:14" ht="15.75" x14ac:dyDescent="0.2">
      <c r="A34" s="13" t="s">
        <v>445</v>
      </c>
      <c r="B34" s="236"/>
      <c r="C34" s="311"/>
      <c r="D34" s="171"/>
      <c r="E34" s="11"/>
      <c r="F34" s="310"/>
      <c r="G34" s="311"/>
      <c r="H34" s="171"/>
      <c r="I34" s="11"/>
      <c r="J34" s="236"/>
      <c r="K34" s="236"/>
      <c r="L34" s="429"/>
      <c r="M34" s="24"/>
    </row>
    <row r="35" spans="1:14" ht="15.75" x14ac:dyDescent="0.2">
      <c r="A35" s="13" t="s">
        <v>446</v>
      </c>
      <c r="B35" s="236"/>
      <c r="C35" s="311"/>
      <c r="D35" s="171"/>
      <c r="E35" s="11"/>
      <c r="F35" s="310"/>
      <c r="G35" s="311"/>
      <c r="H35" s="171"/>
      <c r="I35" s="11"/>
      <c r="J35" s="236"/>
      <c r="K35" s="236"/>
      <c r="L35" s="429"/>
      <c r="M35" s="24"/>
    </row>
    <row r="36" spans="1:14" ht="15.75" x14ac:dyDescent="0.2">
      <c r="A36" s="12" t="s">
        <v>280</v>
      </c>
      <c r="B36" s="236"/>
      <c r="C36" s="311"/>
      <c r="D36" s="171"/>
      <c r="E36" s="11"/>
      <c r="F36" s="321"/>
      <c r="G36" s="322"/>
      <c r="H36" s="171"/>
      <c r="I36" s="435"/>
      <c r="J36" s="236"/>
      <c r="K36" s="236"/>
      <c r="L36" s="429"/>
      <c r="M36" s="24"/>
    </row>
    <row r="37" spans="1:14" ht="15.75" x14ac:dyDescent="0.2">
      <c r="A37" s="12" t="s">
        <v>452</v>
      </c>
      <c r="B37" s="236"/>
      <c r="C37" s="311"/>
      <c r="D37" s="171"/>
      <c r="E37" s="11"/>
      <c r="F37" s="321"/>
      <c r="G37" s="323"/>
      <c r="H37" s="171"/>
      <c r="I37" s="435"/>
      <c r="J37" s="236"/>
      <c r="K37" s="236"/>
      <c r="L37" s="429"/>
      <c r="M37" s="24"/>
    </row>
    <row r="38" spans="1:14" ht="15.75" x14ac:dyDescent="0.2">
      <c r="A38" s="12" t="s">
        <v>453</v>
      </c>
      <c r="B38" s="236"/>
      <c r="C38" s="311"/>
      <c r="D38" s="171"/>
      <c r="E38" s="24"/>
      <c r="F38" s="321"/>
      <c r="G38" s="322"/>
      <c r="H38" s="171"/>
      <c r="I38" s="435"/>
      <c r="J38" s="236"/>
      <c r="K38" s="236"/>
      <c r="L38" s="429"/>
      <c r="M38" s="24"/>
    </row>
    <row r="39" spans="1:14" ht="15.75" x14ac:dyDescent="0.2">
      <c r="A39" s="18" t="s">
        <v>454</v>
      </c>
      <c r="B39" s="278"/>
      <c r="C39" s="317"/>
      <c r="D39" s="169"/>
      <c r="E39" s="36"/>
      <c r="F39" s="324"/>
      <c r="G39" s="325"/>
      <c r="H39" s="169"/>
      <c r="I39" s="36"/>
      <c r="J39" s="236"/>
      <c r="K39" s="236"/>
      <c r="L39" s="430"/>
      <c r="M39" s="36"/>
    </row>
    <row r="40" spans="1:14" ht="15.75" x14ac:dyDescent="0.25">
      <c r="A40" s="47"/>
      <c r="B40" s="256"/>
      <c r="C40" s="256"/>
      <c r="D40" s="1026"/>
      <c r="E40" s="1026"/>
      <c r="F40" s="1026"/>
      <c r="G40" s="1026"/>
      <c r="H40" s="1026"/>
      <c r="I40" s="1026"/>
      <c r="J40" s="1026"/>
      <c r="K40" s="1026"/>
      <c r="L40" s="1026"/>
      <c r="M40" s="304"/>
    </row>
    <row r="41" spans="1:14" x14ac:dyDescent="0.2">
      <c r="A41" s="155"/>
    </row>
    <row r="42" spans="1:14" ht="15.75" x14ac:dyDescent="0.25">
      <c r="A42" s="147" t="s">
        <v>269</v>
      </c>
      <c r="B42" s="1027"/>
      <c r="C42" s="1027"/>
      <c r="D42" s="1027"/>
      <c r="E42" s="301"/>
      <c r="F42" s="1028"/>
      <c r="G42" s="1028"/>
      <c r="H42" s="1028"/>
      <c r="I42" s="304"/>
      <c r="J42" s="1028"/>
      <c r="K42" s="1028"/>
      <c r="L42" s="1028"/>
      <c r="M42" s="304"/>
    </row>
    <row r="43" spans="1:14" ht="15.75" x14ac:dyDescent="0.25">
      <c r="A43" s="163"/>
      <c r="B43" s="305"/>
      <c r="C43" s="305"/>
      <c r="D43" s="305"/>
      <c r="E43" s="305"/>
      <c r="F43" s="304"/>
      <c r="G43" s="304"/>
      <c r="H43" s="304"/>
      <c r="I43" s="304"/>
      <c r="J43" s="304"/>
      <c r="K43" s="304"/>
      <c r="L43" s="304"/>
      <c r="M43" s="304"/>
    </row>
    <row r="44" spans="1:14" ht="15.75" x14ac:dyDescent="0.25">
      <c r="A44" s="247"/>
      <c r="B44" s="1023" t="s">
        <v>0</v>
      </c>
      <c r="C44" s="1024"/>
      <c r="D44" s="1024"/>
      <c r="E44" s="243"/>
      <c r="F44" s="304"/>
      <c r="G44" s="304"/>
      <c r="H44" s="304"/>
      <c r="I44" s="304"/>
      <c r="J44" s="304"/>
      <c r="K44" s="304"/>
      <c r="L44" s="304"/>
      <c r="M44" s="304"/>
    </row>
    <row r="45" spans="1:14" s="3" customFormat="1" x14ac:dyDescent="0.2">
      <c r="A45" s="140"/>
      <c r="B45" s="152" t="s">
        <v>502</v>
      </c>
      <c r="C45" s="152" t="s">
        <v>503</v>
      </c>
      <c r="D45" s="162" t="s">
        <v>3</v>
      </c>
      <c r="E45" s="162" t="s">
        <v>29</v>
      </c>
      <c r="F45" s="174"/>
      <c r="G45" s="174"/>
      <c r="H45" s="173"/>
      <c r="I45" s="173"/>
      <c r="J45" s="174"/>
      <c r="K45" s="174"/>
      <c r="L45" s="173"/>
      <c r="M45" s="173"/>
      <c r="N45" s="148"/>
    </row>
    <row r="46" spans="1:14" s="3" customFormat="1" x14ac:dyDescent="0.2">
      <c r="A46" s="990"/>
      <c r="B46" s="244"/>
      <c r="C46" s="244"/>
      <c r="D46" s="245" t="s">
        <v>4</v>
      </c>
      <c r="E46" s="156" t="s">
        <v>30</v>
      </c>
      <c r="F46" s="173"/>
      <c r="G46" s="173"/>
      <c r="H46" s="173"/>
      <c r="I46" s="173"/>
      <c r="J46" s="173"/>
      <c r="K46" s="173"/>
      <c r="L46" s="173"/>
      <c r="M46" s="173"/>
      <c r="N46" s="148"/>
    </row>
    <row r="47" spans="1:14" s="3" customFormat="1" ht="15.75" x14ac:dyDescent="0.2">
      <c r="A47" s="14" t="s">
        <v>23</v>
      </c>
      <c r="B47" s="312">
        <v>83630</v>
      </c>
      <c r="C47" s="313">
        <v>98068</v>
      </c>
      <c r="D47" s="428">
        <f t="shared" ref="D47:D57" si="0">IF(B47=0, "    ---- ", IF(ABS(ROUND(100/B47*C47-100,1))&lt;999,ROUND(100/B47*C47-100,1),IF(ROUND(100/B47*C47-100,1)&gt;999,999,-999)))</f>
        <v>17.3</v>
      </c>
      <c r="E47" s="11">
        <f>IFERROR(100/'Skjema total MA'!C47*C47,0)</f>
        <v>2.052887620387621</v>
      </c>
      <c r="F47" s="145"/>
      <c r="G47" s="33"/>
      <c r="H47" s="159"/>
      <c r="I47" s="159"/>
      <c r="J47" s="37"/>
      <c r="K47" s="37"/>
      <c r="L47" s="159"/>
      <c r="M47" s="159"/>
      <c r="N47" s="148"/>
    </row>
    <row r="48" spans="1:14" s="3" customFormat="1" ht="15.75" x14ac:dyDescent="0.2">
      <c r="A48" s="38" t="s">
        <v>455</v>
      </c>
      <c r="B48" s="283">
        <v>83630</v>
      </c>
      <c r="C48" s="284">
        <v>98068</v>
      </c>
      <c r="D48" s="257">
        <f t="shared" si="0"/>
        <v>17.3</v>
      </c>
      <c r="E48" s="27">
        <f>IFERROR(100/'Skjema total MA'!C48*C48,0)</f>
        <v>3.6807113623500967</v>
      </c>
      <c r="F48" s="145"/>
      <c r="G48" s="33"/>
      <c r="H48" s="145"/>
      <c r="I48" s="145"/>
      <c r="J48" s="33"/>
      <c r="K48" s="33"/>
      <c r="L48" s="159"/>
      <c r="M48" s="159"/>
      <c r="N48" s="148"/>
    </row>
    <row r="49" spans="1:14" s="3" customFormat="1" ht="15.75" x14ac:dyDescent="0.2">
      <c r="A49" s="38" t="s">
        <v>456</v>
      </c>
      <c r="B49" s="44"/>
      <c r="C49" s="289"/>
      <c r="D49" s="257"/>
      <c r="E49" s="27"/>
      <c r="F49" s="145"/>
      <c r="G49" s="33"/>
      <c r="H49" s="145"/>
      <c r="I49" s="145"/>
      <c r="J49" s="37"/>
      <c r="K49" s="37"/>
      <c r="L49" s="159"/>
      <c r="M49" s="159"/>
      <c r="N49" s="148"/>
    </row>
    <row r="50" spans="1:14" s="3" customFormat="1" x14ac:dyDescent="0.2">
      <c r="A50" s="298" t="s">
        <v>6</v>
      </c>
      <c r="B50" s="292"/>
      <c r="C50" s="293"/>
      <c r="D50" s="257"/>
      <c r="E50" s="23"/>
      <c r="F50" s="145"/>
      <c r="G50" s="33"/>
      <c r="H50" s="145"/>
      <c r="I50" s="145"/>
      <c r="J50" s="33"/>
      <c r="K50" s="33"/>
      <c r="L50" s="159"/>
      <c r="M50" s="159"/>
      <c r="N50" s="148"/>
    </row>
    <row r="51" spans="1:14" s="3" customFormat="1" x14ac:dyDescent="0.2">
      <c r="A51" s="298" t="s">
        <v>7</v>
      </c>
      <c r="B51" s="292"/>
      <c r="C51" s="293"/>
      <c r="D51" s="257"/>
      <c r="E51" s="23"/>
      <c r="F51" s="145"/>
      <c r="G51" s="33"/>
      <c r="H51" s="145"/>
      <c r="I51" s="145"/>
      <c r="J51" s="33"/>
      <c r="K51" s="33"/>
      <c r="L51" s="159"/>
      <c r="M51" s="159"/>
      <c r="N51" s="148"/>
    </row>
    <row r="52" spans="1:14" s="3" customFormat="1" x14ac:dyDescent="0.2">
      <c r="A52" s="298" t="s">
        <v>8</v>
      </c>
      <c r="B52" s="292"/>
      <c r="C52" s="293"/>
      <c r="D52" s="257"/>
      <c r="E52" s="23"/>
      <c r="F52" s="145"/>
      <c r="G52" s="33"/>
      <c r="H52" s="145"/>
      <c r="I52" s="145"/>
      <c r="J52" s="33"/>
      <c r="K52" s="33"/>
      <c r="L52" s="159"/>
      <c r="M52" s="159"/>
      <c r="N52" s="148"/>
    </row>
    <row r="53" spans="1:14" s="3" customFormat="1" ht="15.75" x14ac:dyDescent="0.2">
      <c r="A53" s="39" t="s">
        <v>457</v>
      </c>
      <c r="B53" s="312">
        <v>2317</v>
      </c>
      <c r="C53" s="313">
        <v>9488</v>
      </c>
      <c r="D53" s="429">
        <f t="shared" si="0"/>
        <v>309.5</v>
      </c>
      <c r="E53" s="11">
        <f>IFERROR(100/'Skjema total MA'!C53*C53,0)</f>
        <v>5.7978799455513244</v>
      </c>
      <c r="F53" s="145"/>
      <c r="G53" s="33"/>
      <c r="H53" s="145"/>
      <c r="I53" s="145"/>
      <c r="J53" s="33"/>
      <c r="K53" s="33"/>
      <c r="L53" s="159"/>
      <c r="M53" s="159"/>
      <c r="N53" s="148"/>
    </row>
    <row r="54" spans="1:14" s="3" customFormat="1" ht="15.75" x14ac:dyDescent="0.2">
      <c r="A54" s="38" t="s">
        <v>455</v>
      </c>
      <c r="B54" s="283">
        <v>2317</v>
      </c>
      <c r="C54" s="284">
        <v>9488</v>
      </c>
      <c r="D54" s="257">
        <f t="shared" si="0"/>
        <v>309.5</v>
      </c>
      <c r="E54" s="27">
        <f>IFERROR(100/'Skjema total MA'!C54*C54,0)</f>
        <v>5.7978799455513244</v>
      </c>
      <c r="F54" s="145"/>
      <c r="G54" s="33"/>
      <c r="H54" s="145"/>
      <c r="I54" s="145"/>
      <c r="J54" s="33"/>
      <c r="K54" s="33"/>
      <c r="L54" s="159"/>
      <c r="M54" s="159"/>
      <c r="N54" s="148"/>
    </row>
    <row r="55" spans="1:14" s="3" customFormat="1" ht="15.75" x14ac:dyDescent="0.2">
      <c r="A55" s="38" t="s">
        <v>456</v>
      </c>
      <c r="B55" s="283"/>
      <c r="C55" s="284"/>
      <c r="D55" s="257"/>
      <c r="E55" s="27"/>
      <c r="F55" s="145"/>
      <c r="G55" s="33"/>
      <c r="H55" s="145"/>
      <c r="I55" s="145"/>
      <c r="J55" s="33"/>
      <c r="K55" s="33"/>
      <c r="L55" s="159"/>
      <c r="M55" s="159"/>
      <c r="N55" s="148"/>
    </row>
    <row r="56" spans="1:14" s="3" customFormat="1" ht="15.75" x14ac:dyDescent="0.2">
      <c r="A56" s="39" t="s">
        <v>458</v>
      </c>
      <c r="B56" s="312">
        <v>689</v>
      </c>
      <c r="C56" s="313">
        <v>366</v>
      </c>
      <c r="D56" s="429">
        <f t="shared" si="0"/>
        <v>-46.9</v>
      </c>
      <c r="E56" s="11">
        <f>IFERROR(100/'Skjema total MA'!C56*C56,0)</f>
        <v>0.28844642048631597</v>
      </c>
      <c r="F56" s="145"/>
      <c r="G56" s="33"/>
      <c r="H56" s="145"/>
      <c r="I56" s="145"/>
      <c r="J56" s="33"/>
      <c r="K56" s="33"/>
      <c r="L56" s="159"/>
      <c r="M56" s="159"/>
      <c r="N56" s="148"/>
    </row>
    <row r="57" spans="1:14" s="3" customFormat="1" ht="15.75" x14ac:dyDescent="0.2">
      <c r="A57" s="38" t="s">
        <v>455</v>
      </c>
      <c r="B57" s="283">
        <v>689</v>
      </c>
      <c r="C57" s="284">
        <v>366</v>
      </c>
      <c r="D57" s="257">
        <f t="shared" si="0"/>
        <v>-46.9</v>
      </c>
      <c r="E57" s="27">
        <f>IFERROR(100/'Skjema total MA'!C57*C57,0)</f>
        <v>0.28845324042932247</v>
      </c>
      <c r="F57" s="145"/>
      <c r="G57" s="33"/>
      <c r="H57" s="145"/>
      <c r="I57" s="145"/>
      <c r="J57" s="33"/>
      <c r="K57" s="33"/>
      <c r="L57" s="159"/>
      <c r="M57" s="159"/>
      <c r="N57" s="148"/>
    </row>
    <row r="58" spans="1:14" s="3" customFormat="1" ht="15.75" x14ac:dyDescent="0.2">
      <c r="A58" s="46" t="s">
        <v>456</v>
      </c>
      <c r="B58" s="285"/>
      <c r="C58" s="286"/>
      <c r="D58" s="258"/>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1022"/>
      <c r="C62" s="1022"/>
      <c r="D62" s="1022"/>
      <c r="E62" s="301"/>
      <c r="F62" s="1022"/>
      <c r="G62" s="1022"/>
      <c r="H62" s="1022"/>
      <c r="I62" s="301"/>
      <c r="J62" s="1022"/>
      <c r="K62" s="1022"/>
      <c r="L62" s="1022"/>
      <c r="M62" s="301"/>
    </row>
    <row r="63" spans="1:14" x14ac:dyDescent="0.2">
      <c r="A63" s="144"/>
      <c r="B63" s="1023" t="s">
        <v>0</v>
      </c>
      <c r="C63" s="1024"/>
      <c r="D63" s="1025"/>
      <c r="E63" s="302"/>
      <c r="F63" s="1024" t="s">
        <v>1</v>
      </c>
      <c r="G63" s="1024"/>
      <c r="H63" s="1024"/>
      <c r="I63" s="306"/>
      <c r="J63" s="1023" t="s">
        <v>2</v>
      </c>
      <c r="K63" s="1024"/>
      <c r="L63" s="1024"/>
      <c r="M63" s="306"/>
    </row>
    <row r="64" spans="1:14" x14ac:dyDescent="0.2">
      <c r="A64" s="140"/>
      <c r="B64" s="152" t="s">
        <v>502</v>
      </c>
      <c r="C64" s="152" t="s">
        <v>503</v>
      </c>
      <c r="D64" s="245" t="s">
        <v>3</v>
      </c>
      <c r="E64" s="307" t="s">
        <v>29</v>
      </c>
      <c r="F64" s="152" t="s">
        <v>502</v>
      </c>
      <c r="G64" s="152" t="s">
        <v>503</v>
      </c>
      <c r="H64" s="245" t="s">
        <v>3</v>
      </c>
      <c r="I64" s="307" t="s">
        <v>29</v>
      </c>
      <c r="J64" s="152" t="s">
        <v>502</v>
      </c>
      <c r="K64" s="152" t="s">
        <v>503</v>
      </c>
      <c r="L64" s="245" t="s">
        <v>3</v>
      </c>
      <c r="M64" s="162" t="s">
        <v>29</v>
      </c>
    </row>
    <row r="65" spans="1:14" x14ac:dyDescent="0.2">
      <c r="A65" s="990"/>
      <c r="B65" s="156"/>
      <c r="C65" s="156"/>
      <c r="D65" s="246" t="s">
        <v>4</v>
      </c>
      <c r="E65" s="156" t="s">
        <v>30</v>
      </c>
      <c r="F65" s="161"/>
      <c r="G65" s="161"/>
      <c r="H65" s="245"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9"/>
      <c r="M66" s="11"/>
    </row>
    <row r="67" spans="1:14" x14ac:dyDescent="0.2">
      <c r="A67" s="420" t="s">
        <v>9</v>
      </c>
      <c r="B67" s="44"/>
      <c r="C67" s="145"/>
      <c r="D67" s="166"/>
      <c r="E67" s="27"/>
      <c r="F67" s="234"/>
      <c r="G67" s="145"/>
      <c r="H67" s="166"/>
      <c r="I67" s="27"/>
      <c r="J67" s="289"/>
      <c r="K67" s="44"/>
      <c r="L67" s="257"/>
      <c r="M67" s="27"/>
    </row>
    <row r="68" spans="1:14" x14ac:dyDescent="0.2">
      <c r="A68" s="21" t="s">
        <v>10</v>
      </c>
      <c r="B68" s="294"/>
      <c r="C68" s="295"/>
      <c r="D68" s="166"/>
      <c r="E68" s="27"/>
      <c r="F68" s="294"/>
      <c r="G68" s="295"/>
      <c r="H68" s="166"/>
      <c r="I68" s="27"/>
      <c r="J68" s="289"/>
      <c r="K68" s="44"/>
      <c r="L68" s="257"/>
      <c r="M68" s="27"/>
    </row>
    <row r="69" spans="1:14" ht="15.75" x14ac:dyDescent="0.2">
      <c r="A69" s="298" t="s">
        <v>459</v>
      </c>
      <c r="B69" s="283"/>
      <c r="C69" s="283"/>
      <c r="D69" s="166"/>
      <c r="E69" s="418"/>
      <c r="F69" s="283"/>
      <c r="G69" s="283"/>
      <c r="H69" s="166"/>
      <c r="I69" s="418"/>
      <c r="J69" s="292"/>
      <c r="K69" s="292"/>
      <c r="L69" s="166"/>
      <c r="M69" s="23"/>
    </row>
    <row r="70" spans="1:14" x14ac:dyDescent="0.2">
      <c r="A70" s="298" t="s">
        <v>12</v>
      </c>
      <c r="B70" s="296"/>
      <c r="C70" s="297"/>
      <c r="D70" s="166"/>
      <c r="E70" s="418"/>
      <c r="F70" s="283"/>
      <c r="G70" s="283"/>
      <c r="H70" s="166"/>
      <c r="I70" s="418"/>
      <c r="J70" s="292"/>
      <c r="K70" s="292"/>
      <c r="L70" s="166"/>
      <c r="M70" s="23"/>
    </row>
    <row r="71" spans="1:14" x14ac:dyDescent="0.2">
      <c r="A71" s="298" t="s">
        <v>13</v>
      </c>
      <c r="B71" s="235"/>
      <c r="C71" s="291"/>
      <c r="D71" s="166"/>
      <c r="E71" s="418"/>
      <c r="F71" s="283"/>
      <c r="G71" s="283"/>
      <c r="H71" s="166"/>
      <c r="I71" s="418"/>
      <c r="J71" s="292"/>
      <c r="K71" s="292"/>
      <c r="L71" s="166"/>
      <c r="M71" s="23"/>
    </row>
    <row r="72" spans="1:14" ht="15.75" x14ac:dyDescent="0.2">
      <c r="A72" s="298" t="s">
        <v>460</v>
      </c>
      <c r="B72" s="283"/>
      <c r="C72" s="283"/>
      <c r="D72" s="166"/>
      <c r="E72" s="418"/>
      <c r="F72" s="283"/>
      <c r="G72" s="283"/>
      <c r="H72" s="166"/>
      <c r="I72" s="418"/>
      <c r="J72" s="292"/>
      <c r="K72" s="292"/>
      <c r="L72" s="166"/>
      <c r="M72" s="23"/>
    </row>
    <row r="73" spans="1:14" x14ac:dyDescent="0.2">
      <c r="A73" s="298" t="s">
        <v>12</v>
      </c>
      <c r="B73" s="235"/>
      <c r="C73" s="291"/>
      <c r="D73" s="166"/>
      <c r="E73" s="418"/>
      <c r="F73" s="283"/>
      <c r="G73" s="283"/>
      <c r="H73" s="166"/>
      <c r="I73" s="418"/>
      <c r="J73" s="292"/>
      <c r="K73" s="292"/>
      <c r="L73" s="166"/>
      <c r="M73" s="23"/>
    </row>
    <row r="74" spans="1:14" s="3" customFormat="1" x14ac:dyDescent="0.2">
      <c r="A74" s="298" t="s">
        <v>13</v>
      </c>
      <c r="B74" s="235"/>
      <c r="C74" s="291"/>
      <c r="D74" s="166"/>
      <c r="E74" s="418"/>
      <c r="F74" s="283"/>
      <c r="G74" s="283"/>
      <c r="H74" s="166"/>
      <c r="I74" s="418"/>
      <c r="J74" s="292"/>
      <c r="K74" s="292"/>
      <c r="L74" s="166"/>
      <c r="M74" s="23"/>
      <c r="N74" s="148"/>
    </row>
    <row r="75" spans="1:14" s="3" customFormat="1" x14ac:dyDescent="0.2">
      <c r="A75" s="21" t="s">
        <v>346</v>
      </c>
      <c r="B75" s="234"/>
      <c r="C75" s="145"/>
      <c r="D75" s="166"/>
      <c r="E75" s="27"/>
      <c r="F75" s="234"/>
      <c r="G75" s="145"/>
      <c r="H75" s="166"/>
      <c r="I75" s="27"/>
      <c r="J75" s="289"/>
      <c r="K75" s="44"/>
      <c r="L75" s="257"/>
      <c r="M75" s="27"/>
      <c r="N75" s="148"/>
    </row>
    <row r="76" spans="1:14" s="3" customFormat="1" x14ac:dyDescent="0.2">
      <c r="A76" s="21" t="s">
        <v>345</v>
      </c>
      <c r="B76" s="234"/>
      <c r="C76" s="145"/>
      <c r="D76" s="166"/>
      <c r="E76" s="27"/>
      <c r="F76" s="234"/>
      <c r="G76" s="145"/>
      <c r="H76" s="166"/>
      <c r="I76" s="27"/>
      <c r="J76" s="289"/>
      <c r="K76" s="44"/>
      <c r="L76" s="257"/>
      <c r="M76" s="27"/>
      <c r="N76" s="148"/>
    </row>
    <row r="77" spans="1:14" ht="15.75" x14ac:dyDescent="0.2">
      <c r="A77" s="21" t="s">
        <v>461</v>
      </c>
      <c r="B77" s="234"/>
      <c r="C77" s="234"/>
      <c r="D77" s="166"/>
      <c r="E77" s="27"/>
      <c r="F77" s="234"/>
      <c r="G77" s="145"/>
      <c r="H77" s="166"/>
      <c r="I77" s="27"/>
      <c r="J77" s="289"/>
      <c r="K77" s="44"/>
      <c r="L77" s="257"/>
      <c r="M77" s="27"/>
    </row>
    <row r="78" spans="1:14" x14ac:dyDescent="0.2">
      <c r="A78" s="21" t="s">
        <v>9</v>
      </c>
      <c r="B78" s="234"/>
      <c r="C78" s="145"/>
      <c r="D78" s="166"/>
      <c r="E78" s="27"/>
      <c r="F78" s="234"/>
      <c r="G78" s="145"/>
      <c r="H78" s="166"/>
      <c r="I78" s="27"/>
      <c r="J78" s="289"/>
      <c r="K78" s="44"/>
      <c r="L78" s="257"/>
      <c r="M78" s="27"/>
    </row>
    <row r="79" spans="1:14" x14ac:dyDescent="0.2">
      <c r="A79" s="21" t="s">
        <v>10</v>
      </c>
      <c r="B79" s="294"/>
      <c r="C79" s="295"/>
      <c r="D79" s="166"/>
      <c r="E79" s="27"/>
      <c r="F79" s="294"/>
      <c r="G79" s="295"/>
      <c r="H79" s="166"/>
      <c r="I79" s="27"/>
      <c r="J79" s="289"/>
      <c r="K79" s="44"/>
      <c r="L79" s="257"/>
      <c r="M79" s="27"/>
    </row>
    <row r="80" spans="1:14" ht="15.75" x14ac:dyDescent="0.2">
      <c r="A80" s="298" t="s">
        <v>459</v>
      </c>
      <c r="B80" s="283"/>
      <c r="C80" s="283"/>
      <c r="D80" s="166"/>
      <c r="E80" s="418"/>
      <c r="F80" s="283"/>
      <c r="G80" s="283"/>
      <c r="H80" s="166"/>
      <c r="I80" s="418"/>
      <c r="J80" s="292"/>
      <c r="K80" s="292"/>
      <c r="L80" s="166"/>
      <c r="M80" s="23"/>
    </row>
    <row r="81" spans="1:13" x14ac:dyDescent="0.2">
      <c r="A81" s="298" t="s">
        <v>12</v>
      </c>
      <c r="B81" s="235"/>
      <c r="C81" s="291"/>
      <c r="D81" s="166"/>
      <c r="E81" s="418"/>
      <c r="F81" s="283"/>
      <c r="G81" s="283"/>
      <c r="H81" s="166"/>
      <c r="I81" s="418"/>
      <c r="J81" s="292"/>
      <c r="K81" s="292"/>
      <c r="L81" s="166"/>
      <c r="M81" s="23"/>
    </row>
    <row r="82" spans="1:13" x14ac:dyDescent="0.2">
      <c r="A82" s="298" t="s">
        <v>13</v>
      </c>
      <c r="B82" s="235"/>
      <c r="C82" s="291"/>
      <c r="D82" s="166"/>
      <c r="E82" s="418"/>
      <c r="F82" s="283"/>
      <c r="G82" s="283"/>
      <c r="H82" s="166"/>
      <c r="I82" s="418"/>
      <c r="J82" s="292"/>
      <c r="K82" s="292"/>
      <c r="L82" s="166"/>
      <c r="M82" s="23"/>
    </row>
    <row r="83" spans="1:13" ht="15.75" x14ac:dyDescent="0.2">
      <c r="A83" s="298" t="s">
        <v>460</v>
      </c>
      <c r="B83" s="283"/>
      <c r="C83" s="283"/>
      <c r="D83" s="166"/>
      <c r="E83" s="418"/>
      <c r="F83" s="283"/>
      <c r="G83" s="283"/>
      <c r="H83" s="166"/>
      <c r="I83" s="418"/>
      <c r="J83" s="292"/>
      <c r="K83" s="292"/>
      <c r="L83" s="166"/>
      <c r="M83" s="23"/>
    </row>
    <row r="84" spans="1:13" x14ac:dyDescent="0.2">
      <c r="A84" s="298" t="s">
        <v>12</v>
      </c>
      <c r="B84" s="235"/>
      <c r="C84" s="291"/>
      <c r="D84" s="166"/>
      <c r="E84" s="418"/>
      <c r="F84" s="283"/>
      <c r="G84" s="283"/>
      <c r="H84" s="166"/>
      <c r="I84" s="418"/>
      <c r="J84" s="292"/>
      <c r="K84" s="292"/>
      <c r="L84" s="166"/>
      <c r="M84" s="23"/>
    </row>
    <row r="85" spans="1:13" x14ac:dyDescent="0.2">
      <c r="A85" s="298" t="s">
        <v>13</v>
      </c>
      <c r="B85" s="235"/>
      <c r="C85" s="291"/>
      <c r="D85" s="166"/>
      <c r="E85" s="418"/>
      <c r="F85" s="283"/>
      <c r="G85" s="283"/>
      <c r="H85" s="166"/>
      <c r="I85" s="418"/>
      <c r="J85" s="292"/>
      <c r="K85" s="292"/>
      <c r="L85" s="166"/>
      <c r="M85" s="23"/>
    </row>
    <row r="86" spans="1:13" ht="15.75" x14ac:dyDescent="0.2">
      <c r="A86" s="21" t="s">
        <v>462</v>
      </c>
      <c r="B86" s="234"/>
      <c r="C86" s="145"/>
      <c r="D86" s="166"/>
      <c r="E86" s="27"/>
      <c r="F86" s="234"/>
      <c r="G86" s="145"/>
      <c r="H86" s="166"/>
      <c r="I86" s="27"/>
      <c r="J86" s="289"/>
      <c r="K86" s="44"/>
      <c r="L86" s="257"/>
      <c r="M86" s="27"/>
    </row>
    <row r="87" spans="1:13" ht="15.75" x14ac:dyDescent="0.2">
      <c r="A87" s="13" t="s">
        <v>444</v>
      </c>
      <c r="B87" s="354"/>
      <c r="C87" s="354"/>
      <c r="D87" s="171"/>
      <c r="E87" s="11"/>
      <c r="F87" s="353"/>
      <c r="G87" s="353"/>
      <c r="H87" s="171"/>
      <c r="I87" s="11"/>
      <c r="J87" s="311"/>
      <c r="K87" s="236"/>
      <c r="L87" s="429"/>
      <c r="M87" s="11"/>
    </row>
    <row r="88" spans="1:13" x14ac:dyDescent="0.2">
      <c r="A88" s="21" t="s">
        <v>9</v>
      </c>
      <c r="B88" s="234"/>
      <c r="C88" s="145"/>
      <c r="D88" s="166"/>
      <c r="E88" s="27"/>
      <c r="F88" s="234"/>
      <c r="G88" s="145"/>
      <c r="H88" s="166"/>
      <c r="I88" s="27"/>
      <c r="J88" s="289"/>
      <c r="K88" s="44"/>
      <c r="L88" s="257"/>
      <c r="M88" s="27"/>
    </row>
    <row r="89" spans="1:13" x14ac:dyDescent="0.2">
      <c r="A89" s="21" t="s">
        <v>10</v>
      </c>
      <c r="B89" s="234"/>
      <c r="C89" s="145"/>
      <c r="D89" s="166"/>
      <c r="E89" s="27"/>
      <c r="F89" s="234"/>
      <c r="G89" s="145"/>
      <c r="H89" s="166"/>
      <c r="I89" s="27"/>
      <c r="J89" s="289"/>
      <c r="K89" s="44"/>
      <c r="L89" s="257"/>
      <c r="M89" s="27"/>
    </row>
    <row r="90" spans="1:13" ht="15.75" x14ac:dyDescent="0.2">
      <c r="A90" s="298" t="s">
        <v>459</v>
      </c>
      <c r="B90" s="283"/>
      <c r="C90" s="283"/>
      <c r="D90" s="166"/>
      <c r="E90" s="418"/>
      <c r="F90" s="283"/>
      <c r="G90" s="283"/>
      <c r="H90" s="166"/>
      <c r="I90" s="418"/>
      <c r="J90" s="292"/>
      <c r="K90" s="292"/>
      <c r="L90" s="166"/>
      <c r="M90" s="23"/>
    </row>
    <row r="91" spans="1:13" x14ac:dyDescent="0.2">
      <c r="A91" s="298" t="s">
        <v>12</v>
      </c>
      <c r="B91" s="235"/>
      <c r="C91" s="291"/>
      <c r="D91" s="166"/>
      <c r="E91" s="418"/>
      <c r="F91" s="283"/>
      <c r="G91" s="283"/>
      <c r="H91" s="166"/>
      <c r="I91" s="418"/>
      <c r="J91" s="292"/>
      <c r="K91" s="292"/>
      <c r="L91" s="166"/>
      <c r="M91" s="23"/>
    </row>
    <row r="92" spans="1:13" x14ac:dyDescent="0.2">
      <c r="A92" s="298" t="s">
        <v>13</v>
      </c>
      <c r="B92" s="235"/>
      <c r="C92" s="291"/>
      <c r="D92" s="166"/>
      <c r="E92" s="418"/>
      <c r="F92" s="283"/>
      <c r="G92" s="283"/>
      <c r="H92" s="166"/>
      <c r="I92" s="418"/>
      <c r="J92" s="292"/>
      <c r="K92" s="292"/>
      <c r="L92" s="166"/>
      <c r="M92" s="23"/>
    </row>
    <row r="93" spans="1:13" ht="15.75" x14ac:dyDescent="0.2">
      <c r="A93" s="298" t="s">
        <v>460</v>
      </c>
      <c r="B93" s="283"/>
      <c r="C93" s="283"/>
      <c r="D93" s="166"/>
      <c r="E93" s="418"/>
      <c r="F93" s="283"/>
      <c r="G93" s="283"/>
      <c r="H93" s="166"/>
      <c r="I93" s="418"/>
      <c r="J93" s="292"/>
      <c r="K93" s="292"/>
      <c r="L93" s="166"/>
      <c r="M93" s="23"/>
    </row>
    <row r="94" spans="1:13" x14ac:dyDescent="0.2">
      <c r="A94" s="298" t="s">
        <v>12</v>
      </c>
      <c r="B94" s="235"/>
      <c r="C94" s="291"/>
      <c r="D94" s="166"/>
      <c r="E94" s="418"/>
      <c r="F94" s="283"/>
      <c r="G94" s="283"/>
      <c r="H94" s="166"/>
      <c r="I94" s="418"/>
      <c r="J94" s="292"/>
      <c r="K94" s="292"/>
      <c r="L94" s="166"/>
      <c r="M94" s="23"/>
    </row>
    <row r="95" spans="1:13" x14ac:dyDescent="0.2">
      <c r="A95" s="298" t="s">
        <v>13</v>
      </c>
      <c r="B95" s="235"/>
      <c r="C95" s="291"/>
      <c r="D95" s="166"/>
      <c r="E95" s="418"/>
      <c r="F95" s="283"/>
      <c r="G95" s="283"/>
      <c r="H95" s="166"/>
      <c r="I95" s="418"/>
      <c r="J95" s="292"/>
      <c r="K95" s="292"/>
      <c r="L95" s="166"/>
      <c r="M95" s="23"/>
    </row>
    <row r="96" spans="1:13" x14ac:dyDescent="0.2">
      <c r="A96" s="21" t="s">
        <v>344</v>
      </c>
      <c r="B96" s="234"/>
      <c r="C96" s="145"/>
      <c r="D96" s="166"/>
      <c r="E96" s="27"/>
      <c r="F96" s="234"/>
      <c r="G96" s="145"/>
      <c r="H96" s="166"/>
      <c r="I96" s="27"/>
      <c r="J96" s="289"/>
      <c r="K96" s="44"/>
      <c r="L96" s="257"/>
      <c r="M96" s="27"/>
    </row>
    <row r="97" spans="1:13" x14ac:dyDescent="0.2">
      <c r="A97" s="21" t="s">
        <v>343</v>
      </c>
      <c r="B97" s="234"/>
      <c r="C97" s="145"/>
      <c r="D97" s="166"/>
      <c r="E97" s="27"/>
      <c r="F97" s="234"/>
      <c r="G97" s="145"/>
      <c r="H97" s="166"/>
      <c r="I97" s="27"/>
      <c r="J97" s="289"/>
      <c r="K97" s="44"/>
      <c r="L97" s="257"/>
      <c r="M97" s="27"/>
    </row>
    <row r="98" spans="1:13" ht="15.75" x14ac:dyDescent="0.2">
      <c r="A98" s="21" t="s">
        <v>461</v>
      </c>
      <c r="B98" s="234"/>
      <c r="C98" s="234"/>
      <c r="D98" s="166"/>
      <c r="E98" s="27"/>
      <c r="F98" s="294"/>
      <c r="G98" s="294"/>
      <c r="H98" s="166"/>
      <c r="I98" s="27"/>
      <c r="J98" s="289"/>
      <c r="K98" s="44"/>
      <c r="L98" s="257"/>
      <c r="M98" s="27"/>
    </row>
    <row r="99" spans="1:13" x14ac:dyDescent="0.2">
      <c r="A99" s="21" t="s">
        <v>9</v>
      </c>
      <c r="B99" s="294"/>
      <c r="C99" s="295"/>
      <c r="D99" s="166"/>
      <c r="E99" s="27"/>
      <c r="F99" s="234"/>
      <c r="G99" s="145"/>
      <c r="H99" s="166"/>
      <c r="I99" s="27"/>
      <c r="J99" s="289"/>
      <c r="K99" s="44"/>
      <c r="L99" s="257"/>
      <c r="M99" s="27"/>
    </row>
    <row r="100" spans="1:13" x14ac:dyDescent="0.2">
      <c r="A100" s="21" t="s">
        <v>10</v>
      </c>
      <c r="B100" s="294"/>
      <c r="C100" s="295"/>
      <c r="D100" s="166"/>
      <c r="E100" s="27"/>
      <c r="F100" s="234"/>
      <c r="G100" s="234"/>
      <c r="H100" s="166"/>
      <c r="I100" s="27"/>
      <c r="J100" s="289"/>
      <c r="K100" s="44"/>
      <c r="L100" s="257"/>
      <c r="M100" s="27"/>
    </row>
    <row r="101" spans="1:13" ht="15.75" x14ac:dyDescent="0.2">
      <c r="A101" s="298" t="s">
        <v>459</v>
      </c>
      <c r="B101" s="283"/>
      <c r="C101" s="283"/>
      <c r="D101" s="166"/>
      <c r="E101" s="418"/>
      <c r="F101" s="283"/>
      <c r="G101" s="283"/>
      <c r="H101" s="166"/>
      <c r="I101" s="418"/>
      <c r="J101" s="292"/>
      <c r="K101" s="292"/>
      <c r="L101" s="166"/>
      <c r="M101" s="23"/>
    </row>
    <row r="102" spans="1:13" x14ac:dyDescent="0.2">
      <c r="A102" s="298" t="s">
        <v>12</v>
      </c>
      <c r="B102" s="235"/>
      <c r="C102" s="291"/>
      <c r="D102" s="166"/>
      <c r="E102" s="418"/>
      <c r="F102" s="283"/>
      <c r="G102" s="283"/>
      <c r="H102" s="166"/>
      <c r="I102" s="418"/>
      <c r="J102" s="292"/>
      <c r="K102" s="292"/>
      <c r="L102" s="166"/>
      <c r="M102" s="23"/>
    </row>
    <row r="103" spans="1:13" x14ac:dyDescent="0.2">
      <c r="A103" s="298" t="s">
        <v>13</v>
      </c>
      <c r="B103" s="235"/>
      <c r="C103" s="291"/>
      <c r="D103" s="166"/>
      <c r="E103" s="418"/>
      <c r="F103" s="283"/>
      <c r="G103" s="283"/>
      <c r="H103" s="166"/>
      <c r="I103" s="418"/>
      <c r="J103" s="292"/>
      <c r="K103" s="292"/>
      <c r="L103" s="166"/>
      <c r="M103" s="23"/>
    </row>
    <row r="104" spans="1:13" ht="15.75" x14ac:dyDescent="0.2">
      <c r="A104" s="298" t="s">
        <v>460</v>
      </c>
      <c r="B104" s="283"/>
      <c r="C104" s="283"/>
      <c r="D104" s="166"/>
      <c r="E104" s="418"/>
      <c r="F104" s="283"/>
      <c r="G104" s="283"/>
      <c r="H104" s="166"/>
      <c r="I104" s="418"/>
      <c r="J104" s="292"/>
      <c r="K104" s="292"/>
      <c r="L104" s="166"/>
      <c r="M104" s="23"/>
    </row>
    <row r="105" spans="1:13" x14ac:dyDescent="0.2">
      <c r="A105" s="298" t="s">
        <v>12</v>
      </c>
      <c r="B105" s="235"/>
      <c r="C105" s="291"/>
      <c r="D105" s="166"/>
      <c r="E105" s="418"/>
      <c r="F105" s="283"/>
      <c r="G105" s="283"/>
      <c r="H105" s="166"/>
      <c r="I105" s="418"/>
      <c r="J105" s="292"/>
      <c r="K105" s="292"/>
      <c r="L105" s="166"/>
      <c r="M105" s="23"/>
    </row>
    <row r="106" spans="1:13" x14ac:dyDescent="0.2">
      <c r="A106" s="298" t="s">
        <v>13</v>
      </c>
      <c r="B106" s="235"/>
      <c r="C106" s="291"/>
      <c r="D106" s="166"/>
      <c r="E106" s="418"/>
      <c r="F106" s="283"/>
      <c r="G106" s="283"/>
      <c r="H106" s="166"/>
      <c r="I106" s="418"/>
      <c r="J106" s="292"/>
      <c r="K106" s="292"/>
      <c r="L106" s="166"/>
      <c r="M106" s="23"/>
    </row>
    <row r="107" spans="1:13" ht="15.75" x14ac:dyDescent="0.2">
      <c r="A107" s="21" t="s">
        <v>462</v>
      </c>
      <c r="B107" s="234"/>
      <c r="C107" s="145"/>
      <c r="D107" s="166"/>
      <c r="E107" s="27"/>
      <c r="F107" s="234"/>
      <c r="G107" s="145"/>
      <c r="H107" s="166"/>
      <c r="I107" s="27"/>
      <c r="J107" s="289"/>
      <c r="K107" s="44"/>
      <c r="L107" s="257"/>
      <c r="M107" s="27"/>
    </row>
    <row r="108" spans="1:13" ht="15.75" x14ac:dyDescent="0.2">
      <c r="A108" s="21" t="s">
        <v>463</v>
      </c>
      <c r="B108" s="234"/>
      <c r="C108" s="234"/>
      <c r="D108" s="166"/>
      <c r="E108" s="27"/>
      <c r="F108" s="234"/>
      <c r="G108" s="234"/>
      <c r="H108" s="166"/>
      <c r="I108" s="27"/>
      <c r="J108" s="289"/>
      <c r="K108" s="44"/>
      <c r="L108" s="257"/>
      <c r="M108" s="27"/>
    </row>
    <row r="109" spans="1:13" ht="15.75" x14ac:dyDescent="0.2">
      <c r="A109" s="21" t="s">
        <v>464</v>
      </c>
      <c r="B109" s="234"/>
      <c r="C109" s="234"/>
      <c r="D109" s="166"/>
      <c r="E109" s="27"/>
      <c r="F109" s="234"/>
      <c r="G109" s="234"/>
      <c r="H109" s="166"/>
      <c r="I109" s="27"/>
      <c r="J109" s="289"/>
      <c r="K109" s="44"/>
      <c r="L109" s="257"/>
      <c r="M109" s="27"/>
    </row>
    <row r="110" spans="1:13" ht="15.75" x14ac:dyDescent="0.2">
      <c r="A110" s="21" t="s">
        <v>465</v>
      </c>
      <c r="B110" s="234"/>
      <c r="C110" s="234"/>
      <c r="D110" s="166"/>
      <c r="E110" s="27"/>
      <c r="F110" s="234"/>
      <c r="G110" s="234"/>
      <c r="H110" s="166"/>
      <c r="I110" s="27"/>
      <c r="J110" s="289"/>
      <c r="K110" s="44"/>
      <c r="L110" s="257"/>
      <c r="M110" s="27"/>
    </row>
    <row r="111" spans="1:13" ht="15.75" x14ac:dyDescent="0.2">
      <c r="A111" s="13" t="s">
        <v>445</v>
      </c>
      <c r="B111" s="310"/>
      <c r="C111" s="159"/>
      <c r="D111" s="171"/>
      <c r="E111" s="11"/>
      <c r="F111" s="310"/>
      <c r="G111" s="159"/>
      <c r="H111" s="171"/>
      <c r="I111" s="11"/>
      <c r="J111" s="311"/>
      <c r="K111" s="236"/>
      <c r="L111" s="429"/>
      <c r="M111" s="11"/>
    </row>
    <row r="112" spans="1:13" x14ac:dyDescent="0.2">
      <c r="A112" s="21" t="s">
        <v>9</v>
      </c>
      <c r="B112" s="234"/>
      <c r="C112" s="145"/>
      <c r="D112" s="166"/>
      <c r="E112" s="27"/>
      <c r="F112" s="234"/>
      <c r="G112" s="145"/>
      <c r="H112" s="166"/>
      <c r="I112" s="27"/>
      <c r="J112" s="289"/>
      <c r="K112" s="44"/>
      <c r="L112" s="257"/>
      <c r="M112" s="27"/>
    </row>
    <row r="113" spans="1:14" x14ac:dyDescent="0.2">
      <c r="A113" s="21" t="s">
        <v>10</v>
      </c>
      <c r="B113" s="234"/>
      <c r="C113" s="145"/>
      <c r="D113" s="166"/>
      <c r="E113" s="27"/>
      <c r="F113" s="234"/>
      <c r="G113" s="145"/>
      <c r="H113" s="166"/>
      <c r="I113" s="27"/>
      <c r="J113" s="289"/>
      <c r="K113" s="44"/>
      <c r="L113" s="257"/>
      <c r="M113" s="27"/>
    </row>
    <row r="114" spans="1:14" x14ac:dyDescent="0.2">
      <c r="A114" s="21" t="s">
        <v>26</v>
      </c>
      <c r="B114" s="234"/>
      <c r="C114" s="145"/>
      <c r="D114" s="166"/>
      <c r="E114" s="27"/>
      <c r="F114" s="234"/>
      <c r="G114" s="145"/>
      <c r="H114" s="166"/>
      <c r="I114" s="27"/>
      <c r="J114" s="289"/>
      <c r="K114" s="44"/>
      <c r="L114" s="257"/>
      <c r="M114" s="27"/>
    </row>
    <row r="115" spans="1:14" x14ac:dyDescent="0.2">
      <c r="A115" s="298" t="s">
        <v>15</v>
      </c>
      <c r="B115" s="283"/>
      <c r="C115" s="283"/>
      <c r="D115" s="166"/>
      <c r="E115" s="418"/>
      <c r="F115" s="283"/>
      <c r="G115" s="283"/>
      <c r="H115" s="166"/>
      <c r="I115" s="418"/>
      <c r="J115" s="292"/>
      <c r="K115" s="292"/>
      <c r="L115" s="166"/>
      <c r="M115" s="23"/>
    </row>
    <row r="116" spans="1:14" ht="15.75" x14ac:dyDescent="0.2">
      <c r="A116" s="21" t="s">
        <v>466</v>
      </c>
      <c r="B116" s="234"/>
      <c r="C116" s="234"/>
      <c r="D116" s="166"/>
      <c r="E116" s="27"/>
      <c r="F116" s="234"/>
      <c r="G116" s="234"/>
      <c r="H116" s="166"/>
      <c r="I116" s="27"/>
      <c r="J116" s="289"/>
      <c r="K116" s="44"/>
      <c r="L116" s="257"/>
      <c r="M116" s="27"/>
    </row>
    <row r="117" spans="1:14" ht="15.75" x14ac:dyDescent="0.2">
      <c r="A117" s="21" t="s">
        <v>467</v>
      </c>
      <c r="B117" s="234"/>
      <c r="C117" s="234"/>
      <c r="D117" s="166"/>
      <c r="E117" s="27"/>
      <c r="F117" s="234"/>
      <c r="G117" s="234"/>
      <c r="H117" s="166"/>
      <c r="I117" s="27"/>
      <c r="J117" s="289"/>
      <c r="K117" s="44"/>
      <c r="L117" s="257"/>
      <c r="M117" s="27"/>
    </row>
    <row r="118" spans="1:14" ht="15.75" x14ac:dyDescent="0.2">
      <c r="A118" s="21" t="s">
        <v>465</v>
      </c>
      <c r="B118" s="234"/>
      <c r="C118" s="234"/>
      <c r="D118" s="166"/>
      <c r="E118" s="27"/>
      <c r="F118" s="234"/>
      <c r="G118" s="234"/>
      <c r="H118" s="166"/>
      <c r="I118" s="27"/>
      <c r="J118" s="289"/>
      <c r="K118" s="44"/>
      <c r="L118" s="257"/>
      <c r="M118" s="27"/>
    </row>
    <row r="119" spans="1:14" ht="15.75" x14ac:dyDescent="0.2">
      <c r="A119" s="13" t="s">
        <v>446</v>
      </c>
      <c r="B119" s="310"/>
      <c r="C119" s="159"/>
      <c r="D119" s="171"/>
      <c r="E119" s="11"/>
      <c r="F119" s="310"/>
      <c r="G119" s="159"/>
      <c r="H119" s="171"/>
      <c r="I119" s="11"/>
      <c r="J119" s="311"/>
      <c r="K119" s="236"/>
      <c r="L119" s="429"/>
      <c r="M119" s="11"/>
    </row>
    <row r="120" spans="1:14" x14ac:dyDescent="0.2">
      <c r="A120" s="21" t="s">
        <v>9</v>
      </c>
      <c r="B120" s="234"/>
      <c r="C120" s="145"/>
      <c r="D120" s="166"/>
      <c r="E120" s="27"/>
      <c r="F120" s="234"/>
      <c r="G120" s="145"/>
      <c r="H120" s="166"/>
      <c r="I120" s="27"/>
      <c r="J120" s="289"/>
      <c r="K120" s="44"/>
      <c r="L120" s="257"/>
      <c r="M120" s="27"/>
    </row>
    <row r="121" spans="1:14" x14ac:dyDescent="0.2">
      <c r="A121" s="21" t="s">
        <v>10</v>
      </c>
      <c r="B121" s="234"/>
      <c r="C121" s="145"/>
      <c r="D121" s="166"/>
      <c r="E121" s="27"/>
      <c r="F121" s="234"/>
      <c r="G121" s="145"/>
      <c r="H121" s="166"/>
      <c r="I121" s="27"/>
      <c r="J121" s="289"/>
      <c r="K121" s="44"/>
      <c r="L121" s="257"/>
      <c r="M121" s="27"/>
    </row>
    <row r="122" spans="1:14" x14ac:dyDescent="0.2">
      <c r="A122" s="21" t="s">
        <v>26</v>
      </c>
      <c r="B122" s="234"/>
      <c r="C122" s="145"/>
      <c r="D122" s="166"/>
      <c r="E122" s="27"/>
      <c r="F122" s="234"/>
      <c r="G122" s="145"/>
      <c r="H122" s="166"/>
      <c r="I122" s="27"/>
      <c r="J122" s="289"/>
      <c r="K122" s="44"/>
      <c r="L122" s="257"/>
      <c r="M122" s="27"/>
    </row>
    <row r="123" spans="1:14" x14ac:dyDescent="0.2">
      <c r="A123" s="298" t="s">
        <v>14</v>
      </c>
      <c r="B123" s="283"/>
      <c r="C123" s="283"/>
      <c r="D123" s="166"/>
      <c r="E123" s="418"/>
      <c r="F123" s="283"/>
      <c r="G123" s="283"/>
      <c r="H123" s="166"/>
      <c r="I123" s="418"/>
      <c r="J123" s="292"/>
      <c r="K123" s="292"/>
      <c r="L123" s="166"/>
      <c r="M123" s="23"/>
    </row>
    <row r="124" spans="1:14" ht="15.75" x14ac:dyDescent="0.2">
      <c r="A124" s="21" t="s">
        <v>472</v>
      </c>
      <c r="B124" s="234"/>
      <c r="C124" s="234"/>
      <c r="D124" s="166"/>
      <c r="E124" s="27"/>
      <c r="F124" s="234"/>
      <c r="G124" s="234"/>
      <c r="H124" s="166"/>
      <c r="I124" s="27"/>
      <c r="J124" s="289"/>
      <c r="K124" s="44"/>
      <c r="L124" s="257"/>
      <c r="M124" s="27"/>
    </row>
    <row r="125" spans="1:14" ht="15.75" x14ac:dyDescent="0.2">
      <c r="A125" s="21" t="s">
        <v>464</v>
      </c>
      <c r="B125" s="234"/>
      <c r="C125" s="234"/>
      <c r="D125" s="166"/>
      <c r="E125" s="27"/>
      <c r="F125" s="234"/>
      <c r="G125" s="234"/>
      <c r="H125" s="166"/>
      <c r="I125" s="27"/>
      <c r="J125" s="289"/>
      <c r="K125" s="44"/>
      <c r="L125" s="257"/>
      <c r="M125" s="27"/>
    </row>
    <row r="126" spans="1:14" ht="15.75" x14ac:dyDescent="0.2">
      <c r="A126" s="10" t="s">
        <v>465</v>
      </c>
      <c r="B126" s="45"/>
      <c r="C126" s="45"/>
      <c r="D126" s="167"/>
      <c r="E126" s="419"/>
      <c r="F126" s="45"/>
      <c r="G126" s="45"/>
      <c r="H126" s="167"/>
      <c r="I126" s="22"/>
      <c r="J126" s="290"/>
      <c r="K126" s="45"/>
      <c r="L126" s="258"/>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1022"/>
      <c r="C130" s="1022"/>
      <c r="D130" s="1022"/>
      <c r="E130" s="301"/>
      <c r="F130" s="1022"/>
      <c r="G130" s="1022"/>
      <c r="H130" s="1022"/>
      <c r="I130" s="301"/>
      <c r="J130" s="1022"/>
      <c r="K130" s="1022"/>
      <c r="L130" s="1022"/>
      <c r="M130" s="301"/>
    </row>
    <row r="131" spans="1:14" s="3" customFormat="1" x14ac:dyDescent="0.2">
      <c r="A131" s="144"/>
      <c r="B131" s="1023" t="s">
        <v>0</v>
      </c>
      <c r="C131" s="1024"/>
      <c r="D131" s="1024"/>
      <c r="E131" s="303"/>
      <c r="F131" s="1023" t="s">
        <v>1</v>
      </c>
      <c r="G131" s="1024"/>
      <c r="H131" s="1024"/>
      <c r="I131" s="306"/>
      <c r="J131" s="1023" t="s">
        <v>2</v>
      </c>
      <c r="K131" s="1024"/>
      <c r="L131" s="1024"/>
      <c r="M131" s="306"/>
      <c r="N131" s="148"/>
    </row>
    <row r="132" spans="1:14" s="3" customFormat="1" x14ac:dyDescent="0.2">
      <c r="A132" s="140"/>
      <c r="B132" s="152" t="s">
        <v>502</v>
      </c>
      <c r="C132" s="152" t="s">
        <v>503</v>
      </c>
      <c r="D132" s="245" t="s">
        <v>3</v>
      </c>
      <c r="E132" s="307" t="s">
        <v>29</v>
      </c>
      <c r="F132" s="152" t="s">
        <v>502</v>
      </c>
      <c r="G132" s="152" t="s">
        <v>503</v>
      </c>
      <c r="H132" s="206" t="s">
        <v>3</v>
      </c>
      <c r="I132" s="162" t="s">
        <v>29</v>
      </c>
      <c r="J132" s="152" t="s">
        <v>502</v>
      </c>
      <c r="K132" s="152" t="s">
        <v>503</v>
      </c>
      <c r="L132" s="246" t="s">
        <v>3</v>
      </c>
      <c r="M132" s="162" t="s">
        <v>29</v>
      </c>
      <c r="N132" s="148"/>
    </row>
    <row r="133" spans="1:14" s="3" customFormat="1" x14ac:dyDescent="0.2">
      <c r="A133" s="990"/>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468</v>
      </c>
      <c r="B134" s="236"/>
      <c r="C134" s="311"/>
      <c r="D134" s="351"/>
      <c r="E134" s="11"/>
      <c r="F134" s="318"/>
      <c r="G134" s="319"/>
      <c r="H134" s="432"/>
      <c r="I134" s="24"/>
      <c r="J134" s="320"/>
      <c r="K134" s="320"/>
      <c r="L134" s="428"/>
      <c r="M134" s="11"/>
      <c r="N134" s="148"/>
    </row>
    <row r="135" spans="1:14" s="3" customFormat="1" ht="15.75" x14ac:dyDescent="0.2">
      <c r="A135" s="13" t="s">
        <v>473</v>
      </c>
      <c r="B135" s="236"/>
      <c r="C135" s="311"/>
      <c r="D135" s="171"/>
      <c r="E135" s="11"/>
      <c r="F135" s="236"/>
      <c r="G135" s="311"/>
      <c r="H135" s="433"/>
      <c r="I135" s="24"/>
      <c r="J135" s="310"/>
      <c r="K135" s="310"/>
      <c r="L135" s="429"/>
      <c r="M135" s="11"/>
      <c r="N135" s="148"/>
    </row>
    <row r="136" spans="1:14" s="3" customFormat="1" ht="15.75" x14ac:dyDescent="0.2">
      <c r="A136" s="13" t="s">
        <v>470</v>
      </c>
      <c r="B136" s="236"/>
      <c r="C136" s="311"/>
      <c r="D136" s="171"/>
      <c r="E136" s="11"/>
      <c r="F136" s="236"/>
      <c r="G136" s="311"/>
      <c r="H136" s="433"/>
      <c r="I136" s="24"/>
      <c r="J136" s="310"/>
      <c r="K136" s="310"/>
      <c r="L136" s="429"/>
      <c r="M136" s="11"/>
      <c r="N136" s="148"/>
    </row>
    <row r="137" spans="1:14" s="3" customFormat="1" ht="15.75" x14ac:dyDescent="0.2">
      <c r="A137" s="41" t="s">
        <v>471</v>
      </c>
      <c r="B137" s="278"/>
      <c r="C137" s="317"/>
      <c r="D137" s="169"/>
      <c r="E137" s="9"/>
      <c r="F137" s="278"/>
      <c r="G137" s="317"/>
      <c r="H137" s="434"/>
      <c r="I137" s="36"/>
      <c r="J137" s="316"/>
      <c r="K137" s="316"/>
      <c r="L137" s="430"/>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502" priority="132">
      <formula>kvartal &lt; 4</formula>
    </cfRule>
  </conditionalFormatting>
  <conditionalFormatting sqref="B69">
    <cfRule type="expression" dxfId="1501" priority="100">
      <formula>kvartal &lt; 4</formula>
    </cfRule>
  </conditionalFormatting>
  <conditionalFormatting sqref="C69">
    <cfRule type="expression" dxfId="1500" priority="99">
      <formula>kvartal &lt; 4</formula>
    </cfRule>
  </conditionalFormatting>
  <conditionalFormatting sqref="B72">
    <cfRule type="expression" dxfId="1499" priority="98">
      <formula>kvartal &lt; 4</formula>
    </cfRule>
  </conditionalFormatting>
  <conditionalFormatting sqref="C72">
    <cfRule type="expression" dxfId="1498" priority="97">
      <formula>kvartal &lt; 4</formula>
    </cfRule>
  </conditionalFormatting>
  <conditionalFormatting sqref="B80">
    <cfRule type="expression" dxfId="1497" priority="96">
      <formula>kvartal &lt; 4</formula>
    </cfRule>
  </conditionalFormatting>
  <conditionalFormatting sqref="C80">
    <cfRule type="expression" dxfId="1496" priority="95">
      <formula>kvartal &lt; 4</formula>
    </cfRule>
  </conditionalFormatting>
  <conditionalFormatting sqref="B83">
    <cfRule type="expression" dxfId="1495" priority="94">
      <formula>kvartal &lt; 4</formula>
    </cfRule>
  </conditionalFormatting>
  <conditionalFormatting sqref="C83">
    <cfRule type="expression" dxfId="1494" priority="93">
      <formula>kvartal &lt; 4</formula>
    </cfRule>
  </conditionalFormatting>
  <conditionalFormatting sqref="B90">
    <cfRule type="expression" dxfId="1493" priority="84">
      <formula>kvartal &lt; 4</formula>
    </cfRule>
  </conditionalFormatting>
  <conditionalFormatting sqref="C90">
    <cfRule type="expression" dxfId="1492" priority="83">
      <formula>kvartal &lt; 4</formula>
    </cfRule>
  </conditionalFormatting>
  <conditionalFormatting sqref="B93">
    <cfRule type="expression" dxfId="1491" priority="82">
      <formula>kvartal &lt; 4</formula>
    </cfRule>
  </conditionalFormatting>
  <conditionalFormatting sqref="C93">
    <cfRule type="expression" dxfId="1490" priority="81">
      <formula>kvartal &lt; 4</formula>
    </cfRule>
  </conditionalFormatting>
  <conditionalFormatting sqref="B101">
    <cfRule type="expression" dxfId="1489" priority="80">
      <formula>kvartal &lt; 4</formula>
    </cfRule>
  </conditionalFormatting>
  <conditionalFormatting sqref="C101">
    <cfRule type="expression" dxfId="1488" priority="79">
      <formula>kvartal &lt; 4</formula>
    </cfRule>
  </conditionalFormatting>
  <conditionalFormatting sqref="B104">
    <cfRule type="expression" dxfId="1487" priority="78">
      <formula>kvartal &lt; 4</formula>
    </cfRule>
  </conditionalFormatting>
  <conditionalFormatting sqref="C104">
    <cfRule type="expression" dxfId="1486" priority="77">
      <formula>kvartal &lt; 4</formula>
    </cfRule>
  </conditionalFormatting>
  <conditionalFormatting sqref="B115">
    <cfRule type="expression" dxfId="1485" priority="76">
      <formula>kvartal &lt; 4</formula>
    </cfRule>
  </conditionalFormatting>
  <conditionalFormatting sqref="C115">
    <cfRule type="expression" dxfId="1484" priority="75">
      <formula>kvartal &lt; 4</formula>
    </cfRule>
  </conditionalFormatting>
  <conditionalFormatting sqref="B123">
    <cfRule type="expression" dxfId="1483" priority="74">
      <formula>kvartal &lt; 4</formula>
    </cfRule>
  </conditionalFormatting>
  <conditionalFormatting sqref="C123">
    <cfRule type="expression" dxfId="1482" priority="73">
      <formula>kvartal &lt; 4</formula>
    </cfRule>
  </conditionalFormatting>
  <conditionalFormatting sqref="F70">
    <cfRule type="expression" dxfId="1481" priority="72">
      <formula>kvartal &lt; 4</formula>
    </cfRule>
  </conditionalFormatting>
  <conditionalFormatting sqref="G70">
    <cfRule type="expression" dxfId="1480" priority="71">
      <formula>kvartal &lt; 4</formula>
    </cfRule>
  </conditionalFormatting>
  <conditionalFormatting sqref="F71:G71">
    <cfRule type="expression" dxfId="1479" priority="70">
      <formula>kvartal &lt; 4</formula>
    </cfRule>
  </conditionalFormatting>
  <conditionalFormatting sqref="F73:G74">
    <cfRule type="expression" dxfId="1478" priority="69">
      <formula>kvartal &lt; 4</formula>
    </cfRule>
  </conditionalFormatting>
  <conditionalFormatting sqref="F81:G82">
    <cfRule type="expression" dxfId="1477" priority="68">
      <formula>kvartal &lt; 4</formula>
    </cfRule>
  </conditionalFormatting>
  <conditionalFormatting sqref="F84:G85">
    <cfRule type="expression" dxfId="1476" priority="67">
      <formula>kvartal &lt; 4</formula>
    </cfRule>
  </conditionalFormatting>
  <conditionalFormatting sqref="F91:G92">
    <cfRule type="expression" dxfId="1475" priority="62">
      <formula>kvartal &lt; 4</formula>
    </cfRule>
  </conditionalFormatting>
  <conditionalFormatting sqref="F94:G95">
    <cfRule type="expression" dxfId="1474" priority="61">
      <formula>kvartal &lt; 4</formula>
    </cfRule>
  </conditionalFormatting>
  <conditionalFormatting sqref="F102:G103">
    <cfRule type="expression" dxfId="1473" priority="60">
      <formula>kvartal &lt; 4</formula>
    </cfRule>
  </conditionalFormatting>
  <conditionalFormatting sqref="F105:G106">
    <cfRule type="expression" dxfId="1472" priority="59">
      <formula>kvartal &lt; 4</formula>
    </cfRule>
  </conditionalFormatting>
  <conditionalFormatting sqref="F115">
    <cfRule type="expression" dxfId="1471" priority="58">
      <formula>kvartal &lt; 4</formula>
    </cfRule>
  </conditionalFormatting>
  <conditionalFormatting sqref="G115">
    <cfRule type="expression" dxfId="1470" priority="57">
      <formula>kvartal &lt; 4</formula>
    </cfRule>
  </conditionalFormatting>
  <conditionalFormatting sqref="F123:G123">
    <cfRule type="expression" dxfId="1469" priority="56">
      <formula>kvartal &lt; 4</formula>
    </cfRule>
  </conditionalFormatting>
  <conditionalFormatting sqref="F69:G69">
    <cfRule type="expression" dxfId="1468" priority="55">
      <formula>kvartal &lt; 4</formula>
    </cfRule>
  </conditionalFormatting>
  <conditionalFormatting sqref="F72:G72">
    <cfRule type="expression" dxfId="1467" priority="54">
      <formula>kvartal &lt; 4</formula>
    </cfRule>
  </conditionalFormatting>
  <conditionalFormatting sqref="F80:G80">
    <cfRule type="expression" dxfId="1466" priority="53">
      <formula>kvartal &lt; 4</formula>
    </cfRule>
  </conditionalFormatting>
  <conditionalFormatting sqref="F83:G83">
    <cfRule type="expression" dxfId="1465" priority="52">
      <formula>kvartal &lt; 4</formula>
    </cfRule>
  </conditionalFormatting>
  <conditionalFormatting sqref="F90:G90">
    <cfRule type="expression" dxfId="1464" priority="46">
      <formula>kvartal &lt; 4</formula>
    </cfRule>
  </conditionalFormatting>
  <conditionalFormatting sqref="F93">
    <cfRule type="expression" dxfId="1463" priority="45">
      <formula>kvartal &lt; 4</formula>
    </cfRule>
  </conditionalFormatting>
  <conditionalFormatting sqref="G93">
    <cfRule type="expression" dxfId="1462" priority="44">
      <formula>kvartal &lt; 4</formula>
    </cfRule>
  </conditionalFormatting>
  <conditionalFormatting sqref="F101">
    <cfRule type="expression" dxfId="1461" priority="43">
      <formula>kvartal &lt; 4</formula>
    </cfRule>
  </conditionalFormatting>
  <conditionalFormatting sqref="G101">
    <cfRule type="expression" dxfId="1460" priority="42">
      <formula>kvartal &lt; 4</formula>
    </cfRule>
  </conditionalFormatting>
  <conditionalFormatting sqref="G104">
    <cfRule type="expression" dxfId="1459" priority="41">
      <formula>kvartal &lt; 4</formula>
    </cfRule>
  </conditionalFormatting>
  <conditionalFormatting sqref="F104">
    <cfRule type="expression" dxfId="1458" priority="40">
      <formula>kvartal &lt; 4</formula>
    </cfRule>
  </conditionalFormatting>
  <conditionalFormatting sqref="J69:K73">
    <cfRule type="expression" dxfId="1457" priority="39">
      <formula>kvartal &lt; 4</formula>
    </cfRule>
  </conditionalFormatting>
  <conditionalFormatting sqref="J74:K74">
    <cfRule type="expression" dxfId="1456" priority="38">
      <formula>kvartal &lt; 4</formula>
    </cfRule>
  </conditionalFormatting>
  <conditionalFormatting sqref="J80:K85">
    <cfRule type="expression" dxfId="1455" priority="37">
      <formula>kvartal &lt; 4</formula>
    </cfRule>
  </conditionalFormatting>
  <conditionalFormatting sqref="J90:K95">
    <cfRule type="expression" dxfId="1454" priority="34">
      <formula>kvartal &lt; 4</formula>
    </cfRule>
  </conditionalFormatting>
  <conditionalFormatting sqref="J101:K106">
    <cfRule type="expression" dxfId="1453" priority="33">
      <formula>kvartal &lt; 4</formula>
    </cfRule>
  </conditionalFormatting>
  <conditionalFormatting sqref="J115:K115">
    <cfRule type="expression" dxfId="1452" priority="32">
      <formula>kvartal &lt; 4</formula>
    </cfRule>
  </conditionalFormatting>
  <conditionalFormatting sqref="J123:K123">
    <cfRule type="expression" dxfId="1451" priority="31">
      <formula>kvartal &lt; 4</formula>
    </cfRule>
  </conditionalFormatting>
  <conditionalFormatting sqref="A50:A52">
    <cfRule type="expression" dxfId="1450" priority="12">
      <formula>kvartal &lt; 4</formula>
    </cfRule>
  </conditionalFormatting>
  <conditionalFormatting sqref="A69:A74">
    <cfRule type="expression" dxfId="1449" priority="10">
      <formula>kvartal &lt; 4</formula>
    </cfRule>
  </conditionalFormatting>
  <conditionalFormatting sqref="A80:A85">
    <cfRule type="expression" dxfId="1448" priority="9">
      <formula>kvartal &lt; 4</formula>
    </cfRule>
  </conditionalFormatting>
  <conditionalFormatting sqref="A90:A95">
    <cfRule type="expression" dxfId="1447" priority="6">
      <formula>kvartal &lt; 4</formula>
    </cfRule>
  </conditionalFormatting>
  <conditionalFormatting sqref="A101:A106">
    <cfRule type="expression" dxfId="1446" priority="5">
      <formula>kvartal &lt; 4</formula>
    </cfRule>
  </conditionalFormatting>
  <conditionalFormatting sqref="A115">
    <cfRule type="expression" dxfId="1445" priority="4">
      <formula>kvartal &lt; 4</formula>
    </cfRule>
  </conditionalFormatting>
  <conditionalFormatting sqref="A123">
    <cfRule type="expression" dxfId="1444" priority="3">
      <formula>kvartal &lt; 4</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5"/>
  <dimension ref="A1:N144"/>
  <sheetViews>
    <sheetView showGridLines="0" zoomScale="120" zoomScaleNormal="120" workbookViewId="0"/>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133</v>
      </c>
      <c r="B1" s="988"/>
      <c r="C1" s="248" t="s">
        <v>128</v>
      </c>
      <c r="D1" s="26"/>
      <c r="E1" s="26"/>
      <c r="F1" s="26"/>
      <c r="G1" s="26"/>
      <c r="H1" s="26"/>
      <c r="I1" s="26"/>
      <c r="J1" s="26"/>
      <c r="K1" s="26"/>
      <c r="L1" s="26"/>
      <c r="M1" s="26"/>
    </row>
    <row r="2" spans="1:14" ht="15.75" x14ac:dyDescent="0.25">
      <c r="A2" s="165" t="s">
        <v>28</v>
      </c>
      <c r="B2" s="1027"/>
      <c r="C2" s="1027"/>
      <c r="D2" s="1027"/>
      <c r="E2" s="301"/>
      <c r="F2" s="1027"/>
      <c r="G2" s="1027"/>
      <c r="H2" s="1027"/>
      <c r="I2" s="301"/>
      <c r="J2" s="1027"/>
      <c r="K2" s="1027"/>
      <c r="L2" s="1027"/>
      <c r="M2" s="301"/>
    </row>
    <row r="3" spans="1:14" ht="15.75" x14ac:dyDescent="0.25">
      <c r="A3" s="163"/>
      <c r="B3" s="301"/>
      <c r="C3" s="301"/>
      <c r="D3" s="301"/>
      <c r="E3" s="301"/>
      <c r="F3" s="301"/>
      <c r="G3" s="301"/>
      <c r="H3" s="301"/>
      <c r="I3" s="301"/>
      <c r="J3" s="301"/>
      <c r="K3" s="301"/>
      <c r="L3" s="301"/>
      <c r="M3" s="301"/>
    </row>
    <row r="4" spans="1:14" x14ac:dyDescent="0.2">
      <c r="A4" s="144"/>
      <c r="B4" s="1023" t="s">
        <v>0</v>
      </c>
      <c r="C4" s="1024"/>
      <c r="D4" s="1024"/>
      <c r="E4" s="303"/>
      <c r="F4" s="1023" t="s">
        <v>1</v>
      </c>
      <c r="G4" s="1024"/>
      <c r="H4" s="1024"/>
      <c r="I4" s="306"/>
      <c r="J4" s="1023" t="s">
        <v>2</v>
      </c>
      <c r="K4" s="1024"/>
      <c r="L4" s="1024"/>
      <c r="M4" s="306"/>
    </row>
    <row r="5" spans="1:14" x14ac:dyDescent="0.2">
      <c r="A5" s="158"/>
      <c r="B5" s="152" t="s">
        <v>502</v>
      </c>
      <c r="C5" s="152" t="s">
        <v>503</v>
      </c>
      <c r="D5" s="245" t="s">
        <v>3</v>
      </c>
      <c r="E5" s="307" t="s">
        <v>29</v>
      </c>
      <c r="F5" s="152" t="s">
        <v>502</v>
      </c>
      <c r="G5" s="152" t="s">
        <v>503</v>
      </c>
      <c r="H5" s="245" t="s">
        <v>3</v>
      </c>
      <c r="I5" s="162" t="s">
        <v>29</v>
      </c>
      <c r="J5" s="152" t="s">
        <v>502</v>
      </c>
      <c r="K5" s="152" t="s">
        <v>503</v>
      </c>
      <c r="L5" s="245" t="s">
        <v>3</v>
      </c>
      <c r="M5" s="162" t="s">
        <v>29</v>
      </c>
    </row>
    <row r="6" spans="1:14" x14ac:dyDescent="0.2">
      <c r="A6" s="989"/>
      <c r="B6" s="156"/>
      <c r="C6" s="156"/>
      <c r="D6" s="246" t="s">
        <v>4</v>
      </c>
      <c r="E6" s="156" t="s">
        <v>30</v>
      </c>
      <c r="F6" s="161"/>
      <c r="G6" s="161"/>
      <c r="H6" s="245" t="s">
        <v>4</v>
      </c>
      <c r="I6" s="156" t="s">
        <v>30</v>
      </c>
      <c r="J6" s="161"/>
      <c r="K6" s="161"/>
      <c r="L6" s="245" t="s">
        <v>4</v>
      </c>
      <c r="M6" s="156" t="s">
        <v>30</v>
      </c>
    </row>
    <row r="7" spans="1:14" ht="15.75" x14ac:dyDescent="0.2">
      <c r="A7" s="14" t="s">
        <v>23</v>
      </c>
      <c r="B7" s="308">
        <v>477246.679953388</v>
      </c>
      <c r="C7" s="309">
        <v>494524.56</v>
      </c>
      <c r="D7" s="351">
        <f>IF(B7=0, "    ---- ", IF(ABS(ROUND(100/B7*C7-100,1))&lt;999,ROUND(100/B7*C7-100,1),IF(ROUND(100/B7*C7-100,1)&gt;999,999,-999)))</f>
        <v>3.6</v>
      </c>
      <c r="E7" s="11">
        <f>IFERROR(100/'Skjema total MA'!C7*C7,0)</f>
        <v>10.401653682964305</v>
      </c>
      <c r="F7" s="308">
        <v>7658214.71985</v>
      </c>
      <c r="G7" s="309">
        <v>7275835</v>
      </c>
      <c r="H7" s="351">
        <f>IF(F7=0, "    ---- ", IF(ABS(ROUND(100/F7*G7-100,1))&lt;999,ROUND(100/F7*G7-100,1),IF(ROUND(100/F7*G7-100,1)&gt;999,999,-999)))</f>
        <v>-5</v>
      </c>
      <c r="I7" s="160">
        <f>IFERROR(100/'Skjema total MA'!F7*G7,0)</f>
        <v>70.635058422993509</v>
      </c>
      <c r="J7" s="310">
        <f t="shared" ref="J7:K12" si="0">SUM(B7,F7)</f>
        <v>8135461.3998033879</v>
      </c>
      <c r="K7" s="311">
        <f t="shared" si="0"/>
        <v>7770359.5599999996</v>
      </c>
      <c r="L7" s="428">
        <f>IF(J7=0, "    ---- ", IF(ABS(ROUND(100/J7*K7-100,1))&lt;999,ROUND(100/J7*K7-100,1),IF(ROUND(100/J7*K7-100,1)&gt;999,999,-999)))</f>
        <v>-4.5</v>
      </c>
      <c r="M7" s="11">
        <f>IFERROR(100/'Skjema total MA'!I7*K7,0)</f>
        <v>51.613532415685093</v>
      </c>
    </row>
    <row r="8" spans="1:14" ht="15.75" x14ac:dyDescent="0.2">
      <c r="A8" s="21" t="s">
        <v>25</v>
      </c>
      <c r="B8" s="283">
        <v>392563.274672036</v>
      </c>
      <c r="C8" s="284">
        <v>413429</v>
      </c>
      <c r="D8" s="166">
        <f t="shared" ref="D8:D10" si="1">IF(B8=0, "    ---- ", IF(ABS(ROUND(100/B8*C8-100,1))&lt;999,ROUND(100/B8*C8-100,1),IF(ROUND(100/B8*C8-100,1)&gt;999,999,-999)))</f>
        <v>5.3</v>
      </c>
      <c r="E8" s="27">
        <f>IFERROR(100/'Skjema total MA'!C8*C8,0)</f>
        <v>13.324430640881145</v>
      </c>
      <c r="F8" s="287"/>
      <c r="G8" s="288"/>
      <c r="H8" s="166"/>
      <c r="I8" s="175"/>
      <c r="J8" s="234">
        <f t="shared" si="0"/>
        <v>392563.274672036</v>
      </c>
      <c r="K8" s="289">
        <f t="shared" si="0"/>
        <v>413429</v>
      </c>
      <c r="L8" s="166">
        <f t="shared" ref="L8:L9" si="2">IF(J8=0, "    ---- ", IF(ABS(ROUND(100/J8*K8-100,1))&lt;999,ROUND(100/J8*K8-100,1),IF(ROUND(100/J8*K8-100,1)&gt;999,999,-999)))</f>
        <v>5.3</v>
      </c>
      <c r="M8" s="27">
        <f>IFERROR(100/'Skjema total MA'!I8*K8,0)</f>
        <v>13.324430640881145</v>
      </c>
    </row>
    <row r="9" spans="1:14" ht="15.75" x14ac:dyDescent="0.2">
      <c r="A9" s="21" t="s">
        <v>24</v>
      </c>
      <c r="B9" s="283">
        <v>77295.762693903496</v>
      </c>
      <c r="C9" s="284">
        <v>74081.83</v>
      </c>
      <c r="D9" s="166">
        <f t="shared" si="1"/>
        <v>-4.2</v>
      </c>
      <c r="E9" s="27">
        <f>IFERROR(100/'Skjema total MA'!C9*C9,0)</f>
        <v>7.8126577566414781</v>
      </c>
      <c r="F9" s="287"/>
      <c r="G9" s="288"/>
      <c r="H9" s="166"/>
      <c r="I9" s="175"/>
      <c r="J9" s="234">
        <f t="shared" si="0"/>
        <v>77295.762693903496</v>
      </c>
      <c r="K9" s="289">
        <f t="shared" si="0"/>
        <v>74081.83</v>
      </c>
      <c r="L9" s="166">
        <f t="shared" si="2"/>
        <v>-4.2</v>
      </c>
      <c r="M9" s="27">
        <f>IFERROR(100/'Skjema total MA'!I9*K9,0)</f>
        <v>7.8126577566414781</v>
      </c>
    </row>
    <row r="10" spans="1:14" ht="15.75" x14ac:dyDescent="0.2">
      <c r="A10" s="13" t="s">
        <v>444</v>
      </c>
      <c r="B10" s="312">
        <v>805879.46846914</v>
      </c>
      <c r="C10" s="313">
        <v>707001</v>
      </c>
      <c r="D10" s="171">
        <f t="shared" si="1"/>
        <v>-12.3</v>
      </c>
      <c r="E10" s="11">
        <f>IFERROR(100/'Skjema total MA'!C10*C10,0)</f>
        <v>3.5836609276214779</v>
      </c>
      <c r="F10" s="312">
        <v>32169321.120999999</v>
      </c>
      <c r="G10" s="313">
        <v>36728300</v>
      </c>
      <c r="H10" s="171">
        <f t="shared" ref="H10:H12" si="3">IF(F10=0, "    ---- ", IF(ABS(ROUND(100/F10*G10-100,1))&lt;999,ROUND(100/F10*G10-100,1),IF(ROUND(100/F10*G10-100,1)&gt;999,999,-999)))</f>
        <v>14.2</v>
      </c>
      <c r="I10" s="160">
        <f>IFERROR(100/'Skjema total MA'!F10*G10,0)</f>
        <v>60.516495277837912</v>
      </c>
      <c r="J10" s="310">
        <f t="shared" si="0"/>
        <v>32975200.589469139</v>
      </c>
      <c r="K10" s="311">
        <f t="shared" si="0"/>
        <v>37435301</v>
      </c>
      <c r="L10" s="429">
        <f t="shared" ref="L10:L12" si="4">IF(J10=0, "    ---- ", IF(ABS(ROUND(100/J10*K10-100,1))&lt;999,ROUND(100/J10*K10-100,1),IF(ROUND(100/J10*K10-100,1)&gt;999,999,-999)))</f>
        <v>13.5</v>
      </c>
      <c r="M10" s="11">
        <f>IFERROR(100/'Skjema total MA'!I10*K10,0)</f>
        <v>46.549830828161966</v>
      </c>
    </row>
    <row r="11" spans="1:14" s="43" customFormat="1" ht="15.75" x14ac:dyDescent="0.2">
      <c r="A11" s="13" t="s">
        <v>445</v>
      </c>
      <c r="B11" s="312"/>
      <c r="C11" s="313"/>
      <c r="D11" s="171"/>
      <c r="E11" s="11"/>
      <c r="F11" s="312">
        <v>261368.92395999999</v>
      </c>
      <c r="G11" s="313">
        <v>199543.67999999999</v>
      </c>
      <c r="H11" s="171">
        <f t="shared" si="3"/>
        <v>-23.7</v>
      </c>
      <c r="I11" s="160">
        <f>IFERROR(100/'Skjema total MA'!F11*G11,0)</f>
        <v>58.275825084993585</v>
      </c>
      <c r="J11" s="310">
        <f t="shared" si="0"/>
        <v>261368.92395999999</v>
      </c>
      <c r="K11" s="311">
        <f t="shared" si="0"/>
        <v>199543.67999999999</v>
      </c>
      <c r="L11" s="429">
        <f t="shared" si="4"/>
        <v>-23.7</v>
      </c>
      <c r="M11" s="11">
        <f>IFERROR(100/'Skjema total MA'!I11*K11,0)</f>
        <v>52.12055610340623</v>
      </c>
      <c r="N11" s="143"/>
    </row>
    <row r="12" spans="1:14" s="43" customFormat="1" ht="15.75" x14ac:dyDescent="0.2">
      <c r="A12" s="41" t="s">
        <v>446</v>
      </c>
      <c r="B12" s="314"/>
      <c r="C12" s="315"/>
      <c r="D12" s="169"/>
      <c r="E12" s="36"/>
      <c r="F12" s="314">
        <v>51490.118929999997</v>
      </c>
      <c r="G12" s="315">
        <v>60124</v>
      </c>
      <c r="H12" s="169">
        <f t="shared" si="3"/>
        <v>16.8</v>
      </c>
      <c r="I12" s="169">
        <f>IFERROR(100/'Skjema total MA'!F12*G12,0)</f>
        <v>24.437623101569422</v>
      </c>
      <c r="J12" s="316">
        <f t="shared" si="0"/>
        <v>51490.118929999997</v>
      </c>
      <c r="K12" s="317">
        <f t="shared" si="0"/>
        <v>60124</v>
      </c>
      <c r="L12" s="430">
        <f t="shared" si="4"/>
        <v>16.8</v>
      </c>
      <c r="M12" s="36">
        <f>IFERROR(100/'Skjema total MA'!I12*K12,0)</f>
        <v>24.159528347243281</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1022"/>
      <c r="C18" s="1022"/>
      <c r="D18" s="1022"/>
      <c r="E18" s="301"/>
      <c r="F18" s="1022"/>
      <c r="G18" s="1022"/>
      <c r="H18" s="1022"/>
      <c r="I18" s="301"/>
      <c r="J18" s="1022"/>
      <c r="K18" s="1022"/>
      <c r="L18" s="1022"/>
      <c r="M18" s="301"/>
    </row>
    <row r="19" spans="1:14" x14ac:dyDescent="0.2">
      <c r="A19" s="144"/>
      <c r="B19" s="1023" t="s">
        <v>0</v>
      </c>
      <c r="C19" s="1024"/>
      <c r="D19" s="1024"/>
      <c r="E19" s="303"/>
      <c r="F19" s="1023" t="s">
        <v>1</v>
      </c>
      <c r="G19" s="1024"/>
      <c r="H19" s="1024"/>
      <c r="I19" s="306"/>
      <c r="J19" s="1023" t="s">
        <v>2</v>
      </c>
      <c r="K19" s="1024"/>
      <c r="L19" s="1024"/>
      <c r="M19" s="306"/>
    </row>
    <row r="20" spans="1:14" x14ac:dyDescent="0.2">
      <c r="A20" s="140" t="s">
        <v>5</v>
      </c>
      <c r="B20" s="152" t="s">
        <v>502</v>
      </c>
      <c r="C20" s="152" t="s">
        <v>503</v>
      </c>
      <c r="D20" s="162" t="s">
        <v>3</v>
      </c>
      <c r="E20" s="307" t="s">
        <v>29</v>
      </c>
      <c r="F20" s="152" t="s">
        <v>502</v>
      </c>
      <c r="G20" s="152" t="s">
        <v>503</v>
      </c>
      <c r="H20" s="162" t="s">
        <v>3</v>
      </c>
      <c r="I20" s="162" t="s">
        <v>29</v>
      </c>
      <c r="J20" s="152" t="s">
        <v>502</v>
      </c>
      <c r="K20" s="152" t="s">
        <v>503</v>
      </c>
      <c r="L20" s="162" t="s">
        <v>3</v>
      </c>
      <c r="M20" s="162" t="s">
        <v>29</v>
      </c>
    </row>
    <row r="21" spans="1:14" x14ac:dyDescent="0.2">
      <c r="A21" s="990"/>
      <c r="B21" s="156"/>
      <c r="C21" s="156"/>
      <c r="D21" s="246" t="s">
        <v>4</v>
      </c>
      <c r="E21" s="156" t="s">
        <v>30</v>
      </c>
      <c r="F21" s="161"/>
      <c r="G21" s="161"/>
      <c r="H21" s="245" t="s">
        <v>4</v>
      </c>
      <c r="I21" s="156" t="s">
        <v>30</v>
      </c>
      <c r="J21" s="161"/>
      <c r="K21" s="161"/>
      <c r="L21" s="156" t="s">
        <v>4</v>
      </c>
      <c r="M21" s="156" t="s">
        <v>30</v>
      </c>
    </row>
    <row r="22" spans="1:14" ht="15.75" x14ac:dyDescent="0.2">
      <c r="A22" s="14" t="s">
        <v>23</v>
      </c>
      <c r="B22" s="312">
        <v>155243.40268341699</v>
      </c>
      <c r="C22" s="312">
        <v>170424.52</v>
      </c>
      <c r="D22" s="351">
        <f t="shared" ref="D22:D34" si="5">IF(B22=0, "    ---- ", IF(ABS(ROUND(100/B22*C22-100,1))&lt;999,ROUND(100/B22*C22-100,1),IF(ROUND(100/B22*C22-100,1)&gt;999,999,-999)))</f>
        <v>9.8000000000000007</v>
      </c>
      <c r="E22" s="11">
        <f>IFERROR(100/'Skjema total MA'!C22*C22,0)</f>
        <v>9.6060549915142222</v>
      </c>
      <c r="F22" s="320">
        <v>307983.53473000001</v>
      </c>
      <c r="G22" s="320">
        <v>341060</v>
      </c>
      <c r="H22" s="351">
        <f t="shared" ref="H22:H35" si="6">IF(F22=0, "    ---- ", IF(ABS(ROUND(100/F22*G22-100,1))&lt;999,ROUND(100/F22*G22-100,1),IF(ROUND(100/F22*G22-100,1)&gt;999,999,-999)))</f>
        <v>10.7</v>
      </c>
      <c r="I22" s="11">
        <f>IFERROR(100/'Skjema total MA'!F22*G22,0)</f>
        <v>22.923680365350599</v>
      </c>
      <c r="J22" s="318">
        <f t="shared" ref="J22:K35" si="7">SUM(B22,F22)</f>
        <v>463226.93741341704</v>
      </c>
      <c r="K22" s="318">
        <f t="shared" si="7"/>
        <v>511484.52</v>
      </c>
      <c r="L22" s="428">
        <f t="shared" ref="L22:L35" si="8">IF(J22=0, "    ---- ", IF(ABS(ROUND(100/J22*K22-100,1))&lt;999,ROUND(100/J22*K22-100,1),IF(ROUND(100/J22*K22-100,1)&gt;999,999,-999)))</f>
        <v>10.4</v>
      </c>
      <c r="M22" s="24">
        <f>IFERROR(100/'Skjema total MA'!I22*K22,0)</f>
        <v>15.68036404107416</v>
      </c>
    </row>
    <row r="23" spans="1:14" ht="15.75" x14ac:dyDescent="0.2">
      <c r="A23" s="811" t="s">
        <v>447</v>
      </c>
      <c r="B23" s="283">
        <v>154723.46268341699</v>
      </c>
      <c r="C23" s="283">
        <v>169903.32</v>
      </c>
      <c r="D23" s="166">
        <f t="shared" si="5"/>
        <v>9.8000000000000007</v>
      </c>
      <c r="E23" s="11">
        <f>IFERROR(100/'Skjema total MA'!C23*C23,0)</f>
        <v>15.836231721740372</v>
      </c>
      <c r="F23" s="292">
        <v>4102.2550000000001</v>
      </c>
      <c r="G23" s="292">
        <v>3536</v>
      </c>
      <c r="H23" s="166">
        <f t="shared" si="6"/>
        <v>-13.8</v>
      </c>
      <c r="I23" s="418">
        <f>IFERROR(100/'Skjema total MA'!F23*G23,0)</f>
        <v>1.9735215658854623</v>
      </c>
      <c r="J23" s="292">
        <f t="shared" ref="J23:J26" si="9">SUM(B23,F23)</f>
        <v>158825.71768341699</v>
      </c>
      <c r="K23" s="292">
        <f t="shared" ref="K23:K26" si="10">SUM(C23,G23)</f>
        <v>173439.32</v>
      </c>
      <c r="L23" s="166">
        <f t="shared" si="8"/>
        <v>9.1999999999999993</v>
      </c>
      <c r="M23" s="23">
        <f>IFERROR(100/'Skjema total MA'!I23*K23,0)</f>
        <v>13.852435345967285</v>
      </c>
    </row>
    <row r="24" spans="1:14" ht="15.75" x14ac:dyDescent="0.2">
      <c r="A24" s="811" t="s">
        <v>448</v>
      </c>
      <c r="B24" s="283">
        <v>519.94000000000005</v>
      </c>
      <c r="C24" s="283">
        <v>518.70000000000005</v>
      </c>
      <c r="D24" s="166">
        <f t="shared" si="5"/>
        <v>-0.2</v>
      </c>
      <c r="E24" s="11">
        <f>IFERROR(100/'Skjema total MA'!C24*C24,0)</f>
        <v>1.3454166443237066</v>
      </c>
      <c r="F24" s="292">
        <v>0</v>
      </c>
      <c r="G24" s="292">
        <v>3536</v>
      </c>
      <c r="H24" s="166" t="str">
        <f t="shared" si="6"/>
        <v xml:space="preserve">    ---- </v>
      </c>
      <c r="I24" s="418">
        <f>IFERROR(100/'Skjema total MA'!F24*G24,0)</f>
        <v>76.388174745026859</v>
      </c>
      <c r="J24" s="292">
        <f t="shared" si="9"/>
        <v>519.94000000000005</v>
      </c>
      <c r="K24" s="292">
        <f t="shared" si="10"/>
        <v>4054.7</v>
      </c>
      <c r="L24" s="257">
        <f t="shared" si="8"/>
        <v>679.8</v>
      </c>
      <c r="M24" s="23">
        <f>IFERROR(100/'Skjema total MA'!I24*K24,0)</f>
        <v>9.3897699093422009</v>
      </c>
    </row>
    <row r="25" spans="1:14" ht="15.75" x14ac:dyDescent="0.2">
      <c r="A25" s="811" t="s">
        <v>449</v>
      </c>
      <c r="B25" s="283">
        <v>0</v>
      </c>
      <c r="C25" s="283">
        <v>2.5</v>
      </c>
      <c r="D25" s="166" t="str">
        <f t="shared" si="5"/>
        <v xml:space="preserve">    ---- </v>
      </c>
      <c r="E25" s="11">
        <f>IFERROR(100/'Skjema total MA'!C25*C25,0)</f>
        <v>6.4531967794563636E-3</v>
      </c>
      <c r="F25" s="292">
        <v>947.88599999999997</v>
      </c>
      <c r="G25" s="292">
        <v>1606</v>
      </c>
      <c r="H25" s="166">
        <f t="shared" si="6"/>
        <v>69.400000000000006</v>
      </c>
      <c r="I25" s="418">
        <f>IFERROR(100/'Skjema total MA'!F25*G25,0)</f>
        <v>6.2994846905025845</v>
      </c>
      <c r="J25" s="292">
        <f t="shared" si="9"/>
        <v>947.88599999999997</v>
      </c>
      <c r="K25" s="292">
        <f t="shared" si="10"/>
        <v>1608.5</v>
      </c>
      <c r="L25" s="166">
        <f t="shared" si="8"/>
        <v>69.7</v>
      </c>
      <c r="M25" s="23">
        <f>IFERROR(100/'Skjema total MA'!I25*K25,0)</f>
        <v>2.5041006704103821</v>
      </c>
    </row>
    <row r="26" spans="1:14" ht="15.75" x14ac:dyDescent="0.2">
      <c r="A26" s="811" t="s">
        <v>450</v>
      </c>
      <c r="B26" s="283"/>
      <c r="C26" s="283"/>
      <c r="D26" s="166"/>
      <c r="E26" s="11"/>
      <c r="F26" s="292">
        <v>302933.39373000001</v>
      </c>
      <c r="G26" s="292">
        <v>335918</v>
      </c>
      <c r="H26" s="166">
        <f t="shared" si="6"/>
        <v>10.9</v>
      </c>
      <c r="I26" s="418">
        <f>IFERROR(100/'Skjema total MA'!F26*G26,0)</f>
        <v>26.201686695332029</v>
      </c>
      <c r="J26" s="292">
        <f t="shared" si="9"/>
        <v>302933.39373000001</v>
      </c>
      <c r="K26" s="292">
        <f t="shared" si="10"/>
        <v>335918</v>
      </c>
      <c r="L26" s="166">
        <f t="shared" si="8"/>
        <v>10.9</v>
      </c>
      <c r="M26" s="23">
        <f>IFERROR(100/'Skjema total MA'!I26*K26,0)</f>
        <v>26.201686695332029</v>
      </c>
    </row>
    <row r="27" spans="1:14" x14ac:dyDescent="0.2">
      <c r="A27" s="811" t="s">
        <v>11</v>
      </c>
      <c r="B27" s="283"/>
      <c r="C27" s="283"/>
      <c r="D27" s="166"/>
      <c r="E27" s="11"/>
      <c r="F27" s="292"/>
      <c r="G27" s="292"/>
      <c r="H27" s="166"/>
      <c r="I27" s="418"/>
      <c r="J27" s="292"/>
      <c r="K27" s="292"/>
      <c r="L27" s="166"/>
      <c r="M27" s="23"/>
    </row>
    <row r="28" spans="1:14" ht="15.75" x14ac:dyDescent="0.2">
      <c r="A28" s="49" t="s">
        <v>272</v>
      </c>
      <c r="B28" s="44">
        <v>159664.20974119499</v>
      </c>
      <c r="C28" s="289">
        <v>175542.39999999999</v>
      </c>
      <c r="D28" s="166">
        <f t="shared" si="5"/>
        <v>9.9</v>
      </c>
      <c r="E28" s="11">
        <f>IFERROR(100/'Skjema total MA'!C28*C28,0)</f>
        <v>9.2081539246061936</v>
      </c>
      <c r="F28" s="234"/>
      <c r="G28" s="289"/>
      <c r="H28" s="166"/>
      <c r="I28" s="27"/>
      <c r="J28" s="44">
        <f t="shared" si="7"/>
        <v>159664.20974119499</v>
      </c>
      <c r="K28" s="44">
        <f t="shared" si="7"/>
        <v>175542.39999999999</v>
      </c>
      <c r="L28" s="257">
        <f t="shared" si="8"/>
        <v>9.9</v>
      </c>
      <c r="M28" s="23">
        <f>IFERROR(100/'Skjema total MA'!I28*K28,0)</f>
        <v>9.2081539246061936</v>
      </c>
    </row>
    <row r="29" spans="1:14" s="3" customFormat="1" ht="15.75" x14ac:dyDescent="0.2">
      <c r="A29" s="13" t="s">
        <v>444</v>
      </c>
      <c r="B29" s="236">
        <v>3860288</v>
      </c>
      <c r="C29" s="236">
        <v>3896255</v>
      </c>
      <c r="D29" s="171">
        <f t="shared" si="5"/>
        <v>0.9</v>
      </c>
      <c r="E29" s="11">
        <f>IFERROR(100/'Skjema total MA'!C29*C29,0)</f>
        <v>8.5164509937828612</v>
      </c>
      <c r="F29" s="310">
        <v>4316914.67</v>
      </c>
      <c r="G29" s="310">
        <v>4941135</v>
      </c>
      <c r="H29" s="171">
        <f t="shared" si="6"/>
        <v>14.5</v>
      </c>
      <c r="I29" s="11">
        <f>IFERROR(100/'Skjema total MA'!F29*G29,0)</f>
        <v>20.136344243039083</v>
      </c>
      <c r="J29" s="236">
        <f t="shared" si="7"/>
        <v>8177202.6699999999</v>
      </c>
      <c r="K29" s="236">
        <f t="shared" si="7"/>
        <v>8837390</v>
      </c>
      <c r="L29" s="429">
        <f t="shared" si="8"/>
        <v>8.1</v>
      </c>
      <c r="M29" s="24">
        <f>IFERROR(100/'Skjema total MA'!I29*K29,0)</f>
        <v>12.573088231362943</v>
      </c>
      <c r="N29" s="148"/>
    </row>
    <row r="30" spans="1:14" s="3" customFormat="1" ht="15.75" x14ac:dyDescent="0.2">
      <c r="A30" s="811" t="s">
        <v>447</v>
      </c>
      <c r="B30" s="283">
        <v>711663</v>
      </c>
      <c r="C30" s="283">
        <v>642365</v>
      </c>
      <c r="D30" s="166">
        <f t="shared" si="5"/>
        <v>-9.6999999999999993</v>
      </c>
      <c r="E30" s="11">
        <f>IFERROR(100/'Skjema total MA'!C30*C30,0)</f>
        <v>4.0619970244444099</v>
      </c>
      <c r="F30" s="292">
        <v>503964.85911560501</v>
      </c>
      <c r="G30" s="292">
        <v>480100</v>
      </c>
      <c r="H30" s="166">
        <f t="shared" si="6"/>
        <v>-4.7</v>
      </c>
      <c r="I30" s="418">
        <f>IFERROR(100/'Skjema total MA'!F30*G30,0)</f>
        <v>10.254876708544344</v>
      </c>
      <c r="J30" s="292">
        <f t="shared" ref="J30:J33" si="11">SUM(B30,F30)</f>
        <v>1215627.859115605</v>
      </c>
      <c r="K30" s="292">
        <f t="shared" ref="K30:K33" si="12">SUM(C30,G30)</f>
        <v>1122465</v>
      </c>
      <c r="L30" s="166">
        <f t="shared" si="8"/>
        <v>-7.7</v>
      </c>
      <c r="M30" s="23">
        <f>IFERROR(100/'Skjema total MA'!I30*K30,0)</f>
        <v>5.4765892495757882</v>
      </c>
      <c r="N30" s="148"/>
    </row>
    <row r="31" spans="1:14" s="3" customFormat="1" ht="15.75" x14ac:dyDescent="0.2">
      <c r="A31" s="811" t="s">
        <v>448</v>
      </c>
      <c r="B31" s="283">
        <v>2725890</v>
      </c>
      <c r="C31" s="283">
        <v>2732337</v>
      </c>
      <c r="D31" s="166">
        <f t="shared" si="5"/>
        <v>0.2</v>
      </c>
      <c r="E31" s="11">
        <f>IFERROR(100/'Skjema total MA'!C31*C31,0)</f>
        <v>11.609085535269916</v>
      </c>
      <c r="F31" s="292">
        <v>875988.96090387297</v>
      </c>
      <c r="G31" s="292">
        <v>829271</v>
      </c>
      <c r="H31" s="166">
        <f t="shared" si="6"/>
        <v>-5.3</v>
      </c>
      <c r="I31" s="418">
        <f>IFERROR(100/'Skjema total MA'!F31*G31,0)</f>
        <v>8.6834164377607319</v>
      </c>
      <c r="J31" s="292">
        <f t="shared" si="11"/>
        <v>3601878.9609038727</v>
      </c>
      <c r="K31" s="292">
        <f t="shared" si="12"/>
        <v>3561608</v>
      </c>
      <c r="L31" s="166">
        <f t="shared" si="8"/>
        <v>-1.1000000000000001</v>
      </c>
      <c r="M31" s="23">
        <f>IFERROR(100/'Skjema total MA'!I31*K31,0)</f>
        <v>10.764616918678829</v>
      </c>
      <c r="N31" s="148"/>
    </row>
    <row r="32" spans="1:14" ht="15.75" x14ac:dyDescent="0.2">
      <c r="A32" s="811" t="s">
        <v>449</v>
      </c>
      <c r="B32" s="283">
        <v>422735</v>
      </c>
      <c r="C32" s="283">
        <v>521553</v>
      </c>
      <c r="D32" s="166">
        <f t="shared" si="5"/>
        <v>23.4</v>
      </c>
      <c r="E32" s="11">
        <f>IFERROR(100/'Skjema total MA'!C32*C32,0)</f>
        <v>17.670850501105306</v>
      </c>
      <c r="F32" s="292">
        <v>2046803.0846958701</v>
      </c>
      <c r="G32" s="292">
        <v>2291223</v>
      </c>
      <c r="H32" s="166">
        <f t="shared" si="6"/>
        <v>11.9</v>
      </c>
      <c r="I32" s="418">
        <f>IFERROR(100/'Skjema total MA'!F32*G32,0)</f>
        <v>43.706191779169984</v>
      </c>
      <c r="J32" s="292">
        <f t="shared" si="11"/>
        <v>2469538.0846958701</v>
      </c>
      <c r="K32" s="292">
        <f t="shared" si="12"/>
        <v>2812776</v>
      </c>
      <c r="L32" s="166">
        <f t="shared" si="8"/>
        <v>13.9</v>
      </c>
      <c r="M32" s="23">
        <f>IFERROR(100/'Skjema total MA'!I32*K32,0)</f>
        <v>34.328025200211719</v>
      </c>
    </row>
    <row r="33" spans="1:14" ht="15.75" x14ac:dyDescent="0.2">
      <c r="A33" s="811" t="s">
        <v>450</v>
      </c>
      <c r="B33" s="283"/>
      <c r="C33" s="283"/>
      <c r="D33" s="166"/>
      <c r="E33" s="11"/>
      <c r="F33" s="292">
        <v>890157.765284647</v>
      </c>
      <c r="G33" s="292">
        <v>1340541</v>
      </c>
      <c r="H33" s="166">
        <f t="shared" si="6"/>
        <v>50.6</v>
      </c>
      <c r="I33" s="418">
        <f>IFERROR(100/'Skjema total MA'!F33*G33,0)</f>
        <v>26.470245107570776</v>
      </c>
      <c r="J33" s="292">
        <f t="shared" si="11"/>
        <v>890157.765284647</v>
      </c>
      <c r="K33" s="292">
        <f t="shared" si="12"/>
        <v>1340541</v>
      </c>
      <c r="L33" s="166">
        <f t="shared" si="8"/>
        <v>50.6</v>
      </c>
      <c r="M33" s="23">
        <f>IFERROR(100/'Skjema total MA'!I33*K33,0)</f>
        <v>26.470245107570776</v>
      </c>
    </row>
    <row r="34" spans="1:14" ht="15.75" x14ac:dyDescent="0.2">
      <c r="A34" s="13" t="s">
        <v>445</v>
      </c>
      <c r="B34" s="236">
        <v>0</v>
      </c>
      <c r="C34" s="311">
        <v>164</v>
      </c>
      <c r="D34" s="171" t="str">
        <f t="shared" si="5"/>
        <v xml:space="preserve">    ---- </v>
      </c>
      <c r="E34" s="11">
        <f>IFERROR(100/'Skjema total MA'!C34*C34,0)</f>
        <v>0.58914019888254465</v>
      </c>
      <c r="F34" s="310">
        <v>6518.2304400000003</v>
      </c>
      <c r="G34" s="311">
        <v>185229.61</v>
      </c>
      <c r="H34" s="171">
        <f t="shared" si="6"/>
        <v>999</v>
      </c>
      <c r="I34" s="11">
        <f>IFERROR(100/'Skjema total MA'!F34*G34,0)</f>
        <v>102.36366723554606</v>
      </c>
      <c r="J34" s="236">
        <f t="shared" si="7"/>
        <v>6518.2304400000003</v>
      </c>
      <c r="K34" s="236">
        <f t="shared" si="7"/>
        <v>185393.61</v>
      </c>
      <c r="L34" s="429">
        <f t="shared" si="8"/>
        <v>999</v>
      </c>
      <c r="M34" s="24">
        <f>IFERROR(100/'Skjema total MA'!I34*K34,0)</f>
        <v>88.794435123711224</v>
      </c>
    </row>
    <row r="35" spans="1:14" ht="15.75" x14ac:dyDescent="0.2">
      <c r="A35" s="13" t="s">
        <v>446</v>
      </c>
      <c r="B35" s="236"/>
      <c r="C35" s="311"/>
      <c r="D35" s="171"/>
      <c r="E35" s="11"/>
      <c r="F35" s="310">
        <v>27187.927619999999</v>
      </c>
      <c r="G35" s="311">
        <v>26984</v>
      </c>
      <c r="H35" s="171">
        <f t="shared" si="6"/>
        <v>-0.8</v>
      </c>
      <c r="I35" s="11">
        <f>IFERROR(100/'Skjema total MA'!F35*G35,0)</f>
        <v>16.233779290408947</v>
      </c>
      <c r="J35" s="236">
        <f t="shared" si="7"/>
        <v>27187.927619999999</v>
      </c>
      <c r="K35" s="236">
        <f t="shared" si="7"/>
        <v>26984</v>
      </c>
      <c r="L35" s="429">
        <f t="shared" si="8"/>
        <v>-0.8</v>
      </c>
      <c r="M35" s="24">
        <f>IFERROR(100/'Skjema total MA'!I35*K35,0)</f>
        <v>63.750843709659819</v>
      </c>
    </row>
    <row r="36" spans="1:14" ht="15.75" x14ac:dyDescent="0.2">
      <c r="A36" s="12" t="s">
        <v>280</v>
      </c>
      <c r="B36" s="236"/>
      <c r="C36" s="311"/>
      <c r="D36" s="171"/>
      <c r="E36" s="11"/>
      <c r="F36" s="321"/>
      <c r="G36" s="322"/>
      <c r="H36" s="171"/>
      <c r="I36" s="435"/>
      <c r="J36" s="236"/>
      <c r="K36" s="236"/>
      <c r="L36" s="429"/>
      <c r="M36" s="24"/>
    </row>
    <row r="37" spans="1:14" ht="15.75" x14ac:dyDescent="0.2">
      <c r="A37" s="12" t="s">
        <v>452</v>
      </c>
      <c r="B37" s="236"/>
      <c r="C37" s="311"/>
      <c r="D37" s="171"/>
      <c r="E37" s="11"/>
      <c r="F37" s="321"/>
      <c r="G37" s="323"/>
      <c r="H37" s="171"/>
      <c r="I37" s="435"/>
      <c r="J37" s="236"/>
      <c r="K37" s="236"/>
      <c r="L37" s="429"/>
      <c r="M37" s="24"/>
    </row>
    <row r="38" spans="1:14" ht="15.75" x14ac:dyDescent="0.2">
      <c r="A38" s="12" t="s">
        <v>453</v>
      </c>
      <c r="B38" s="236"/>
      <c r="C38" s="311"/>
      <c r="D38" s="171"/>
      <c r="E38" s="24"/>
      <c r="F38" s="321"/>
      <c r="G38" s="322"/>
      <c r="H38" s="171"/>
      <c r="I38" s="435"/>
      <c r="J38" s="236"/>
      <c r="K38" s="236"/>
      <c r="L38" s="429"/>
      <c r="M38" s="24"/>
    </row>
    <row r="39" spans="1:14" ht="15.75" x14ac:dyDescent="0.2">
      <c r="A39" s="18" t="s">
        <v>454</v>
      </c>
      <c r="B39" s="278"/>
      <c r="C39" s="317"/>
      <c r="D39" s="169"/>
      <c r="E39" s="36"/>
      <c r="F39" s="324"/>
      <c r="G39" s="325"/>
      <c r="H39" s="169"/>
      <c r="I39" s="36"/>
      <c r="J39" s="236"/>
      <c r="K39" s="236"/>
      <c r="L39" s="430"/>
      <c r="M39" s="36"/>
    </row>
    <row r="40" spans="1:14" ht="15.75" x14ac:dyDescent="0.25">
      <c r="A40" s="47"/>
      <c r="B40" s="256"/>
      <c r="C40" s="256"/>
      <c r="D40" s="1026"/>
      <c r="E40" s="1026"/>
      <c r="F40" s="1026"/>
      <c r="G40" s="1026"/>
      <c r="H40" s="1026"/>
      <c r="I40" s="1026"/>
      <c r="J40" s="1026"/>
      <c r="K40" s="1026"/>
      <c r="L40" s="1026"/>
      <c r="M40" s="304"/>
    </row>
    <row r="41" spans="1:14" x14ac:dyDescent="0.2">
      <c r="A41" s="155"/>
    </row>
    <row r="42" spans="1:14" ht="15.75" x14ac:dyDescent="0.25">
      <c r="A42" s="147" t="s">
        <v>269</v>
      </c>
      <c r="B42" s="1027"/>
      <c r="C42" s="1027"/>
      <c r="D42" s="1027"/>
      <c r="E42" s="301"/>
      <c r="F42" s="1028"/>
      <c r="G42" s="1028"/>
      <c r="H42" s="1028"/>
      <c r="I42" s="304"/>
      <c r="J42" s="1028"/>
      <c r="K42" s="1028"/>
      <c r="L42" s="1028"/>
      <c r="M42" s="304"/>
    </row>
    <row r="43" spans="1:14" ht="15.75" x14ac:dyDescent="0.25">
      <c r="A43" s="163"/>
      <c r="B43" s="305"/>
      <c r="C43" s="305"/>
      <c r="D43" s="305"/>
      <c r="E43" s="305"/>
      <c r="F43" s="304"/>
      <c r="G43" s="304"/>
      <c r="H43" s="304"/>
      <c r="I43" s="304"/>
      <c r="J43" s="304"/>
      <c r="K43" s="304"/>
      <c r="L43" s="304"/>
      <c r="M43" s="304"/>
    </row>
    <row r="44" spans="1:14" ht="15.75" x14ac:dyDescent="0.25">
      <c r="A44" s="247"/>
      <c r="B44" s="1023" t="s">
        <v>0</v>
      </c>
      <c r="C44" s="1024"/>
      <c r="D44" s="1024"/>
      <c r="E44" s="243"/>
      <c r="F44" s="304"/>
      <c r="G44" s="304"/>
      <c r="H44" s="304"/>
      <c r="I44" s="304"/>
      <c r="J44" s="304"/>
      <c r="K44" s="304"/>
      <c r="L44" s="304"/>
      <c r="M44" s="304"/>
    </row>
    <row r="45" spans="1:14" s="3" customFormat="1" x14ac:dyDescent="0.2">
      <c r="A45" s="140"/>
      <c r="B45" s="152" t="s">
        <v>502</v>
      </c>
      <c r="C45" s="152" t="s">
        <v>503</v>
      </c>
      <c r="D45" s="162" t="s">
        <v>3</v>
      </c>
      <c r="E45" s="162" t="s">
        <v>29</v>
      </c>
      <c r="F45" s="174"/>
      <c r="G45" s="174"/>
      <c r="H45" s="173"/>
      <c r="I45" s="173"/>
      <c r="J45" s="174"/>
      <c r="K45" s="174"/>
      <c r="L45" s="173"/>
      <c r="M45" s="173"/>
      <c r="N45" s="148"/>
    </row>
    <row r="46" spans="1:14" s="3" customFormat="1" x14ac:dyDescent="0.2">
      <c r="A46" s="990"/>
      <c r="B46" s="244"/>
      <c r="C46" s="244"/>
      <c r="D46" s="245" t="s">
        <v>4</v>
      </c>
      <c r="E46" s="156" t="s">
        <v>30</v>
      </c>
      <c r="F46" s="173"/>
      <c r="G46" s="173"/>
      <c r="H46" s="173"/>
      <c r="I46" s="173"/>
      <c r="J46" s="173"/>
      <c r="K46" s="173"/>
      <c r="L46" s="173"/>
      <c r="M46" s="173"/>
      <c r="N46" s="148"/>
    </row>
    <row r="47" spans="1:14" s="3" customFormat="1" ht="15.75" x14ac:dyDescent="0.2">
      <c r="A47" s="14" t="s">
        <v>23</v>
      </c>
      <c r="B47" s="312"/>
      <c r="C47" s="313"/>
      <c r="D47" s="428"/>
      <c r="E47" s="11"/>
      <c r="F47" s="145"/>
      <c r="G47" s="33"/>
      <c r="H47" s="159"/>
      <c r="I47" s="159"/>
      <c r="J47" s="37"/>
      <c r="K47" s="37"/>
      <c r="L47" s="159"/>
      <c r="M47" s="159"/>
      <c r="N47" s="148"/>
    </row>
    <row r="48" spans="1:14" s="3" customFormat="1" ht="15.75" x14ac:dyDescent="0.2">
      <c r="A48" s="38" t="s">
        <v>455</v>
      </c>
      <c r="B48" s="283"/>
      <c r="C48" s="284"/>
      <c r="D48" s="257"/>
      <c r="E48" s="27"/>
      <c r="F48" s="145"/>
      <c r="G48" s="33"/>
      <c r="H48" s="145"/>
      <c r="I48" s="145"/>
      <c r="J48" s="33"/>
      <c r="K48" s="33"/>
      <c r="L48" s="159"/>
      <c r="M48" s="159"/>
      <c r="N48" s="148"/>
    </row>
    <row r="49" spans="1:14" s="3" customFormat="1" ht="15.75" x14ac:dyDescent="0.2">
      <c r="A49" s="38" t="s">
        <v>456</v>
      </c>
      <c r="B49" s="44"/>
      <c r="C49" s="289"/>
      <c r="D49" s="257"/>
      <c r="E49" s="27"/>
      <c r="F49" s="145"/>
      <c r="G49" s="33"/>
      <c r="H49" s="145"/>
      <c r="I49" s="145"/>
      <c r="J49" s="37"/>
      <c r="K49" s="37"/>
      <c r="L49" s="159"/>
      <c r="M49" s="159"/>
      <c r="N49" s="148"/>
    </row>
    <row r="50" spans="1:14" s="3" customFormat="1" x14ac:dyDescent="0.2">
      <c r="A50" s="298" t="s">
        <v>6</v>
      </c>
      <c r="B50" s="292"/>
      <c r="C50" s="293"/>
      <c r="D50" s="257"/>
      <c r="E50" s="23"/>
      <c r="F50" s="145"/>
      <c r="G50" s="33"/>
      <c r="H50" s="145"/>
      <c r="I50" s="145"/>
      <c r="J50" s="33"/>
      <c r="K50" s="33"/>
      <c r="L50" s="159"/>
      <c r="M50" s="159"/>
      <c r="N50" s="148"/>
    </row>
    <row r="51" spans="1:14" s="3" customFormat="1" x14ac:dyDescent="0.2">
      <c r="A51" s="298" t="s">
        <v>7</v>
      </c>
      <c r="B51" s="292"/>
      <c r="C51" s="293"/>
      <c r="D51" s="257"/>
      <c r="E51" s="23"/>
      <c r="F51" s="145"/>
      <c r="G51" s="33"/>
      <c r="H51" s="145"/>
      <c r="I51" s="145"/>
      <c r="J51" s="33"/>
      <c r="K51" s="33"/>
      <c r="L51" s="159"/>
      <c r="M51" s="159"/>
      <c r="N51" s="148"/>
    </row>
    <row r="52" spans="1:14" s="3" customFormat="1" x14ac:dyDescent="0.2">
      <c r="A52" s="298" t="s">
        <v>8</v>
      </c>
      <c r="B52" s="292"/>
      <c r="C52" s="293"/>
      <c r="D52" s="257"/>
      <c r="E52" s="23"/>
      <c r="F52" s="145"/>
      <c r="G52" s="33"/>
      <c r="H52" s="145"/>
      <c r="I52" s="145"/>
      <c r="J52" s="33"/>
      <c r="K52" s="33"/>
      <c r="L52" s="159"/>
      <c r="M52" s="159"/>
      <c r="N52" s="148"/>
    </row>
    <row r="53" spans="1:14" s="3" customFormat="1" ht="15.75" x14ac:dyDescent="0.2">
      <c r="A53" s="39" t="s">
        <v>457</v>
      </c>
      <c r="B53" s="312"/>
      <c r="C53" s="313"/>
      <c r="D53" s="429"/>
      <c r="E53" s="11"/>
      <c r="F53" s="145"/>
      <c r="G53" s="33"/>
      <c r="H53" s="145"/>
      <c r="I53" s="145"/>
      <c r="J53" s="33"/>
      <c r="K53" s="33"/>
      <c r="L53" s="159"/>
      <c r="M53" s="159"/>
      <c r="N53" s="148"/>
    </row>
    <row r="54" spans="1:14" s="3" customFormat="1" ht="15.75" x14ac:dyDescent="0.2">
      <c r="A54" s="38" t="s">
        <v>455</v>
      </c>
      <c r="B54" s="283"/>
      <c r="C54" s="284"/>
      <c r="D54" s="257"/>
      <c r="E54" s="27"/>
      <c r="F54" s="145"/>
      <c r="G54" s="33"/>
      <c r="H54" s="145"/>
      <c r="I54" s="145"/>
      <c r="J54" s="33"/>
      <c r="K54" s="33"/>
      <c r="L54" s="159"/>
      <c r="M54" s="159"/>
      <c r="N54" s="148"/>
    </row>
    <row r="55" spans="1:14" s="3" customFormat="1" ht="15.75" x14ac:dyDescent="0.2">
      <c r="A55" s="38" t="s">
        <v>456</v>
      </c>
      <c r="B55" s="283"/>
      <c r="C55" s="284"/>
      <c r="D55" s="257"/>
      <c r="E55" s="27"/>
      <c r="F55" s="145"/>
      <c r="G55" s="33"/>
      <c r="H55" s="145"/>
      <c r="I55" s="145"/>
      <c r="J55" s="33"/>
      <c r="K55" s="33"/>
      <c r="L55" s="159"/>
      <c r="M55" s="159"/>
      <c r="N55" s="148"/>
    </row>
    <row r="56" spans="1:14" s="3" customFormat="1" ht="15.75" x14ac:dyDescent="0.2">
      <c r="A56" s="39" t="s">
        <v>458</v>
      </c>
      <c r="B56" s="312"/>
      <c r="C56" s="313"/>
      <c r="D56" s="429"/>
      <c r="E56" s="11"/>
      <c r="F56" s="145"/>
      <c r="G56" s="33"/>
      <c r="H56" s="145"/>
      <c r="I56" s="145"/>
      <c r="J56" s="33"/>
      <c r="K56" s="33"/>
      <c r="L56" s="159"/>
      <c r="M56" s="159"/>
      <c r="N56" s="148"/>
    </row>
    <row r="57" spans="1:14" s="3" customFormat="1" ht="15.75" x14ac:dyDescent="0.2">
      <c r="A57" s="38" t="s">
        <v>455</v>
      </c>
      <c r="B57" s="283"/>
      <c r="C57" s="284"/>
      <c r="D57" s="257"/>
      <c r="E57" s="27"/>
      <c r="F57" s="145"/>
      <c r="G57" s="33"/>
      <c r="H57" s="145"/>
      <c r="I57" s="145"/>
      <c r="J57" s="33"/>
      <c r="K57" s="33"/>
      <c r="L57" s="159"/>
      <c r="M57" s="159"/>
      <c r="N57" s="148"/>
    </row>
    <row r="58" spans="1:14" s="3" customFormat="1" ht="15.75" x14ac:dyDescent="0.2">
      <c r="A58" s="46" t="s">
        <v>456</v>
      </c>
      <c r="B58" s="285"/>
      <c r="C58" s="286"/>
      <c r="D58" s="258"/>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1022"/>
      <c r="C62" s="1022"/>
      <c r="D62" s="1022"/>
      <c r="E62" s="301"/>
      <c r="F62" s="1022"/>
      <c r="G62" s="1022"/>
      <c r="H62" s="1022"/>
      <c r="I62" s="301"/>
      <c r="J62" s="1022"/>
      <c r="K62" s="1022"/>
      <c r="L62" s="1022"/>
      <c r="M62" s="301"/>
    </row>
    <row r="63" spans="1:14" x14ac:dyDescent="0.2">
      <c r="A63" s="144"/>
      <c r="B63" s="1023" t="s">
        <v>0</v>
      </c>
      <c r="C63" s="1024"/>
      <c r="D63" s="1025"/>
      <c r="E63" s="302"/>
      <c r="F63" s="1024" t="s">
        <v>1</v>
      </c>
      <c r="G63" s="1024"/>
      <c r="H63" s="1024"/>
      <c r="I63" s="306"/>
      <c r="J63" s="1023" t="s">
        <v>2</v>
      </c>
      <c r="K63" s="1024"/>
      <c r="L63" s="1024"/>
      <c r="M63" s="306"/>
    </row>
    <row r="64" spans="1:14" x14ac:dyDescent="0.2">
      <c r="A64" s="140"/>
      <c r="B64" s="152" t="s">
        <v>502</v>
      </c>
      <c r="C64" s="152" t="s">
        <v>503</v>
      </c>
      <c r="D64" s="245" t="s">
        <v>3</v>
      </c>
      <c r="E64" s="307" t="s">
        <v>29</v>
      </c>
      <c r="F64" s="152" t="s">
        <v>502</v>
      </c>
      <c r="G64" s="152" t="s">
        <v>503</v>
      </c>
      <c r="H64" s="245" t="s">
        <v>3</v>
      </c>
      <c r="I64" s="307" t="s">
        <v>29</v>
      </c>
      <c r="J64" s="152" t="s">
        <v>502</v>
      </c>
      <c r="K64" s="152" t="s">
        <v>503</v>
      </c>
      <c r="L64" s="245" t="s">
        <v>3</v>
      </c>
      <c r="M64" s="162" t="s">
        <v>29</v>
      </c>
    </row>
    <row r="65" spans="1:14" x14ac:dyDescent="0.2">
      <c r="A65" s="990"/>
      <c r="B65" s="156"/>
      <c r="C65" s="156"/>
      <c r="D65" s="246" t="s">
        <v>4</v>
      </c>
      <c r="E65" s="156" t="s">
        <v>30</v>
      </c>
      <c r="F65" s="161"/>
      <c r="G65" s="161"/>
      <c r="H65" s="245" t="s">
        <v>4</v>
      </c>
      <c r="I65" s="156" t="s">
        <v>30</v>
      </c>
      <c r="J65" s="161"/>
      <c r="K65" s="206"/>
      <c r="L65" s="156" t="s">
        <v>4</v>
      </c>
      <c r="M65" s="156" t="s">
        <v>30</v>
      </c>
    </row>
    <row r="66" spans="1:14" ht="15.75" x14ac:dyDescent="0.2">
      <c r="A66" s="14" t="s">
        <v>23</v>
      </c>
      <c r="B66" s="354">
        <v>915456</v>
      </c>
      <c r="C66" s="354">
        <v>799061</v>
      </c>
      <c r="D66" s="351">
        <f t="shared" ref="D66:D111" si="13">IF(B66=0, "    ---- ", IF(ABS(ROUND(100/B66*C66-100,1))&lt;999,ROUND(100/B66*C66-100,1),IF(ROUND(100/B66*C66-100,1)&gt;999,999,-999)))</f>
        <v>-12.7</v>
      </c>
      <c r="E66" s="11">
        <f>IFERROR(100/'Skjema total MA'!C66*C66,0)</f>
        <v>10.75887322540172</v>
      </c>
      <c r="F66" s="353">
        <v>4175866.2740000002</v>
      </c>
      <c r="G66" s="353">
        <v>5051338</v>
      </c>
      <c r="H66" s="351">
        <f t="shared" ref="H66:H111" si="14">IF(F66=0, "    ---- ", IF(ABS(ROUND(100/F66*G66-100,1))&lt;999,ROUND(100/F66*G66-100,1),IF(ROUND(100/F66*G66-100,1)&gt;999,999,-999)))</f>
        <v>21</v>
      </c>
      <c r="I66" s="11">
        <f>IFERROR(100/'Skjema total MA'!F66*G66,0)</f>
        <v>14.4273867448213</v>
      </c>
      <c r="J66" s="311">
        <f t="shared" ref="J66:K86" si="15">SUM(B66,F66)</f>
        <v>5091322.2740000002</v>
      </c>
      <c r="K66" s="318">
        <f t="shared" si="15"/>
        <v>5850399</v>
      </c>
      <c r="L66" s="429">
        <f t="shared" ref="L66:L111" si="16">IF(J66=0, "    ---- ", IF(ABS(ROUND(100/J66*K66-100,1))&lt;999,ROUND(100/J66*K66-100,1),IF(ROUND(100/J66*K66-100,1)&gt;999,999,-999)))</f>
        <v>14.9</v>
      </c>
      <c r="M66" s="11">
        <f>IFERROR(100/'Skjema total MA'!I66*K66,0)</f>
        <v>13.785384331497811</v>
      </c>
    </row>
    <row r="67" spans="1:14" x14ac:dyDescent="0.2">
      <c r="A67" s="420" t="s">
        <v>9</v>
      </c>
      <c r="B67" s="44">
        <v>683396.17791398603</v>
      </c>
      <c r="C67" s="145">
        <v>589193.87</v>
      </c>
      <c r="D67" s="166">
        <f t="shared" si="13"/>
        <v>-13.8</v>
      </c>
      <c r="E67" s="27">
        <f>IFERROR(100/'Skjema total MA'!C67*C67,0)</f>
        <v>11.466223333779435</v>
      </c>
      <c r="F67" s="234"/>
      <c r="G67" s="145"/>
      <c r="H67" s="166"/>
      <c r="I67" s="27"/>
      <c r="J67" s="289">
        <f t="shared" si="15"/>
        <v>683396.17791398603</v>
      </c>
      <c r="K67" s="44">
        <f t="shared" si="15"/>
        <v>589193.87</v>
      </c>
      <c r="L67" s="257">
        <f t="shared" si="16"/>
        <v>-13.8</v>
      </c>
      <c r="M67" s="27">
        <f>IFERROR(100/'Skjema total MA'!I67*K67,0)</f>
        <v>11.466223333779435</v>
      </c>
    </row>
    <row r="68" spans="1:14" x14ac:dyDescent="0.2">
      <c r="A68" s="21" t="s">
        <v>10</v>
      </c>
      <c r="B68" s="294">
        <v>18017</v>
      </c>
      <c r="C68" s="295">
        <v>13792</v>
      </c>
      <c r="D68" s="166">
        <f t="shared" si="13"/>
        <v>-23.5</v>
      </c>
      <c r="E68" s="27">
        <f>IFERROR(100/'Skjema total MA'!C68*C68,0)</f>
        <v>11.187499413527261</v>
      </c>
      <c r="F68" s="294">
        <v>4175866.2740000002</v>
      </c>
      <c r="G68" s="295">
        <v>5051338</v>
      </c>
      <c r="H68" s="166">
        <f t="shared" ref="H68:H74" si="17">IF(F68=0, "    ---- ", IF(ABS(ROUND(100/F68*G68-100,1))&lt;999,ROUND(100/F68*G68-100,1),IF(ROUND(100/F68*G68-100,1)&gt;999,999,-999)))</f>
        <v>21</v>
      </c>
      <c r="I68" s="27">
        <f>IFERROR(100/'Skjema total MA'!F68*G68,0)</f>
        <v>15.018921103634083</v>
      </c>
      <c r="J68" s="289">
        <f t="shared" si="15"/>
        <v>4193883.2740000002</v>
      </c>
      <c r="K68" s="44">
        <f t="shared" si="15"/>
        <v>5065130</v>
      </c>
      <c r="L68" s="257">
        <f t="shared" si="16"/>
        <v>20.8</v>
      </c>
      <c r="M68" s="27">
        <f>IFERROR(100/'Skjema total MA'!I68*K68,0)</f>
        <v>15.004928532887522</v>
      </c>
    </row>
    <row r="69" spans="1:14" ht="15.75" x14ac:dyDescent="0.2">
      <c r="A69" s="298" t="s">
        <v>459</v>
      </c>
      <c r="B69" s="283">
        <v>12362</v>
      </c>
      <c r="C69" s="283">
        <v>10552</v>
      </c>
      <c r="D69" s="166">
        <f t="shared" ref="D69" si="18">IF(B69=0, "    ---- ", IF(ABS(ROUND(100/B69*C69-100,1))&lt;999,ROUND(100/B69*C69-100,1),IF(ROUND(100/B69*C69-100,1)&gt;999,999,-999)))</f>
        <v>-14.6</v>
      </c>
      <c r="E69" s="27">
        <f>IFERROR(100/'Skjema total MA'!C69*C69,0)</f>
        <v>100</v>
      </c>
      <c r="F69" s="283">
        <v>3938.8940000000025</v>
      </c>
      <c r="G69" s="283">
        <v>2496</v>
      </c>
      <c r="H69" s="166">
        <f t="shared" si="17"/>
        <v>-36.6</v>
      </c>
      <c r="I69" s="27">
        <f>IFERROR(100/'Skjema total MA'!F69*G69,0)</f>
        <v>100.00000000000001</v>
      </c>
      <c r="J69" s="289">
        <f t="shared" ref="J69:J74" si="19">SUM(B69,F69)</f>
        <v>16300.894000000002</v>
      </c>
      <c r="K69" s="44">
        <f t="shared" ref="K69:K74" si="20">SUM(C69,G69)</f>
        <v>13048</v>
      </c>
      <c r="L69" s="257">
        <f t="shared" ref="L69:L74" si="21">IF(J69=0, "    ---- ", IF(ABS(ROUND(100/J69*K69-100,1))&lt;999,ROUND(100/J69*K69-100,1),IF(ROUND(100/J69*K69-100,1)&gt;999,999,-999)))</f>
        <v>-20</v>
      </c>
      <c r="M69" s="27">
        <f>IFERROR(100/'Skjema total MA'!I69*K69,0)</f>
        <v>100</v>
      </c>
    </row>
    <row r="70" spans="1:14" x14ac:dyDescent="0.2">
      <c r="A70" s="298" t="s">
        <v>12</v>
      </c>
      <c r="B70" s="296"/>
      <c r="C70" s="297"/>
      <c r="D70" s="166"/>
      <c r="E70" s="418"/>
      <c r="F70" s="283">
        <v>10.2583379079623</v>
      </c>
      <c r="G70" s="283">
        <v>1</v>
      </c>
      <c r="H70" s="166">
        <f t="shared" si="17"/>
        <v>-90.3</v>
      </c>
      <c r="I70" s="27">
        <f>IFERROR(100/'Skjema total MA'!F70*G70,0)</f>
        <v>100</v>
      </c>
      <c r="J70" s="289">
        <f t="shared" si="19"/>
        <v>10.2583379079623</v>
      </c>
      <c r="K70" s="44">
        <f t="shared" si="20"/>
        <v>1</v>
      </c>
      <c r="L70" s="257">
        <f t="shared" si="21"/>
        <v>-90.3</v>
      </c>
      <c r="M70" s="27">
        <f>IFERROR(100/'Skjema total MA'!I70*K70,0)</f>
        <v>100</v>
      </c>
    </row>
    <row r="71" spans="1:14" x14ac:dyDescent="0.2">
      <c r="A71" s="298" t="s">
        <v>13</v>
      </c>
      <c r="B71" s="235"/>
      <c r="C71" s="291"/>
      <c r="D71" s="166"/>
      <c r="E71" s="418"/>
      <c r="F71" s="283">
        <v>3928.6356620920401</v>
      </c>
      <c r="G71" s="283">
        <v>2495</v>
      </c>
      <c r="H71" s="166">
        <f t="shared" si="17"/>
        <v>-36.5</v>
      </c>
      <c r="I71" s="27">
        <f>IFERROR(100/'Skjema total MA'!F71*G71,0)</f>
        <v>100</v>
      </c>
      <c r="J71" s="289">
        <f t="shared" si="19"/>
        <v>3928.6356620920401</v>
      </c>
      <c r="K71" s="44">
        <f t="shared" si="20"/>
        <v>2495</v>
      </c>
      <c r="L71" s="257">
        <f t="shared" si="21"/>
        <v>-36.5</v>
      </c>
      <c r="M71" s="27">
        <f>IFERROR(100/'Skjema total MA'!I71*K71,0)</f>
        <v>100</v>
      </c>
    </row>
    <row r="72" spans="1:14" ht="15.75" x14ac:dyDescent="0.2">
      <c r="A72" s="298" t="s">
        <v>460</v>
      </c>
      <c r="B72" s="283">
        <v>5655</v>
      </c>
      <c r="C72" s="283">
        <v>3240</v>
      </c>
      <c r="D72" s="166">
        <f t="shared" ref="D72" si="22">IF(B72=0, "    ---- ", IF(ABS(ROUND(100/B72*C72-100,1))&lt;999,ROUND(100/B72*C72-100,1),IF(ROUND(100/B72*C72-100,1)&gt;999,999,-999)))</f>
        <v>-42.7</v>
      </c>
      <c r="E72" s="27">
        <f>IFERROR(100/'Skjema total MA'!C72*C72,0)</f>
        <v>2.8741634454885689</v>
      </c>
      <c r="F72" s="283">
        <v>4171927.3800000004</v>
      </c>
      <c r="G72" s="283">
        <v>5048842</v>
      </c>
      <c r="H72" s="166">
        <f t="shared" si="17"/>
        <v>21</v>
      </c>
      <c r="I72" s="27">
        <f>IFERROR(100/'Skjema total MA'!F72*G72,0)</f>
        <v>15.012613979782497</v>
      </c>
      <c r="J72" s="289">
        <f t="shared" si="19"/>
        <v>4177582.3800000004</v>
      </c>
      <c r="K72" s="44">
        <f t="shared" si="20"/>
        <v>5052082</v>
      </c>
      <c r="L72" s="257">
        <f t="shared" si="21"/>
        <v>20.9</v>
      </c>
      <c r="M72" s="27">
        <f>IFERROR(100/'Skjema total MA'!I72*K72,0)</f>
        <v>14.972062375679938</v>
      </c>
    </row>
    <row r="73" spans="1:14" x14ac:dyDescent="0.2">
      <c r="A73" s="298" t="s">
        <v>12</v>
      </c>
      <c r="B73" s="235"/>
      <c r="C73" s="291"/>
      <c r="D73" s="166"/>
      <c r="E73" s="418"/>
      <c r="F73" s="283">
        <v>10865.243083850401</v>
      </c>
      <c r="G73" s="283">
        <v>1017</v>
      </c>
      <c r="H73" s="166">
        <f t="shared" si="17"/>
        <v>-90.6</v>
      </c>
      <c r="I73" s="27">
        <f>IFERROR(100/'Skjema total MA'!F73*G73,0)</f>
        <v>100</v>
      </c>
      <c r="J73" s="289">
        <f t="shared" si="19"/>
        <v>10865.243083850401</v>
      </c>
      <c r="K73" s="44">
        <f t="shared" si="20"/>
        <v>1017</v>
      </c>
      <c r="L73" s="257">
        <f t="shared" si="21"/>
        <v>-90.6</v>
      </c>
      <c r="M73" s="27">
        <f>IFERROR(100/'Skjema total MA'!I73*K73,0)</f>
        <v>100</v>
      </c>
    </row>
    <row r="74" spans="1:14" s="3" customFormat="1" x14ac:dyDescent="0.2">
      <c r="A74" s="298" t="s">
        <v>13</v>
      </c>
      <c r="B74" s="235"/>
      <c r="C74" s="291"/>
      <c r="D74" s="166"/>
      <c r="E74" s="418"/>
      <c r="F74" s="283">
        <v>4161062.1369161499</v>
      </c>
      <c r="G74" s="283">
        <v>5047825</v>
      </c>
      <c r="H74" s="166">
        <f t="shared" si="17"/>
        <v>21.3</v>
      </c>
      <c r="I74" s="27">
        <f>IFERROR(100/'Skjema total MA'!F74*G74,0)</f>
        <v>15.010043861589995</v>
      </c>
      <c r="J74" s="289">
        <f t="shared" si="19"/>
        <v>4161062.1369161499</v>
      </c>
      <c r="K74" s="44">
        <f t="shared" si="20"/>
        <v>5047825</v>
      </c>
      <c r="L74" s="257">
        <f t="shared" si="21"/>
        <v>21.3</v>
      </c>
      <c r="M74" s="27">
        <f>IFERROR(100/'Skjema total MA'!I74*K74,0)</f>
        <v>15.010043861589995</v>
      </c>
      <c r="N74" s="148"/>
    </row>
    <row r="75" spans="1:14" s="3" customFormat="1" x14ac:dyDescent="0.2">
      <c r="A75" s="21" t="s">
        <v>346</v>
      </c>
      <c r="B75" s="234"/>
      <c r="C75" s="145"/>
      <c r="D75" s="166"/>
      <c r="E75" s="27"/>
      <c r="F75" s="234"/>
      <c r="G75" s="145"/>
      <c r="H75" s="166"/>
      <c r="I75" s="27"/>
      <c r="J75" s="289"/>
      <c r="K75" s="44"/>
      <c r="L75" s="257"/>
      <c r="M75" s="27"/>
      <c r="N75" s="148"/>
    </row>
    <row r="76" spans="1:14" s="3" customFormat="1" x14ac:dyDescent="0.2">
      <c r="A76" s="21" t="s">
        <v>345</v>
      </c>
      <c r="B76" s="234">
        <v>214042.822086014</v>
      </c>
      <c r="C76" s="145">
        <v>196075.13</v>
      </c>
      <c r="D76" s="166">
        <f t="shared" ref="D76" si="23">IF(B76=0, "    ---- ", IF(ABS(ROUND(100/B76*C76-100,1))&lt;999,ROUND(100/B76*C76-100,1),IF(ROUND(100/B76*C76-100,1)&gt;999,999,-999)))</f>
        <v>-8.4</v>
      </c>
      <c r="E76" s="27">
        <f>IFERROR(100/'Skjema total MA'!C77*C76,0)</f>
        <v>3.8311168093850374</v>
      </c>
      <c r="F76" s="234"/>
      <c r="G76" s="145"/>
      <c r="H76" s="166"/>
      <c r="I76" s="27"/>
      <c r="J76" s="289">
        <f t="shared" ref="J76" si="24">SUM(B76,F76)</f>
        <v>214042.822086014</v>
      </c>
      <c r="K76" s="44">
        <f t="shared" ref="K76" si="25">SUM(C76,G76)</f>
        <v>196075.13</v>
      </c>
      <c r="L76" s="257">
        <f t="shared" ref="L76" si="26">IF(J76=0, "    ---- ", IF(ABS(ROUND(100/J76*K76-100,1))&lt;999,ROUND(100/J76*K76-100,1),IF(ROUND(100/J76*K76-100,1)&gt;999,999,-999)))</f>
        <v>-8.4</v>
      </c>
      <c r="M76" s="27">
        <f>IFERROR(100/'Skjema total MA'!I77*K76,0)</f>
        <v>0.50617096291265318</v>
      </c>
      <c r="N76" s="148"/>
    </row>
    <row r="77" spans="1:14" ht="15.75" x14ac:dyDescent="0.2">
      <c r="A77" s="21" t="s">
        <v>461</v>
      </c>
      <c r="B77" s="234">
        <v>690764.468913986</v>
      </c>
      <c r="C77" s="234">
        <v>593966.34</v>
      </c>
      <c r="D77" s="166">
        <f t="shared" si="13"/>
        <v>-14</v>
      </c>
      <c r="E77" s="27">
        <f>IFERROR(100/'Skjema total MA'!C77*C77,0)</f>
        <v>11.605522992043449</v>
      </c>
      <c r="F77" s="234">
        <v>4171927.3800000004</v>
      </c>
      <c r="G77" s="145">
        <v>5048842</v>
      </c>
      <c r="H77" s="166">
        <f t="shared" si="14"/>
        <v>21</v>
      </c>
      <c r="I77" s="27">
        <f>IFERROR(100/'Skjema total MA'!F77*G77,0)</f>
        <v>15.017834479894061</v>
      </c>
      <c r="J77" s="289">
        <f t="shared" si="15"/>
        <v>4862691.8489139862</v>
      </c>
      <c r="K77" s="44">
        <f t="shared" si="15"/>
        <v>5642808.3399999999</v>
      </c>
      <c r="L77" s="257">
        <f t="shared" si="16"/>
        <v>16</v>
      </c>
      <c r="M77" s="27">
        <f>IFERROR(100/'Skjema total MA'!I77*K77,0)</f>
        <v>14.566996492565631</v>
      </c>
    </row>
    <row r="78" spans="1:14" x14ac:dyDescent="0.2">
      <c r="A78" s="21" t="s">
        <v>9</v>
      </c>
      <c r="B78" s="234">
        <v>676692.34191398602</v>
      </c>
      <c r="C78" s="145">
        <v>582677.6</v>
      </c>
      <c r="D78" s="166">
        <f t="shared" si="13"/>
        <v>-13.9</v>
      </c>
      <c r="E78" s="27">
        <f>IFERROR(100/'Skjema total MA'!C78*C78,0)</f>
        <v>11.660115420809719</v>
      </c>
      <c r="F78" s="234"/>
      <c r="G78" s="145"/>
      <c r="H78" s="166"/>
      <c r="I78" s="27"/>
      <c r="J78" s="289">
        <f t="shared" si="15"/>
        <v>676692.34191398602</v>
      </c>
      <c r="K78" s="44">
        <f t="shared" si="15"/>
        <v>582677.6</v>
      </c>
      <c r="L78" s="257">
        <f t="shared" si="16"/>
        <v>-13.9</v>
      </c>
      <c r="M78" s="27">
        <f>IFERROR(100/'Skjema total MA'!I78*K78,0)</f>
        <v>11.660115420809719</v>
      </c>
    </row>
    <row r="79" spans="1:14" x14ac:dyDescent="0.2">
      <c r="A79" s="21" t="s">
        <v>10</v>
      </c>
      <c r="B79" s="294">
        <v>14072.127</v>
      </c>
      <c r="C79" s="295">
        <v>11288.74</v>
      </c>
      <c r="D79" s="166">
        <f t="shared" si="13"/>
        <v>-19.8</v>
      </c>
      <c r="E79" s="27">
        <f>IFERROR(100/'Skjema total MA'!C79*C79,0)</f>
        <v>9.3467480764747393</v>
      </c>
      <c r="F79" s="294">
        <v>4171927.3800000004</v>
      </c>
      <c r="G79" s="295">
        <v>5048842</v>
      </c>
      <c r="H79" s="166">
        <f t="shared" si="14"/>
        <v>21</v>
      </c>
      <c r="I79" s="27">
        <f>IFERROR(100/'Skjema total MA'!F79*G79,0)</f>
        <v>15.017834479894061</v>
      </c>
      <c r="J79" s="289">
        <f t="shared" si="15"/>
        <v>4185999.5070000002</v>
      </c>
      <c r="K79" s="44">
        <f t="shared" si="15"/>
        <v>5060130.74</v>
      </c>
      <c r="L79" s="257">
        <f t="shared" si="16"/>
        <v>20.9</v>
      </c>
      <c r="M79" s="27">
        <f>IFERROR(100/'Skjema total MA'!I79*K79,0)</f>
        <v>14.997533859487453</v>
      </c>
    </row>
    <row r="80" spans="1:14" ht="15.75" x14ac:dyDescent="0.2">
      <c r="A80" s="298" t="s">
        <v>459</v>
      </c>
      <c r="B80" s="283"/>
      <c r="C80" s="283"/>
      <c r="D80" s="166"/>
      <c r="E80" s="418"/>
      <c r="F80" s="283"/>
      <c r="G80" s="283"/>
      <c r="H80" s="166"/>
      <c r="I80" s="418"/>
      <c r="J80" s="292"/>
      <c r="K80" s="292"/>
      <c r="L80" s="166"/>
      <c r="M80" s="23"/>
    </row>
    <row r="81" spans="1:13" x14ac:dyDescent="0.2">
      <c r="A81" s="298" t="s">
        <v>12</v>
      </c>
      <c r="B81" s="235"/>
      <c r="C81" s="291"/>
      <c r="D81" s="166"/>
      <c r="E81" s="418"/>
      <c r="F81" s="283"/>
      <c r="G81" s="283"/>
      <c r="H81" s="166"/>
      <c r="I81" s="418"/>
      <c r="J81" s="292"/>
      <c r="K81" s="292"/>
      <c r="L81" s="166"/>
      <c r="M81" s="23"/>
    </row>
    <row r="82" spans="1:13" x14ac:dyDescent="0.2">
      <c r="A82" s="298" t="s">
        <v>13</v>
      </c>
      <c r="B82" s="235"/>
      <c r="C82" s="291"/>
      <c r="D82" s="166"/>
      <c r="E82" s="418"/>
      <c r="F82" s="283"/>
      <c r="G82" s="283"/>
      <c r="H82" s="166"/>
      <c r="I82" s="418"/>
      <c r="J82" s="292"/>
      <c r="K82" s="292"/>
      <c r="L82" s="166"/>
      <c r="M82" s="23"/>
    </row>
    <row r="83" spans="1:13" ht="15.75" x14ac:dyDescent="0.2">
      <c r="A83" s="298" t="s">
        <v>460</v>
      </c>
      <c r="B83" s="283">
        <v>14072.127</v>
      </c>
      <c r="C83" s="283">
        <v>11288.74</v>
      </c>
      <c r="D83" s="166">
        <f t="shared" ref="D83" si="27">IF(B83=0, "    ---- ", IF(ABS(ROUND(100/B83*C83-100,1))&lt;999,ROUND(100/B83*C83-100,1),IF(ROUND(100/B83*C83-100,1)&gt;999,999,-999)))</f>
        <v>-19.8</v>
      </c>
      <c r="E83" s="27">
        <f>IFERROR(100/'Skjema total MA'!C83*C83,0)</f>
        <v>9.3467480764747393</v>
      </c>
      <c r="F83" s="283">
        <v>4171927.3800000004</v>
      </c>
      <c r="G83" s="283">
        <v>5048842</v>
      </c>
      <c r="H83" s="166">
        <f t="shared" ref="H83" si="28">IF(F83=0, "    ---- ", IF(ABS(ROUND(100/F83*G83-100,1))&lt;999,ROUND(100/F83*G83-100,1),IF(ROUND(100/F83*G83-100,1)&gt;999,999,-999)))</f>
        <v>21</v>
      </c>
      <c r="I83" s="27">
        <f>IFERROR(100/'Skjema total MA'!F83*G83,0)</f>
        <v>15.017834479894061</v>
      </c>
      <c r="J83" s="289">
        <f t="shared" ref="J83:J85" si="29">SUM(B83,F83)</f>
        <v>4185999.5070000002</v>
      </c>
      <c r="K83" s="44">
        <f t="shared" ref="K83:K85" si="30">SUM(C83,G83)</f>
        <v>5060130.74</v>
      </c>
      <c r="L83" s="257">
        <f t="shared" ref="L83:L85" si="31">IF(J83=0, "    ---- ", IF(ABS(ROUND(100/J83*K83-100,1))&lt;999,ROUND(100/J83*K83-100,1),IF(ROUND(100/J83*K83-100,1)&gt;999,999,-999)))</f>
        <v>20.9</v>
      </c>
      <c r="M83" s="27">
        <f>IFERROR(100/'Skjema total MA'!I83*K83,0)</f>
        <v>14.997533859487453</v>
      </c>
    </row>
    <row r="84" spans="1:13" x14ac:dyDescent="0.2">
      <c r="A84" s="298" t="s">
        <v>12</v>
      </c>
      <c r="B84" s="235"/>
      <c r="C84" s="291"/>
      <c r="D84" s="166"/>
      <c r="E84" s="418"/>
      <c r="F84" s="283">
        <v>10865.243083850401</v>
      </c>
      <c r="G84" s="283">
        <v>1017</v>
      </c>
      <c r="H84" s="166">
        <f t="shared" ref="H84" si="32">IF(F84=0, "    ---- ", IF(ABS(ROUND(100/F84*G84-100,1))&lt;999,ROUND(100/F84*G84-100,1),IF(ROUND(100/F84*G84-100,1)&gt;999,999,-999)))</f>
        <v>-90.6</v>
      </c>
      <c r="I84" s="27">
        <f>IFERROR(100/'Skjema total MA'!F84*G84,0)</f>
        <v>100</v>
      </c>
      <c r="J84" s="289">
        <f t="shared" si="29"/>
        <v>10865.243083850401</v>
      </c>
      <c r="K84" s="44">
        <f t="shared" si="30"/>
        <v>1017</v>
      </c>
      <c r="L84" s="257">
        <f t="shared" si="31"/>
        <v>-90.6</v>
      </c>
      <c r="M84" s="27">
        <f>IFERROR(100/'Skjema total MA'!I84*K84,0)</f>
        <v>100</v>
      </c>
    </row>
    <row r="85" spans="1:13" x14ac:dyDescent="0.2">
      <c r="A85" s="298" t="s">
        <v>13</v>
      </c>
      <c r="B85" s="235"/>
      <c r="C85" s="291"/>
      <c r="D85" s="166"/>
      <c r="E85" s="418"/>
      <c r="F85" s="283">
        <v>4161062.1369161499</v>
      </c>
      <c r="G85" s="283">
        <v>5047825</v>
      </c>
      <c r="H85" s="166">
        <f t="shared" ref="H85" si="33">IF(F85=0, "    ---- ", IF(ABS(ROUND(100/F85*G85-100,1))&lt;999,ROUND(100/F85*G85-100,1),IF(ROUND(100/F85*G85-100,1)&gt;999,999,-999)))</f>
        <v>21.3</v>
      </c>
      <c r="I85" s="27">
        <f>IFERROR(100/'Skjema total MA'!F85*G85,0)</f>
        <v>15.015263625868215</v>
      </c>
      <c r="J85" s="289">
        <f t="shared" si="29"/>
        <v>4161062.1369161499</v>
      </c>
      <c r="K85" s="44">
        <f t="shared" si="30"/>
        <v>5047825</v>
      </c>
      <c r="L85" s="257">
        <f t="shared" si="31"/>
        <v>21.3</v>
      </c>
      <c r="M85" s="27">
        <f>IFERROR(100/'Skjema total MA'!I85*K85,0)</f>
        <v>15.015263625868215</v>
      </c>
    </row>
    <row r="86" spans="1:13" ht="15.75" x14ac:dyDescent="0.2">
      <c r="A86" s="21" t="s">
        <v>462</v>
      </c>
      <c r="B86" s="234">
        <v>10648.709000000001</v>
      </c>
      <c r="C86" s="145">
        <v>9019.5300000000007</v>
      </c>
      <c r="D86" s="166">
        <f t="shared" si="13"/>
        <v>-15.3</v>
      </c>
      <c r="E86" s="27">
        <f>IFERROR(100/'Skjema total MA'!C86*C86,0)</f>
        <v>6.2707460750975024</v>
      </c>
      <c r="F86" s="234">
        <v>3938.8939999999998</v>
      </c>
      <c r="G86" s="145">
        <v>2496</v>
      </c>
      <c r="H86" s="166">
        <f t="shared" ref="H86" si="34">IF(F86=0, "    ---- ", IF(ABS(ROUND(100/F86*G86-100,1))&lt;999,ROUND(100/F86*G86-100,1),IF(ROUND(100/F86*G86-100,1)&gt;999,999,-999)))</f>
        <v>-36.6</v>
      </c>
      <c r="I86" s="27">
        <f>IFERROR(100/'Skjema total MA'!F86*G86,0)</f>
        <v>17.593952230048458</v>
      </c>
      <c r="J86" s="289">
        <f t="shared" si="15"/>
        <v>14587.603000000001</v>
      </c>
      <c r="K86" s="44">
        <f t="shared" si="15"/>
        <v>11515.53</v>
      </c>
      <c r="L86" s="257">
        <f t="shared" si="16"/>
        <v>-21.1</v>
      </c>
      <c r="M86" s="27">
        <f>IFERROR(100/'Skjema total MA'!I86*K86,0)</f>
        <v>7.2873078422534281</v>
      </c>
    </row>
    <row r="87" spans="1:13" ht="15.75" x14ac:dyDescent="0.2">
      <c r="A87" s="13" t="s">
        <v>444</v>
      </c>
      <c r="B87" s="354">
        <v>47006042.648000002</v>
      </c>
      <c r="C87" s="354">
        <v>48423524</v>
      </c>
      <c r="D87" s="171">
        <f t="shared" si="13"/>
        <v>3</v>
      </c>
      <c r="E87" s="11">
        <f>IFERROR(100/'Skjema total MA'!C87*C87,0)</f>
        <v>12.252684374297587</v>
      </c>
      <c r="F87" s="353">
        <v>41490894.208999999</v>
      </c>
      <c r="G87" s="353">
        <v>57193255</v>
      </c>
      <c r="H87" s="171">
        <f t="shared" si="14"/>
        <v>37.799999999999997</v>
      </c>
      <c r="I87" s="11">
        <f>IFERROR(100/'Skjema total MA'!F87*G87,0)</f>
        <v>15.341392043526392</v>
      </c>
      <c r="J87" s="311">
        <f t="shared" ref="J87:K111" si="35">SUM(B87,F87)</f>
        <v>88496936.856999993</v>
      </c>
      <c r="K87" s="236">
        <f t="shared" si="35"/>
        <v>105616779</v>
      </c>
      <c r="L87" s="429">
        <f t="shared" si="16"/>
        <v>19.3</v>
      </c>
      <c r="M87" s="11">
        <f>IFERROR(100/'Skjema total MA'!I87*K87,0)</f>
        <v>13.751987329328113</v>
      </c>
    </row>
    <row r="88" spans="1:13" x14ac:dyDescent="0.2">
      <c r="A88" s="21" t="s">
        <v>9</v>
      </c>
      <c r="B88" s="234">
        <v>45674890</v>
      </c>
      <c r="C88" s="145">
        <v>46893215</v>
      </c>
      <c r="D88" s="166">
        <f t="shared" si="13"/>
        <v>2.7</v>
      </c>
      <c r="E88" s="27">
        <f>IFERROR(100/'Skjema total MA'!C88*C88,0)</f>
        <v>12.232545612360065</v>
      </c>
      <c r="F88" s="234"/>
      <c r="G88" s="145"/>
      <c r="H88" s="166"/>
      <c r="I88" s="27"/>
      <c r="J88" s="289">
        <f t="shared" si="35"/>
        <v>45674890</v>
      </c>
      <c r="K88" s="44">
        <f t="shared" si="35"/>
        <v>46893215</v>
      </c>
      <c r="L88" s="257">
        <f t="shared" si="16"/>
        <v>2.7</v>
      </c>
      <c r="M88" s="27">
        <f>IFERROR(100/'Skjema total MA'!I88*K88,0)</f>
        <v>12.232545612360065</v>
      </c>
    </row>
    <row r="89" spans="1:13" x14ac:dyDescent="0.2">
      <c r="A89" s="21" t="s">
        <v>10</v>
      </c>
      <c r="B89" s="234">
        <v>1148304</v>
      </c>
      <c r="C89" s="145">
        <v>1276325</v>
      </c>
      <c r="D89" s="166">
        <f t="shared" si="13"/>
        <v>11.1</v>
      </c>
      <c r="E89" s="27">
        <f>IFERROR(100/'Skjema total MA'!C89*C89,0)</f>
        <v>41.816791502342888</v>
      </c>
      <c r="F89" s="234">
        <v>41490894.208999999</v>
      </c>
      <c r="G89" s="145">
        <v>57193255</v>
      </c>
      <c r="H89" s="166">
        <f t="shared" si="14"/>
        <v>37.799999999999997</v>
      </c>
      <c r="I89" s="27">
        <f>IFERROR(100/'Skjema total MA'!F89*G89,0)</f>
        <v>15.471373207269975</v>
      </c>
      <c r="J89" s="289">
        <f t="shared" si="35"/>
        <v>42639198.208999999</v>
      </c>
      <c r="K89" s="44">
        <f t="shared" si="35"/>
        <v>58469580</v>
      </c>
      <c r="L89" s="257">
        <f t="shared" si="16"/>
        <v>37.1</v>
      </c>
      <c r="M89" s="27">
        <f>IFERROR(100/'Skjema total MA'!I89*K89,0)</f>
        <v>15.687112224628805</v>
      </c>
    </row>
    <row r="90" spans="1:13" ht="15.75" x14ac:dyDescent="0.2">
      <c r="A90" s="298" t="s">
        <v>459</v>
      </c>
      <c r="B90" s="283"/>
      <c r="C90" s="283"/>
      <c r="D90" s="166"/>
      <c r="E90" s="418"/>
      <c r="F90" s="283">
        <v>12984.904</v>
      </c>
      <c r="G90" s="283">
        <v>14601</v>
      </c>
      <c r="H90" s="166">
        <f t="shared" ref="H90" si="36">IF(F90=0, "    ---- ", IF(ABS(ROUND(100/F90*G90-100,1))&lt;999,ROUND(100/F90*G90-100,1),IF(ROUND(100/F90*G90-100,1)&gt;999,999,-999)))</f>
        <v>12.4</v>
      </c>
      <c r="I90" s="27">
        <f>IFERROR(100/'Skjema total MA'!F90*G90,0)</f>
        <v>12.657781443312698</v>
      </c>
      <c r="J90" s="289">
        <f t="shared" si="35"/>
        <v>12984.904</v>
      </c>
      <c r="K90" s="44">
        <f t="shared" si="35"/>
        <v>14601</v>
      </c>
      <c r="L90" s="257">
        <f t="shared" ref="L90" si="37">IF(J90=0, "    ---- ", IF(ABS(ROUND(100/J90*K90-100,1))&lt;999,ROUND(100/J90*K90-100,1),IF(ROUND(100/J90*K90-100,1)&gt;999,999,-999)))</f>
        <v>12.4</v>
      </c>
      <c r="M90" s="27">
        <f>IFERROR(100/'Skjema total MA'!I90*K90,0)</f>
        <v>12.657781443312698</v>
      </c>
    </row>
    <row r="91" spans="1:13" x14ac:dyDescent="0.2">
      <c r="A91" s="298" t="s">
        <v>12</v>
      </c>
      <c r="B91" s="235"/>
      <c r="C91" s="291"/>
      <c r="D91" s="166"/>
      <c r="E91" s="418"/>
      <c r="F91" s="283"/>
      <c r="G91" s="283"/>
      <c r="H91" s="166"/>
      <c r="I91" s="418"/>
      <c r="J91" s="292"/>
      <c r="K91" s="292"/>
      <c r="L91" s="166"/>
      <c r="M91" s="23"/>
    </row>
    <row r="92" spans="1:13" x14ac:dyDescent="0.2">
      <c r="A92" s="298" t="s">
        <v>13</v>
      </c>
      <c r="B92" s="235"/>
      <c r="C92" s="291"/>
      <c r="D92" s="166"/>
      <c r="E92" s="418"/>
      <c r="F92" s="283">
        <v>12984.904</v>
      </c>
      <c r="G92" s="283">
        <v>14601</v>
      </c>
      <c r="H92" s="166">
        <f t="shared" ref="H92:H93" si="38">IF(F92=0, "    ---- ", IF(ABS(ROUND(100/F92*G92-100,1))&lt;999,ROUND(100/F92*G92-100,1),IF(ROUND(100/F92*G92-100,1)&gt;999,999,-999)))</f>
        <v>12.4</v>
      </c>
      <c r="I92" s="27">
        <f>IFERROR(100/'Skjema total MA'!F92*G92,0)</f>
        <v>100</v>
      </c>
      <c r="J92" s="289">
        <f t="shared" ref="J92:J95" si="39">SUM(B92,F92)</f>
        <v>12984.904</v>
      </c>
      <c r="K92" s="44">
        <f t="shared" ref="K92:K95" si="40">SUM(C92,G92)</f>
        <v>14601</v>
      </c>
      <c r="L92" s="257">
        <f t="shared" ref="L92:L95" si="41">IF(J92=0, "    ---- ", IF(ABS(ROUND(100/J92*K92-100,1))&lt;999,ROUND(100/J92*K92-100,1),IF(ROUND(100/J92*K92-100,1)&gt;999,999,-999)))</f>
        <v>12.4</v>
      </c>
      <c r="M92" s="27">
        <f>IFERROR(100/'Skjema total MA'!I92*K92,0)</f>
        <v>100</v>
      </c>
    </row>
    <row r="93" spans="1:13" ht="15.75" x14ac:dyDescent="0.2">
      <c r="A93" s="298" t="s">
        <v>460</v>
      </c>
      <c r="B93" s="283">
        <v>1148304</v>
      </c>
      <c r="C93" s="283">
        <v>1276325</v>
      </c>
      <c r="D93" s="166">
        <f t="shared" ref="D93" si="42">IF(B93=0, "    ---- ", IF(ABS(ROUND(100/B93*C93-100,1))&lt;999,ROUND(100/B93*C93-100,1),IF(ROUND(100/B93*C93-100,1)&gt;999,999,-999)))</f>
        <v>11.1</v>
      </c>
      <c r="E93" s="27">
        <f>IFERROR(100/'Skjema total MA'!C93*C93,0)</f>
        <v>41.816791502342888</v>
      </c>
      <c r="F93" s="283">
        <v>41477909.305</v>
      </c>
      <c r="G93" s="283">
        <v>57178654</v>
      </c>
      <c r="H93" s="166">
        <f t="shared" si="38"/>
        <v>37.9</v>
      </c>
      <c r="I93" s="27">
        <f>IFERROR(100/'Skjema total MA'!F93*G93,0)</f>
        <v>15.472251432033671</v>
      </c>
      <c r="J93" s="289">
        <f t="shared" si="39"/>
        <v>42626213.305</v>
      </c>
      <c r="K93" s="44">
        <f t="shared" si="40"/>
        <v>58454979</v>
      </c>
      <c r="L93" s="257">
        <f t="shared" si="41"/>
        <v>37.1</v>
      </c>
      <c r="M93" s="27">
        <f>IFERROR(100/'Skjema total MA'!I93*K93,0)</f>
        <v>15.688050043922772</v>
      </c>
    </row>
    <row r="94" spans="1:13" x14ac:dyDescent="0.2">
      <c r="A94" s="298" t="s">
        <v>12</v>
      </c>
      <c r="B94" s="235"/>
      <c r="C94" s="291"/>
      <c r="D94" s="166"/>
      <c r="E94" s="418"/>
      <c r="F94" s="283">
        <v>108023.828355498</v>
      </c>
      <c r="G94" s="283">
        <v>11517</v>
      </c>
      <c r="H94" s="166">
        <f t="shared" ref="H94" si="43">IF(F94=0, "    ---- ", IF(ABS(ROUND(100/F94*G94-100,1))&lt;999,ROUND(100/F94*G94-100,1),IF(ROUND(100/F94*G94-100,1)&gt;999,999,-999)))</f>
        <v>-89.3</v>
      </c>
      <c r="I94" s="27">
        <f>IFERROR(100/'Skjema total MA'!F94*G94,0)</f>
        <v>1.3673333015980225</v>
      </c>
      <c r="J94" s="289">
        <f t="shared" si="39"/>
        <v>108023.828355498</v>
      </c>
      <c r="K94" s="44">
        <f t="shared" si="40"/>
        <v>11517</v>
      </c>
      <c r="L94" s="257">
        <f t="shared" si="41"/>
        <v>-89.3</v>
      </c>
      <c r="M94" s="27">
        <f>IFERROR(100/'Skjema total MA'!I94*K94,0)</f>
        <v>1.3673333015980225</v>
      </c>
    </row>
    <row r="95" spans="1:13" x14ac:dyDescent="0.2">
      <c r="A95" s="298" t="s">
        <v>13</v>
      </c>
      <c r="B95" s="235"/>
      <c r="C95" s="291"/>
      <c r="D95" s="166"/>
      <c r="E95" s="418"/>
      <c r="F95" s="283">
        <v>41369885.476644501</v>
      </c>
      <c r="G95" s="283">
        <v>57167137</v>
      </c>
      <c r="H95" s="166">
        <f t="shared" ref="H95" si="44">IF(F95=0, "    ---- ", IF(ABS(ROUND(100/F95*G95-100,1))&lt;999,ROUND(100/F95*G95-100,1),IF(ROUND(100/F95*G95-100,1)&gt;999,999,-999)))</f>
        <v>38.200000000000003</v>
      </c>
      <c r="I95" s="27">
        <f>IFERROR(100/'Skjema total MA'!F95*G95,0)</f>
        <v>15.504472958468476</v>
      </c>
      <c r="J95" s="289">
        <f t="shared" si="39"/>
        <v>41369885.476644501</v>
      </c>
      <c r="K95" s="44">
        <f t="shared" si="40"/>
        <v>57167137</v>
      </c>
      <c r="L95" s="257">
        <f t="shared" si="41"/>
        <v>38.200000000000003</v>
      </c>
      <c r="M95" s="27">
        <f>IFERROR(100/'Skjema total MA'!I95*K95,0)</f>
        <v>15.504472958468476</v>
      </c>
    </row>
    <row r="96" spans="1:13" x14ac:dyDescent="0.2">
      <c r="A96" s="21" t="s">
        <v>344</v>
      </c>
      <c r="B96" s="234"/>
      <c r="C96" s="145"/>
      <c r="D96" s="166"/>
      <c r="E96" s="27"/>
      <c r="F96" s="234"/>
      <c r="G96" s="145"/>
      <c r="H96" s="166"/>
      <c r="I96" s="27"/>
      <c r="J96" s="289"/>
      <c r="K96" s="44"/>
      <c r="L96" s="257"/>
      <c r="M96" s="27"/>
    </row>
    <row r="97" spans="1:13" x14ac:dyDescent="0.2">
      <c r="A97" s="21" t="s">
        <v>343</v>
      </c>
      <c r="B97" s="234">
        <v>182848.64799999999</v>
      </c>
      <c r="C97" s="145">
        <v>253984</v>
      </c>
      <c r="D97" s="166">
        <f t="shared" ref="D97" si="45">IF(B97=0, "    ---- ", IF(ABS(ROUND(100/B97*C97-100,1))&lt;999,ROUND(100/B97*C97-100,1),IF(ROUND(100/B97*C97-100,1)&gt;999,999,-999)))</f>
        <v>38.9</v>
      </c>
      <c r="E97" s="27">
        <f>IFERROR(100/'Skjema total MA'!C98*C97,0)</f>
        <v>6.6495975706345772E-2</v>
      </c>
      <c r="F97" s="234"/>
      <c r="G97" s="145"/>
      <c r="H97" s="166"/>
      <c r="I97" s="27"/>
      <c r="J97" s="289">
        <f t="shared" ref="J97:J100" si="46">SUM(B97,F97)</f>
        <v>182848.64799999999</v>
      </c>
      <c r="K97" s="44">
        <f t="shared" ref="K97:K100" si="47">SUM(C97,G97)</f>
        <v>253984</v>
      </c>
      <c r="L97" s="257">
        <f t="shared" ref="L97:L100" si="48">IF(J97=0, "    ---- ", IF(ABS(ROUND(100/J97*K97-100,1))&lt;999,ROUND(100/J97*K97-100,1),IF(ROUND(100/J97*K97-100,1)&gt;999,999,-999)))</f>
        <v>38.9</v>
      </c>
      <c r="M97" s="27">
        <f>IFERROR(100/'Skjema total MA'!I97*K97,0)</f>
        <v>3.7306637365145701</v>
      </c>
    </row>
    <row r="98" spans="1:13" ht="15.75" x14ac:dyDescent="0.2">
      <c r="A98" s="21" t="s">
        <v>461</v>
      </c>
      <c r="B98" s="234">
        <v>46796833.184081599</v>
      </c>
      <c r="C98" s="234">
        <v>48139128</v>
      </c>
      <c r="D98" s="166">
        <f t="shared" si="13"/>
        <v>2.9</v>
      </c>
      <c r="E98" s="27">
        <f>IFERROR(100/'Skjema total MA'!C98*C98,0)</f>
        <v>12.603385591268228</v>
      </c>
      <c r="F98" s="294">
        <v>41477909.305</v>
      </c>
      <c r="G98" s="294">
        <v>57178654</v>
      </c>
      <c r="H98" s="166">
        <f t="shared" ref="H98" si="49">IF(F98=0, "    ---- ", IF(ABS(ROUND(100/F98*G98-100,1))&lt;999,ROUND(100/F98*G98-100,1),IF(ROUND(100/F98*G98-100,1)&gt;999,999,-999)))</f>
        <v>37.9</v>
      </c>
      <c r="I98" s="27">
        <f>IFERROR(100/'Skjema total MA'!F98*G98,0)</f>
        <v>15.510617026854341</v>
      </c>
      <c r="J98" s="289">
        <f t="shared" si="46"/>
        <v>88274742.489081591</v>
      </c>
      <c r="K98" s="44">
        <f t="shared" si="47"/>
        <v>105317782</v>
      </c>
      <c r="L98" s="257">
        <f t="shared" si="48"/>
        <v>19.3</v>
      </c>
      <c r="M98" s="27">
        <f>IFERROR(100/'Skjema total MA'!I98*K98,0)</f>
        <v>14.031221263362873</v>
      </c>
    </row>
    <row r="99" spans="1:13" x14ac:dyDescent="0.2">
      <c r="A99" s="21" t="s">
        <v>9</v>
      </c>
      <c r="B99" s="294">
        <v>45648528.860081598</v>
      </c>
      <c r="C99" s="295">
        <v>46862803</v>
      </c>
      <c r="D99" s="166">
        <f t="shared" si="13"/>
        <v>2.7</v>
      </c>
      <c r="E99" s="27">
        <f>IFERROR(100/'Skjema total MA'!C99*C99,0)</f>
        <v>12.368061634993884</v>
      </c>
      <c r="F99" s="234"/>
      <c r="G99" s="145"/>
      <c r="H99" s="166"/>
      <c r="I99" s="27"/>
      <c r="J99" s="289">
        <f t="shared" si="46"/>
        <v>45648528.860081598</v>
      </c>
      <c r="K99" s="44">
        <f t="shared" si="47"/>
        <v>46862803</v>
      </c>
      <c r="L99" s="257">
        <f t="shared" si="48"/>
        <v>2.7</v>
      </c>
      <c r="M99" s="27">
        <f>IFERROR(100/'Skjema total MA'!I99*K99,0)</f>
        <v>12.368061634993884</v>
      </c>
    </row>
    <row r="100" spans="1:13" x14ac:dyDescent="0.2">
      <c r="A100" s="21" t="s">
        <v>10</v>
      </c>
      <c r="B100" s="294">
        <v>1148304.324</v>
      </c>
      <c r="C100" s="295">
        <v>1276325</v>
      </c>
      <c r="D100" s="166">
        <f t="shared" si="13"/>
        <v>11.1</v>
      </c>
      <c r="E100" s="27">
        <f>IFERROR(100/'Skjema total MA'!C100*C100,0)</f>
        <v>41.816791502342888</v>
      </c>
      <c r="F100" s="234">
        <v>41477909.305</v>
      </c>
      <c r="G100" s="234">
        <v>57178654</v>
      </c>
      <c r="H100" s="166">
        <f t="shared" si="14"/>
        <v>37.9</v>
      </c>
      <c r="I100" s="27">
        <f>IFERROR(100/'Skjema total MA'!F100*G100,0)</f>
        <v>15.510617026854341</v>
      </c>
      <c r="J100" s="289">
        <f t="shared" si="46"/>
        <v>42626213.629000001</v>
      </c>
      <c r="K100" s="44">
        <f t="shared" si="47"/>
        <v>58454979</v>
      </c>
      <c r="L100" s="257">
        <f t="shared" si="48"/>
        <v>37.1</v>
      </c>
      <c r="M100" s="27">
        <f>IFERROR(100/'Skjema total MA'!I100*K100,0)</f>
        <v>15.726631306607265</v>
      </c>
    </row>
    <row r="101" spans="1:13" ht="15.75" x14ac:dyDescent="0.2">
      <c r="A101" s="298" t="s">
        <v>459</v>
      </c>
      <c r="B101" s="283"/>
      <c r="C101" s="283"/>
      <c r="D101" s="166"/>
      <c r="E101" s="418"/>
      <c r="F101" s="283"/>
      <c r="G101" s="283"/>
      <c r="H101" s="166"/>
      <c r="I101" s="418"/>
      <c r="J101" s="292"/>
      <c r="K101" s="292"/>
      <c r="L101" s="166"/>
      <c r="M101" s="23"/>
    </row>
    <row r="102" spans="1:13" x14ac:dyDescent="0.2">
      <c r="A102" s="298" t="s">
        <v>12</v>
      </c>
      <c r="B102" s="235"/>
      <c r="C102" s="291"/>
      <c r="D102" s="166"/>
      <c r="E102" s="418"/>
      <c r="F102" s="283"/>
      <c r="G102" s="283"/>
      <c r="H102" s="166"/>
      <c r="I102" s="418"/>
      <c r="J102" s="292"/>
      <c r="K102" s="292"/>
      <c r="L102" s="166"/>
      <c r="M102" s="23"/>
    </row>
    <row r="103" spans="1:13" x14ac:dyDescent="0.2">
      <c r="A103" s="298" t="s">
        <v>13</v>
      </c>
      <c r="B103" s="235"/>
      <c r="C103" s="291"/>
      <c r="D103" s="166"/>
      <c r="E103" s="418"/>
      <c r="F103" s="283"/>
      <c r="G103" s="283"/>
      <c r="H103" s="166"/>
      <c r="I103" s="418"/>
      <c r="J103" s="292"/>
      <c r="K103" s="292"/>
      <c r="L103" s="166"/>
      <c r="M103" s="23"/>
    </row>
    <row r="104" spans="1:13" ht="15.75" x14ac:dyDescent="0.2">
      <c r="A104" s="298" t="s">
        <v>460</v>
      </c>
      <c r="B104" s="283">
        <v>1148304.324</v>
      </c>
      <c r="C104" s="283">
        <v>1276325</v>
      </c>
      <c r="D104" s="166">
        <f t="shared" ref="D104" si="50">IF(B104=0, "    ---- ", IF(ABS(ROUND(100/B104*C104-100,1))&lt;999,ROUND(100/B104*C104-100,1),IF(ROUND(100/B104*C104-100,1)&gt;999,999,-999)))</f>
        <v>11.1</v>
      </c>
      <c r="E104" s="27">
        <f>IFERROR(100/'Skjema total MA'!C104*C104,0)</f>
        <v>41.816791502342888</v>
      </c>
      <c r="F104" s="283">
        <v>41477909.305</v>
      </c>
      <c r="G104" s="283">
        <v>57178654</v>
      </c>
      <c r="H104" s="166">
        <f t="shared" ref="H104" si="51">IF(F104=0, "    ---- ", IF(ABS(ROUND(100/F104*G104-100,1))&lt;999,ROUND(100/F104*G104-100,1),IF(ROUND(100/F104*G104-100,1)&gt;999,999,-999)))</f>
        <v>37.9</v>
      </c>
      <c r="I104" s="27">
        <f>IFERROR(100/'Skjema total MA'!F104*G104,0)</f>
        <v>15.510617026854341</v>
      </c>
      <c r="J104" s="289">
        <f t="shared" ref="J104:J106" si="52">SUM(B104,F104)</f>
        <v>42626213.629000001</v>
      </c>
      <c r="K104" s="44">
        <f t="shared" ref="K104:K106" si="53">SUM(C104,G104)</f>
        <v>58454979</v>
      </c>
      <c r="L104" s="257">
        <f t="shared" ref="L104:L106" si="54">IF(J104=0, "    ---- ", IF(ABS(ROUND(100/J104*K104-100,1))&lt;999,ROUND(100/J104*K104-100,1),IF(ROUND(100/J104*K104-100,1)&gt;999,999,-999)))</f>
        <v>37.1</v>
      </c>
      <c r="M104" s="27">
        <f>IFERROR(100/'Skjema total MA'!I104*K104,0)</f>
        <v>15.726631306607265</v>
      </c>
    </row>
    <row r="105" spans="1:13" x14ac:dyDescent="0.2">
      <c r="A105" s="298" t="s">
        <v>12</v>
      </c>
      <c r="B105" s="235"/>
      <c r="C105" s="291"/>
      <c r="D105" s="166"/>
      <c r="E105" s="418"/>
      <c r="F105" s="283">
        <v>108023.828355498</v>
      </c>
      <c r="G105" s="283">
        <v>11517</v>
      </c>
      <c r="H105" s="166">
        <f t="shared" ref="H105" si="55">IF(F105=0, "    ---- ", IF(ABS(ROUND(100/F105*G105-100,1))&lt;999,ROUND(100/F105*G105-100,1),IF(ROUND(100/F105*G105-100,1)&gt;999,999,-999)))</f>
        <v>-89.3</v>
      </c>
      <c r="I105" s="27">
        <f>IFERROR(100/'Skjema total MA'!F105*G105,0)</f>
        <v>100</v>
      </c>
      <c r="J105" s="289">
        <f t="shared" si="52"/>
        <v>108023.828355498</v>
      </c>
      <c r="K105" s="44">
        <f t="shared" si="53"/>
        <v>11517</v>
      </c>
      <c r="L105" s="257">
        <f t="shared" si="54"/>
        <v>-89.3</v>
      </c>
      <c r="M105" s="27">
        <f>IFERROR(100/'Skjema total MA'!I105*K105,0)</f>
        <v>100</v>
      </c>
    </row>
    <row r="106" spans="1:13" x14ac:dyDescent="0.2">
      <c r="A106" s="298" t="s">
        <v>13</v>
      </c>
      <c r="B106" s="235"/>
      <c r="C106" s="291"/>
      <c r="D106" s="166"/>
      <c r="E106" s="418"/>
      <c r="F106" s="283">
        <v>41369885.476644501</v>
      </c>
      <c r="G106" s="283">
        <v>57167137</v>
      </c>
      <c r="H106" s="166">
        <f t="shared" ref="H106" si="56">IF(F106=0, "    ---- ", IF(ABS(ROUND(100/F106*G106-100,1))&lt;999,ROUND(100/F106*G106-100,1),IF(ROUND(100/F106*G106-100,1)&gt;999,999,-999)))</f>
        <v>38.200000000000003</v>
      </c>
      <c r="I106" s="27">
        <f>IFERROR(100/'Skjema total MA'!F106*G106,0)</f>
        <v>15.507977353304749</v>
      </c>
      <c r="J106" s="289">
        <f t="shared" si="52"/>
        <v>41369885.476644501</v>
      </c>
      <c r="K106" s="44">
        <f t="shared" si="53"/>
        <v>57167137</v>
      </c>
      <c r="L106" s="257">
        <f t="shared" si="54"/>
        <v>38.200000000000003</v>
      </c>
      <c r="M106" s="27">
        <f>IFERROR(100/'Skjema total MA'!I106*K106,0)</f>
        <v>15.507977353304749</v>
      </c>
    </row>
    <row r="107" spans="1:13" ht="15.75" x14ac:dyDescent="0.2">
      <c r="A107" s="21" t="s">
        <v>462</v>
      </c>
      <c r="B107" s="234">
        <v>26360.73</v>
      </c>
      <c r="C107" s="145">
        <v>30412</v>
      </c>
      <c r="D107" s="166">
        <f t="shared" si="13"/>
        <v>15.4</v>
      </c>
      <c r="E107" s="27">
        <f>IFERROR(100/'Skjema total MA'!C107*C107,0)</f>
        <v>0.68399837044742806</v>
      </c>
      <c r="F107" s="234">
        <v>12984.904</v>
      </c>
      <c r="G107" s="145">
        <v>14601</v>
      </c>
      <c r="H107" s="166">
        <f t="shared" ref="H107" si="57">IF(F107=0, "    ---- ", IF(ABS(ROUND(100/F107*G107-100,1))&lt;999,ROUND(100/F107*G107-100,1),IF(ROUND(100/F107*G107-100,1)&gt;999,999,-999)))</f>
        <v>12.4</v>
      </c>
      <c r="I107" s="27">
        <f>IFERROR(100/'Skjema total MA'!F107*G107,0)</f>
        <v>1.4183287246235912</v>
      </c>
      <c r="J107" s="289">
        <f t="shared" si="35"/>
        <v>39345.633999999998</v>
      </c>
      <c r="K107" s="44">
        <f t="shared" si="35"/>
        <v>45013</v>
      </c>
      <c r="L107" s="257">
        <f t="shared" si="16"/>
        <v>14.4</v>
      </c>
      <c r="M107" s="27">
        <f>IFERROR(100/'Skjema total MA'!I107*K107,0)</f>
        <v>0.82205608240079686</v>
      </c>
    </row>
    <row r="108" spans="1:13" ht="15.75" x14ac:dyDescent="0.2">
      <c r="A108" s="21" t="s">
        <v>463</v>
      </c>
      <c r="B108" s="234">
        <v>35746757.746002004</v>
      </c>
      <c r="C108" s="234">
        <v>37482073</v>
      </c>
      <c r="D108" s="166">
        <f t="shared" si="13"/>
        <v>4.9000000000000004</v>
      </c>
      <c r="E108" s="27">
        <f>IFERROR(100/'Skjema total MA'!C108*C108,0)</f>
        <v>11.471904695179717</v>
      </c>
      <c r="F108" s="234"/>
      <c r="G108" s="234"/>
      <c r="H108" s="166"/>
      <c r="I108" s="27"/>
      <c r="J108" s="289">
        <f t="shared" si="35"/>
        <v>35746757.746002004</v>
      </c>
      <c r="K108" s="44">
        <f t="shared" si="35"/>
        <v>37482073</v>
      </c>
      <c r="L108" s="257">
        <f t="shared" si="16"/>
        <v>4.9000000000000004</v>
      </c>
      <c r="M108" s="27">
        <f>IFERROR(100/'Skjema total MA'!I108*K108,0)</f>
        <v>10.852229198742076</v>
      </c>
    </row>
    <row r="109" spans="1:13" ht="15.75" x14ac:dyDescent="0.2">
      <c r="A109" s="21" t="s">
        <v>464</v>
      </c>
      <c r="B109" s="234">
        <v>506116.59461770201</v>
      </c>
      <c r="C109" s="234">
        <v>630187</v>
      </c>
      <c r="D109" s="166">
        <f t="shared" si="13"/>
        <v>24.5</v>
      </c>
      <c r="E109" s="27">
        <f>IFERROR(100/'Skjema total MA'!C109*C109,0)</f>
        <v>58.198812351051942</v>
      </c>
      <c r="F109" s="234">
        <v>17010221.502445899</v>
      </c>
      <c r="G109" s="234">
        <v>22052098</v>
      </c>
      <c r="H109" s="166">
        <f t="shared" si="14"/>
        <v>29.6</v>
      </c>
      <c r="I109" s="27">
        <f>IFERROR(100/'Skjema total MA'!F109*G109,0)</f>
        <v>16.957505649555142</v>
      </c>
      <c r="J109" s="289">
        <f t="shared" si="35"/>
        <v>17516338.097063601</v>
      </c>
      <c r="K109" s="44">
        <f t="shared" si="35"/>
        <v>22682285</v>
      </c>
      <c r="L109" s="257">
        <f t="shared" si="16"/>
        <v>29.5</v>
      </c>
      <c r="M109" s="27">
        <f>IFERROR(100/'Skjema total MA'!I109*K109,0)</f>
        <v>17.29806951777141</v>
      </c>
    </row>
    <row r="110" spans="1:13" ht="15.75" x14ac:dyDescent="0.2">
      <c r="A110" s="21" t="s">
        <v>465</v>
      </c>
      <c r="B110" s="234"/>
      <c r="C110" s="234"/>
      <c r="D110" s="166"/>
      <c r="E110" s="27"/>
      <c r="F110" s="234"/>
      <c r="G110" s="234"/>
      <c r="H110" s="166"/>
      <c r="I110" s="27"/>
      <c r="J110" s="289"/>
      <c r="K110" s="44"/>
      <c r="L110" s="257"/>
      <c r="M110" s="27"/>
    </row>
    <row r="111" spans="1:13" ht="15.75" x14ac:dyDescent="0.2">
      <c r="A111" s="13" t="s">
        <v>445</v>
      </c>
      <c r="B111" s="310">
        <v>301</v>
      </c>
      <c r="C111" s="159">
        <v>110850</v>
      </c>
      <c r="D111" s="171">
        <f t="shared" si="13"/>
        <v>999</v>
      </c>
      <c r="E111" s="11">
        <f>IFERROR(100/'Skjema total MA'!C111*C111,0)</f>
        <v>12.026345009541517</v>
      </c>
      <c r="F111" s="310">
        <v>2868806.122</v>
      </c>
      <c r="G111" s="159">
        <v>9993684.8399999999</v>
      </c>
      <c r="H111" s="171">
        <f t="shared" si="14"/>
        <v>248.4</v>
      </c>
      <c r="I111" s="11">
        <f>IFERROR(100/'Skjema total MA'!F111*G111,0)</f>
        <v>45.001567737141961</v>
      </c>
      <c r="J111" s="311">
        <f t="shared" si="35"/>
        <v>2869107.122</v>
      </c>
      <c r="K111" s="236">
        <f t="shared" si="35"/>
        <v>10104534.84</v>
      </c>
      <c r="L111" s="429">
        <f t="shared" si="16"/>
        <v>252.2</v>
      </c>
      <c r="M111" s="11">
        <f>IFERROR(100/'Skjema total MA'!I111*K111,0)</f>
        <v>43.687462132923834</v>
      </c>
    </row>
    <row r="112" spans="1:13" x14ac:dyDescent="0.2">
      <c r="A112" s="21" t="s">
        <v>9</v>
      </c>
      <c r="B112" s="234">
        <v>301</v>
      </c>
      <c r="C112" s="145">
        <v>110850</v>
      </c>
      <c r="D112" s="166">
        <f t="shared" ref="D112:D120" si="58">IF(B112=0, "    ---- ", IF(ABS(ROUND(100/B112*C112-100,1))&lt;999,ROUND(100/B112*C112-100,1),IF(ROUND(100/B112*C112-100,1)&gt;999,999,-999)))</f>
        <v>999</v>
      </c>
      <c r="E112" s="27">
        <f>IFERROR(100/'Skjema total MA'!C112*C112,0)</f>
        <v>23.092903769682298</v>
      </c>
      <c r="F112" s="234"/>
      <c r="G112" s="145"/>
      <c r="H112" s="166"/>
      <c r="I112" s="27"/>
      <c r="J112" s="289">
        <f t="shared" ref="J112:K125" si="59">SUM(B112,F112)</f>
        <v>301</v>
      </c>
      <c r="K112" s="44">
        <f t="shared" si="59"/>
        <v>110850</v>
      </c>
      <c r="L112" s="257">
        <f t="shared" ref="L112:L125" si="60">IF(J112=0, "    ---- ", IF(ABS(ROUND(100/J112*K112-100,1))&lt;999,ROUND(100/J112*K112-100,1),IF(ROUND(100/J112*K112-100,1)&gt;999,999,-999)))</f>
        <v>999</v>
      </c>
      <c r="M112" s="27">
        <f>IFERROR(100/'Skjema total MA'!I112*K112,0)</f>
        <v>22.209199485390563</v>
      </c>
    </row>
    <row r="113" spans="1:14" x14ac:dyDescent="0.2">
      <c r="A113" s="21" t="s">
        <v>10</v>
      </c>
      <c r="B113" s="234"/>
      <c r="C113" s="145"/>
      <c r="D113" s="166"/>
      <c r="E113" s="27"/>
      <c r="F113" s="234">
        <v>2868806.122</v>
      </c>
      <c r="G113" s="145">
        <v>9993684.8399999999</v>
      </c>
      <c r="H113" s="166">
        <f t="shared" ref="H113:H125" si="61">IF(F113=0, "    ---- ", IF(ABS(ROUND(100/F113*G113-100,1))&lt;999,ROUND(100/F113*G113-100,1),IF(ROUND(100/F113*G113-100,1)&gt;999,999,-999)))</f>
        <v>248.4</v>
      </c>
      <c r="I113" s="27">
        <f>IFERROR(100/'Skjema total MA'!F113*G113,0)</f>
        <v>45.180698407449057</v>
      </c>
      <c r="J113" s="289">
        <f t="shared" si="59"/>
        <v>2868806.122</v>
      </c>
      <c r="K113" s="44">
        <f t="shared" si="59"/>
        <v>9993684.8399999999</v>
      </c>
      <c r="L113" s="257">
        <f t="shared" si="60"/>
        <v>248.4</v>
      </c>
      <c r="M113" s="27">
        <f>IFERROR(100/'Skjema total MA'!I113*K113,0)</f>
        <v>45.170292591435171</v>
      </c>
    </row>
    <row r="114" spans="1:14" x14ac:dyDescent="0.2">
      <c r="A114" s="21" t="s">
        <v>26</v>
      </c>
      <c r="B114" s="234"/>
      <c r="C114" s="145"/>
      <c r="D114" s="166"/>
      <c r="E114" s="27"/>
      <c r="F114" s="234"/>
      <c r="G114" s="145"/>
      <c r="H114" s="166"/>
      <c r="I114" s="27"/>
      <c r="J114" s="289"/>
      <c r="K114" s="44"/>
      <c r="L114" s="257"/>
      <c r="M114" s="27"/>
    </row>
    <row r="115" spans="1:14" x14ac:dyDescent="0.2">
      <c r="A115" s="298" t="s">
        <v>15</v>
      </c>
      <c r="B115" s="283">
        <v>41</v>
      </c>
      <c r="C115" s="283">
        <v>0</v>
      </c>
      <c r="D115" s="166">
        <f t="shared" ref="D115" si="62">IF(B115=0, "    ---- ", IF(ABS(ROUND(100/B115*C115-100,1))&lt;999,ROUND(100/B115*C115-100,1),IF(ROUND(100/B115*C115-100,1)&gt;999,999,-999)))</f>
        <v>-100</v>
      </c>
      <c r="E115" s="27">
        <f>IFERROR(100/'Skjema total MA'!C115*C115,0)</f>
        <v>0</v>
      </c>
      <c r="F115" s="283"/>
      <c r="G115" s="283"/>
      <c r="H115" s="166"/>
      <c r="I115" s="418"/>
      <c r="J115" s="289">
        <f t="shared" ref="J115" si="63">SUM(B115,F115)</f>
        <v>41</v>
      </c>
      <c r="K115" s="44">
        <f t="shared" ref="K115" si="64">SUM(C115,G115)</f>
        <v>0</v>
      </c>
      <c r="L115" s="257">
        <f t="shared" ref="L115" si="65">IF(J115=0, "    ---- ", IF(ABS(ROUND(100/J115*K115-100,1))&lt;999,ROUND(100/J115*K115-100,1),IF(ROUND(100/J115*K115-100,1)&gt;999,999,-999)))</f>
        <v>-100</v>
      </c>
      <c r="M115" s="27">
        <f>IFERROR(100/'Skjema total MA'!I115*K115,0)</f>
        <v>0</v>
      </c>
    </row>
    <row r="116" spans="1:14" ht="15.75" x14ac:dyDescent="0.2">
      <c r="A116" s="21" t="s">
        <v>466</v>
      </c>
      <c r="B116" s="234">
        <v>301</v>
      </c>
      <c r="C116" s="234">
        <v>0</v>
      </c>
      <c r="D116" s="166">
        <f t="shared" si="58"/>
        <v>-100</v>
      </c>
      <c r="E116" s="27">
        <f>IFERROR(100/'Skjema total MA'!C116*C116,0)</f>
        <v>0</v>
      </c>
      <c r="F116" s="234"/>
      <c r="G116" s="234"/>
      <c r="H116" s="166"/>
      <c r="I116" s="27"/>
      <c r="J116" s="289">
        <f t="shared" si="59"/>
        <v>301</v>
      </c>
      <c r="K116" s="44">
        <f t="shared" si="59"/>
        <v>0</v>
      </c>
      <c r="L116" s="257">
        <f t="shared" si="60"/>
        <v>-100</v>
      </c>
      <c r="M116" s="27">
        <f>IFERROR(100/'Skjema total MA'!I116*K116,0)</f>
        <v>0</v>
      </c>
    </row>
    <row r="117" spans="1:14" ht="15.75" x14ac:dyDescent="0.2">
      <c r="A117" s="21" t="s">
        <v>467</v>
      </c>
      <c r="B117" s="234"/>
      <c r="C117" s="234"/>
      <c r="D117" s="166"/>
      <c r="E117" s="27"/>
      <c r="F117" s="234">
        <v>380710.95400000003</v>
      </c>
      <c r="G117" s="234">
        <v>2240731.0499999998</v>
      </c>
      <c r="H117" s="166">
        <f t="shared" si="61"/>
        <v>488.6</v>
      </c>
      <c r="I117" s="27">
        <f>IFERROR(100/'Skjema total MA'!F117*G117,0)</f>
        <v>45.782297625813484</v>
      </c>
      <c r="J117" s="289">
        <f t="shared" si="59"/>
        <v>380710.95400000003</v>
      </c>
      <c r="K117" s="44">
        <f t="shared" si="59"/>
        <v>2240731.0499999998</v>
      </c>
      <c r="L117" s="257">
        <f t="shared" si="60"/>
        <v>488.6</v>
      </c>
      <c r="M117" s="27">
        <f>IFERROR(100/'Skjema total MA'!I117*K117,0)</f>
        <v>45.782297625813484</v>
      </c>
    </row>
    <row r="118" spans="1:14" ht="15.75" x14ac:dyDescent="0.2">
      <c r="A118" s="21" t="s">
        <v>465</v>
      </c>
      <c r="B118" s="234"/>
      <c r="C118" s="234"/>
      <c r="D118" s="166"/>
      <c r="E118" s="27"/>
      <c r="F118" s="234"/>
      <c r="G118" s="234"/>
      <c r="H118" s="166"/>
      <c r="I118" s="27"/>
      <c r="J118" s="289"/>
      <c r="K118" s="44"/>
      <c r="L118" s="257"/>
      <c r="M118" s="27"/>
    </row>
    <row r="119" spans="1:14" ht="15.75" x14ac:dyDescent="0.2">
      <c r="A119" s="13" t="s">
        <v>446</v>
      </c>
      <c r="B119" s="310">
        <v>22071</v>
      </c>
      <c r="C119" s="159">
        <v>48630</v>
      </c>
      <c r="D119" s="171">
        <f t="shared" si="58"/>
        <v>120.3</v>
      </c>
      <c r="E119" s="11">
        <f>IFERROR(100/'Skjema total MA'!C119*C119,0)</f>
        <v>5.709930918030107</v>
      </c>
      <c r="F119" s="310">
        <v>1825250.635</v>
      </c>
      <c r="G119" s="159">
        <v>2115262</v>
      </c>
      <c r="H119" s="171">
        <f t="shared" si="61"/>
        <v>15.9</v>
      </c>
      <c r="I119" s="11">
        <f>IFERROR(100/'Skjema total MA'!F119*G119,0)</f>
        <v>9.4273399075382471</v>
      </c>
      <c r="J119" s="311">
        <f t="shared" si="59"/>
        <v>1847321.635</v>
      </c>
      <c r="K119" s="236">
        <f t="shared" si="59"/>
        <v>2163892</v>
      </c>
      <c r="L119" s="429">
        <f t="shared" si="60"/>
        <v>17.100000000000001</v>
      </c>
      <c r="M119" s="11">
        <f>IFERROR(100/'Skjema total MA'!I119*K119,0)</f>
        <v>9.2913961850244355</v>
      </c>
    </row>
    <row r="120" spans="1:14" x14ac:dyDescent="0.2">
      <c r="A120" s="21" t="s">
        <v>9</v>
      </c>
      <c r="B120" s="234">
        <v>22071</v>
      </c>
      <c r="C120" s="145">
        <v>48630</v>
      </c>
      <c r="D120" s="166">
        <f t="shared" si="58"/>
        <v>120.3</v>
      </c>
      <c r="E120" s="27">
        <f>IFERROR(100/'Skjema total MA'!C120*C120,0)</f>
        <v>7.9050934153813222</v>
      </c>
      <c r="F120" s="234"/>
      <c r="G120" s="145"/>
      <c r="H120" s="166"/>
      <c r="I120" s="27"/>
      <c r="J120" s="289">
        <f t="shared" si="59"/>
        <v>22071</v>
      </c>
      <c r="K120" s="44">
        <f t="shared" si="59"/>
        <v>48630</v>
      </c>
      <c r="L120" s="257">
        <f t="shared" si="60"/>
        <v>120.3</v>
      </c>
      <c r="M120" s="27">
        <f>IFERROR(100/'Skjema total MA'!I120*K120,0)</f>
        <v>7.9050934153813222</v>
      </c>
    </row>
    <row r="121" spans="1:14" x14ac:dyDescent="0.2">
      <c r="A121" s="21" t="s">
        <v>10</v>
      </c>
      <c r="B121" s="234"/>
      <c r="C121" s="145"/>
      <c r="D121" s="166"/>
      <c r="E121" s="27"/>
      <c r="F121" s="234">
        <v>1825250.635</v>
      </c>
      <c r="G121" s="145">
        <v>2115262</v>
      </c>
      <c r="H121" s="166">
        <f t="shared" si="61"/>
        <v>15.9</v>
      </c>
      <c r="I121" s="27">
        <f>IFERROR(100/'Skjema total MA'!F121*G121,0)</f>
        <v>9.4273399075382471</v>
      </c>
      <c r="J121" s="289">
        <f t="shared" si="59"/>
        <v>1825250.635</v>
      </c>
      <c r="K121" s="44">
        <f t="shared" si="59"/>
        <v>2115262</v>
      </c>
      <c r="L121" s="257">
        <f t="shared" si="60"/>
        <v>15.9</v>
      </c>
      <c r="M121" s="27">
        <f>IFERROR(100/'Skjema total MA'!I121*K121,0)</f>
        <v>9.4169313585260532</v>
      </c>
    </row>
    <row r="122" spans="1:14" x14ac:dyDescent="0.2">
      <c r="A122" s="21" t="s">
        <v>26</v>
      </c>
      <c r="B122" s="234"/>
      <c r="C122" s="145"/>
      <c r="D122" s="166"/>
      <c r="E122" s="27"/>
      <c r="F122" s="234"/>
      <c r="G122" s="145"/>
      <c r="H122" s="166"/>
      <c r="I122" s="27"/>
      <c r="J122" s="289"/>
      <c r="K122" s="44"/>
      <c r="L122" s="257"/>
      <c r="M122" s="27"/>
    </row>
    <row r="123" spans="1:14" x14ac:dyDescent="0.2">
      <c r="A123" s="298" t="s">
        <v>14</v>
      </c>
      <c r="B123" s="283"/>
      <c r="C123" s="283"/>
      <c r="D123" s="166"/>
      <c r="E123" s="418"/>
      <c r="F123" s="283"/>
      <c r="G123" s="283"/>
      <c r="H123" s="166"/>
      <c r="I123" s="418"/>
      <c r="J123" s="292"/>
      <c r="K123" s="292"/>
      <c r="L123" s="166"/>
      <c r="M123" s="23"/>
    </row>
    <row r="124" spans="1:14" ht="15.75" x14ac:dyDescent="0.2">
      <c r="A124" s="21" t="s">
        <v>472</v>
      </c>
      <c r="B124" s="234"/>
      <c r="C124" s="234"/>
      <c r="D124" s="166"/>
      <c r="E124" s="27"/>
      <c r="F124" s="234"/>
      <c r="G124" s="234"/>
      <c r="H124" s="166"/>
      <c r="I124" s="27"/>
      <c r="J124" s="289"/>
      <c r="K124" s="44"/>
      <c r="L124" s="257"/>
      <c r="M124" s="27"/>
    </row>
    <row r="125" spans="1:14" ht="15.75" x14ac:dyDescent="0.2">
      <c r="A125" s="21" t="s">
        <v>464</v>
      </c>
      <c r="B125" s="234"/>
      <c r="C125" s="234"/>
      <c r="D125" s="166"/>
      <c r="E125" s="27"/>
      <c r="F125" s="234">
        <v>552244.30200000003</v>
      </c>
      <c r="G125" s="234">
        <v>669107</v>
      </c>
      <c r="H125" s="166">
        <f t="shared" si="61"/>
        <v>21.2</v>
      </c>
      <c r="I125" s="27">
        <f>IFERROR(100/'Skjema total MA'!F125*G125,0)</f>
        <v>18.63317792787171</v>
      </c>
      <c r="J125" s="289">
        <f t="shared" si="59"/>
        <v>552244.30200000003</v>
      </c>
      <c r="K125" s="44">
        <f t="shared" si="59"/>
        <v>669107</v>
      </c>
      <c r="L125" s="257">
        <f t="shared" si="60"/>
        <v>21.2</v>
      </c>
      <c r="M125" s="27">
        <f>IFERROR(100/'Skjema total MA'!I125*K125,0)</f>
        <v>18.61981645109832</v>
      </c>
    </row>
    <row r="126" spans="1:14" ht="15.75" x14ac:dyDescent="0.2">
      <c r="A126" s="10" t="s">
        <v>465</v>
      </c>
      <c r="B126" s="45"/>
      <c r="C126" s="45"/>
      <c r="D126" s="167"/>
      <c r="E126" s="419"/>
      <c r="F126" s="45"/>
      <c r="G126" s="45"/>
      <c r="H126" s="167"/>
      <c r="I126" s="22"/>
      <c r="J126" s="290"/>
      <c r="K126" s="45"/>
      <c r="L126" s="258"/>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1022"/>
      <c r="C130" s="1022"/>
      <c r="D130" s="1022"/>
      <c r="E130" s="301"/>
      <c r="F130" s="1022"/>
      <c r="G130" s="1022"/>
      <c r="H130" s="1022"/>
      <c r="I130" s="301"/>
      <c r="J130" s="1022"/>
      <c r="K130" s="1022"/>
      <c r="L130" s="1022"/>
      <c r="M130" s="301"/>
    </row>
    <row r="131" spans="1:14" s="3" customFormat="1" x14ac:dyDescent="0.2">
      <c r="A131" s="144"/>
      <c r="B131" s="1023" t="s">
        <v>0</v>
      </c>
      <c r="C131" s="1024"/>
      <c r="D131" s="1024"/>
      <c r="E131" s="303"/>
      <c r="F131" s="1023" t="s">
        <v>1</v>
      </c>
      <c r="G131" s="1024"/>
      <c r="H131" s="1024"/>
      <c r="I131" s="306"/>
      <c r="J131" s="1023" t="s">
        <v>2</v>
      </c>
      <c r="K131" s="1024"/>
      <c r="L131" s="1024"/>
      <c r="M131" s="306"/>
      <c r="N131" s="148"/>
    </row>
    <row r="132" spans="1:14" s="3" customFormat="1" x14ac:dyDescent="0.2">
      <c r="A132" s="140"/>
      <c r="B132" s="152" t="s">
        <v>502</v>
      </c>
      <c r="C132" s="152" t="s">
        <v>503</v>
      </c>
      <c r="D132" s="245" t="s">
        <v>3</v>
      </c>
      <c r="E132" s="307" t="s">
        <v>29</v>
      </c>
      <c r="F132" s="152" t="s">
        <v>502</v>
      </c>
      <c r="G132" s="152" t="s">
        <v>503</v>
      </c>
      <c r="H132" s="206" t="s">
        <v>3</v>
      </c>
      <c r="I132" s="162" t="s">
        <v>29</v>
      </c>
      <c r="J132" s="152" t="s">
        <v>502</v>
      </c>
      <c r="K132" s="152" t="s">
        <v>503</v>
      </c>
      <c r="L132" s="246" t="s">
        <v>3</v>
      </c>
      <c r="M132" s="162" t="s">
        <v>29</v>
      </c>
      <c r="N132" s="148"/>
    </row>
    <row r="133" spans="1:14" s="3" customFormat="1" x14ac:dyDescent="0.2">
      <c r="A133" s="990"/>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468</v>
      </c>
      <c r="B134" s="236"/>
      <c r="C134" s="311"/>
      <c r="D134" s="351"/>
      <c r="E134" s="11"/>
      <c r="F134" s="318"/>
      <c r="G134" s="319"/>
      <c r="H134" s="432"/>
      <c r="I134" s="24"/>
      <c r="J134" s="320"/>
      <c r="K134" s="320"/>
      <c r="L134" s="428"/>
      <c r="M134" s="11"/>
      <c r="N134" s="148"/>
    </row>
    <row r="135" spans="1:14" s="3" customFormat="1" ht="15.75" x14ac:dyDescent="0.2">
      <c r="A135" s="13" t="s">
        <v>473</v>
      </c>
      <c r="B135" s="236"/>
      <c r="C135" s="311"/>
      <c r="D135" s="171"/>
      <c r="E135" s="11"/>
      <c r="F135" s="236"/>
      <c r="G135" s="311"/>
      <c r="H135" s="433"/>
      <c r="I135" s="24"/>
      <c r="J135" s="310"/>
      <c r="K135" s="310"/>
      <c r="L135" s="429"/>
      <c r="M135" s="11"/>
      <c r="N135" s="148"/>
    </row>
    <row r="136" spans="1:14" s="3" customFormat="1" ht="15.75" x14ac:dyDescent="0.2">
      <c r="A136" s="13" t="s">
        <v>470</v>
      </c>
      <c r="B136" s="236"/>
      <c r="C136" s="311"/>
      <c r="D136" s="171"/>
      <c r="E136" s="11"/>
      <c r="F136" s="236"/>
      <c r="G136" s="311"/>
      <c r="H136" s="433"/>
      <c r="I136" s="24"/>
      <c r="J136" s="310"/>
      <c r="K136" s="310"/>
      <c r="L136" s="429"/>
      <c r="M136" s="11"/>
      <c r="N136" s="148"/>
    </row>
    <row r="137" spans="1:14" s="3" customFormat="1" ht="15.75" x14ac:dyDescent="0.2">
      <c r="A137" s="41" t="s">
        <v>471</v>
      </c>
      <c r="B137" s="278"/>
      <c r="C137" s="317"/>
      <c r="D137" s="169"/>
      <c r="E137" s="9"/>
      <c r="F137" s="278"/>
      <c r="G137" s="317"/>
      <c r="H137" s="434"/>
      <c r="I137" s="36"/>
      <c r="J137" s="316"/>
      <c r="K137" s="316"/>
      <c r="L137" s="430"/>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443" priority="132">
      <formula>kvartal &lt; 4</formula>
    </cfRule>
  </conditionalFormatting>
  <conditionalFormatting sqref="B69">
    <cfRule type="expression" dxfId="1442" priority="100">
      <formula>kvartal &lt; 4</formula>
    </cfRule>
  </conditionalFormatting>
  <conditionalFormatting sqref="C69">
    <cfRule type="expression" dxfId="1441" priority="99">
      <formula>kvartal &lt; 4</formula>
    </cfRule>
  </conditionalFormatting>
  <conditionalFormatting sqref="B72">
    <cfRule type="expression" dxfId="1440" priority="98">
      <formula>kvartal &lt; 4</formula>
    </cfRule>
  </conditionalFormatting>
  <conditionalFormatting sqref="C72">
    <cfRule type="expression" dxfId="1439" priority="97">
      <formula>kvartal &lt; 4</formula>
    </cfRule>
  </conditionalFormatting>
  <conditionalFormatting sqref="B80">
    <cfRule type="expression" dxfId="1438" priority="96">
      <formula>kvartal &lt; 4</formula>
    </cfRule>
  </conditionalFormatting>
  <conditionalFormatting sqref="C80">
    <cfRule type="expression" dxfId="1437" priority="95">
      <formula>kvartal &lt; 4</formula>
    </cfRule>
  </conditionalFormatting>
  <conditionalFormatting sqref="B83">
    <cfRule type="expression" dxfId="1436" priority="94">
      <formula>kvartal &lt; 4</formula>
    </cfRule>
  </conditionalFormatting>
  <conditionalFormatting sqref="C83">
    <cfRule type="expression" dxfId="1435" priority="93">
      <formula>kvartal &lt; 4</formula>
    </cfRule>
  </conditionalFormatting>
  <conditionalFormatting sqref="B90">
    <cfRule type="expression" dxfId="1434" priority="84">
      <formula>kvartal &lt; 4</formula>
    </cfRule>
  </conditionalFormatting>
  <conditionalFormatting sqref="C90">
    <cfRule type="expression" dxfId="1433" priority="83">
      <formula>kvartal &lt; 4</formula>
    </cfRule>
  </conditionalFormatting>
  <conditionalFormatting sqref="B93">
    <cfRule type="expression" dxfId="1432" priority="82">
      <formula>kvartal &lt; 4</formula>
    </cfRule>
  </conditionalFormatting>
  <conditionalFormatting sqref="C93">
    <cfRule type="expression" dxfId="1431" priority="81">
      <formula>kvartal &lt; 4</formula>
    </cfRule>
  </conditionalFormatting>
  <conditionalFormatting sqref="B101">
    <cfRule type="expression" dxfId="1430" priority="80">
      <formula>kvartal &lt; 4</formula>
    </cfRule>
  </conditionalFormatting>
  <conditionalFormatting sqref="C101">
    <cfRule type="expression" dxfId="1429" priority="79">
      <formula>kvartal &lt; 4</formula>
    </cfRule>
  </conditionalFormatting>
  <conditionalFormatting sqref="B104">
    <cfRule type="expression" dxfId="1428" priority="78">
      <formula>kvartal &lt; 4</formula>
    </cfRule>
  </conditionalFormatting>
  <conditionalFormatting sqref="C104">
    <cfRule type="expression" dxfId="1427" priority="77">
      <formula>kvartal &lt; 4</formula>
    </cfRule>
  </conditionalFormatting>
  <conditionalFormatting sqref="B115">
    <cfRule type="expression" dxfId="1426" priority="76">
      <formula>kvartal &lt; 4</formula>
    </cfRule>
  </conditionalFormatting>
  <conditionalFormatting sqref="C115">
    <cfRule type="expression" dxfId="1425" priority="75">
      <formula>kvartal &lt; 4</formula>
    </cfRule>
  </conditionalFormatting>
  <conditionalFormatting sqref="B123">
    <cfRule type="expression" dxfId="1424" priority="74">
      <formula>kvartal &lt; 4</formula>
    </cfRule>
  </conditionalFormatting>
  <conditionalFormatting sqref="C123">
    <cfRule type="expression" dxfId="1423" priority="73">
      <formula>kvartal &lt; 4</formula>
    </cfRule>
  </conditionalFormatting>
  <conditionalFormatting sqref="F70">
    <cfRule type="expression" dxfId="1422" priority="72">
      <formula>kvartal &lt; 4</formula>
    </cfRule>
  </conditionalFormatting>
  <conditionalFormatting sqref="G70">
    <cfRule type="expression" dxfId="1421" priority="71">
      <formula>kvartal &lt; 4</formula>
    </cfRule>
  </conditionalFormatting>
  <conditionalFormatting sqref="F71:G71">
    <cfRule type="expression" dxfId="1420" priority="70">
      <formula>kvartal &lt; 4</formula>
    </cfRule>
  </conditionalFormatting>
  <conditionalFormatting sqref="F73:G74">
    <cfRule type="expression" dxfId="1419" priority="69">
      <formula>kvartal &lt; 4</formula>
    </cfRule>
  </conditionalFormatting>
  <conditionalFormatting sqref="F81:G82">
    <cfRule type="expression" dxfId="1418" priority="68">
      <formula>kvartal &lt; 4</formula>
    </cfRule>
  </conditionalFormatting>
  <conditionalFormatting sqref="F84:G85">
    <cfRule type="expression" dxfId="1417" priority="67">
      <formula>kvartal &lt; 4</formula>
    </cfRule>
  </conditionalFormatting>
  <conditionalFormatting sqref="F91:G92">
    <cfRule type="expression" dxfId="1416" priority="62">
      <formula>kvartal &lt; 4</formula>
    </cfRule>
  </conditionalFormatting>
  <conditionalFormatting sqref="F94:G95">
    <cfRule type="expression" dxfId="1415" priority="61">
      <formula>kvartal &lt; 4</formula>
    </cfRule>
  </conditionalFormatting>
  <conditionalFormatting sqref="F102:G103">
    <cfRule type="expression" dxfId="1414" priority="60">
      <formula>kvartal &lt; 4</formula>
    </cfRule>
  </conditionalFormatting>
  <conditionalFormatting sqref="F105:G106">
    <cfRule type="expression" dxfId="1413" priority="59">
      <formula>kvartal &lt; 4</formula>
    </cfRule>
  </conditionalFormatting>
  <conditionalFormatting sqref="F115">
    <cfRule type="expression" dxfId="1412" priority="58">
      <formula>kvartal &lt; 4</formula>
    </cfRule>
  </conditionalFormatting>
  <conditionalFormatting sqref="G115">
    <cfRule type="expression" dxfId="1411" priority="57">
      <formula>kvartal &lt; 4</formula>
    </cfRule>
  </conditionalFormatting>
  <conditionalFormatting sqref="F123:G123">
    <cfRule type="expression" dxfId="1410" priority="56">
      <formula>kvartal &lt; 4</formula>
    </cfRule>
  </conditionalFormatting>
  <conditionalFormatting sqref="F69:G69">
    <cfRule type="expression" dxfId="1409" priority="55">
      <formula>kvartal &lt; 4</formula>
    </cfRule>
  </conditionalFormatting>
  <conditionalFormatting sqref="F72:G72">
    <cfRule type="expression" dxfId="1408" priority="54">
      <formula>kvartal &lt; 4</formula>
    </cfRule>
  </conditionalFormatting>
  <conditionalFormatting sqref="F80:G80">
    <cfRule type="expression" dxfId="1407" priority="53">
      <formula>kvartal &lt; 4</formula>
    </cfRule>
  </conditionalFormatting>
  <conditionalFormatting sqref="F83:G83">
    <cfRule type="expression" dxfId="1406" priority="52">
      <formula>kvartal &lt; 4</formula>
    </cfRule>
  </conditionalFormatting>
  <conditionalFormatting sqref="F90:G90">
    <cfRule type="expression" dxfId="1405" priority="46">
      <formula>kvartal &lt; 4</formula>
    </cfRule>
  </conditionalFormatting>
  <conditionalFormatting sqref="F93">
    <cfRule type="expression" dxfId="1404" priority="45">
      <formula>kvartal &lt; 4</formula>
    </cfRule>
  </conditionalFormatting>
  <conditionalFormatting sqref="G93">
    <cfRule type="expression" dxfId="1403" priority="44">
      <formula>kvartal &lt; 4</formula>
    </cfRule>
  </conditionalFormatting>
  <conditionalFormatting sqref="F101">
    <cfRule type="expression" dxfId="1402" priority="43">
      <formula>kvartal &lt; 4</formula>
    </cfRule>
  </conditionalFormatting>
  <conditionalFormatting sqref="G101">
    <cfRule type="expression" dxfId="1401" priority="42">
      <formula>kvartal &lt; 4</formula>
    </cfRule>
  </conditionalFormatting>
  <conditionalFormatting sqref="G104">
    <cfRule type="expression" dxfId="1400" priority="41">
      <formula>kvartal &lt; 4</formula>
    </cfRule>
  </conditionalFormatting>
  <conditionalFormatting sqref="F104">
    <cfRule type="expression" dxfId="1399" priority="40">
      <formula>kvartal &lt; 4</formula>
    </cfRule>
  </conditionalFormatting>
  <conditionalFormatting sqref="J80:K82">
    <cfRule type="expression" dxfId="1398" priority="37">
      <formula>kvartal &lt; 4</formula>
    </cfRule>
  </conditionalFormatting>
  <conditionalFormatting sqref="J91:K91">
    <cfRule type="expression" dxfId="1397" priority="34">
      <formula>kvartal &lt; 4</formula>
    </cfRule>
  </conditionalFormatting>
  <conditionalFormatting sqref="J101:K103">
    <cfRule type="expression" dxfId="1396" priority="33">
      <formula>kvartal &lt; 4</formula>
    </cfRule>
  </conditionalFormatting>
  <conditionalFormatting sqref="J123:K123">
    <cfRule type="expression" dxfId="1395" priority="31">
      <formula>kvartal &lt; 4</formula>
    </cfRule>
  </conditionalFormatting>
  <conditionalFormatting sqref="A50:A52">
    <cfRule type="expression" dxfId="1394" priority="12">
      <formula>kvartal &lt; 4</formula>
    </cfRule>
  </conditionalFormatting>
  <conditionalFormatting sqref="A69:A74">
    <cfRule type="expression" dxfId="1393" priority="10">
      <formula>kvartal &lt; 4</formula>
    </cfRule>
  </conditionalFormatting>
  <conditionalFormatting sqref="A80:A85">
    <cfRule type="expression" dxfId="1392" priority="9">
      <formula>kvartal &lt; 4</formula>
    </cfRule>
  </conditionalFormatting>
  <conditionalFormatting sqref="A90:A95">
    <cfRule type="expression" dxfId="1391" priority="6">
      <formula>kvartal &lt; 4</formula>
    </cfRule>
  </conditionalFormatting>
  <conditionalFormatting sqref="A101:A106">
    <cfRule type="expression" dxfId="1390" priority="5">
      <formula>kvartal &lt; 4</formula>
    </cfRule>
  </conditionalFormatting>
  <conditionalFormatting sqref="A115">
    <cfRule type="expression" dxfId="1389" priority="4">
      <formula>kvartal &lt; 4</formula>
    </cfRule>
  </conditionalFormatting>
  <conditionalFormatting sqref="A123">
    <cfRule type="expression" dxfId="1388" priority="3">
      <formula>kvartal &lt; 4</formula>
    </cfRule>
  </conditionalFormatting>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6"/>
  <dimension ref="A1:N144"/>
  <sheetViews>
    <sheetView showGridLines="0" zoomScale="120" zoomScaleNormal="120" workbookViewId="0">
      <selection activeCell="A2" sqref="A2"/>
    </sheetView>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133</v>
      </c>
      <c r="B1" s="988"/>
      <c r="C1" s="248" t="s">
        <v>93</v>
      </c>
      <c r="D1" s="26"/>
      <c r="E1" s="26"/>
      <c r="F1" s="26"/>
      <c r="G1" s="26"/>
      <c r="H1" s="26"/>
      <c r="I1" s="26"/>
      <c r="J1" s="26"/>
      <c r="K1" s="26"/>
      <c r="L1" s="26"/>
      <c r="M1" s="26"/>
    </row>
    <row r="2" spans="1:14" ht="15.75" x14ac:dyDescent="0.25">
      <c r="A2" s="165" t="s">
        <v>28</v>
      </c>
      <c r="B2" s="1027"/>
      <c r="C2" s="1027"/>
      <c r="D2" s="1027"/>
      <c r="E2" s="301"/>
      <c r="F2" s="1027"/>
      <c r="G2" s="1027"/>
      <c r="H2" s="1027"/>
      <c r="I2" s="301"/>
      <c r="J2" s="1027"/>
      <c r="K2" s="1027"/>
      <c r="L2" s="1027"/>
      <c r="M2" s="301"/>
    </row>
    <row r="3" spans="1:14" ht="15.75" x14ac:dyDescent="0.25">
      <c r="A3" s="163"/>
      <c r="B3" s="301"/>
      <c r="C3" s="301"/>
      <c r="D3" s="301"/>
      <c r="E3" s="301"/>
      <c r="F3" s="301"/>
      <c r="G3" s="301"/>
      <c r="H3" s="301"/>
      <c r="I3" s="301"/>
      <c r="J3" s="301"/>
      <c r="K3" s="301"/>
      <c r="L3" s="301"/>
      <c r="M3" s="301"/>
    </row>
    <row r="4" spans="1:14" x14ac:dyDescent="0.2">
      <c r="A4" s="144"/>
      <c r="B4" s="1023" t="s">
        <v>0</v>
      </c>
      <c r="C4" s="1024"/>
      <c r="D4" s="1024"/>
      <c r="E4" s="303"/>
      <c r="F4" s="1023" t="s">
        <v>1</v>
      </c>
      <c r="G4" s="1024"/>
      <c r="H4" s="1024"/>
      <c r="I4" s="306"/>
      <c r="J4" s="1023" t="s">
        <v>2</v>
      </c>
      <c r="K4" s="1024"/>
      <c r="L4" s="1024"/>
      <c r="M4" s="306"/>
    </row>
    <row r="5" spans="1:14" x14ac:dyDescent="0.2">
      <c r="A5" s="158"/>
      <c r="B5" s="152" t="s">
        <v>502</v>
      </c>
      <c r="C5" s="152" t="s">
        <v>503</v>
      </c>
      <c r="D5" s="245" t="s">
        <v>3</v>
      </c>
      <c r="E5" s="307" t="s">
        <v>29</v>
      </c>
      <c r="F5" s="152" t="s">
        <v>502</v>
      </c>
      <c r="G5" s="152" t="s">
        <v>503</v>
      </c>
      <c r="H5" s="245" t="s">
        <v>3</v>
      </c>
      <c r="I5" s="162" t="s">
        <v>29</v>
      </c>
      <c r="J5" s="152" t="s">
        <v>502</v>
      </c>
      <c r="K5" s="152" t="s">
        <v>503</v>
      </c>
      <c r="L5" s="245" t="s">
        <v>3</v>
      </c>
      <c r="M5" s="162" t="s">
        <v>29</v>
      </c>
    </row>
    <row r="6" spans="1:14" x14ac:dyDescent="0.2">
      <c r="A6" s="989"/>
      <c r="B6" s="156"/>
      <c r="C6" s="156"/>
      <c r="D6" s="246" t="s">
        <v>4</v>
      </c>
      <c r="E6" s="156" t="s">
        <v>30</v>
      </c>
      <c r="F6" s="161"/>
      <c r="G6" s="161"/>
      <c r="H6" s="245" t="s">
        <v>4</v>
      </c>
      <c r="I6" s="156" t="s">
        <v>30</v>
      </c>
      <c r="J6" s="161"/>
      <c r="K6" s="161"/>
      <c r="L6" s="245" t="s">
        <v>4</v>
      </c>
      <c r="M6" s="156" t="s">
        <v>30</v>
      </c>
    </row>
    <row r="7" spans="1:14" ht="15.75" x14ac:dyDescent="0.2">
      <c r="A7" s="14" t="s">
        <v>23</v>
      </c>
      <c r="B7" s="308"/>
      <c r="C7" s="309"/>
      <c r="D7" s="351"/>
      <c r="E7" s="11"/>
      <c r="F7" s="308"/>
      <c r="G7" s="309"/>
      <c r="H7" s="351"/>
      <c r="I7" s="160"/>
      <c r="J7" s="310"/>
      <c r="K7" s="311"/>
      <c r="L7" s="428"/>
      <c r="M7" s="11"/>
    </row>
    <row r="8" spans="1:14" ht="15.75" x14ac:dyDescent="0.2">
      <c r="A8" s="21" t="s">
        <v>25</v>
      </c>
      <c r="B8" s="283"/>
      <c r="C8" s="284"/>
      <c r="D8" s="166"/>
      <c r="E8" s="27"/>
      <c r="F8" s="287"/>
      <c r="G8" s="288"/>
      <c r="H8" s="166"/>
      <c r="I8" s="175"/>
      <c r="J8" s="234"/>
      <c r="K8" s="289"/>
      <c r="L8" s="166"/>
      <c r="M8" s="27"/>
    </row>
    <row r="9" spans="1:14" ht="15.75" x14ac:dyDescent="0.2">
      <c r="A9" s="21" t="s">
        <v>24</v>
      </c>
      <c r="B9" s="283"/>
      <c r="C9" s="284"/>
      <c r="D9" s="166"/>
      <c r="E9" s="27"/>
      <c r="F9" s="287"/>
      <c r="G9" s="288"/>
      <c r="H9" s="166"/>
      <c r="I9" s="175"/>
      <c r="J9" s="234"/>
      <c r="K9" s="289"/>
      <c r="L9" s="166"/>
      <c r="M9" s="27"/>
    </row>
    <row r="10" spans="1:14" ht="15.75" x14ac:dyDescent="0.2">
      <c r="A10" s="13" t="s">
        <v>444</v>
      </c>
      <c r="B10" s="312"/>
      <c r="C10" s="313"/>
      <c r="D10" s="171"/>
      <c r="E10" s="11"/>
      <c r="F10" s="312"/>
      <c r="G10" s="313"/>
      <c r="H10" s="171"/>
      <c r="I10" s="160"/>
      <c r="J10" s="310"/>
      <c r="K10" s="311"/>
      <c r="L10" s="429"/>
      <c r="M10" s="11"/>
    </row>
    <row r="11" spans="1:14" s="43" customFormat="1" ht="15.75" x14ac:dyDescent="0.2">
      <c r="A11" s="13" t="s">
        <v>445</v>
      </c>
      <c r="B11" s="312"/>
      <c r="C11" s="313"/>
      <c r="D11" s="171"/>
      <c r="E11" s="11"/>
      <c r="F11" s="312"/>
      <c r="G11" s="313"/>
      <c r="H11" s="171"/>
      <c r="I11" s="160"/>
      <c r="J11" s="310"/>
      <c r="K11" s="311"/>
      <c r="L11" s="429"/>
      <c r="M11" s="11"/>
      <c r="N11" s="143"/>
    </row>
    <row r="12" spans="1:14" s="43" customFormat="1" ht="15.75" x14ac:dyDescent="0.2">
      <c r="A12" s="41" t="s">
        <v>446</v>
      </c>
      <c r="B12" s="314"/>
      <c r="C12" s="315"/>
      <c r="D12" s="169"/>
      <c r="E12" s="36"/>
      <c r="F12" s="314"/>
      <c r="G12" s="315"/>
      <c r="H12" s="169"/>
      <c r="I12" s="169"/>
      <c r="J12" s="316"/>
      <c r="K12" s="317"/>
      <c r="L12" s="430"/>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1022"/>
      <c r="C18" s="1022"/>
      <c r="D18" s="1022"/>
      <c r="E18" s="301"/>
      <c r="F18" s="1022"/>
      <c r="G18" s="1022"/>
      <c r="H18" s="1022"/>
      <c r="I18" s="301"/>
      <c r="J18" s="1022"/>
      <c r="K18" s="1022"/>
      <c r="L18" s="1022"/>
      <c r="M18" s="301"/>
    </row>
    <row r="19" spans="1:14" x14ac:dyDescent="0.2">
      <c r="A19" s="144"/>
      <c r="B19" s="1023" t="s">
        <v>0</v>
      </c>
      <c r="C19" s="1024"/>
      <c r="D19" s="1024"/>
      <c r="E19" s="303"/>
      <c r="F19" s="1023" t="s">
        <v>1</v>
      </c>
      <c r="G19" s="1024"/>
      <c r="H19" s="1024"/>
      <c r="I19" s="306"/>
      <c r="J19" s="1023" t="s">
        <v>2</v>
      </c>
      <c r="K19" s="1024"/>
      <c r="L19" s="1024"/>
      <c r="M19" s="306"/>
    </row>
    <row r="20" spans="1:14" x14ac:dyDescent="0.2">
      <c r="A20" s="140" t="s">
        <v>5</v>
      </c>
      <c r="B20" s="152" t="s">
        <v>502</v>
      </c>
      <c r="C20" s="152" t="s">
        <v>503</v>
      </c>
      <c r="D20" s="162" t="s">
        <v>3</v>
      </c>
      <c r="E20" s="307" t="s">
        <v>29</v>
      </c>
      <c r="F20" s="152" t="s">
        <v>502</v>
      </c>
      <c r="G20" s="152" t="s">
        <v>503</v>
      </c>
      <c r="H20" s="162" t="s">
        <v>3</v>
      </c>
      <c r="I20" s="162" t="s">
        <v>29</v>
      </c>
      <c r="J20" s="152" t="s">
        <v>502</v>
      </c>
      <c r="K20" s="152" t="s">
        <v>503</v>
      </c>
      <c r="L20" s="162" t="s">
        <v>3</v>
      </c>
      <c r="M20" s="162" t="s">
        <v>29</v>
      </c>
    </row>
    <row r="21" spans="1:14" x14ac:dyDescent="0.2">
      <c r="A21" s="990"/>
      <c r="B21" s="156"/>
      <c r="C21" s="156"/>
      <c r="D21" s="246" t="s">
        <v>4</v>
      </c>
      <c r="E21" s="156" t="s">
        <v>30</v>
      </c>
      <c r="F21" s="161"/>
      <c r="G21" s="161"/>
      <c r="H21" s="245" t="s">
        <v>4</v>
      </c>
      <c r="I21" s="156" t="s">
        <v>30</v>
      </c>
      <c r="J21" s="161"/>
      <c r="K21" s="161"/>
      <c r="L21" s="156" t="s">
        <v>4</v>
      </c>
      <c r="M21" s="156" t="s">
        <v>30</v>
      </c>
    </row>
    <row r="22" spans="1:14" ht="15.75" x14ac:dyDescent="0.2">
      <c r="A22" s="14" t="s">
        <v>23</v>
      </c>
      <c r="B22" s="312"/>
      <c r="C22" s="312"/>
      <c r="D22" s="351"/>
      <c r="E22" s="11"/>
      <c r="F22" s="320"/>
      <c r="G22" s="320"/>
      <c r="H22" s="351"/>
      <c r="I22" s="11"/>
      <c r="J22" s="318"/>
      <c r="K22" s="318"/>
      <c r="L22" s="428"/>
      <c r="M22" s="24"/>
    </row>
    <row r="23" spans="1:14" ht="15.75" x14ac:dyDescent="0.2">
      <c r="A23" s="811" t="s">
        <v>447</v>
      </c>
      <c r="B23" s="283"/>
      <c r="C23" s="283"/>
      <c r="D23" s="166"/>
      <c r="E23" s="11"/>
      <c r="F23" s="292"/>
      <c r="G23" s="292"/>
      <c r="H23" s="166"/>
      <c r="I23" s="418"/>
      <c r="J23" s="292"/>
      <c r="K23" s="292"/>
      <c r="L23" s="166"/>
      <c r="M23" s="23"/>
    </row>
    <row r="24" spans="1:14" ht="15.75" x14ac:dyDescent="0.2">
      <c r="A24" s="811" t="s">
        <v>448</v>
      </c>
      <c r="B24" s="283"/>
      <c r="C24" s="283"/>
      <c r="D24" s="166"/>
      <c r="E24" s="11"/>
      <c r="F24" s="292"/>
      <c r="G24" s="292"/>
      <c r="H24" s="166"/>
      <c r="I24" s="418"/>
      <c r="J24" s="292"/>
      <c r="K24" s="292"/>
      <c r="L24" s="166"/>
      <c r="M24" s="23"/>
    </row>
    <row r="25" spans="1:14" ht="15.75" x14ac:dyDescent="0.2">
      <c r="A25" s="811" t="s">
        <v>449</v>
      </c>
      <c r="B25" s="283"/>
      <c r="C25" s="283"/>
      <c r="D25" s="166"/>
      <c r="E25" s="11"/>
      <c r="F25" s="292"/>
      <c r="G25" s="292"/>
      <c r="H25" s="166"/>
      <c r="I25" s="418"/>
      <c r="J25" s="292"/>
      <c r="K25" s="292"/>
      <c r="L25" s="166"/>
      <c r="M25" s="23"/>
    </row>
    <row r="26" spans="1:14" ht="15.75" x14ac:dyDescent="0.2">
      <c r="A26" s="811" t="s">
        <v>450</v>
      </c>
      <c r="B26" s="283"/>
      <c r="C26" s="283"/>
      <c r="D26" s="166"/>
      <c r="E26" s="11"/>
      <c r="F26" s="292"/>
      <c r="G26" s="292"/>
      <c r="H26" s="166"/>
      <c r="I26" s="418"/>
      <c r="J26" s="292"/>
      <c r="K26" s="292"/>
      <c r="L26" s="166"/>
      <c r="M26" s="23"/>
    </row>
    <row r="27" spans="1:14" x14ac:dyDescent="0.2">
      <c r="A27" s="811" t="s">
        <v>11</v>
      </c>
      <c r="B27" s="283"/>
      <c r="C27" s="283"/>
      <c r="D27" s="166"/>
      <c r="E27" s="11"/>
      <c r="F27" s="292"/>
      <c r="G27" s="292"/>
      <c r="H27" s="166"/>
      <c r="I27" s="418"/>
      <c r="J27" s="292"/>
      <c r="K27" s="292"/>
      <c r="L27" s="166"/>
      <c r="M27" s="23"/>
    </row>
    <row r="28" spans="1:14" ht="15.75" x14ac:dyDescent="0.2">
      <c r="A28" s="49" t="s">
        <v>272</v>
      </c>
      <c r="B28" s="44"/>
      <c r="C28" s="289"/>
      <c r="D28" s="166"/>
      <c r="E28" s="11"/>
      <c r="F28" s="234"/>
      <c r="G28" s="289"/>
      <c r="H28" s="166"/>
      <c r="I28" s="27"/>
      <c r="J28" s="44"/>
      <c r="K28" s="44"/>
      <c r="L28" s="257"/>
      <c r="M28" s="23"/>
    </row>
    <row r="29" spans="1:14" s="3" customFormat="1" ht="15.75" x14ac:dyDescent="0.2">
      <c r="A29" s="13" t="s">
        <v>444</v>
      </c>
      <c r="B29" s="236"/>
      <c r="C29" s="236"/>
      <c r="D29" s="171"/>
      <c r="E29" s="11"/>
      <c r="F29" s="310"/>
      <c r="G29" s="310"/>
      <c r="H29" s="171"/>
      <c r="I29" s="11"/>
      <c r="J29" s="236"/>
      <c r="K29" s="236"/>
      <c r="L29" s="429"/>
      <c r="M29" s="24"/>
      <c r="N29" s="148"/>
    </row>
    <row r="30" spans="1:14" s="3" customFormat="1" ht="15.75" x14ac:dyDescent="0.2">
      <c r="A30" s="811" t="s">
        <v>447</v>
      </c>
      <c r="B30" s="283"/>
      <c r="C30" s="283"/>
      <c r="D30" s="166"/>
      <c r="E30" s="11"/>
      <c r="F30" s="292"/>
      <c r="G30" s="292"/>
      <c r="H30" s="166"/>
      <c r="I30" s="418"/>
      <c r="J30" s="292"/>
      <c r="K30" s="292"/>
      <c r="L30" s="166"/>
      <c r="M30" s="23"/>
      <c r="N30" s="148"/>
    </row>
    <row r="31" spans="1:14" s="3" customFormat="1" ht="15.75" x14ac:dyDescent="0.2">
      <c r="A31" s="811" t="s">
        <v>448</v>
      </c>
      <c r="B31" s="283"/>
      <c r="C31" s="283"/>
      <c r="D31" s="166"/>
      <c r="E31" s="11"/>
      <c r="F31" s="292"/>
      <c r="G31" s="292"/>
      <c r="H31" s="166"/>
      <c r="I31" s="418"/>
      <c r="J31" s="292"/>
      <c r="K31" s="292"/>
      <c r="L31" s="166"/>
      <c r="M31" s="23"/>
      <c r="N31" s="148"/>
    </row>
    <row r="32" spans="1:14" ht="15.75" x14ac:dyDescent="0.2">
      <c r="A32" s="811" t="s">
        <v>449</v>
      </c>
      <c r="B32" s="283"/>
      <c r="C32" s="283"/>
      <c r="D32" s="166"/>
      <c r="E32" s="11"/>
      <c r="F32" s="292"/>
      <c r="G32" s="292"/>
      <c r="H32" s="166"/>
      <c r="I32" s="418"/>
      <c r="J32" s="292"/>
      <c r="K32" s="292"/>
      <c r="L32" s="166"/>
      <c r="M32" s="23"/>
    </row>
    <row r="33" spans="1:14" ht="15.75" x14ac:dyDescent="0.2">
      <c r="A33" s="811" t="s">
        <v>450</v>
      </c>
      <c r="B33" s="283"/>
      <c r="C33" s="283"/>
      <c r="D33" s="166"/>
      <c r="E33" s="11"/>
      <c r="F33" s="292"/>
      <c r="G33" s="292"/>
      <c r="H33" s="166"/>
      <c r="I33" s="418"/>
      <c r="J33" s="292"/>
      <c r="K33" s="292"/>
      <c r="L33" s="166"/>
      <c r="M33" s="23"/>
    </row>
    <row r="34" spans="1:14" ht="15.75" x14ac:dyDescent="0.2">
      <c r="A34" s="13" t="s">
        <v>445</v>
      </c>
      <c r="B34" s="236"/>
      <c r="C34" s="311"/>
      <c r="D34" s="171"/>
      <c r="E34" s="11"/>
      <c r="F34" s="310"/>
      <c r="G34" s="311"/>
      <c r="H34" s="171"/>
      <c r="I34" s="11"/>
      <c r="J34" s="236"/>
      <c r="K34" s="236"/>
      <c r="L34" s="429"/>
      <c r="M34" s="24"/>
    </row>
    <row r="35" spans="1:14" ht="15.75" x14ac:dyDescent="0.2">
      <c r="A35" s="13" t="s">
        <v>446</v>
      </c>
      <c r="B35" s="236"/>
      <c r="C35" s="311"/>
      <c r="D35" s="171"/>
      <c r="E35" s="11"/>
      <c r="F35" s="310"/>
      <c r="G35" s="311"/>
      <c r="H35" s="171"/>
      <c r="I35" s="11"/>
      <c r="J35" s="236"/>
      <c r="K35" s="236"/>
      <c r="L35" s="429"/>
      <c r="M35" s="24"/>
    </row>
    <row r="36" spans="1:14" ht="15.75" x14ac:dyDescent="0.2">
      <c r="A36" s="12" t="s">
        <v>280</v>
      </c>
      <c r="B36" s="236"/>
      <c r="C36" s="311"/>
      <c r="D36" s="171"/>
      <c r="E36" s="11"/>
      <c r="F36" s="321"/>
      <c r="G36" s="322"/>
      <c r="H36" s="171"/>
      <c r="I36" s="435"/>
      <c r="J36" s="236"/>
      <c r="K36" s="236"/>
      <c r="L36" s="429"/>
      <c r="M36" s="24"/>
    </row>
    <row r="37" spans="1:14" ht="15.75" x14ac:dyDescent="0.2">
      <c r="A37" s="12" t="s">
        <v>452</v>
      </c>
      <c r="B37" s="236"/>
      <c r="C37" s="311"/>
      <c r="D37" s="171"/>
      <c r="E37" s="11"/>
      <c r="F37" s="321"/>
      <c r="G37" s="323"/>
      <c r="H37" s="171"/>
      <c r="I37" s="435"/>
      <c r="J37" s="236"/>
      <c r="K37" s="236"/>
      <c r="L37" s="429"/>
      <c r="M37" s="24"/>
    </row>
    <row r="38" spans="1:14" ht="15.75" x14ac:dyDescent="0.2">
      <c r="A38" s="12" t="s">
        <v>453</v>
      </c>
      <c r="B38" s="236"/>
      <c r="C38" s="311"/>
      <c r="D38" s="171"/>
      <c r="E38" s="24"/>
      <c r="F38" s="321"/>
      <c r="G38" s="322"/>
      <c r="H38" s="171"/>
      <c r="I38" s="435"/>
      <c r="J38" s="236"/>
      <c r="K38" s="236"/>
      <c r="L38" s="429"/>
      <c r="M38" s="24"/>
    </row>
    <row r="39" spans="1:14" ht="15.75" x14ac:dyDescent="0.2">
      <c r="A39" s="18" t="s">
        <v>454</v>
      </c>
      <c r="B39" s="278"/>
      <c r="C39" s="317"/>
      <c r="D39" s="169"/>
      <c r="E39" s="36"/>
      <c r="F39" s="324"/>
      <c r="G39" s="325"/>
      <c r="H39" s="169"/>
      <c r="I39" s="36"/>
      <c r="J39" s="236"/>
      <c r="K39" s="236"/>
      <c r="L39" s="430"/>
      <c r="M39" s="36"/>
    </row>
    <row r="40" spans="1:14" ht="15.75" x14ac:dyDescent="0.25">
      <c r="A40" s="47"/>
      <c r="B40" s="256"/>
      <c r="C40" s="256"/>
      <c r="D40" s="1026"/>
      <c r="E40" s="1026"/>
      <c r="F40" s="1026"/>
      <c r="G40" s="1026"/>
      <c r="H40" s="1026"/>
      <c r="I40" s="1026"/>
      <c r="J40" s="1026"/>
      <c r="K40" s="1026"/>
      <c r="L40" s="1026"/>
      <c r="M40" s="304"/>
    </row>
    <row r="41" spans="1:14" x14ac:dyDescent="0.2">
      <c r="A41" s="155"/>
    </row>
    <row r="42" spans="1:14" ht="15.75" x14ac:dyDescent="0.25">
      <c r="A42" s="147" t="s">
        <v>269</v>
      </c>
      <c r="B42" s="1027"/>
      <c r="C42" s="1027"/>
      <c r="D42" s="1027"/>
      <c r="E42" s="301"/>
      <c r="F42" s="1028"/>
      <c r="G42" s="1028"/>
      <c r="H42" s="1028"/>
      <c r="I42" s="304"/>
      <c r="J42" s="1028"/>
      <c r="K42" s="1028"/>
      <c r="L42" s="1028"/>
      <c r="M42" s="304"/>
    </row>
    <row r="43" spans="1:14" ht="15.75" x14ac:dyDescent="0.25">
      <c r="A43" s="163"/>
      <c r="B43" s="305"/>
      <c r="C43" s="305"/>
      <c r="D43" s="305"/>
      <c r="E43" s="305"/>
      <c r="F43" s="304"/>
      <c r="G43" s="304"/>
      <c r="H43" s="304"/>
      <c r="I43" s="304"/>
      <c r="J43" s="304"/>
      <c r="K43" s="304"/>
      <c r="L43" s="304"/>
      <c r="M43" s="304"/>
    </row>
    <row r="44" spans="1:14" ht="15.75" x14ac:dyDescent="0.25">
      <c r="A44" s="247"/>
      <c r="B44" s="1023" t="s">
        <v>0</v>
      </c>
      <c r="C44" s="1024"/>
      <c r="D44" s="1024"/>
      <c r="E44" s="243"/>
      <c r="F44" s="304"/>
      <c r="G44" s="304"/>
      <c r="H44" s="304"/>
      <c r="I44" s="304"/>
      <c r="J44" s="304"/>
      <c r="K44" s="304"/>
      <c r="L44" s="304"/>
      <c r="M44" s="304"/>
    </row>
    <row r="45" spans="1:14" s="3" customFormat="1" x14ac:dyDescent="0.2">
      <c r="A45" s="140"/>
      <c r="B45" s="152" t="s">
        <v>502</v>
      </c>
      <c r="C45" s="152" t="s">
        <v>503</v>
      </c>
      <c r="D45" s="162" t="s">
        <v>3</v>
      </c>
      <c r="E45" s="162" t="s">
        <v>29</v>
      </c>
      <c r="F45" s="174"/>
      <c r="G45" s="174"/>
      <c r="H45" s="173"/>
      <c r="I45" s="173"/>
      <c r="J45" s="174"/>
      <c r="K45" s="174"/>
      <c r="L45" s="173"/>
      <c r="M45" s="173"/>
      <c r="N45" s="148"/>
    </row>
    <row r="46" spans="1:14" s="3" customFormat="1" x14ac:dyDescent="0.2">
      <c r="A46" s="990"/>
      <c r="B46" s="244"/>
      <c r="C46" s="244"/>
      <c r="D46" s="245" t="s">
        <v>4</v>
      </c>
      <c r="E46" s="156" t="s">
        <v>30</v>
      </c>
      <c r="F46" s="173"/>
      <c r="G46" s="173"/>
      <c r="H46" s="173"/>
      <c r="I46" s="173"/>
      <c r="J46" s="173"/>
      <c r="K46" s="173"/>
      <c r="L46" s="173"/>
      <c r="M46" s="173"/>
      <c r="N46" s="148"/>
    </row>
    <row r="47" spans="1:14" s="3" customFormat="1" ht="15.75" x14ac:dyDescent="0.2">
      <c r="A47" s="14" t="s">
        <v>23</v>
      </c>
      <c r="B47" s="312">
        <v>31900</v>
      </c>
      <c r="C47" s="313">
        <v>31780</v>
      </c>
      <c r="D47" s="428">
        <f t="shared" ref="D47:D48" si="0">IF(B47=0, "    ---- ", IF(ABS(ROUND(100/B47*C47-100,1))&lt;999,ROUND(100/B47*C47-100,1),IF(ROUND(100/B47*C47-100,1)&gt;999,999,-999)))</f>
        <v>-0.4</v>
      </c>
      <c r="E47" s="11">
        <f>IFERROR(100/'Skjema total MA'!C47*C47,0)</f>
        <v>0.66526051898599536</v>
      </c>
      <c r="F47" s="145"/>
      <c r="G47" s="33"/>
      <c r="H47" s="159"/>
      <c r="I47" s="159"/>
      <c r="J47" s="37"/>
      <c r="K47" s="37"/>
      <c r="L47" s="159"/>
      <c r="M47" s="159"/>
      <c r="N47" s="148"/>
    </row>
    <row r="48" spans="1:14" s="3" customFormat="1" ht="15.75" x14ac:dyDescent="0.2">
      <c r="A48" s="38" t="s">
        <v>455</v>
      </c>
      <c r="B48" s="283">
        <v>31900</v>
      </c>
      <c r="C48" s="284">
        <v>31780</v>
      </c>
      <c r="D48" s="257">
        <f t="shared" si="0"/>
        <v>-0.4</v>
      </c>
      <c r="E48" s="27">
        <f>IFERROR(100/'Skjema total MA'!C48*C48,0)</f>
        <v>1.1927744737884536</v>
      </c>
      <c r="F48" s="145"/>
      <c r="G48" s="33"/>
      <c r="H48" s="145"/>
      <c r="I48" s="145"/>
      <c r="J48" s="33"/>
      <c r="K48" s="33"/>
      <c r="L48" s="159"/>
      <c r="M48" s="159"/>
      <c r="N48" s="148"/>
    </row>
    <row r="49" spans="1:14" s="3" customFormat="1" ht="15.75" x14ac:dyDescent="0.2">
      <c r="A49" s="38" t="s">
        <v>456</v>
      </c>
      <c r="B49" s="44"/>
      <c r="C49" s="289"/>
      <c r="D49" s="257"/>
      <c r="E49" s="27"/>
      <c r="F49" s="145"/>
      <c r="G49" s="33"/>
      <c r="H49" s="145"/>
      <c r="I49" s="145"/>
      <c r="J49" s="37"/>
      <c r="K49" s="37"/>
      <c r="L49" s="159"/>
      <c r="M49" s="159"/>
      <c r="N49" s="148"/>
    </row>
    <row r="50" spans="1:14" s="3" customFormat="1" x14ac:dyDescent="0.2">
      <c r="A50" s="298" t="s">
        <v>6</v>
      </c>
      <c r="B50" s="292"/>
      <c r="C50" s="293"/>
      <c r="D50" s="257"/>
      <c r="E50" s="23"/>
      <c r="F50" s="145"/>
      <c r="G50" s="33"/>
      <c r="H50" s="145"/>
      <c r="I50" s="145"/>
      <c r="J50" s="33"/>
      <c r="K50" s="33"/>
      <c r="L50" s="159"/>
      <c r="M50" s="159"/>
      <c r="N50" s="148"/>
    </row>
    <row r="51" spans="1:14" s="3" customFormat="1" x14ac:dyDescent="0.2">
      <c r="A51" s="298" t="s">
        <v>7</v>
      </c>
      <c r="B51" s="292"/>
      <c r="C51" s="293"/>
      <c r="D51" s="257"/>
      <c r="E51" s="23"/>
      <c r="F51" s="145"/>
      <c r="G51" s="33"/>
      <c r="H51" s="145"/>
      <c r="I51" s="145"/>
      <c r="J51" s="33"/>
      <c r="K51" s="33"/>
      <c r="L51" s="159"/>
      <c r="M51" s="159"/>
      <c r="N51" s="148"/>
    </row>
    <row r="52" spans="1:14" s="3" customFormat="1" x14ac:dyDescent="0.2">
      <c r="A52" s="298" t="s">
        <v>8</v>
      </c>
      <c r="B52" s="292"/>
      <c r="C52" s="293"/>
      <c r="D52" s="257"/>
      <c r="E52" s="23"/>
      <c r="F52" s="145"/>
      <c r="G52" s="33"/>
      <c r="H52" s="145"/>
      <c r="I52" s="145"/>
      <c r="J52" s="33"/>
      <c r="K52" s="33"/>
      <c r="L52" s="159"/>
      <c r="M52" s="159"/>
      <c r="N52" s="148"/>
    </row>
    <row r="53" spans="1:14" s="3" customFormat="1" ht="15.75" x14ac:dyDescent="0.2">
      <c r="A53" s="39" t="s">
        <v>457</v>
      </c>
      <c r="B53" s="312"/>
      <c r="C53" s="313"/>
      <c r="D53" s="429"/>
      <c r="E53" s="11"/>
      <c r="F53" s="145"/>
      <c r="G53" s="33"/>
      <c r="H53" s="145"/>
      <c r="I53" s="145"/>
      <c r="J53" s="33"/>
      <c r="K53" s="33"/>
      <c r="L53" s="159"/>
      <c r="M53" s="159"/>
      <c r="N53" s="148"/>
    </row>
    <row r="54" spans="1:14" s="3" customFormat="1" ht="15.75" x14ac:dyDescent="0.2">
      <c r="A54" s="38" t="s">
        <v>455</v>
      </c>
      <c r="B54" s="283"/>
      <c r="C54" s="284"/>
      <c r="D54" s="257"/>
      <c r="E54" s="27"/>
      <c r="F54" s="145"/>
      <c r="G54" s="33"/>
      <c r="H54" s="145"/>
      <c r="I54" s="145"/>
      <c r="J54" s="33"/>
      <c r="K54" s="33"/>
      <c r="L54" s="159"/>
      <c r="M54" s="159"/>
      <c r="N54" s="148"/>
    </row>
    <row r="55" spans="1:14" s="3" customFormat="1" ht="15.75" x14ac:dyDescent="0.2">
      <c r="A55" s="38" t="s">
        <v>456</v>
      </c>
      <c r="B55" s="283"/>
      <c r="C55" s="284"/>
      <c r="D55" s="257"/>
      <c r="E55" s="27"/>
      <c r="F55" s="145"/>
      <c r="G55" s="33"/>
      <c r="H55" s="145"/>
      <c r="I55" s="145"/>
      <c r="J55" s="33"/>
      <c r="K55" s="33"/>
      <c r="L55" s="159"/>
      <c r="M55" s="159"/>
      <c r="N55" s="148"/>
    </row>
    <row r="56" spans="1:14" s="3" customFormat="1" ht="15.75" x14ac:dyDescent="0.2">
      <c r="A56" s="39" t="s">
        <v>458</v>
      </c>
      <c r="B56" s="312"/>
      <c r="C56" s="313"/>
      <c r="D56" s="429"/>
      <c r="E56" s="11"/>
      <c r="F56" s="145"/>
      <c r="G56" s="33"/>
      <c r="H56" s="145"/>
      <c r="I56" s="145"/>
      <c r="J56" s="33"/>
      <c r="K56" s="33"/>
      <c r="L56" s="159"/>
      <c r="M56" s="159"/>
      <c r="N56" s="148"/>
    </row>
    <row r="57" spans="1:14" s="3" customFormat="1" ht="15.75" x14ac:dyDescent="0.2">
      <c r="A57" s="38" t="s">
        <v>455</v>
      </c>
      <c r="B57" s="283"/>
      <c r="C57" s="284"/>
      <c r="D57" s="257"/>
      <c r="E57" s="27"/>
      <c r="F57" s="145"/>
      <c r="G57" s="33"/>
      <c r="H57" s="145"/>
      <c r="I57" s="145"/>
      <c r="J57" s="33"/>
      <c r="K57" s="33"/>
      <c r="L57" s="159"/>
      <c r="M57" s="159"/>
      <c r="N57" s="148"/>
    </row>
    <row r="58" spans="1:14" s="3" customFormat="1" ht="15.75" x14ac:dyDescent="0.2">
      <c r="A58" s="46" t="s">
        <v>456</v>
      </c>
      <c r="B58" s="285"/>
      <c r="C58" s="286"/>
      <c r="D58" s="258"/>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1022"/>
      <c r="C62" s="1022"/>
      <c r="D62" s="1022"/>
      <c r="E62" s="301"/>
      <c r="F62" s="1022"/>
      <c r="G62" s="1022"/>
      <c r="H62" s="1022"/>
      <c r="I62" s="301"/>
      <c r="J62" s="1022"/>
      <c r="K62" s="1022"/>
      <c r="L62" s="1022"/>
      <c r="M62" s="301"/>
    </row>
    <row r="63" spans="1:14" x14ac:dyDescent="0.2">
      <c r="A63" s="144"/>
      <c r="B63" s="1023" t="s">
        <v>0</v>
      </c>
      <c r="C63" s="1024"/>
      <c r="D63" s="1025"/>
      <c r="E63" s="302"/>
      <c r="F63" s="1024" t="s">
        <v>1</v>
      </c>
      <c r="G63" s="1024"/>
      <c r="H63" s="1024"/>
      <c r="I63" s="306"/>
      <c r="J63" s="1023" t="s">
        <v>2</v>
      </c>
      <c r="K63" s="1024"/>
      <c r="L63" s="1024"/>
      <c r="M63" s="306"/>
    </row>
    <row r="64" spans="1:14" x14ac:dyDescent="0.2">
      <c r="A64" s="140"/>
      <c r="B64" s="152" t="s">
        <v>502</v>
      </c>
      <c r="C64" s="152" t="s">
        <v>503</v>
      </c>
      <c r="D64" s="245" t="s">
        <v>3</v>
      </c>
      <c r="E64" s="307" t="s">
        <v>29</v>
      </c>
      <c r="F64" s="152" t="s">
        <v>502</v>
      </c>
      <c r="G64" s="152" t="s">
        <v>503</v>
      </c>
      <c r="H64" s="245" t="s">
        <v>3</v>
      </c>
      <c r="I64" s="307" t="s">
        <v>29</v>
      </c>
      <c r="J64" s="152" t="s">
        <v>502</v>
      </c>
      <c r="K64" s="152" t="s">
        <v>503</v>
      </c>
      <c r="L64" s="245" t="s">
        <v>3</v>
      </c>
      <c r="M64" s="162" t="s">
        <v>29</v>
      </c>
    </row>
    <row r="65" spans="1:14" x14ac:dyDescent="0.2">
      <c r="A65" s="990"/>
      <c r="B65" s="156"/>
      <c r="C65" s="156"/>
      <c r="D65" s="246" t="s">
        <v>4</v>
      </c>
      <c r="E65" s="156" t="s">
        <v>30</v>
      </c>
      <c r="F65" s="161"/>
      <c r="G65" s="161"/>
      <c r="H65" s="245"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9"/>
      <c r="M66" s="11"/>
    </row>
    <row r="67" spans="1:14" x14ac:dyDescent="0.2">
      <c r="A67" s="420" t="s">
        <v>9</v>
      </c>
      <c r="B67" s="44"/>
      <c r="C67" s="145"/>
      <c r="D67" s="166"/>
      <c r="E67" s="27"/>
      <c r="F67" s="234"/>
      <c r="G67" s="145"/>
      <c r="H67" s="166"/>
      <c r="I67" s="27"/>
      <c r="J67" s="289"/>
      <c r="K67" s="44"/>
      <c r="L67" s="257"/>
      <c r="M67" s="27"/>
    </row>
    <row r="68" spans="1:14" x14ac:dyDescent="0.2">
      <c r="A68" s="21" t="s">
        <v>10</v>
      </c>
      <c r="B68" s="294"/>
      <c r="C68" s="295"/>
      <c r="D68" s="166"/>
      <c r="E68" s="27"/>
      <c r="F68" s="294"/>
      <c r="G68" s="295"/>
      <c r="H68" s="166"/>
      <c r="I68" s="27"/>
      <c r="J68" s="289"/>
      <c r="K68" s="44"/>
      <c r="L68" s="257"/>
      <c r="M68" s="27"/>
    </row>
    <row r="69" spans="1:14" ht="15.75" x14ac:dyDescent="0.2">
      <c r="A69" s="298" t="s">
        <v>459</v>
      </c>
      <c r="B69" s="283"/>
      <c r="C69" s="283"/>
      <c r="D69" s="166"/>
      <c r="E69" s="418"/>
      <c r="F69" s="283"/>
      <c r="G69" s="283"/>
      <c r="H69" s="166"/>
      <c r="I69" s="418"/>
      <c r="J69" s="292"/>
      <c r="K69" s="292"/>
      <c r="L69" s="166"/>
      <c r="M69" s="23"/>
    </row>
    <row r="70" spans="1:14" x14ac:dyDescent="0.2">
      <c r="A70" s="298" t="s">
        <v>12</v>
      </c>
      <c r="B70" s="296"/>
      <c r="C70" s="297"/>
      <c r="D70" s="166"/>
      <c r="E70" s="418"/>
      <c r="F70" s="283"/>
      <c r="G70" s="283"/>
      <c r="H70" s="166"/>
      <c r="I70" s="418"/>
      <c r="J70" s="292"/>
      <c r="K70" s="292"/>
      <c r="L70" s="166"/>
      <c r="M70" s="23"/>
    </row>
    <row r="71" spans="1:14" x14ac:dyDescent="0.2">
      <c r="A71" s="298" t="s">
        <v>13</v>
      </c>
      <c r="B71" s="235"/>
      <c r="C71" s="291"/>
      <c r="D71" s="166"/>
      <c r="E71" s="418"/>
      <c r="F71" s="283"/>
      <c r="G71" s="283"/>
      <c r="H71" s="166"/>
      <c r="I71" s="418"/>
      <c r="J71" s="292"/>
      <c r="K71" s="292"/>
      <c r="L71" s="166"/>
      <c r="M71" s="23"/>
    </row>
    <row r="72" spans="1:14" ht="15.75" x14ac:dyDescent="0.2">
      <c r="A72" s="298" t="s">
        <v>460</v>
      </c>
      <c r="B72" s="283"/>
      <c r="C72" s="283"/>
      <c r="D72" s="166"/>
      <c r="E72" s="418"/>
      <c r="F72" s="283"/>
      <c r="G72" s="283"/>
      <c r="H72" s="166"/>
      <c r="I72" s="418"/>
      <c r="J72" s="292"/>
      <c r="K72" s="292"/>
      <c r="L72" s="166"/>
      <c r="M72" s="23"/>
    </row>
    <row r="73" spans="1:14" x14ac:dyDescent="0.2">
      <c r="A73" s="298" t="s">
        <v>12</v>
      </c>
      <c r="B73" s="235"/>
      <c r="C73" s="291"/>
      <c r="D73" s="166"/>
      <c r="E73" s="418"/>
      <c r="F73" s="283"/>
      <c r="G73" s="283"/>
      <c r="H73" s="166"/>
      <c r="I73" s="418"/>
      <c r="J73" s="292"/>
      <c r="K73" s="292"/>
      <c r="L73" s="166"/>
      <c r="M73" s="23"/>
    </row>
    <row r="74" spans="1:14" s="3" customFormat="1" x14ac:dyDescent="0.2">
      <c r="A74" s="298" t="s">
        <v>13</v>
      </c>
      <c r="B74" s="235"/>
      <c r="C74" s="291"/>
      <c r="D74" s="166"/>
      <c r="E74" s="418"/>
      <c r="F74" s="283"/>
      <c r="G74" s="283"/>
      <c r="H74" s="166"/>
      <c r="I74" s="418"/>
      <c r="J74" s="292"/>
      <c r="K74" s="292"/>
      <c r="L74" s="166"/>
      <c r="M74" s="23"/>
      <c r="N74" s="148"/>
    </row>
    <row r="75" spans="1:14" s="3" customFormat="1" x14ac:dyDescent="0.2">
      <c r="A75" s="21" t="s">
        <v>346</v>
      </c>
      <c r="B75" s="234"/>
      <c r="C75" s="145"/>
      <c r="D75" s="166"/>
      <c r="E75" s="27"/>
      <c r="F75" s="234"/>
      <c r="G75" s="145"/>
      <c r="H75" s="166"/>
      <c r="I75" s="27"/>
      <c r="J75" s="289"/>
      <c r="K75" s="44"/>
      <c r="L75" s="257"/>
      <c r="M75" s="27"/>
      <c r="N75" s="148"/>
    </row>
    <row r="76" spans="1:14" s="3" customFormat="1" x14ac:dyDescent="0.2">
      <c r="A76" s="21" t="s">
        <v>345</v>
      </c>
      <c r="B76" s="234"/>
      <c r="C76" s="145"/>
      <c r="D76" s="166"/>
      <c r="E76" s="27"/>
      <c r="F76" s="234"/>
      <c r="G76" s="145"/>
      <c r="H76" s="166"/>
      <c r="I76" s="27"/>
      <c r="J76" s="289"/>
      <c r="K76" s="44"/>
      <c r="L76" s="257"/>
      <c r="M76" s="27"/>
      <c r="N76" s="148"/>
    </row>
    <row r="77" spans="1:14" ht="15.75" x14ac:dyDescent="0.2">
      <c r="A77" s="21" t="s">
        <v>461</v>
      </c>
      <c r="B77" s="234"/>
      <c r="C77" s="234"/>
      <c r="D77" s="166"/>
      <c r="E77" s="27"/>
      <c r="F77" s="234"/>
      <c r="G77" s="145"/>
      <c r="H77" s="166"/>
      <c r="I77" s="27"/>
      <c r="J77" s="289"/>
      <c r="K77" s="44"/>
      <c r="L77" s="257"/>
      <c r="M77" s="27"/>
    </row>
    <row r="78" spans="1:14" x14ac:dyDescent="0.2">
      <c r="A78" s="21" t="s">
        <v>9</v>
      </c>
      <c r="B78" s="234"/>
      <c r="C78" s="145"/>
      <c r="D78" s="166"/>
      <c r="E78" s="27"/>
      <c r="F78" s="234"/>
      <c r="G78" s="145"/>
      <c r="H78" s="166"/>
      <c r="I78" s="27"/>
      <c r="J78" s="289"/>
      <c r="K78" s="44"/>
      <c r="L78" s="257"/>
      <c r="M78" s="27"/>
    </row>
    <row r="79" spans="1:14" x14ac:dyDescent="0.2">
      <c r="A79" s="21" t="s">
        <v>10</v>
      </c>
      <c r="B79" s="294"/>
      <c r="C79" s="295"/>
      <c r="D79" s="166"/>
      <c r="E79" s="27"/>
      <c r="F79" s="294"/>
      <c r="G79" s="295"/>
      <c r="H79" s="166"/>
      <c r="I79" s="27"/>
      <c r="J79" s="289"/>
      <c r="K79" s="44"/>
      <c r="L79" s="257"/>
      <c r="M79" s="27"/>
    </row>
    <row r="80" spans="1:14" ht="15.75" x14ac:dyDescent="0.2">
      <c r="A80" s="298" t="s">
        <v>459</v>
      </c>
      <c r="B80" s="283"/>
      <c r="C80" s="283"/>
      <c r="D80" s="166"/>
      <c r="E80" s="418"/>
      <c r="F80" s="283"/>
      <c r="G80" s="283"/>
      <c r="H80" s="166"/>
      <c r="I80" s="418"/>
      <c r="J80" s="292"/>
      <c r="K80" s="292"/>
      <c r="L80" s="166"/>
      <c r="M80" s="23"/>
    </row>
    <row r="81" spans="1:13" x14ac:dyDescent="0.2">
      <c r="A81" s="298" t="s">
        <v>12</v>
      </c>
      <c r="B81" s="235"/>
      <c r="C81" s="291"/>
      <c r="D81" s="166"/>
      <c r="E81" s="418"/>
      <c r="F81" s="283"/>
      <c r="G81" s="283"/>
      <c r="H81" s="166"/>
      <c r="I81" s="418"/>
      <c r="J81" s="292"/>
      <c r="K81" s="292"/>
      <c r="L81" s="166"/>
      <c r="M81" s="23"/>
    </row>
    <row r="82" spans="1:13" x14ac:dyDescent="0.2">
      <c r="A82" s="298" t="s">
        <v>13</v>
      </c>
      <c r="B82" s="235"/>
      <c r="C82" s="291"/>
      <c r="D82" s="166"/>
      <c r="E82" s="418"/>
      <c r="F82" s="283"/>
      <c r="G82" s="283"/>
      <c r="H82" s="166"/>
      <c r="I82" s="418"/>
      <c r="J82" s="292"/>
      <c r="K82" s="292"/>
      <c r="L82" s="166"/>
      <c r="M82" s="23"/>
    </row>
    <row r="83" spans="1:13" ht="15.75" x14ac:dyDescent="0.2">
      <c r="A83" s="298" t="s">
        <v>460</v>
      </c>
      <c r="B83" s="283"/>
      <c r="C83" s="283"/>
      <c r="D83" s="166"/>
      <c r="E83" s="418"/>
      <c r="F83" s="283"/>
      <c r="G83" s="283"/>
      <c r="H83" s="166"/>
      <c r="I83" s="418"/>
      <c r="J83" s="292"/>
      <c r="K83" s="292"/>
      <c r="L83" s="166"/>
      <c r="M83" s="23"/>
    </row>
    <row r="84" spans="1:13" x14ac:dyDescent="0.2">
      <c r="A84" s="298" t="s">
        <v>12</v>
      </c>
      <c r="B84" s="235"/>
      <c r="C84" s="291"/>
      <c r="D84" s="166"/>
      <c r="E84" s="418"/>
      <c r="F84" s="283"/>
      <c r="G84" s="283"/>
      <c r="H84" s="166"/>
      <c r="I84" s="418"/>
      <c r="J84" s="292"/>
      <c r="K84" s="292"/>
      <c r="L84" s="166"/>
      <c r="M84" s="23"/>
    </row>
    <row r="85" spans="1:13" x14ac:dyDescent="0.2">
      <c r="A85" s="298" t="s">
        <v>13</v>
      </c>
      <c r="B85" s="235"/>
      <c r="C85" s="291"/>
      <c r="D85" s="166"/>
      <c r="E85" s="418"/>
      <c r="F85" s="283"/>
      <c r="G85" s="283"/>
      <c r="H85" s="166"/>
      <c r="I85" s="418"/>
      <c r="J85" s="292"/>
      <c r="K85" s="292"/>
      <c r="L85" s="166"/>
      <c r="M85" s="23"/>
    </row>
    <row r="86" spans="1:13" ht="15.75" x14ac:dyDescent="0.2">
      <c r="A86" s="21" t="s">
        <v>462</v>
      </c>
      <c r="B86" s="234"/>
      <c r="C86" s="145"/>
      <c r="D86" s="166"/>
      <c r="E86" s="27"/>
      <c r="F86" s="234"/>
      <c r="G86" s="145"/>
      <c r="H86" s="166"/>
      <c r="I86" s="27"/>
      <c r="J86" s="289"/>
      <c r="K86" s="44"/>
      <c r="L86" s="257"/>
      <c r="M86" s="27"/>
    </row>
    <row r="87" spans="1:13" ht="15.75" x14ac:dyDescent="0.2">
      <c r="A87" s="13" t="s">
        <v>444</v>
      </c>
      <c r="B87" s="354"/>
      <c r="C87" s="354"/>
      <c r="D87" s="171"/>
      <c r="E87" s="11"/>
      <c r="F87" s="353"/>
      <c r="G87" s="353"/>
      <c r="H87" s="171"/>
      <c r="I87" s="11"/>
      <c r="J87" s="311"/>
      <c r="K87" s="236"/>
      <c r="L87" s="429"/>
      <c r="M87" s="11"/>
    </row>
    <row r="88" spans="1:13" x14ac:dyDescent="0.2">
      <c r="A88" s="21" t="s">
        <v>9</v>
      </c>
      <c r="B88" s="234"/>
      <c r="C88" s="145"/>
      <c r="D88" s="166"/>
      <c r="E88" s="27"/>
      <c r="F88" s="234"/>
      <c r="G88" s="145"/>
      <c r="H88" s="166"/>
      <c r="I88" s="27"/>
      <c r="J88" s="289"/>
      <c r="K88" s="44"/>
      <c r="L88" s="257"/>
      <c r="M88" s="27"/>
    </row>
    <row r="89" spans="1:13" x14ac:dyDescent="0.2">
      <c r="A89" s="21" t="s">
        <v>10</v>
      </c>
      <c r="B89" s="234"/>
      <c r="C89" s="145"/>
      <c r="D89" s="166"/>
      <c r="E89" s="27"/>
      <c r="F89" s="234"/>
      <c r="G89" s="145"/>
      <c r="H89" s="166"/>
      <c r="I89" s="27"/>
      <c r="J89" s="289"/>
      <c r="K89" s="44"/>
      <c r="L89" s="257"/>
      <c r="M89" s="27"/>
    </row>
    <row r="90" spans="1:13" ht="15.75" x14ac:dyDescent="0.2">
      <c r="A90" s="298" t="s">
        <v>459</v>
      </c>
      <c r="B90" s="283"/>
      <c r="C90" s="283"/>
      <c r="D90" s="166"/>
      <c r="E90" s="418"/>
      <c r="F90" s="283"/>
      <c r="G90" s="283"/>
      <c r="H90" s="166"/>
      <c r="I90" s="418"/>
      <c r="J90" s="292"/>
      <c r="K90" s="292"/>
      <c r="L90" s="166"/>
      <c r="M90" s="23"/>
    </row>
    <row r="91" spans="1:13" x14ac:dyDescent="0.2">
      <c r="A91" s="298" t="s">
        <v>12</v>
      </c>
      <c r="B91" s="235"/>
      <c r="C91" s="291"/>
      <c r="D91" s="166"/>
      <c r="E91" s="418"/>
      <c r="F91" s="283"/>
      <c r="G91" s="283"/>
      <c r="H91" s="166"/>
      <c r="I91" s="418"/>
      <c r="J91" s="292"/>
      <c r="K91" s="292"/>
      <c r="L91" s="166"/>
      <c r="M91" s="23"/>
    </row>
    <row r="92" spans="1:13" x14ac:dyDescent="0.2">
      <c r="A92" s="298" t="s">
        <v>13</v>
      </c>
      <c r="B92" s="235"/>
      <c r="C92" s="291"/>
      <c r="D92" s="166"/>
      <c r="E92" s="418"/>
      <c r="F92" s="283"/>
      <c r="G92" s="283"/>
      <c r="H92" s="166"/>
      <c r="I92" s="418"/>
      <c r="J92" s="292"/>
      <c r="K92" s="292"/>
      <c r="L92" s="166"/>
      <c r="M92" s="23"/>
    </row>
    <row r="93" spans="1:13" ht="15.75" x14ac:dyDescent="0.2">
      <c r="A93" s="298" t="s">
        <v>460</v>
      </c>
      <c r="B93" s="283"/>
      <c r="C93" s="283"/>
      <c r="D93" s="166"/>
      <c r="E93" s="418"/>
      <c r="F93" s="283"/>
      <c r="G93" s="283"/>
      <c r="H93" s="166"/>
      <c r="I93" s="418"/>
      <c r="J93" s="292"/>
      <c r="K93" s="292"/>
      <c r="L93" s="166"/>
      <c r="M93" s="23"/>
    </row>
    <row r="94" spans="1:13" x14ac:dyDescent="0.2">
      <c r="A94" s="298" t="s">
        <v>12</v>
      </c>
      <c r="B94" s="235"/>
      <c r="C94" s="291"/>
      <c r="D94" s="166"/>
      <c r="E94" s="418"/>
      <c r="F94" s="283"/>
      <c r="G94" s="283"/>
      <c r="H94" s="166"/>
      <c r="I94" s="418"/>
      <c r="J94" s="292"/>
      <c r="K94" s="292"/>
      <c r="L94" s="166"/>
      <c r="M94" s="23"/>
    </row>
    <row r="95" spans="1:13" x14ac:dyDescent="0.2">
      <c r="A95" s="298" t="s">
        <v>13</v>
      </c>
      <c r="B95" s="235"/>
      <c r="C95" s="291"/>
      <c r="D95" s="166"/>
      <c r="E95" s="418"/>
      <c r="F95" s="283"/>
      <c r="G95" s="283"/>
      <c r="H95" s="166"/>
      <c r="I95" s="418"/>
      <c r="J95" s="292"/>
      <c r="K95" s="292"/>
      <c r="L95" s="166"/>
      <c r="M95" s="23"/>
    </row>
    <row r="96" spans="1:13" x14ac:dyDescent="0.2">
      <c r="A96" s="21" t="s">
        <v>344</v>
      </c>
      <c r="B96" s="234"/>
      <c r="C96" s="145"/>
      <c r="D96" s="166"/>
      <c r="E96" s="27"/>
      <c r="F96" s="234"/>
      <c r="G96" s="145"/>
      <c r="H96" s="166"/>
      <c r="I96" s="27"/>
      <c r="J96" s="289"/>
      <c r="K96" s="44"/>
      <c r="L96" s="257"/>
      <c r="M96" s="27"/>
    </row>
    <row r="97" spans="1:13" x14ac:dyDescent="0.2">
      <c r="A97" s="21" t="s">
        <v>343</v>
      </c>
      <c r="B97" s="234"/>
      <c r="C97" s="145"/>
      <c r="D97" s="166"/>
      <c r="E97" s="27"/>
      <c r="F97" s="234"/>
      <c r="G97" s="145"/>
      <c r="H97" s="166"/>
      <c r="I97" s="27"/>
      <c r="J97" s="289"/>
      <c r="K97" s="44"/>
      <c r="L97" s="257"/>
      <c r="M97" s="27"/>
    </row>
    <row r="98" spans="1:13" ht="15.75" x14ac:dyDescent="0.2">
      <c r="A98" s="21" t="s">
        <v>461</v>
      </c>
      <c r="B98" s="234"/>
      <c r="C98" s="234"/>
      <c r="D98" s="166"/>
      <c r="E98" s="27"/>
      <c r="F98" s="294"/>
      <c r="G98" s="294"/>
      <c r="H98" s="166"/>
      <c r="I98" s="27"/>
      <c r="J98" s="289"/>
      <c r="K98" s="44"/>
      <c r="L98" s="257"/>
      <c r="M98" s="27"/>
    </row>
    <row r="99" spans="1:13" x14ac:dyDescent="0.2">
      <c r="A99" s="21" t="s">
        <v>9</v>
      </c>
      <c r="B99" s="294"/>
      <c r="C99" s="295"/>
      <c r="D99" s="166"/>
      <c r="E99" s="27"/>
      <c r="F99" s="234"/>
      <c r="G99" s="145"/>
      <c r="H99" s="166"/>
      <c r="I99" s="27"/>
      <c r="J99" s="289"/>
      <c r="K99" s="44"/>
      <c r="L99" s="257"/>
      <c r="M99" s="27"/>
    </row>
    <row r="100" spans="1:13" x14ac:dyDescent="0.2">
      <c r="A100" s="21" t="s">
        <v>10</v>
      </c>
      <c r="B100" s="294"/>
      <c r="C100" s="295"/>
      <c r="D100" s="166"/>
      <c r="E100" s="27"/>
      <c r="F100" s="234"/>
      <c r="G100" s="234"/>
      <c r="H100" s="166"/>
      <c r="I100" s="27"/>
      <c r="J100" s="289"/>
      <c r="K100" s="44"/>
      <c r="L100" s="257"/>
      <c r="M100" s="27"/>
    </row>
    <row r="101" spans="1:13" ht="15.75" x14ac:dyDescent="0.2">
      <c r="A101" s="298" t="s">
        <v>459</v>
      </c>
      <c r="B101" s="283"/>
      <c r="C101" s="283"/>
      <c r="D101" s="166"/>
      <c r="E101" s="418"/>
      <c r="F101" s="283"/>
      <c r="G101" s="283"/>
      <c r="H101" s="166"/>
      <c r="I101" s="418"/>
      <c r="J101" s="292"/>
      <c r="K101" s="292"/>
      <c r="L101" s="166"/>
      <c r="M101" s="23"/>
    </row>
    <row r="102" spans="1:13" x14ac:dyDescent="0.2">
      <c r="A102" s="298" t="s">
        <v>12</v>
      </c>
      <c r="B102" s="235"/>
      <c r="C102" s="291"/>
      <c r="D102" s="166"/>
      <c r="E102" s="418"/>
      <c r="F102" s="283"/>
      <c r="G102" s="283"/>
      <c r="H102" s="166"/>
      <c r="I102" s="418"/>
      <c r="J102" s="292"/>
      <c r="K102" s="292"/>
      <c r="L102" s="166"/>
      <c r="M102" s="23"/>
    </row>
    <row r="103" spans="1:13" x14ac:dyDescent="0.2">
      <c r="A103" s="298" t="s">
        <v>13</v>
      </c>
      <c r="B103" s="235"/>
      <c r="C103" s="291"/>
      <c r="D103" s="166"/>
      <c r="E103" s="418"/>
      <c r="F103" s="283"/>
      <c r="G103" s="283"/>
      <c r="H103" s="166"/>
      <c r="I103" s="418"/>
      <c r="J103" s="292"/>
      <c r="K103" s="292"/>
      <c r="L103" s="166"/>
      <c r="M103" s="23"/>
    </row>
    <row r="104" spans="1:13" ht="15.75" x14ac:dyDescent="0.2">
      <c r="A104" s="298" t="s">
        <v>460</v>
      </c>
      <c r="B104" s="283"/>
      <c r="C104" s="283"/>
      <c r="D104" s="166"/>
      <c r="E104" s="418"/>
      <c r="F104" s="283"/>
      <c r="G104" s="283"/>
      <c r="H104" s="166"/>
      <c r="I104" s="418"/>
      <c r="J104" s="292"/>
      <c r="K104" s="292"/>
      <c r="L104" s="166"/>
      <c r="M104" s="23"/>
    </row>
    <row r="105" spans="1:13" x14ac:dyDescent="0.2">
      <c r="A105" s="298" t="s">
        <v>12</v>
      </c>
      <c r="B105" s="235"/>
      <c r="C105" s="291"/>
      <c r="D105" s="166"/>
      <c r="E105" s="418"/>
      <c r="F105" s="283"/>
      <c r="G105" s="283"/>
      <c r="H105" s="166"/>
      <c r="I105" s="418"/>
      <c r="J105" s="292"/>
      <c r="K105" s="292"/>
      <c r="L105" s="166"/>
      <c r="M105" s="23"/>
    </row>
    <row r="106" spans="1:13" x14ac:dyDescent="0.2">
      <c r="A106" s="298" t="s">
        <v>13</v>
      </c>
      <c r="B106" s="235"/>
      <c r="C106" s="291"/>
      <c r="D106" s="166"/>
      <c r="E106" s="418"/>
      <c r="F106" s="283"/>
      <c r="G106" s="283"/>
      <c r="H106" s="166"/>
      <c r="I106" s="418"/>
      <c r="J106" s="292"/>
      <c r="K106" s="292"/>
      <c r="L106" s="166"/>
      <c r="M106" s="23"/>
    </row>
    <row r="107" spans="1:13" ht="15.75" x14ac:dyDescent="0.2">
      <c r="A107" s="21" t="s">
        <v>462</v>
      </c>
      <c r="B107" s="234"/>
      <c r="C107" s="145"/>
      <c r="D107" s="166"/>
      <c r="E107" s="27"/>
      <c r="F107" s="234"/>
      <c r="G107" s="145"/>
      <c r="H107" s="166"/>
      <c r="I107" s="27"/>
      <c r="J107" s="289"/>
      <c r="K107" s="44"/>
      <c r="L107" s="257"/>
      <c r="M107" s="27"/>
    </row>
    <row r="108" spans="1:13" ht="15.75" x14ac:dyDescent="0.2">
      <c r="A108" s="21" t="s">
        <v>463</v>
      </c>
      <c r="B108" s="234"/>
      <c r="C108" s="234"/>
      <c r="D108" s="166"/>
      <c r="E108" s="27"/>
      <c r="F108" s="234"/>
      <c r="G108" s="234"/>
      <c r="H108" s="166"/>
      <c r="I108" s="27"/>
      <c r="J108" s="289"/>
      <c r="K108" s="44"/>
      <c r="L108" s="257"/>
      <c r="M108" s="27"/>
    </row>
    <row r="109" spans="1:13" ht="15.75" x14ac:dyDescent="0.2">
      <c r="A109" s="21" t="s">
        <v>464</v>
      </c>
      <c r="B109" s="234"/>
      <c r="C109" s="234"/>
      <c r="D109" s="166"/>
      <c r="E109" s="27"/>
      <c r="F109" s="234"/>
      <c r="G109" s="234"/>
      <c r="H109" s="166"/>
      <c r="I109" s="27"/>
      <c r="J109" s="289"/>
      <c r="K109" s="44"/>
      <c r="L109" s="257"/>
      <c r="M109" s="27"/>
    </row>
    <row r="110" spans="1:13" ht="15.75" x14ac:dyDescent="0.2">
      <c r="A110" s="21" t="s">
        <v>465</v>
      </c>
      <c r="B110" s="234"/>
      <c r="C110" s="234"/>
      <c r="D110" s="166"/>
      <c r="E110" s="27"/>
      <c r="F110" s="234"/>
      <c r="G110" s="234"/>
      <c r="H110" s="166"/>
      <c r="I110" s="27"/>
      <c r="J110" s="289"/>
      <c r="K110" s="44"/>
      <c r="L110" s="257"/>
      <c r="M110" s="27"/>
    </row>
    <row r="111" spans="1:13" ht="15.75" x14ac:dyDescent="0.2">
      <c r="A111" s="13" t="s">
        <v>445</v>
      </c>
      <c r="B111" s="310"/>
      <c r="C111" s="159"/>
      <c r="D111" s="171"/>
      <c r="E111" s="11"/>
      <c r="F111" s="310"/>
      <c r="G111" s="159"/>
      <c r="H111" s="171"/>
      <c r="I111" s="11"/>
      <c r="J111" s="311"/>
      <c r="K111" s="236"/>
      <c r="L111" s="429"/>
      <c r="M111" s="11"/>
    </row>
    <row r="112" spans="1:13" x14ac:dyDescent="0.2">
      <c r="A112" s="21" t="s">
        <v>9</v>
      </c>
      <c r="B112" s="234"/>
      <c r="C112" s="145"/>
      <c r="D112" s="166"/>
      <c r="E112" s="27"/>
      <c r="F112" s="234"/>
      <c r="G112" s="145"/>
      <c r="H112" s="166"/>
      <c r="I112" s="27"/>
      <c r="J112" s="289"/>
      <c r="K112" s="44"/>
      <c r="L112" s="257"/>
      <c r="M112" s="27"/>
    </row>
    <row r="113" spans="1:14" x14ac:dyDescent="0.2">
      <c r="A113" s="21" t="s">
        <v>10</v>
      </c>
      <c r="B113" s="234"/>
      <c r="C113" s="145"/>
      <c r="D113" s="166"/>
      <c r="E113" s="27"/>
      <c r="F113" s="234"/>
      <c r="G113" s="145"/>
      <c r="H113" s="166"/>
      <c r="I113" s="27"/>
      <c r="J113" s="289"/>
      <c r="K113" s="44"/>
      <c r="L113" s="257"/>
      <c r="M113" s="27"/>
    </row>
    <row r="114" spans="1:14" x14ac:dyDescent="0.2">
      <c r="A114" s="21" t="s">
        <v>26</v>
      </c>
      <c r="B114" s="234"/>
      <c r="C114" s="145"/>
      <c r="D114" s="166"/>
      <c r="E114" s="27"/>
      <c r="F114" s="234"/>
      <c r="G114" s="145"/>
      <c r="H114" s="166"/>
      <c r="I114" s="27"/>
      <c r="J114" s="289"/>
      <c r="K114" s="44"/>
      <c r="L114" s="257"/>
      <c r="M114" s="27"/>
    </row>
    <row r="115" spans="1:14" x14ac:dyDescent="0.2">
      <c r="A115" s="298" t="s">
        <v>15</v>
      </c>
      <c r="B115" s="283"/>
      <c r="C115" s="283"/>
      <c r="D115" s="166"/>
      <c r="E115" s="418"/>
      <c r="F115" s="283"/>
      <c r="G115" s="283"/>
      <c r="H115" s="166"/>
      <c r="I115" s="418"/>
      <c r="J115" s="292"/>
      <c r="K115" s="292"/>
      <c r="L115" s="166"/>
      <c r="M115" s="23"/>
    </row>
    <row r="116" spans="1:14" ht="15.75" x14ac:dyDescent="0.2">
      <c r="A116" s="21" t="s">
        <v>466</v>
      </c>
      <c r="B116" s="234"/>
      <c r="C116" s="234"/>
      <c r="D116" s="166"/>
      <c r="E116" s="27"/>
      <c r="F116" s="234"/>
      <c r="G116" s="234"/>
      <c r="H116" s="166"/>
      <c r="I116" s="27"/>
      <c r="J116" s="289"/>
      <c r="K116" s="44"/>
      <c r="L116" s="257"/>
      <c r="M116" s="27"/>
    </row>
    <row r="117" spans="1:14" ht="15.75" x14ac:dyDescent="0.2">
      <c r="A117" s="21" t="s">
        <v>467</v>
      </c>
      <c r="B117" s="234"/>
      <c r="C117" s="234"/>
      <c r="D117" s="166"/>
      <c r="E117" s="27"/>
      <c r="F117" s="234"/>
      <c r="G117" s="234"/>
      <c r="H117" s="166"/>
      <c r="I117" s="27"/>
      <c r="J117" s="289"/>
      <c r="K117" s="44"/>
      <c r="L117" s="257"/>
      <c r="M117" s="27"/>
    </row>
    <row r="118" spans="1:14" ht="15.75" x14ac:dyDescent="0.2">
      <c r="A118" s="21" t="s">
        <v>465</v>
      </c>
      <c r="B118" s="234"/>
      <c r="C118" s="234"/>
      <c r="D118" s="166"/>
      <c r="E118" s="27"/>
      <c r="F118" s="234"/>
      <c r="G118" s="234"/>
      <c r="H118" s="166"/>
      <c r="I118" s="27"/>
      <c r="J118" s="289"/>
      <c r="K118" s="44"/>
      <c r="L118" s="257"/>
      <c r="M118" s="27"/>
    </row>
    <row r="119" spans="1:14" ht="15.75" x14ac:dyDescent="0.2">
      <c r="A119" s="13" t="s">
        <v>446</v>
      </c>
      <c r="B119" s="310"/>
      <c r="C119" s="159"/>
      <c r="D119" s="171"/>
      <c r="E119" s="11"/>
      <c r="F119" s="310"/>
      <c r="G119" s="159"/>
      <c r="H119" s="171"/>
      <c r="I119" s="11"/>
      <c r="J119" s="311"/>
      <c r="K119" s="236"/>
      <c r="L119" s="429"/>
      <c r="M119" s="11"/>
    </row>
    <row r="120" spans="1:14" x14ac:dyDescent="0.2">
      <c r="A120" s="21" t="s">
        <v>9</v>
      </c>
      <c r="B120" s="234"/>
      <c r="C120" s="145"/>
      <c r="D120" s="166"/>
      <c r="E120" s="27"/>
      <c r="F120" s="234"/>
      <c r="G120" s="145"/>
      <c r="H120" s="166"/>
      <c r="I120" s="27"/>
      <c r="J120" s="289"/>
      <c r="K120" s="44"/>
      <c r="L120" s="257"/>
      <c r="M120" s="27"/>
    </row>
    <row r="121" spans="1:14" x14ac:dyDescent="0.2">
      <c r="A121" s="21" t="s">
        <v>10</v>
      </c>
      <c r="B121" s="234"/>
      <c r="C121" s="145"/>
      <c r="D121" s="166"/>
      <c r="E121" s="27"/>
      <c r="F121" s="234"/>
      <c r="G121" s="145"/>
      <c r="H121" s="166"/>
      <c r="I121" s="27"/>
      <c r="J121" s="289"/>
      <c r="K121" s="44"/>
      <c r="L121" s="257"/>
      <c r="M121" s="27"/>
    </row>
    <row r="122" spans="1:14" x14ac:dyDescent="0.2">
      <c r="A122" s="21" t="s">
        <v>26</v>
      </c>
      <c r="B122" s="234"/>
      <c r="C122" s="145"/>
      <c r="D122" s="166"/>
      <c r="E122" s="27"/>
      <c r="F122" s="234"/>
      <c r="G122" s="145"/>
      <c r="H122" s="166"/>
      <c r="I122" s="27"/>
      <c r="J122" s="289"/>
      <c r="K122" s="44"/>
      <c r="L122" s="257"/>
      <c r="M122" s="27"/>
    </row>
    <row r="123" spans="1:14" x14ac:dyDescent="0.2">
      <c r="A123" s="298" t="s">
        <v>14</v>
      </c>
      <c r="B123" s="283"/>
      <c r="C123" s="283"/>
      <c r="D123" s="166"/>
      <c r="E123" s="418"/>
      <c r="F123" s="283"/>
      <c r="G123" s="283"/>
      <c r="H123" s="166"/>
      <c r="I123" s="418"/>
      <c r="J123" s="292"/>
      <c r="K123" s="292"/>
      <c r="L123" s="166"/>
      <c r="M123" s="23"/>
    </row>
    <row r="124" spans="1:14" ht="15.75" x14ac:dyDescent="0.2">
      <c r="A124" s="21" t="s">
        <v>472</v>
      </c>
      <c r="B124" s="234"/>
      <c r="C124" s="234"/>
      <c r="D124" s="166"/>
      <c r="E124" s="27"/>
      <c r="F124" s="234"/>
      <c r="G124" s="234"/>
      <c r="H124" s="166"/>
      <c r="I124" s="27"/>
      <c r="J124" s="289"/>
      <c r="K124" s="44"/>
      <c r="L124" s="257"/>
      <c r="M124" s="27"/>
    </row>
    <row r="125" spans="1:14" ht="15.75" x14ac:dyDescent="0.2">
      <c r="A125" s="21" t="s">
        <v>464</v>
      </c>
      <c r="B125" s="234"/>
      <c r="C125" s="234"/>
      <c r="D125" s="166"/>
      <c r="E125" s="27"/>
      <c r="F125" s="234"/>
      <c r="G125" s="234"/>
      <c r="H125" s="166"/>
      <c r="I125" s="27"/>
      <c r="J125" s="289"/>
      <c r="K125" s="44"/>
      <c r="L125" s="257"/>
      <c r="M125" s="27"/>
    </row>
    <row r="126" spans="1:14" ht="15.75" x14ac:dyDescent="0.2">
      <c r="A126" s="10" t="s">
        <v>465</v>
      </c>
      <c r="B126" s="45"/>
      <c r="C126" s="45"/>
      <c r="D126" s="167"/>
      <c r="E126" s="419"/>
      <c r="F126" s="45"/>
      <c r="G126" s="45"/>
      <c r="H126" s="167"/>
      <c r="I126" s="22"/>
      <c r="J126" s="290"/>
      <c r="K126" s="45"/>
      <c r="L126" s="258"/>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1022"/>
      <c r="C130" s="1022"/>
      <c r="D130" s="1022"/>
      <c r="E130" s="301"/>
      <c r="F130" s="1022"/>
      <c r="G130" s="1022"/>
      <c r="H130" s="1022"/>
      <c r="I130" s="301"/>
      <c r="J130" s="1022"/>
      <c r="K130" s="1022"/>
      <c r="L130" s="1022"/>
      <c r="M130" s="301"/>
    </row>
    <row r="131" spans="1:14" s="3" customFormat="1" x14ac:dyDescent="0.2">
      <c r="A131" s="144"/>
      <c r="B131" s="1023" t="s">
        <v>0</v>
      </c>
      <c r="C131" s="1024"/>
      <c r="D131" s="1024"/>
      <c r="E131" s="303"/>
      <c r="F131" s="1023" t="s">
        <v>1</v>
      </c>
      <c r="G131" s="1024"/>
      <c r="H131" s="1024"/>
      <c r="I131" s="306"/>
      <c r="J131" s="1023" t="s">
        <v>2</v>
      </c>
      <c r="K131" s="1024"/>
      <c r="L131" s="1024"/>
      <c r="M131" s="306"/>
      <c r="N131" s="148"/>
    </row>
    <row r="132" spans="1:14" s="3" customFormat="1" x14ac:dyDescent="0.2">
      <c r="A132" s="140"/>
      <c r="B132" s="152" t="s">
        <v>502</v>
      </c>
      <c r="C132" s="152" t="s">
        <v>503</v>
      </c>
      <c r="D132" s="245" t="s">
        <v>3</v>
      </c>
      <c r="E132" s="307" t="s">
        <v>29</v>
      </c>
      <c r="F132" s="152" t="s">
        <v>502</v>
      </c>
      <c r="G132" s="152" t="s">
        <v>503</v>
      </c>
      <c r="H132" s="206" t="s">
        <v>3</v>
      </c>
      <c r="I132" s="162" t="s">
        <v>29</v>
      </c>
      <c r="J132" s="152" t="s">
        <v>502</v>
      </c>
      <c r="K132" s="152" t="s">
        <v>503</v>
      </c>
      <c r="L132" s="246" t="s">
        <v>3</v>
      </c>
      <c r="M132" s="162" t="s">
        <v>29</v>
      </c>
      <c r="N132" s="148"/>
    </row>
    <row r="133" spans="1:14" s="3" customFormat="1" x14ac:dyDescent="0.2">
      <c r="A133" s="990"/>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468</v>
      </c>
      <c r="B134" s="236">
        <v>5149100</v>
      </c>
      <c r="C134" s="311">
        <v>3985220</v>
      </c>
      <c r="D134" s="351">
        <f t="shared" ref="D134:D137" si="1">IF(B134=0, "    ---- ", IF(ABS(ROUND(100/B134*C134-100,1))&lt;999,ROUND(100/B134*C134-100,1),IF(ROUND(100/B134*C134-100,1)&gt;999,999,-999)))</f>
        <v>-22.6</v>
      </c>
      <c r="E134" s="11">
        <f>IFERROR(100/'Skjema total MA'!C134*C134,0)</f>
        <v>10.367720498267753</v>
      </c>
      <c r="F134" s="318"/>
      <c r="G134" s="319"/>
      <c r="H134" s="432"/>
      <c r="I134" s="24"/>
      <c r="J134" s="320">
        <f t="shared" ref="J134:K137" si="2">SUM(B134,F134)</f>
        <v>5149100</v>
      </c>
      <c r="K134" s="320">
        <f t="shared" si="2"/>
        <v>3985220</v>
      </c>
      <c r="L134" s="428">
        <f t="shared" ref="L134:L137" si="3">IF(J134=0, "    ---- ", IF(ABS(ROUND(100/J134*K134-100,1))&lt;999,ROUND(100/J134*K134-100,1),IF(ROUND(100/J134*K134-100,1)&gt;999,999,-999)))</f>
        <v>-22.6</v>
      </c>
      <c r="M134" s="11">
        <f>IFERROR(100/'Skjema total MA'!I134*K134,0)</f>
        <v>10.347716573409008</v>
      </c>
      <c r="N134" s="148"/>
    </row>
    <row r="135" spans="1:14" s="3" customFormat="1" ht="15.75" x14ac:dyDescent="0.2">
      <c r="A135" s="13" t="s">
        <v>473</v>
      </c>
      <c r="B135" s="236">
        <v>76067254.04129</v>
      </c>
      <c r="C135" s="311">
        <v>82047000</v>
      </c>
      <c r="D135" s="171">
        <f t="shared" si="1"/>
        <v>7.9</v>
      </c>
      <c r="E135" s="11">
        <f>IFERROR(100/'Skjema total MA'!C135*C135,0)</f>
        <v>13.170445327957527</v>
      </c>
      <c r="F135" s="236"/>
      <c r="G135" s="311"/>
      <c r="H135" s="433"/>
      <c r="I135" s="24"/>
      <c r="J135" s="310">
        <f t="shared" si="2"/>
        <v>76067254.04129</v>
      </c>
      <c r="K135" s="310">
        <f t="shared" si="2"/>
        <v>82047000</v>
      </c>
      <c r="L135" s="429">
        <f t="shared" si="3"/>
        <v>7.9</v>
      </c>
      <c r="M135" s="11">
        <f>IFERROR(100/'Skjema total MA'!I135*K135,0)</f>
        <v>13.128008526687566</v>
      </c>
      <c r="N135" s="148"/>
    </row>
    <row r="136" spans="1:14" s="3" customFormat="1" ht="15.75" x14ac:dyDescent="0.2">
      <c r="A136" s="13" t="s">
        <v>470</v>
      </c>
      <c r="B136" s="236">
        <v>105904.966</v>
      </c>
      <c r="C136" s="311">
        <v>0</v>
      </c>
      <c r="D136" s="171">
        <f t="shared" si="1"/>
        <v>-100</v>
      </c>
      <c r="E136" s="11">
        <f>IFERROR(100/'Skjema total MA'!C136*C136,0)</f>
        <v>0</v>
      </c>
      <c r="F136" s="236"/>
      <c r="G136" s="311"/>
      <c r="H136" s="433"/>
      <c r="I136" s="24"/>
      <c r="J136" s="310">
        <f t="shared" si="2"/>
        <v>105904.966</v>
      </c>
      <c r="K136" s="310">
        <f t="shared" si="2"/>
        <v>0</v>
      </c>
      <c r="L136" s="429">
        <f t="shared" si="3"/>
        <v>-100</v>
      </c>
      <c r="M136" s="11">
        <f>IFERROR(100/'Skjema total MA'!I136*K136,0)</f>
        <v>0</v>
      </c>
      <c r="N136" s="148"/>
    </row>
    <row r="137" spans="1:14" s="3" customFormat="1" ht="15.75" x14ac:dyDescent="0.2">
      <c r="A137" s="41" t="s">
        <v>471</v>
      </c>
      <c r="B137" s="278">
        <v>0</v>
      </c>
      <c r="C137" s="317">
        <v>40555</v>
      </c>
      <c r="D137" s="169" t="str">
        <f t="shared" si="1"/>
        <v xml:space="preserve">    ---- </v>
      </c>
      <c r="E137" s="9">
        <f>IFERROR(100/'Skjema total MA'!C137*C137,0)</f>
        <v>0.52692140228217765</v>
      </c>
      <c r="F137" s="278"/>
      <c r="G137" s="317"/>
      <c r="H137" s="434"/>
      <c r="I137" s="36"/>
      <c r="J137" s="316">
        <f t="shared" si="2"/>
        <v>0</v>
      </c>
      <c r="K137" s="316">
        <f t="shared" si="2"/>
        <v>40555</v>
      </c>
      <c r="L137" s="429" t="str">
        <f t="shared" si="3"/>
        <v xml:space="preserve">    ---- </v>
      </c>
      <c r="M137" s="36">
        <f>IFERROR(100/'Skjema total MA'!I137*K137,0)</f>
        <v>0.52692140228217765</v>
      </c>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387" priority="132">
      <formula>kvartal &lt; 4</formula>
    </cfRule>
  </conditionalFormatting>
  <conditionalFormatting sqref="B69">
    <cfRule type="expression" dxfId="1386" priority="100">
      <formula>kvartal &lt; 4</formula>
    </cfRule>
  </conditionalFormatting>
  <conditionalFormatting sqref="C69">
    <cfRule type="expression" dxfId="1385" priority="99">
      <formula>kvartal &lt; 4</formula>
    </cfRule>
  </conditionalFormatting>
  <conditionalFormatting sqref="B72">
    <cfRule type="expression" dxfId="1384" priority="98">
      <formula>kvartal &lt; 4</formula>
    </cfRule>
  </conditionalFormatting>
  <conditionalFormatting sqref="C72">
    <cfRule type="expression" dxfId="1383" priority="97">
      <formula>kvartal &lt; 4</formula>
    </cfRule>
  </conditionalFormatting>
  <conditionalFormatting sqref="B80">
    <cfRule type="expression" dxfId="1382" priority="96">
      <formula>kvartal &lt; 4</formula>
    </cfRule>
  </conditionalFormatting>
  <conditionalFormatting sqref="C80">
    <cfRule type="expression" dxfId="1381" priority="95">
      <formula>kvartal &lt; 4</formula>
    </cfRule>
  </conditionalFormatting>
  <conditionalFormatting sqref="B83">
    <cfRule type="expression" dxfId="1380" priority="94">
      <formula>kvartal &lt; 4</formula>
    </cfRule>
  </conditionalFormatting>
  <conditionalFormatting sqref="C83">
    <cfRule type="expression" dxfId="1379" priority="93">
      <formula>kvartal &lt; 4</formula>
    </cfRule>
  </conditionalFormatting>
  <conditionalFormatting sqref="B90">
    <cfRule type="expression" dxfId="1378" priority="84">
      <formula>kvartal &lt; 4</formula>
    </cfRule>
  </conditionalFormatting>
  <conditionalFormatting sqref="C90">
    <cfRule type="expression" dxfId="1377" priority="83">
      <formula>kvartal &lt; 4</formula>
    </cfRule>
  </conditionalFormatting>
  <conditionalFormatting sqref="B93">
    <cfRule type="expression" dxfId="1376" priority="82">
      <formula>kvartal &lt; 4</formula>
    </cfRule>
  </conditionalFormatting>
  <conditionalFormatting sqref="C93">
    <cfRule type="expression" dxfId="1375" priority="81">
      <formula>kvartal &lt; 4</formula>
    </cfRule>
  </conditionalFormatting>
  <conditionalFormatting sqref="B101">
    <cfRule type="expression" dxfId="1374" priority="80">
      <formula>kvartal &lt; 4</formula>
    </cfRule>
  </conditionalFormatting>
  <conditionalFormatting sqref="C101">
    <cfRule type="expression" dxfId="1373" priority="79">
      <formula>kvartal &lt; 4</formula>
    </cfRule>
  </conditionalFormatting>
  <conditionalFormatting sqref="B104">
    <cfRule type="expression" dxfId="1372" priority="78">
      <formula>kvartal &lt; 4</formula>
    </cfRule>
  </conditionalFormatting>
  <conditionalFormatting sqref="C104">
    <cfRule type="expression" dxfId="1371" priority="77">
      <formula>kvartal &lt; 4</formula>
    </cfRule>
  </conditionalFormatting>
  <conditionalFormatting sqref="B115">
    <cfRule type="expression" dxfId="1370" priority="76">
      <formula>kvartal &lt; 4</formula>
    </cfRule>
  </conditionalFormatting>
  <conditionalFormatting sqref="C115">
    <cfRule type="expression" dxfId="1369" priority="75">
      <formula>kvartal &lt; 4</formula>
    </cfRule>
  </conditionalFormatting>
  <conditionalFormatting sqref="B123">
    <cfRule type="expression" dxfId="1368" priority="74">
      <formula>kvartal &lt; 4</formula>
    </cfRule>
  </conditionalFormatting>
  <conditionalFormatting sqref="C123">
    <cfRule type="expression" dxfId="1367" priority="73">
      <formula>kvartal &lt; 4</formula>
    </cfRule>
  </conditionalFormatting>
  <conditionalFormatting sqref="F70">
    <cfRule type="expression" dxfId="1366" priority="72">
      <formula>kvartal &lt; 4</formula>
    </cfRule>
  </conditionalFormatting>
  <conditionalFormatting sqref="G70">
    <cfRule type="expression" dxfId="1365" priority="71">
      <formula>kvartal &lt; 4</formula>
    </cfRule>
  </conditionalFormatting>
  <conditionalFormatting sqref="F71:G71">
    <cfRule type="expression" dxfId="1364" priority="70">
      <formula>kvartal &lt; 4</formula>
    </cfRule>
  </conditionalFormatting>
  <conditionalFormatting sqref="F73:G74">
    <cfRule type="expression" dxfId="1363" priority="69">
      <formula>kvartal &lt; 4</formula>
    </cfRule>
  </conditionalFormatting>
  <conditionalFormatting sqref="F81:G82">
    <cfRule type="expression" dxfId="1362" priority="68">
      <formula>kvartal &lt; 4</formula>
    </cfRule>
  </conditionalFormatting>
  <conditionalFormatting sqref="F84:G85">
    <cfRule type="expression" dxfId="1361" priority="67">
      <formula>kvartal &lt; 4</formula>
    </cfRule>
  </conditionalFormatting>
  <conditionalFormatting sqref="F91:G92">
    <cfRule type="expression" dxfId="1360" priority="62">
      <formula>kvartal &lt; 4</formula>
    </cfRule>
  </conditionalFormatting>
  <conditionalFormatting sqref="F94:G95">
    <cfRule type="expression" dxfId="1359" priority="61">
      <formula>kvartal &lt; 4</formula>
    </cfRule>
  </conditionalFormatting>
  <conditionalFormatting sqref="F102:G103">
    <cfRule type="expression" dxfId="1358" priority="60">
      <formula>kvartal &lt; 4</formula>
    </cfRule>
  </conditionalFormatting>
  <conditionalFormatting sqref="F105:G106">
    <cfRule type="expression" dxfId="1357" priority="59">
      <formula>kvartal &lt; 4</formula>
    </cfRule>
  </conditionalFormatting>
  <conditionalFormatting sqref="F115">
    <cfRule type="expression" dxfId="1356" priority="58">
      <formula>kvartal &lt; 4</formula>
    </cfRule>
  </conditionalFormatting>
  <conditionalFormatting sqref="G115">
    <cfRule type="expression" dxfId="1355" priority="57">
      <formula>kvartal &lt; 4</formula>
    </cfRule>
  </conditionalFormatting>
  <conditionalFormatting sqref="F123:G123">
    <cfRule type="expression" dxfId="1354" priority="56">
      <formula>kvartal &lt; 4</formula>
    </cfRule>
  </conditionalFormatting>
  <conditionalFormatting sqref="F69:G69">
    <cfRule type="expression" dxfId="1353" priority="55">
      <formula>kvartal &lt; 4</formula>
    </cfRule>
  </conditionalFormatting>
  <conditionalFormatting sqref="F72:G72">
    <cfRule type="expression" dxfId="1352" priority="54">
      <formula>kvartal &lt; 4</formula>
    </cfRule>
  </conditionalFormatting>
  <conditionalFormatting sqref="F80:G80">
    <cfRule type="expression" dxfId="1351" priority="53">
      <formula>kvartal &lt; 4</formula>
    </cfRule>
  </conditionalFormatting>
  <conditionalFormatting sqref="F83:G83">
    <cfRule type="expression" dxfId="1350" priority="52">
      <formula>kvartal &lt; 4</formula>
    </cfRule>
  </conditionalFormatting>
  <conditionalFormatting sqref="F90:G90">
    <cfRule type="expression" dxfId="1349" priority="46">
      <formula>kvartal &lt; 4</formula>
    </cfRule>
  </conditionalFormatting>
  <conditionalFormatting sqref="F93">
    <cfRule type="expression" dxfId="1348" priority="45">
      <formula>kvartal &lt; 4</formula>
    </cfRule>
  </conditionalFormatting>
  <conditionalFormatting sqref="G93">
    <cfRule type="expression" dxfId="1347" priority="44">
      <formula>kvartal &lt; 4</formula>
    </cfRule>
  </conditionalFormatting>
  <conditionalFormatting sqref="F101">
    <cfRule type="expression" dxfId="1346" priority="43">
      <formula>kvartal &lt; 4</formula>
    </cfRule>
  </conditionalFormatting>
  <conditionalFormatting sqref="G101">
    <cfRule type="expression" dxfId="1345" priority="42">
      <formula>kvartal &lt; 4</formula>
    </cfRule>
  </conditionalFormatting>
  <conditionalFormatting sqref="G104">
    <cfRule type="expression" dxfId="1344" priority="41">
      <formula>kvartal &lt; 4</formula>
    </cfRule>
  </conditionalFormatting>
  <conditionalFormatting sqref="F104">
    <cfRule type="expression" dxfId="1343" priority="40">
      <formula>kvartal &lt; 4</formula>
    </cfRule>
  </conditionalFormatting>
  <conditionalFormatting sqref="J69:K73">
    <cfRule type="expression" dxfId="1342" priority="39">
      <formula>kvartal &lt; 4</formula>
    </cfRule>
  </conditionalFormatting>
  <conditionalFormatting sqref="J74:K74">
    <cfRule type="expression" dxfId="1341" priority="38">
      <formula>kvartal &lt; 4</formula>
    </cfRule>
  </conditionalFormatting>
  <conditionalFormatting sqref="J80:K85">
    <cfRule type="expression" dxfId="1340" priority="37">
      <formula>kvartal &lt; 4</formula>
    </cfRule>
  </conditionalFormatting>
  <conditionalFormatting sqref="J90:K95">
    <cfRule type="expression" dxfId="1339" priority="34">
      <formula>kvartal &lt; 4</formula>
    </cfRule>
  </conditionalFormatting>
  <conditionalFormatting sqref="J101:K106">
    <cfRule type="expression" dxfId="1338" priority="33">
      <formula>kvartal &lt; 4</formula>
    </cfRule>
  </conditionalFormatting>
  <conditionalFormatting sqref="J115:K115">
    <cfRule type="expression" dxfId="1337" priority="32">
      <formula>kvartal &lt; 4</formula>
    </cfRule>
  </conditionalFormatting>
  <conditionalFormatting sqref="J123:K123">
    <cfRule type="expression" dxfId="1336" priority="31">
      <formula>kvartal &lt; 4</formula>
    </cfRule>
  </conditionalFormatting>
  <conditionalFormatting sqref="A50:A52">
    <cfRule type="expression" dxfId="1335" priority="12">
      <formula>kvartal &lt; 4</formula>
    </cfRule>
  </conditionalFormatting>
  <conditionalFormatting sqref="A69:A74">
    <cfRule type="expression" dxfId="1334" priority="10">
      <formula>kvartal &lt; 4</formula>
    </cfRule>
  </conditionalFormatting>
  <conditionalFormatting sqref="A80:A85">
    <cfRule type="expression" dxfId="1333" priority="9">
      <formula>kvartal &lt; 4</formula>
    </cfRule>
  </conditionalFormatting>
  <conditionalFormatting sqref="A90:A95">
    <cfRule type="expression" dxfId="1332" priority="6">
      <formula>kvartal &lt; 4</formula>
    </cfRule>
  </conditionalFormatting>
  <conditionalFormatting sqref="A101:A106">
    <cfRule type="expression" dxfId="1331" priority="5">
      <formula>kvartal &lt; 4</formula>
    </cfRule>
  </conditionalFormatting>
  <conditionalFormatting sqref="A115">
    <cfRule type="expression" dxfId="1330" priority="4">
      <formula>kvartal &lt; 4</formula>
    </cfRule>
  </conditionalFormatting>
  <conditionalFormatting sqref="A123">
    <cfRule type="expression" dxfId="1329" priority="3">
      <formula>kvartal &lt; 4</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144"/>
  <sheetViews>
    <sheetView showGridLines="0" zoomScale="120" zoomScaleNormal="120" workbookViewId="0"/>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133</v>
      </c>
      <c r="B1" s="988"/>
      <c r="C1" s="810" t="s">
        <v>443</v>
      </c>
      <c r="D1" s="26"/>
      <c r="E1" s="26"/>
      <c r="F1" s="26"/>
      <c r="G1" s="26"/>
      <c r="H1" s="26"/>
      <c r="I1" s="26"/>
      <c r="J1" s="26"/>
      <c r="K1" s="26"/>
      <c r="L1" s="26"/>
      <c r="M1" s="26"/>
    </row>
    <row r="2" spans="1:14" ht="15.75" x14ac:dyDescent="0.25">
      <c r="A2" s="165" t="s">
        <v>28</v>
      </c>
      <c r="B2" s="1027"/>
      <c r="C2" s="1027"/>
      <c r="D2" s="1027"/>
      <c r="E2" s="807"/>
      <c r="F2" s="1027"/>
      <c r="G2" s="1027"/>
      <c r="H2" s="1027"/>
      <c r="I2" s="807"/>
      <c r="J2" s="1027"/>
      <c r="K2" s="1027"/>
      <c r="L2" s="1027"/>
      <c r="M2" s="807"/>
    </row>
    <row r="3" spans="1:14" ht="15.75" x14ac:dyDescent="0.25">
      <c r="A3" s="163"/>
      <c r="B3" s="807"/>
      <c r="C3" s="807"/>
      <c r="D3" s="807"/>
      <c r="E3" s="807"/>
      <c r="F3" s="807"/>
      <c r="G3" s="807"/>
      <c r="H3" s="807"/>
      <c r="I3" s="807"/>
      <c r="J3" s="807"/>
      <c r="K3" s="807"/>
      <c r="L3" s="807"/>
      <c r="M3" s="807"/>
    </row>
    <row r="4" spans="1:14" x14ac:dyDescent="0.2">
      <c r="A4" s="144"/>
      <c r="B4" s="1023" t="s">
        <v>0</v>
      </c>
      <c r="C4" s="1024"/>
      <c r="D4" s="1024"/>
      <c r="E4" s="805"/>
      <c r="F4" s="1023" t="s">
        <v>1</v>
      </c>
      <c r="G4" s="1024"/>
      <c r="H4" s="1024"/>
      <c r="I4" s="806"/>
      <c r="J4" s="1023" t="s">
        <v>2</v>
      </c>
      <c r="K4" s="1024"/>
      <c r="L4" s="1024"/>
      <c r="M4" s="806"/>
    </row>
    <row r="5" spans="1:14" x14ac:dyDescent="0.2">
      <c r="A5" s="158"/>
      <c r="B5" s="152" t="s">
        <v>502</v>
      </c>
      <c r="C5" s="152" t="s">
        <v>503</v>
      </c>
      <c r="D5" s="245" t="s">
        <v>3</v>
      </c>
      <c r="E5" s="307" t="s">
        <v>29</v>
      </c>
      <c r="F5" s="152" t="s">
        <v>502</v>
      </c>
      <c r="G5" s="152" t="s">
        <v>503</v>
      </c>
      <c r="H5" s="245" t="s">
        <v>3</v>
      </c>
      <c r="I5" s="162" t="s">
        <v>29</v>
      </c>
      <c r="J5" s="152" t="s">
        <v>502</v>
      </c>
      <c r="K5" s="152" t="s">
        <v>503</v>
      </c>
      <c r="L5" s="245" t="s">
        <v>3</v>
      </c>
      <c r="M5" s="162" t="s">
        <v>29</v>
      </c>
    </row>
    <row r="6" spans="1:14" x14ac:dyDescent="0.2">
      <c r="A6" s="989"/>
      <c r="B6" s="156"/>
      <c r="C6" s="156"/>
      <c r="D6" s="246" t="s">
        <v>4</v>
      </c>
      <c r="E6" s="156" t="s">
        <v>30</v>
      </c>
      <c r="F6" s="161"/>
      <c r="G6" s="161"/>
      <c r="H6" s="245" t="s">
        <v>4</v>
      </c>
      <c r="I6" s="156" t="s">
        <v>30</v>
      </c>
      <c r="J6" s="161"/>
      <c r="K6" s="161"/>
      <c r="L6" s="245" t="s">
        <v>4</v>
      </c>
      <c r="M6" s="156" t="s">
        <v>30</v>
      </c>
    </row>
    <row r="7" spans="1:14" ht="15.75" x14ac:dyDescent="0.2">
      <c r="A7" s="14" t="s">
        <v>23</v>
      </c>
      <c r="B7" s="308">
        <v>2806.40366629239</v>
      </c>
      <c r="C7" s="309">
        <v>2787.0273205479398</v>
      </c>
      <c r="D7" s="351">
        <f>IF(B7=0, "    ---- ", IF(ABS(ROUND(100/B7*C7-100,1))&lt;999,ROUND(100/B7*C7-100,1),IF(ROUND(100/B7*C7-100,1)&gt;999,999,-999)))</f>
        <v>-0.7</v>
      </c>
      <c r="E7" s="11">
        <f>IFERROR(100/'Skjema total MA'!C7*C7,0)</f>
        <v>5.8621341260178497E-2</v>
      </c>
      <c r="F7" s="308"/>
      <c r="G7" s="309"/>
      <c r="H7" s="351"/>
      <c r="I7" s="160"/>
      <c r="J7" s="310">
        <f t="shared" ref="J7:K10" si="0">SUM(B7,F7)</f>
        <v>2806.40366629239</v>
      </c>
      <c r="K7" s="311">
        <f t="shared" si="0"/>
        <v>2787.0273205479398</v>
      </c>
      <c r="L7" s="428">
        <f>IF(J7=0, "    ---- ", IF(ABS(ROUND(100/J7*K7-100,1))&lt;999,ROUND(100/J7*K7-100,1),IF(ROUND(100/J7*K7-100,1)&gt;999,999,-999)))</f>
        <v>-0.7</v>
      </c>
      <c r="M7" s="11">
        <f>IFERROR(100/'Skjema total MA'!I7*K7,0)</f>
        <v>1.8512441263722045E-2</v>
      </c>
    </row>
    <row r="8" spans="1:14" ht="15.75" x14ac:dyDescent="0.2">
      <c r="A8" s="21" t="s">
        <v>25</v>
      </c>
      <c r="B8" s="283"/>
      <c r="C8" s="284"/>
      <c r="D8" s="166"/>
      <c r="E8" s="27"/>
      <c r="F8" s="287"/>
      <c r="G8" s="288"/>
      <c r="H8" s="166"/>
      <c r="I8" s="175"/>
      <c r="J8" s="234"/>
      <c r="K8" s="289"/>
      <c r="L8" s="166"/>
      <c r="M8" s="27"/>
    </row>
    <row r="9" spans="1:14" ht="15.75" x14ac:dyDescent="0.2">
      <c r="A9" s="21" t="s">
        <v>24</v>
      </c>
      <c r="B9" s="283">
        <v>2806.40366629239</v>
      </c>
      <c r="C9" s="284">
        <v>2787.0273205479398</v>
      </c>
      <c r="D9" s="166">
        <f t="shared" ref="D9:D10" si="1">IF(B9=0, "    ---- ", IF(ABS(ROUND(100/B9*C9-100,1))&lt;999,ROUND(100/B9*C9-100,1),IF(ROUND(100/B9*C9-100,1)&gt;999,999,-999)))</f>
        <v>-0.7</v>
      </c>
      <c r="E9" s="27">
        <f>IFERROR(100/'Skjema total MA'!C9*C9,0)</f>
        <v>0.29391944845113271</v>
      </c>
      <c r="F9" s="287"/>
      <c r="G9" s="288"/>
      <c r="H9" s="166"/>
      <c r="I9" s="175"/>
      <c r="J9" s="234">
        <f t="shared" si="0"/>
        <v>2806.40366629239</v>
      </c>
      <c r="K9" s="289">
        <f t="shared" si="0"/>
        <v>2787.0273205479398</v>
      </c>
      <c r="L9" s="166">
        <f t="shared" ref="L9" si="2">IF(J9=0, "    ---- ", IF(ABS(ROUND(100/J9*K9-100,1))&lt;999,ROUND(100/J9*K9-100,1),IF(ROUND(100/J9*K9-100,1)&gt;999,999,-999)))</f>
        <v>-0.7</v>
      </c>
      <c r="M9" s="27">
        <f>IFERROR(100/'Skjema total MA'!I9*K9,0)</f>
        <v>0.29391944845113271</v>
      </c>
    </row>
    <row r="10" spans="1:14" ht="15.75" x14ac:dyDescent="0.2">
      <c r="A10" s="13" t="s">
        <v>444</v>
      </c>
      <c r="B10" s="312">
        <v>0</v>
      </c>
      <c r="C10" s="313">
        <v>4585.8069906000001</v>
      </c>
      <c r="D10" s="171" t="str">
        <f t="shared" si="1"/>
        <v xml:space="preserve">    ---- </v>
      </c>
      <c r="E10" s="11">
        <f>IFERROR(100/'Skjema total MA'!C10*C10,0)</f>
        <v>2.3244630960672835E-2</v>
      </c>
      <c r="F10" s="312"/>
      <c r="G10" s="313"/>
      <c r="H10" s="171"/>
      <c r="I10" s="160"/>
      <c r="J10" s="310">
        <f t="shared" si="0"/>
        <v>0</v>
      </c>
      <c r="K10" s="311">
        <f t="shared" si="0"/>
        <v>4585.8069906000001</v>
      </c>
      <c r="L10" s="429" t="str">
        <f t="shared" ref="L10" si="3">IF(J10=0, "    ---- ", IF(ABS(ROUND(100/J10*K10-100,1))&lt;999,ROUND(100/J10*K10-100,1),IF(ROUND(100/J10*K10-100,1)&gt;999,999,-999)))</f>
        <v xml:space="preserve">    ---- </v>
      </c>
      <c r="M10" s="11">
        <f>IFERROR(100/'Skjema total MA'!I10*K10,0)</f>
        <v>5.7023326625057066E-3</v>
      </c>
    </row>
    <row r="11" spans="1:14" s="43" customFormat="1" ht="15.75" x14ac:dyDescent="0.2">
      <c r="A11" s="13" t="s">
        <v>445</v>
      </c>
      <c r="B11" s="312"/>
      <c r="C11" s="313"/>
      <c r="D11" s="171"/>
      <c r="E11" s="11"/>
      <c r="F11" s="312"/>
      <c r="G11" s="313"/>
      <c r="H11" s="171"/>
      <c r="I11" s="160"/>
      <c r="J11" s="310"/>
      <c r="K11" s="311"/>
      <c r="L11" s="429"/>
      <c r="M11" s="11"/>
      <c r="N11" s="143"/>
    </row>
    <row r="12" spans="1:14" s="43" customFormat="1" ht="15.75" x14ac:dyDescent="0.2">
      <c r="A12" s="41" t="s">
        <v>446</v>
      </c>
      <c r="B12" s="314"/>
      <c r="C12" s="315"/>
      <c r="D12" s="169"/>
      <c r="E12" s="36"/>
      <c r="F12" s="314"/>
      <c r="G12" s="315"/>
      <c r="H12" s="169"/>
      <c r="I12" s="169"/>
      <c r="J12" s="316"/>
      <c r="K12" s="317"/>
      <c r="L12" s="430"/>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1022"/>
      <c r="C18" s="1022"/>
      <c r="D18" s="1022"/>
      <c r="E18" s="807"/>
      <c r="F18" s="1022"/>
      <c r="G18" s="1022"/>
      <c r="H18" s="1022"/>
      <c r="I18" s="807"/>
      <c r="J18" s="1022"/>
      <c r="K18" s="1022"/>
      <c r="L18" s="1022"/>
      <c r="M18" s="807"/>
    </row>
    <row r="19" spans="1:14" x14ac:dyDescent="0.2">
      <c r="A19" s="144"/>
      <c r="B19" s="1023" t="s">
        <v>0</v>
      </c>
      <c r="C19" s="1024"/>
      <c r="D19" s="1024"/>
      <c r="E19" s="805"/>
      <c r="F19" s="1023" t="s">
        <v>1</v>
      </c>
      <c r="G19" s="1024"/>
      <c r="H19" s="1024"/>
      <c r="I19" s="806"/>
      <c r="J19" s="1023" t="s">
        <v>2</v>
      </c>
      <c r="K19" s="1024"/>
      <c r="L19" s="1024"/>
      <c r="M19" s="806"/>
    </row>
    <row r="20" spans="1:14" x14ac:dyDescent="0.2">
      <c r="A20" s="140" t="s">
        <v>5</v>
      </c>
      <c r="B20" s="152" t="s">
        <v>502</v>
      </c>
      <c r="C20" s="152" t="s">
        <v>503</v>
      </c>
      <c r="D20" s="162" t="s">
        <v>3</v>
      </c>
      <c r="E20" s="307" t="s">
        <v>29</v>
      </c>
      <c r="F20" s="152" t="s">
        <v>502</v>
      </c>
      <c r="G20" s="152" t="s">
        <v>503</v>
      </c>
      <c r="H20" s="162" t="s">
        <v>3</v>
      </c>
      <c r="I20" s="162" t="s">
        <v>29</v>
      </c>
      <c r="J20" s="152" t="s">
        <v>502</v>
      </c>
      <c r="K20" s="152" t="s">
        <v>503</v>
      </c>
      <c r="L20" s="162" t="s">
        <v>3</v>
      </c>
      <c r="M20" s="162" t="s">
        <v>29</v>
      </c>
    </row>
    <row r="21" spans="1:14" x14ac:dyDescent="0.2">
      <c r="A21" s="990"/>
      <c r="B21" s="156"/>
      <c r="C21" s="156"/>
      <c r="D21" s="246" t="s">
        <v>4</v>
      </c>
      <c r="E21" s="156" t="s">
        <v>30</v>
      </c>
      <c r="F21" s="161"/>
      <c r="G21" s="161"/>
      <c r="H21" s="245" t="s">
        <v>4</v>
      </c>
      <c r="I21" s="156" t="s">
        <v>30</v>
      </c>
      <c r="J21" s="161"/>
      <c r="K21" s="161"/>
      <c r="L21" s="156" t="s">
        <v>4</v>
      </c>
      <c r="M21" s="156" t="s">
        <v>30</v>
      </c>
    </row>
    <row r="22" spans="1:14" ht="15.75" x14ac:dyDescent="0.2">
      <c r="A22" s="14" t="s">
        <v>23</v>
      </c>
      <c r="B22" s="312"/>
      <c r="C22" s="312"/>
      <c r="D22" s="351"/>
      <c r="E22" s="11"/>
      <c r="F22" s="320"/>
      <c r="G22" s="320"/>
      <c r="H22" s="351"/>
      <c r="I22" s="11"/>
      <c r="J22" s="318"/>
      <c r="K22" s="318"/>
      <c r="L22" s="428"/>
      <c r="M22" s="24"/>
    </row>
    <row r="23" spans="1:14" ht="15.75" x14ac:dyDescent="0.2">
      <c r="A23" s="811" t="s">
        <v>447</v>
      </c>
      <c r="B23" s="283"/>
      <c r="C23" s="283"/>
      <c r="D23" s="166"/>
      <c r="E23" s="11"/>
      <c r="F23" s="292"/>
      <c r="G23" s="292"/>
      <c r="H23" s="166"/>
      <c r="I23" s="418"/>
      <c r="J23" s="292"/>
      <c r="K23" s="292"/>
      <c r="L23" s="166"/>
      <c r="M23" s="23"/>
    </row>
    <row r="24" spans="1:14" ht="15.75" x14ac:dyDescent="0.2">
      <c r="A24" s="811" t="s">
        <v>448</v>
      </c>
      <c r="B24" s="283"/>
      <c r="C24" s="283"/>
      <c r="D24" s="166"/>
      <c r="E24" s="11"/>
      <c r="F24" s="292"/>
      <c r="G24" s="292"/>
      <c r="H24" s="166"/>
      <c r="I24" s="418"/>
      <c r="J24" s="292"/>
      <c r="K24" s="292"/>
      <c r="L24" s="166"/>
      <c r="M24" s="23"/>
    </row>
    <row r="25" spans="1:14" ht="15.75" x14ac:dyDescent="0.2">
      <c r="A25" s="811" t="s">
        <v>449</v>
      </c>
      <c r="B25" s="283"/>
      <c r="C25" s="283"/>
      <c r="D25" s="166"/>
      <c r="E25" s="11"/>
      <c r="F25" s="292"/>
      <c r="G25" s="292"/>
      <c r="H25" s="166"/>
      <c r="I25" s="418"/>
      <c r="J25" s="292"/>
      <c r="K25" s="292"/>
      <c r="L25" s="166"/>
      <c r="M25" s="23"/>
    </row>
    <row r="26" spans="1:14" ht="15.75" x14ac:dyDescent="0.2">
      <c r="A26" s="811" t="s">
        <v>450</v>
      </c>
      <c r="B26" s="283"/>
      <c r="C26" s="283"/>
      <c r="D26" s="166"/>
      <c r="E26" s="11"/>
      <c r="F26" s="292"/>
      <c r="G26" s="292"/>
      <c r="H26" s="166"/>
      <c r="I26" s="418"/>
      <c r="J26" s="292"/>
      <c r="K26" s="292"/>
      <c r="L26" s="166"/>
      <c r="M26" s="23"/>
    </row>
    <row r="27" spans="1:14" x14ac:dyDescent="0.2">
      <c r="A27" s="811" t="s">
        <v>11</v>
      </c>
      <c r="B27" s="283"/>
      <c r="C27" s="283"/>
      <c r="D27" s="166"/>
      <c r="E27" s="11"/>
      <c r="F27" s="292"/>
      <c r="G27" s="292"/>
      <c r="H27" s="166"/>
      <c r="I27" s="418"/>
      <c r="J27" s="292"/>
      <c r="K27" s="292"/>
      <c r="L27" s="166"/>
      <c r="M27" s="23"/>
    </row>
    <row r="28" spans="1:14" ht="15.75" x14ac:dyDescent="0.2">
      <c r="A28" s="49" t="s">
        <v>272</v>
      </c>
      <c r="B28" s="44"/>
      <c r="C28" s="289"/>
      <c r="D28" s="166"/>
      <c r="E28" s="11"/>
      <c r="F28" s="234"/>
      <c r="G28" s="289"/>
      <c r="H28" s="166"/>
      <c r="I28" s="27"/>
      <c r="J28" s="44"/>
      <c r="K28" s="44"/>
      <c r="L28" s="257"/>
      <c r="M28" s="23"/>
    </row>
    <row r="29" spans="1:14" s="3" customFormat="1" ht="15.75" x14ac:dyDescent="0.2">
      <c r="A29" s="13" t="s">
        <v>444</v>
      </c>
      <c r="B29" s="236"/>
      <c r="C29" s="236"/>
      <c r="D29" s="171"/>
      <c r="E29" s="11"/>
      <c r="F29" s="310"/>
      <c r="G29" s="310"/>
      <c r="H29" s="171"/>
      <c r="I29" s="11"/>
      <c r="J29" s="236"/>
      <c r="K29" s="236"/>
      <c r="L29" s="429"/>
      <c r="M29" s="24"/>
      <c r="N29" s="148"/>
    </row>
    <row r="30" spans="1:14" s="3" customFormat="1" ht="15.75" x14ac:dyDescent="0.2">
      <c r="A30" s="811" t="s">
        <v>447</v>
      </c>
      <c r="B30" s="283"/>
      <c r="C30" s="283"/>
      <c r="D30" s="166"/>
      <c r="E30" s="11"/>
      <c r="F30" s="292"/>
      <c r="G30" s="292"/>
      <c r="H30" s="166"/>
      <c r="I30" s="418"/>
      <c r="J30" s="292"/>
      <c r="K30" s="292"/>
      <c r="L30" s="166"/>
      <c r="M30" s="23"/>
      <c r="N30" s="148"/>
    </row>
    <row r="31" spans="1:14" s="3" customFormat="1" ht="15.75" x14ac:dyDescent="0.2">
      <c r="A31" s="811" t="s">
        <v>448</v>
      </c>
      <c r="B31" s="283"/>
      <c r="C31" s="283"/>
      <c r="D31" s="166"/>
      <c r="E31" s="11"/>
      <c r="F31" s="292"/>
      <c r="G31" s="292"/>
      <c r="H31" s="166"/>
      <c r="I31" s="418"/>
      <c r="J31" s="292"/>
      <c r="K31" s="292"/>
      <c r="L31" s="166"/>
      <c r="M31" s="23"/>
      <c r="N31" s="148"/>
    </row>
    <row r="32" spans="1:14" ht="15.75" x14ac:dyDescent="0.2">
      <c r="A32" s="811" t="s">
        <v>449</v>
      </c>
      <c r="B32" s="283"/>
      <c r="C32" s="283"/>
      <c r="D32" s="166"/>
      <c r="E32" s="11"/>
      <c r="F32" s="292"/>
      <c r="G32" s="292"/>
      <c r="H32" s="166"/>
      <c r="I32" s="418"/>
      <c r="J32" s="292"/>
      <c r="K32" s="292"/>
      <c r="L32" s="166"/>
      <c r="M32" s="23"/>
    </row>
    <row r="33" spans="1:14" ht="15.75" x14ac:dyDescent="0.2">
      <c r="A33" s="811" t="s">
        <v>450</v>
      </c>
      <c r="B33" s="283"/>
      <c r="C33" s="283"/>
      <c r="D33" s="166"/>
      <c r="E33" s="11"/>
      <c r="F33" s="292"/>
      <c r="G33" s="292"/>
      <c r="H33" s="166"/>
      <c r="I33" s="418"/>
      <c r="J33" s="292"/>
      <c r="K33" s="292"/>
      <c r="L33" s="166"/>
      <c r="M33" s="23"/>
    </row>
    <row r="34" spans="1:14" ht="15.75" x14ac:dyDescent="0.2">
      <c r="A34" s="13" t="s">
        <v>445</v>
      </c>
      <c r="B34" s="236"/>
      <c r="C34" s="311"/>
      <c r="D34" s="171"/>
      <c r="E34" s="11"/>
      <c r="F34" s="310"/>
      <c r="G34" s="311"/>
      <c r="H34" s="171"/>
      <c r="I34" s="11"/>
      <c r="J34" s="236"/>
      <c r="K34" s="236"/>
      <c r="L34" s="429"/>
      <c r="M34" s="24"/>
    </row>
    <row r="35" spans="1:14" ht="15.75" x14ac:dyDescent="0.2">
      <c r="A35" s="13" t="s">
        <v>446</v>
      </c>
      <c r="B35" s="236"/>
      <c r="C35" s="311"/>
      <c r="D35" s="171"/>
      <c r="E35" s="11"/>
      <c r="F35" s="310"/>
      <c r="G35" s="311"/>
      <c r="H35" s="171"/>
      <c r="I35" s="11"/>
      <c r="J35" s="236"/>
      <c r="K35" s="236"/>
      <c r="L35" s="429"/>
      <c r="M35" s="24"/>
    </row>
    <row r="36" spans="1:14" ht="15.75" x14ac:dyDescent="0.2">
      <c r="A36" s="12" t="s">
        <v>280</v>
      </c>
      <c r="B36" s="236"/>
      <c r="C36" s="311"/>
      <c r="D36" s="171"/>
      <c r="E36" s="11"/>
      <c r="F36" s="321"/>
      <c r="G36" s="322"/>
      <c r="H36" s="171"/>
      <c r="I36" s="435"/>
      <c r="J36" s="236"/>
      <c r="K36" s="236"/>
      <c r="L36" s="429"/>
      <c r="M36" s="24"/>
    </row>
    <row r="37" spans="1:14" ht="15.75" x14ac:dyDescent="0.2">
      <c r="A37" s="12" t="s">
        <v>452</v>
      </c>
      <c r="B37" s="236"/>
      <c r="C37" s="311"/>
      <c r="D37" s="171"/>
      <c r="E37" s="11"/>
      <c r="F37" s="321"/>
      <c r="G37" s="323"/>
      <c r="H37" s="171"/>
      <c r="I37" s="435"/>
      <c r="J37" s="236"/>
      <c r="K37" s="236"/>
      <c r="L37" s="429"/>
      <c r="M37" s="24"/>
    </row>
    <row r="38" spans="1:14" ht="15.75" x14ac:dyDescent="0.2">
      <c r="A38" s="12" t="s">
        <v>453</v>
      </c>
      <c r="B38" s="236"/>
      <c r="C38" s="311"/>
      <c r="D38" s="171"/>
      <c r="E38" s="24"/>
      <c r="F38" s="321"/>
      <c r="G38" s="322"/>
      <c r="H38" s="171"/>
      <c r="I38" s="435"/>
      <c r="J38" s="236"/>
      <c r="K38" s="236"/>
      <c r="L38" s="429"/>
      <c r="M38" s="24"/>
    </row>
    <row r="39" spans="1:14" ht="15.75" x14ac:dyDescent="0.2">
      <c r="A39" s="18" t="s">
        <v>454</v>
      </c>
      <c r="B39" s="278"/>
      <c r="C39" s="317"/>
      <c r="D39" s="169"/>
      <c r="E39" s="36"/>
      <c r="F39" s="324"/>
      <c r="G39" s="325"/>
      <c r="H39" s="169"/>
      <c r="I39" s="36"/>
      <c r="J39" s="236"/>
      <c r="K39" s="236"/>
      <c r="L39" s="430"/>
      <c r="M39" s="36"/>
    </row>
    <row r="40" spans="1:14" ht="15.75" x14ac:dyDescent="0.25">
      <c r="A40" s="47"/>
      <c r="B40" s="256"/>
      <c r="C40" s="256"/>
      <c r="D40" s="1026"/>
      <c r="E40" s="1026"/>
      <c r="F40" s="1026"/>
      <c r="G40" s="1026"/>
      <c r="H40" s="1026"/>
      <c r="I40" s="1026"/>
      <c r="J40" s="1026"/>
      <c r="K40" s="1026"/>
      <c r="L40" s="1026"/>
      <c r="M40" s="809"/>
    </row>
    <row r="41" spans="1:14" x14ac:dyDescent="0.2">
      <c r="A41" s="155"/>
    </row>
    <row r="42" spans="1:14" ht="15.75" x14ac:dyDescent="0.25">
      <c r="A42" s="147" t="s">
        <v>269</v>
      </c>
      <c r="B42" s="1027"/>
      <c r="C42" s="1027"/>
      <c r="D42" s="1027"/>
      <c r="E42" s="807"/>
      <c r="F42" s="1028"/>
      <c r="G42" s="1028"/>
      <c r="H42" s="1028"/>
      <c r="I42" s="809"/>
      <c r="J42" s="1028"/>
      <c r="K42" s="1028"/>
      <c r="L42" s="1028"/>
      <c r="M42" s="809"/>
    </row>
    <row r="43" spans="1:14" ht="15.75" x14ac:dyDescent="0.25">
      <c r="A43" s="163"/>
      <c r="B43" s="808"/>
      <c r="C43" s="808"/>
      <c r="D43" s="808"/>
      <c r="E43" s="808"/>
      <c r="F43" s="809"/>
      <c r="G43" s="809"/>
      <c r="H43" s="809"/>
      <c r="I43" s="809"/>
      <c r="J43" s="809"/>
      <c r="K43" s="809"/>
      <c r="L43" s="809"/>
      <c r="M43" s="809"/>
    </row>
    <row r="44" spans="1:14" ht="15.75" x14ac:dyDescent="0.25">
      <c r="A44" s="247"/>
      <c r="B44" s="1023" t="s">
        <v>0</v>
      </c>
      <c r="C44" s="1024"/>
      <c r="D44" s="1024"/>
      <c r="E44" s="243"/>
      <c r="F44" s="809"/>
      <c r="G44" s="809"/>
      <c r="H44" s="809"/>
      <c r="I44" s="809"/>
      <c r="J44" s="809"/>
      <c r="K44" s="809"/>
      <c r="L44" s="809"/>
      <c r="M44" s="809"/>
    </row>
    <row r="45" spans="1:14" s="3" customFormat="1" x14ac:dyDescent="0.2">
      <c r="A45" s="140"/>
      <c r="B45" s="152" t="s">
        <v>502</v>
      </c>
      <c r="C45" s="152" t="s">
        <v>503</v>
      </c>
      <c r="D45" s="162" t="s">
        <v>3</v>
      </c>
      <c r="E45" s="162" t="s">
        <v>29</v>
      </c>
      <c r="F45" s="174"/>
      <c r="G45" s="174"/>
      <c r="H45" s="173"/>
      <c r="I45" s="173"/>
      <c r="J45" s="174"/>
      <c r="K45" s="174"/>
      <c r="L45" s="173"/>
      <c r="M45" s="173"/>
      <c r="N45" s="148"/>
    </row>
    <row r="46" spans="1:14" s="3" customFormat="1" x14ac:dyDescent="0.2">
      <c r="A46" s="990"/>
      <c r="B46" s="244"/>
      <c r="C46" s="244"/>
      <c r="D46" s="245" t="s">
        <v>4</v>
      </c>
      <c r="E46" s="156" t="s">
        <v>30</v>
      </c>
      <c r="F46" s="173"/>
      <c r="G46" s="173"/>
      <c r="H46" s="173"/>
      <c r="I46" s="173"/>
      <c r="J46" s="173"/>
      <c r="K46" s="173"/>
      <c r="L46" s="173"/>
      <c r="M46" s="173"/>
      <c r="N46" s="148"/>
    </row>
    <row r="47" spans="1:14" s="3" customFormat="1" ht="15.75" x14ac:dyDescent="0.2">
      <c r="A47" s="14" t="s">
        <v>23</v>
      </c>
      <c r="B47" s="312">
        <v>309980.771259617</v>
      </c>
      <c r="C47" s="313">
        <v>304965.01190963999</v>
      </c>
      <c r="D47" s="428">
        <f t="shared" ref="D47:D48" si="4">IF(B47=0, "    ---- ", IF(ABS(ROUND(100/B47*C47-100,1))&lt;999,ROUND(100/B47*C47-100,1),IF(ROUND(100/B47*C47-100,1)&gt;999,999,-999)))</f>
        <v>-1.6</v>
      </c>
      <c r="E47" s="11">
        <f>IFERROR(100/'Skjema total MA'!C47*C47,0)</f>
        <v>6.38392643472553</v>
      </c>
      <c r="F47" s="145"/>
      <c r="G47" s="33"/>
      <c r="H47" s="159"/>
      <c r="I47" s="159"/>
      <c r="J47" s="37"/>
      <c r="K47" s="37"/>
      <c r="L47" s="159"/>
      <c r="M47" s="159"/>
      <c r="N47" s="148"/>
    </row>
    <row r="48" spans="1:14" s="3" customFormat="1" ht="15.75" x14ac:dyDescent="0.2">
      <c r="A48" s="38" t="s">
        <v>455</v>
      </c>
      <c r="B48" s="283">
        <v>309980.771259617</v>
      </c>
      <c r="C48" s="284">
        <v>304965.01190963999</v>
      </c>
      <c r="D48" s="257">
        <f t="shared" si="4"/>
        <v>-1.6</v>
      </c>
      <c r="E48" s="27">
        <f>IFERROR(100/'Skjema total MA'!C48*C48,0)</f>
        <v>11.446018930283522</v>
      </c>
      <c r="F48" s="145"/>
      <c r="G48" s="33"/>
      <c r="H48" s="145"/>
      <c r="I48" s="145"/>
      <c r="J48" s="33"/>
      <c r="K48" s="33"/>
      <c r="L48" s="159"/>
      <c r="M48" s="159"/>
      <c r="N48" s="148"/>
    </row>
    <row r="49" spans="1:14" s="3" customFormat="1" ht="15.75" x14ac:dyDescent="0.2">
      <c r="A49" s="38" t="s">
        <v>456</v>
      </c>
      <c r="B49" s="44"/>
      <c r="C49" s="289"/>
      <c r="D49" s="257"/>
      <c r="E49" s="27"/>
      <c r="F49" s="145"/>
      <c r="G49" s="33"/>
      <c r="H49" s="145"/>
      <c r="I49" s="145"/>
      <c r="J49" s="37"/>
      <c r="K49" s="37"/>
      <c r="L49" s="159"/>
      <c r="M49" s="159"/>
      <c r="N49" s="148"/>
    </row>
    <row r="50" spans="1:14" s="3" customFormat="1" x14ac:dyDescent="0.2">
      <c r="A50" s="298" t="s">
        <v>6</v>
      </c>
      <c r="B50" s="292"/>
      <c r="C50" s="293"/>
      <c r="D50" s="257"/>
      <c r="E50" s="23"/>
      <c r="F50" s="145"/>
      <c r="G50" s="33"/>
      <c r="H50" s="145"/>
      <c r="I50" s="145"/>
      <c r="J50" s="33"/>
      <c r="K50" s="33"/>
      <c r="L50" s="159"/>
      <c r="M50" s="159"/>
      <c r="N50" s="148"/>
    </row>
    <row r="51" spans="1:14" s="3" customFormat="1" x14ac:dyDescent="0.2">
      <c r="A51" s="298" t="s">
        <v>7</v>
      </c>
      <c r="B51" s="292"/>
      <c r="C51" s="293"/>
      <c r="D51" s="257"/>
      <c r="E51" s="23"/>
      <c r="F51" s="145"/>
      <c r="G51" s="33"/>
      <c r="H51" s="145"/>
      <c r="I51" s="145"/>
      <c r="J51" s="33"/>
      <c r="K51" s="33"/>
      <c r="L51" s="159"/>
      <c r="M51" s="159"/>
      <c r="N51" s="148"/>
    </row>
    <row r="52" spans="1:14" s="3" customFormat="1" x14ac:dyDescent="0.2">
      <c r="A52" s="298" t="s">
        <v>8</v>
      </c>
      <c r="B52" s="292"/>
      <c r="C52" s="293"/>
      <c r="D52" s="257"/>
      <c r="E52" s="23"/>
      <c r="F52" s="145"/>
      <c r="G52" s="33"/>
      <c r="H52" s="145"/>
      <c r="I52" s="145"/>
      <c r="J52" s="33"/>
      <c r="K52" s="33"/>
      <c r="L52" s="159"/>
      <c r="M52" s="159"/>
      <c r="N52" s="148"/>
    </row>
    <row r="53" spans="1:14" s="3" customFormat="1" ht="15.75" x14ac:dyDescent="0.2">
      <c r="A53" s="39" t="s">
        <v>457</v>
      </c>
      <c r="B53" s="312"/>
      <c r="C53" s="313"/>
      <c r="D53" s="429"/>
      <c r="E53" s="11"/>
      <c r="F53" s="145"/>
      <c r="G53" s="33"/>
      <c r="H53" s="145"/>
      <c r="I53" s="145"/>
      <c r="J53" s="33"/>
      <c r="K53" s="33"/>
      <c r="L53" s="159"/>
      <c r="M53" s="159"/>
      <c r="N53" s="148"/>
    </row>
    <row r="54" spans="1:14" s="3" customFormat="1" ht="15.75" x14ac:dyDescent="0.2">
      <c r="A54" s="38" t="s">
        <v>455</v>
      </c>
      <c r="B54" s="283"/>
      <c r="C54" s="284"/>
      <c r="D54" s="257"/>
      <c r="E54" s="27"/>
      <c r="F54" s="145"/>
      <c r="G54" s="33"/>
      <c r="H54" s="145"/>
      <c r="I54" s="145"/>
      <c r="J54" s="33"/>
      <c r="K54" s="33"/>
      <c r="L54" s="159"/>
      <c r="M54" s="159"/>
      <c r="N54" s="148"/>
    </row>
    <row r="55" spans="1:14" s="3" customFormat="1" ht="15.75" x14ac:dyDescent="0.2">
      <c r="A55" s="38" t="s">
        <v>456</v>
      </c>
      <c r="B55" s="283"/>
      <c r="C55" s="284"/>
      <c r="D55" s="257"/>
      <c r="E55" s="27"/>
      <c r="F55" s="145"/>
      <c r="G55" s="33"/>
      <c r="H55" s="145"/>
      <c r="I55" s="145"/>
      <c r="J55" s="33"/>
      <c r="K55" s="33"/>
      <c r="L55" s="159"/>
      <c r="M55" s="159"/>
      <c r="N55" s="148"/>
    </row>
    <row r="56" spans="1:14" s="3" customFormat="1" ht="15.75" x14ac:dyDescent="0.2">
      <c r="A56" s="39" t="s">
        <v>458</v>
      </c>
      <c r="B56" s="312"/>
      <c r="C56" s="313"/>
      <c r="D56" s="429"/>
      <c r="E56" s="11"/>
      <c r="F56" s="145"/>
      <c r="G56" s="33"/>
      <c r="H56" s="145"/>
      <c r="I56" s="145"/>
      <c r="J56" s="33"/>
      <c r="K56" s="33"/>
      <c r="L56" s="159"/>
      <c r="M56" s="159"/>
      <c r="N56" s="148"/>
    </row>
    <row r="57" spans="1:14" s="3" customFormat="1" ht="15.75" x14ac:dyDescent="0.2">
      <c r="A57" s="38" t="s">
        <v>455</v>
      </c>
      <c r="B57" s="283"/>
      <c r="C57" s="284"/>
      <c r="D57" s="257"/>
      <c r="E57" s="27"/>
      <c r="F57" s="145"/>
      <c r="G57" s="33"/>
      <c r="H57" s="145"/>
      <c r="I57" s="145"/>
      <c r="J57" s="33"/>
      <c r="K57" s="33"/>
      <c r="L57" s="159"/>
      <c r="M57" s="159"/>
      <c r="N57" s="148"/>
    </row>
    <row r="58" spans="1:14" s="3" customFormat="1" ht="15.75" x14ac:dyDescent="0.2">
      <c r="A58" s="46" t="s">
        <v>456</v>
      </c>
      <c r="B58" s="285"/>
      <c r="C58" s="286"/>
      <c r="D58" s="258"/>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1022"/>
      <c r="C62" s="1022"/>
      <c r="D62" s="1022"/>
      <c r="E62" s="807"/>
      <c r="F62" s="1022"/>
      <c r="G62" s="1022"/>
      <c r="H62" s="1022"/>
      <c r="I62" s="807"/>
      <c r="J62" s="1022"/>
      <c r="K62" s="1022"/>
      <c r="L62" s="1022"/>
      <c r="M62" s="807"/>
    </row>
    <row r="63" spans="1:14" x14ac:dyDescent="0.2">
      <c r="A63" s="144"/>
      <c r="B63" s="1023" t="s">
        <v>0</v>
      </c>
      <c r="C63" s="1024"/>
      <c r="D63" s="1025"/>
      <c r="E63" s="804"/>
      <c r="F63" s="1024" t="s">
        <v>1</v>
      </c>
      <c r="G63" s="1024"/>
      <c r="H63" s="1024"/>
      <c r="I63" s="806"/>
      <c r="J63" s="1023" t="s">
        <v>2</v>
      </c>
      <c r="K63" s="1024"/>
      <c r="L63" s="1024"/>
      <c r="M63" s="806"/>
    </row>
    <row r="64" spans="1:14" x14ac:dyDescent="0.2">
      <c r="A64" s="140"/>
      <c r="B64" s="152" t="s">
        <v>502</v>
      </c>
      <c r="C64" s="152" t="s">
        <v>503</v>
      </c>
      <c r="D64" s="245" t="s">
        <v>3</v>
      </c>
      <c r="E64" s="307" t="s">
        <v>29</v>
      </c>
      <c r="F64" s="152" t="s">
        <v>502</v>
      </c>
      <c r="G64" s="152" t="s">
        <v>503</v>
      </c>
      <c r="H64" s="245" t="s">
        <v>3</v>
      </c>
      <c r="I64" s="307" t="s">
        <v>29</v>
      </c>
      <c r="J64" s="152" t="s">
        <v>502</v>
      </c>
      <c r="K64" s="152" t="s">
        <v>503</v>
      </c>
      <c r="L64" s="245" t="s">
        <v>3</v>
      </c>
      <c r="M64" s="162" t="s">
        <v>29</v>
      </c>
    </row>
    <row r="65" spans="1:14" x14ac:dyDescent="0.2">
      <c r="A65" s="990"/>
      <c r="B65" s="156"/>
      <c r="C65" s="156"/>
      <c r="D65" s="246" t="s">
        <v>4</v>
      </c>
      <c r="E65" s="156" t="s">
        <v>30</v>
      </c>
      <c r="F65" s="161"/>
      <c r="G65" s="161"/>
      <c r="H65" s="245"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9"/>
      <c r="M66" s="11"/>
    </row>
    <row r="67" spans="1:14" x14ac:dyDescent="0.2">
      <c r="A67" s="420" t="s">
        <v>9</v>
      </c>
      <c r="B67" s="44"/>
      <c r="C67" s="145"/>
      <c r="D67" s="166"/>
      <c r="E67" s="27"/>
      <c r="F67" s="234"/>
      <c r="G67" s="145"/>
      <c r="H67" s="166"/>
      <c r="I67" s="27"/>
      <c r="J67" s="289"/>
      <c r="K67" s="44"/>
      <c r="L67" s="257"/>
      <c r="M67" s="27"/>
    </row>
    <row r="68" spans="1:14" x14ac:dyDescent="0.2">
      <c r="A68" s="21" t="s">
        <v>10</v>
      </c>
      <c r="B68" s="294"/>
      <c r="C68" s="295"/>
      <c r="D68" s="166"/>
      <c r="E68" s="27"/>
      <c r="F68" s="294"/>
      <c r="G68" s="295"/>
      <c r="H68" s="166"/>
      <c r="I68" s="27"/>
      <c r="J68" s="289"/>
      <c r="K68" s="44"/>
      <c r="L68" s="257"/>
      <c r="M68" s="27"/>
    </row>
    <row r="69" spans="1:14" ht="15.75" x14ac:dyDescent="0.2">
      <c r="A69" s="298" t="s">
        <v>459</v>
      </c>
      <c r="B69" s="283"/>
      <c r="C69" s="283"/>
      <c r="D69" s="166"/>
      <c r="E69" s="418"/>
      <c r="F69" s="283"/>
      <c r="G69" s="283"/>
      <c r="H69" s="166"/>
      <c r="I69" s="418"/>
      <c r="J69" s="292"/>
      <c r="K69" s="292"/>
      <c r="L69" s="166"/>
      <c r="M69" s="23"/>
    </row>
    <row r="70" spans="1:14" x14ac:dyDescent="0.2">
      <c r="A70" s="298" t="s">
        <v>12</v>
      </c>
      <c r="B70" s="296"/>
      <c r="C70" s="297"/>
      <c r="D70" s="166"/>
      <c r="E70" s="418"/>
      <c r="F70" s="283"/>
      <c r="G70" s="283"/>
      <c r="H70" s="166"/>
      <c r="I70" s="418"/>
      <c r="J70" s="292"/>
      <c r="K70" s="292"/>
      <c r="L70" s="166"/>
      <c r="M70" s="23"/>
    </row>
    <row r="71" spans="1:14" x14ac:dyDescent="0.2">
      <c r="A71" s="298" t="s">
        <v>13</v>
      </c>
      <c r="B71" s="235"/>
      <c r="C71" s="291"/>
      <c r="D71" s="166"/>
      <c r="E71" s="418"/>
      <c r="F71" s="283"/>
      <c r="G71" s="283"/>
      <c r="H71" s="166"/>
      <c r="I71" s="418"/>
      <c r="J71" s="292"/>
      <c r="K71" s="292"/>
      <c r="L71" s="166"/>
      <c r="M71" s="23"/>
    </row>
    <row r="72" spans="1:14" ht="15.75" x14ac:dyDescent="0.2">
      <c r="A72" s="298" t="s">
        <v>460</v>
      </c>
      <c r="B72" s="283"/>
      <c r="C72" s="283"/>
      <c r="D72" s="166"/>
      <c r="E72" s="418"/>
      <c r="F72" s="283"/>
      <c r="G72" s="283"/>
      <c r="H72" s="166"/>
      <c r="I72" s="418"/>
      <c r="J72" s="292"/>
      <c r="K72" s="292"/>
      <c r="L72" s="166"/>
      <c r="M72" s="23"/>
    </row>
    <row r="73" spans="1:14" x14ac:dyDescent="0.2">
      <c r="A73" s="298" t="s">
        <v>12</v>
      </c>
      <c r="B73" s="235"/>
      <c r="C73" s="291"/>
      <c r="D73" s="166"/>
      <c r="E73" s="418"/>
      <c r="F73" s="283"/>
      <c r="G73" s="283"/>
      <c r="H73" s="166"/>
      <c r="I73" s="418"/>
      <c r="J73" s="292"/>
      <c r="K73" s="292"/>
      <c r="L73" s="166"/>
      <c r="M73" s="23"/>
    </row>
    <row r="74" spans="1:14" s="3" customFormat="1" x14ac:dyDescent="0.2">
      <c r="A74" s="298" t="s">
        <v>13</v>
      </c>
      <c r="B74" s="235"/>
      <c r="C74" s="291"/>
      <c r="D74" s="166"/>
      <c r="E74" s="418"/>
      <c r="F74" s="283"/>
      <c r="G74" s="283"/>
      <c r="H74" s="166"/>
      <c r="I74" s="418"/>
      <c r="J74" s="292"/>
      <c r="K74" s="292"/>
      <c r="L74" s="166"/>
      <c r="M74" s="23"/>
      <c r="N74" s="148"/>
    </row>
    <row r="75" spans="1:14" s="3" customFormat="1" x14ac:dyDescent="0.2">
      <c r="A75" s="21" t="s">
        <v>346</v>
      </c>
      <c r="B75" s="234"/>
      <c r="C75" s="145"/>
      <c r="D75" s="166"/>
      <c r="E75" s="27"/>
      <c r="F75" s="234"/>
      <c r="G75" s="145"/>
      <c r="H75" s="166"/>
      <c r="I75" s="27"/>
      <c r="J75" s="289"/>
      <c r="K75" s="44"/>
      <c r="L75" s="257"/>
      <c r="M75" s="27"/>
      <c r="N75" s="148"/>
    </row>
    <row r="76" spans="1:14" s="3" customFormat="1" x14ac:dyDescent="0.2">
      <c r="A76" s="21" t="s">
        <v>345</v>
      </c>
      <c r="B76" s="234"/>
      <c r="C76" s="145"/>
      <c r="D76" s="166"/>
      <c r="E76" s="27"/>
      <c r="F76" s="234"/>
      <c r="G76" s="145"/>
      <c r="H76" s="166"/>
      <c r="I76" s="27"/>
      <c r="J76" s="289"/>
      <c r="K76" s="44"/>
      <c r="L76" s="257"/>
      <c r="M76" s="27"/>
      <c r="N76" s="148"/>
    </row>
    <row r="77" spans="1:14" ht="15.75" x14ac:dyDescent="0.2">
      <c r="A77" s="21" t="s">
        <v>461</v>
      </c>
      <c r="B77" s="234"/>
      <c r="C77" s="234"/>
      <c r="D77" s="166"/>
      <c r="E77" s="27"/>
      <c r="F77" s="234"/>
      <c r="G77" s="145"/>
      <c r="H77" s="166"/>
      <c r="I77" s="27"/>
      <c r="J77" s="289"/>
      <c r="K77" s="44"/>
      <c r="L77" s="257"/>
      <c r="M77" s="27"/>
    </row>
    <row r="78" spans="1:14" x14ac:dyDescent="0.2">
      <c r="A78" s="21" t="s">
        <v>9</v>
      </c>
      <c r="B78" s="234"/>
      <c r="C78" s="145"/>
      <c r="D78" s="166"/>
      <c r="E78" s="27"/>
      <c r="F78" s="234"/>
      <c r="G78" s="145"/>
      <c r="H78" s="166"/>
      <c r="I78" s="27"/>
      <c r="J78" s="289"/>
      <c r="K78" s="44"/>
      <c r="L78" s="257"/>
      <c r="M78" s="27"/>
    </row>
    <row r="79" spans="1:14" x14ac:dyDescent="0.2">
      <c r="A79" s="21" t="s">
        <v>10</v>
      </c>
      <c r="B79" s="294"/>
      <c r="C79" s="295"/>
      <c r="D79" s="166"/>
      <c r="E79" s="27"/>
      <c r="F79" s="294"/>
      <c r="G79" s="295"/>
      <c r="H79" s="166"/>
      <c r="I79" s="27"/>
      <c r="J79" s="289"/>
      <c r="K79" s="44"/>
      <c r="L79" s="257"/>
      <c r="M79" s="27"/>
    </row>
    <row r="80" spans="1:14" ht="15.75" x14ac:dyDescent="0.2">
      <c r="A80" s="298" t="s">
        <v>459</v>
      </c>
      <c r="B80" s="283"/>
      <c r="C80" s="283"/>
      <c r="D80" s="166"/>
      <c r="E80" s="418"/>
      <c r="F80" s="283"/>
      <c r="G80" s="283"/>
      <c r="H80" s="166"/>
      <c r="I80" s="418"/>
      <c r="J80" s="292"/>
      <c r="K80" s="292"/>
      <c r="L80" s="166"/>
      <c r="M80" s="23"/>
    </row>
    <row r="81" spans="1:13" x14ac:dyDescent="0.2">
      <c r="A81" s="298" t="s">
        <v>12</v>
      </c>
      <c r="B81" s="235"/>
      <c r="C81" s="291"/>
      <c r="D81" s="166"/>
      <c r="E81" s="418"/>
      <c r="F81" s="283"/>
      <c r="G81" s="283"/>
      <c r="H81" s="166"/>
      <c r="I81" s="418"/>
      <c r="J81" s="292"/>
      <c r="K81" s="292"/>
      <c r="L81" s="166"/>
      <c r="M81" s="23"/>
    </row>
    <row r="82" spans="1:13" x14ac:dyDescent="0.2">
      <c r="A82" s="298" t="s">
        <v>13</v>
      </c>
      <c r="B82" s="235"/>
      <c r="C82" s="291"/>
      <c r="D82" s="166"/>
      <c r="E82" s="418"/>
      <c r="F82" s="283"/>
      <c r="G82" s="283"/>
      <c r="H82" s="166"/>
      <c r="I82" s="418"/>
      <c r="J82" s="292"/>
      <c r="K82" s="292"/>
      <c r="L82" s="166"/>
      <c r="M82" s="23"/>
    </row>
    <row r="83" spans="1:13" ht="15.75" x14ac:dyDescent="0.2">
      <c r="A83" s="298" t="s">
        <v>460</v>
      </c>
      <c r="B83" s="283"/>
      <c r="C83" s="283"/>
      <c r="D83" s="166"/>
      <c r="E83" s="418"/>
      <c r="F83" s="283"/>
      <c r="G83" s="283"/>
      <c r="H83" s="166"/>
      <c r="I83" s="418"/>
      <c r="J83" s="292"/>
      <c r="K83" s="292"/>
      <c r="L83" s="166"/>
      <c r="M83" s="23"/>
    </row>
    <row r="84" spans="1:13" x14ac:dyDescent="0.2">
      <c r="A84" s="298" t="s">
        <v>12</v>
      </c>
      <c r="B84" s="235"/>
      <c r="C84" s="291"/>
      <c r="D84" s="166"/>
      <c r="E84" s="418"/>
      <c r="F84" s="283"/>
      <c r="G84" s="283"/>
      <c r="H84" s="166"/>
      <c r="I84" s="418"/>
      <c r="J84" s="292"/>
      <c r="K84" s="292"/>
      <c r="L84" s="166"/>
      <c r="M84" s="23"/>
    </row>
    <row r="85" spans="1:13" x14ac:dyDescent="0.2">
      <c r="A85" s="298" t="s">
        <v>13</v>
      </c>
      <c r="B85" s="235"/>
      <c r="C85" s="291"/>
      <c r="D85" s="166"/>
      <c r="E85" s="418"/>
      <c r="F85" s="283"/>
      <c r="G85" s="283"/>
      <c r="H85" s="166"/>
      <c r="I85" s="418"/>
      <c r="J85" s="292"/>
      <c r="K85" s="292"/>
      <c r="L85" s="166"/>
      <c r="M85" s="23"/>
    </row>
    <row r="86" spans="1:13" ht="15.75" x14ac:dyDescent="0.2">
      <c r="A86" s="21" t="s">
        <v>462</v>
      </c>
      <c r="B86" s="234"/>
      <c r="C86" s="145"/>
      <c r="D86" s="166"/>
      <c r="E86" s="27"/>
      <c r="F86" s="234"/>
      <c r="G86" s="145"/>
      <c r="H86" s="166"/>
      <c r="I86" s="27"/>
      <c r="J86" s="289"/>
      <c r="K86" s="44"/>
      <c r="L86" s="257"/>
      <c r="M86" s="27"/>
    </row>
    <row r="87" spans="1:13" ht="15.75" x14ac:dyDescent="0.2">
      <c r="A87" s="13" t="s">
        <v>444</v>
      </c>
      <c r="B87" s="354"/>
      <c r="C87" s="354"/>
      <c r="D87" s="171"/>
      <c r="E87" s="11"/>
      <c r="F87" s="353"/>
      <c r="G87" s="353"/>
      <c r="H87" s="171"/>
      <c r="I87" s="11"/>
      <c r="J87" s="311"/>
      <c r="K87" s="236"/>
      <c r="L87" s="429"/>
      <c r="M87" s="11"/>
    </row>
    <row r="88" spans="1:13" x14ac:dyDescent="0.2">
      <c r="A88" s="21" t="s">
        <v>9</v>
      </c>
      <c r="B88" s="234"/>
      <c r="C88" s="145"/>
      <c r="D88" s="166"/>
      <c r="E88" s="27"/>
      <c r="F88" s="234"/>
      <c r="G88" s="145"/>
      <c r="H88" s="166"/>
      <c r="I88" s="27"/>
      <c r="J88" s="289"/>
      <c r="K88" s="44"/>
      <c r="L88" s="257"/>
      <c r="M88" s="27"/>
    </row>
    <row r="89" spans="1:13" x14ac:dyDescent="0.2">
      <c r="A89" s="21" t="s">
        <v>10</v>
      </c>
      <c r="B89" s="234"/>
      <c r="C89" s="145"/>
      <c r="D89" s="166"/>
      <c r="E89" s="27"/>
      <c r="F89" s="234"/>
      <c r="G89" s="145"/>
      <c r="H89" s="166"/>
      <c r="I89" s="27"/>
      <c r="J89" s="289"/>
      <c r="K89" s="44"/>
      <c r="L89" s="257"/>
      <c r="M89" s="27"/>
    </row>
    <row r="90" spans="1:13" ht="15.75" x14ac:dyDescent="0.2">
      <c r="A90" s="298" t="s">
        <v>459</v>
      </c>
      <c r="B90" s="283"/>
      <c r="C90" s="283"/>
      <c r="D90" s="166"/>
      <c r="E90" s="418"/>
      <c r="F90" s="283"/>
      <c r="G90" s="283"/>
      <c r="H90" s="166"/>
      <c r="I90" s="418"/>
      <c r="J90" s="292"/>
      <c r="K90" s="292"/>
      <c r="L90" s="166"/>
      <c r="M90" s="23"/>
    </row>
    <row r="91" spans="1:13" x14ac:dyDescent="0.2">
      <c r="A91" s="298" t="s">
        <v>12</v>
      </c>
      <c r="B91" s="235"/>
      <c r="C91" s="291"/>
      <c r="D91" s="166"/>
      <c r="E91" s="418"/>
      <c r="F91" s="283"/>
      <c r="G91" s="283"/>
      <c r="H91" s="166"/>
      <c r="I91" s="418"/>
      <c r="J91" s="292"/>
      <c r="K91" s="292"/>
      <c r="L91" s="166"/>
      <c r="M91" s="23"/>
    </row>
    <row r="92" spans="1:13" x14ac:dyDescent="0.2">
      <c r="A92" s="298" t="s">
        <v>13</v>
      </c>
      <c r="B92" s="235"/>
      <c r="C92" s="291"/>
      <c r="D92" s="166"/>
      <c r="E92" s="418"/>
      <c r="F92" s="283"/>
      <c r="G92" s="283"/>
      <c r="H92" s="166"/>
      <c r="I92" s="418"/>
      <c r="J92" s="292"/>
      <c r="K92" s="292"/>
      <c r="L92" s="166"/>
      <c r="M92" s="23"/>
    </row>
    <row r="93" spans="1:13" ht="15.75" x14ac:dyDescent="0.2">
      <c r="A93" s="298" t="s">
        <v>460</v>
      </c>
      <c r="B93" s="283"/>
      <c r="C93" s="283"/>
      <c r="D93" s="166"/>
      <c r="E93" s="418"/>
      <c r="F93" s="283"/>
      <c r="G93" s="283"/>
      <c r="H93" s="166"/>
      <c r="I93" s="418"/>
      <c r="J93" s="292"/>
      <c r="K93" s="292"/>
      <c r="L93" s="166"/>
      <c r="M93" s="23"/>
    </row>
    <row r="94" spans="1:13" x14ac:dyDescent="0.2">
      <c r="A94" s="298" t="s">
        <v>12</v>
      </c>
      <c r="B94" s="235"/>
      <c r="C94" s="291"/>
      <c r="D94" s="166"/>
      <c r="E94" s="418"/>
      <c r="F94" s="283"/>
      <c r="G94" s="283"/>
      <c r="H94" s="166"/>
      <c r="I94" s="418"/>
      <c r="J94" s="292"/>
      <c r="K94" s="292"/>
      <c r="L94" s="166"/>
      <c r="M94" s="23"/>
    </row>
    <row r="95" spans="1:13" x14ac:dyDescent="0.2">
      <c r="A95" s="298" t="s">
        <v>13</v>
      </c>
      <c r="B95" s="235"/>
      <c r="C95" s="291"/>
      <c r="D95" s="166"/>
      <c r="E95" s="418"/>
      <c r="F95" s="283"/>
      <c r="G95" s="283"/>
      <c r="H95" s="166"/>
      <c r="I95" s="418"/>
      <c r="J95" s="292"/>
      <c r="K95" s="292"/>
      <c r="L95" s="166"/>
      <c r="M95" s="23"/>
    </row>
    <row r="96" spans="1:13" x14ac:dyDescent="0.2">
      <c r="A96" s="21" t="s">
        <v>344</v>
      </c>
      <c r="B96" s="234"/>
      <c r="C96" s="145"/>
      <c r="D96" s="166"/>
      <c r="E96" s="27"/>
      <c r="F96" s="234"/>
      <c r="G96" s="145"/>
      <c r="H96" s="166"/>
      <c r="I96" s="27"/>
      <c r="J96" s="289"/>
      <c r="K96" s="44"/>
      <c r="L96" s="257"/>
      <c r="M96" s="27"/>
    </row>
    <row r="97" spans="1:13" x14ac:dyDescent="0.2">
      <c r="A97" s="21" t="s">
        <v>343</v>
      </c>
      <c r="B97" s="234"/>
      <c r="C97" s="145"/>
      <c r="D97" s="166"/>
      <c r="E97" s="27"/>
      <c r="F97" s="234"/>
      <c r="G97" s="145"/>
      <c r="H97" s="166"/>
      <c r="I97" s="27"/>
      <c r="J97" s="289"/>
      <c r="K97" s="44"/>
      <c r="L97" s="257"/>
      <c r="M97" s="27"/>
    </row>
    <row r="98" spans="1:13" ht="15.75" x14ac:dyDescent="0.2">
      <c r="A98" s="21" t="s">
        <v>461</v>
      </c>
      <c r="B98" s="234"/>
      <c r="C98" s="234"/>
      <c r="D98" s="166"/>
      <c r="E98" s="27"/>
      <c r="F98" s="294"/>
      <c r="G98" s="294"/>
      <c r="H98" s="166"/>
      <c r="I98" s="27"/>
      <c r="J98" s="289"/>
      <c r="K98" s="44"/>
      <c r="L98" s="257"/>
      <c r="M98" s="27"/>
    </row>
    <row r="99" spans="1:13" x14ac:dyDescent="0.2">
      <c r="A99" s="21" t="s">
        <v>9</v>
      </c>
      <c r="B99" s="294"/>
      <c r="C99" s="295"/>
      <c r="D99" s="166"/>
      <c r="E99" s="27"/>
      <c r="F99" s="234"/>
      <c r="G99" s="145"/>
      <c r="H99" s="166"/>
      <c r="I99" s="27"/>
      <c r="J99" s="289"/>
      <c r="K99" s="44"/>
      <c r="L99" s="257"/>
      <c r="M99" s="27"/>
    </row>
    <row r="100" spans="1:13" x14ac:dyDescent="0.2">
      <c r="A100" s="21" t="s">
        <v>10</v>
      </c>
      <c r="B100" s="294"/>
      <c r="C100" s="295"/>
      <c r="D100" s="166"/>
      <c r="E100" s="27"/>
      <c r="F100" s="234"/>
      <c r="G100" s="234"/>
      <c r="H100" s="166"/>
      <c r="I100" s="27"/>
      <c r="J100" s="289"/>
      <c r="K100" s="44"/>
      <c r="L100" s="257"/>
      <c r="M100" s="27"/>
    </row>
    <row r="101" spans="1:13" ht="15.75" x14ac:dyDescent="0.2">
      <c r="A101" s="298" t="s">
        <v>459</v>
      </c>
      <c r="B101" s="283"/>
      <c r="C101" s="283"/>
      <c r="D101" s="166"/>
      <c r="E101" s="418"/>
      <c r="F101" s="283"/>
      <c r="G101" s="283"/>
      <c r="H101" s="166"/>
      <c r="I101" s="418"/>
      <c r="J101" s="292"/>
      <c r="K101" s="292"/>
      <c r="L101" s="166"/>
      <c r="M101" s="23"/>
    </row>
    <row r="102" spans="1:13" x14ac:dyDescent="0.2">
      <c r="A102" s="298" t="s">
        <v>12</v>
      </c>
      <c r="B102" s="235"/>
      <c r="C102" s="291"/>
      <c r="D102" s="166"/>
      <c r="E102" s="418"/>
      <c r="F102" s="283"/>
      <c r="G102" s="283"/>
      <c r="H102" s="166"/>
      <c r="I102" s="418"/>
      <c r="J102" s="292"/>
      <c r="K102" s="292"/>
      <c r="L102" s="166"/>
      <c r="M102" s="23"/>
    </row>
    <row r="103" spans="1:13" x14ac:dyDescent="0.2">
      <c r="A103" s="298" t="s">
        <v>13</v>
      </c>
      <c r="B103" s="235"/>
      <c r="C103" s="291"/>
      <c r="D103" s="166"/>
      <c r="E103" s="418"/>
      <c r="F103" s="283"/>
      <c r="G103" s="283"/>
      <c r="H103" s="166"/>
      <c r="I103" s="418"/>
      <c r="J103" s="292"/>
      <c r="K103" s="292"/>
      <c r="L103" s="166"/>
      <c r="M103" s="23"/>
    </row>
    <row r="104" spans="1:13" ht="15.75" x14ac:dyDescent="0.2">
      <c r="A104" s="298" t="s">
        <v>460</v>
      </c>
      <c r="B104" s="283"/>
      <c r="C104" s="283"/>
      <c r="D104" s="166"/>
      <c r="E104" s="418"/>
      <c r="F104" s="283"/>
      <c r="G104" s="283"/>
      <c r="H104" s="166"/>
      <c r="I104" s="418"/>
      <c r="J104" s="292"/>
      <c r="K104" s="292"/>
      <c r="L104" s="166"/>
      <c r="M104" s="23"/>
    </row>
    <row r="105" spans="1:13" x14ac:dyDescent="0.2">
      <c r="A105" s="298" t="s">
        <v>12</v>
      </c>
      <c r="B105" s="235"/>
      <c r="C105" s="291"/>
      <c r="D105" s="166"/>
      <c r="E105" s="418"/>
      <c r="F105" s="283"/>
      <c r="G105" s="283"/>
      <c r="H105" s="166"/>
      <c r="I105" s="418"/>
      <c r="J105" s="292"/>
      <c r="K105" s="292"/>
      <c r="L105" s="166"/>
      <c r="M105" s="23"/>
    </row>
    <row r="106" spans="1:13" x14ac:dyDescent="0.2">
      <c r="A106" s="298" t="s">
        <v>13</v>
      </c>
      <c r="B106" s="235"/>
      <c r="C106" s="291"/>
      <c r="D106" s="166"/>
      <c r="E106" s="418"/>
      <c r="F106" s="283"/>
      <c r="G106" s="283"/>
      <c r="H106" s="166"/>
      <c r="I106" s="418"/>
      <c r="J106" s="292"/>
      <c r="K106" s="292"/>
      <c r="L106" s="166"/>
      <c r="M106" s="23"/>
    </row>
    <row r="107" spans="1:13" ht="15.75" x14ac:dyDescent="0.2">
      <c r="A107" s="21" t="s">
        <v>462</v>
      </c>
      <c r="B107" s="234"/>
      <c r="C107" s="145"/>
      <c r="D107" s="166"/>
      <c r="E107" s="27"/>
      <c r="F107" s="234"/>
      <c r="G107" s="145"/>
      <c r="H107" s="166"/>
      <c r="I107" s="27"/>
      <c r="J107" s="289"/>
      <c r="K107" s="44"/>
      <c r="L107" s="257"/>
      <c r="M107" s="27"/>
    </row>
    <row r="108" spans="1:13" ht="15.75" x14ac:dyDescent="0.2">
      <c r="A108" s="21" t="s">
        <v>463</v>
      </c>
      <c r="B108" s="234"/>
      <c r="C108" s="234"/>
      <c r="D108" s="166"/>
      <c r="E108" s="27"/>
      <c r="F108" s="234"/>
      <c r="G108" s="234"/>
      <c r="H108" s="166"/>
      <c r="I108" s="27"/>
      <c r="J108" s="289"/>
      <c r="K108" s="44"/>
      <c r="L108" s="257"/>
      <c r="M108" s="27"/>
    </row>
    <row r="109" spans="1:13" ht="15.75" x14ac:dyDescent="0.2">
      <c r="A109" s="21" t="s">
        <v>464</v>
      </c>
      <c r="B109" s="234"/>
      <c r="C109" s="234"/>
      <c r="D109" s="166"/>
      <c r="E109" s="27"/>
      <c r="F109" s="234"/>
      <c r="G109" s="234"/>
      <c r="H109" s="166"/>
      <c r="I109" s="27"/>
      <c r="J109" s="289"/>
      <c r="K109" s="44"/>
      <c r="L109" s="257"/>
      <c r="M109" s="27"/>
    </row>
    <row r="110" spans="1:13" ht="15.75" x14ac:dyDescent="0.2">
      <c r="A110" s="21" t="s">
        <v>465</v>
      </c>
      <c r="B110" s="234"/>
      <c r="C110" s="234"/>
      <c r="D110" s="166"/>
      <c r="E110" s="27"/>
      <c r="F110" s="234"/>
      <c r="G110" s="234"/>
      <c r="H110" s="166"/>
      <c r="I110" s="27"/>
      <c r="J110" s="289"/>
      <c r="K110" s="44"/>
      <c r="L110" s="257"/>
      <c r="M110" s="27"/>
    </row>
    <row r="111" spans="1:13" ht="15.75" x14ac:dyDescent="0.2">
      <c r="A111" s="13" t="s">
        <v>445</v>
      </c>
      <c r="B111" s="310"/>
      <c r="C111" s="159"/>
      <c r="D111" s="171"/>
      <c r="E111" s="11"/>
      <c r="F111" s="310"/>
      <c r="G111" s="159"/>
      <c r="H111" s="171"/>
      <c r="I111" s="11"/>
      <c r="J111" s="311"/>
      <c r="K111" s="236"/>
      <c r="L111" s="429"/>
      <c r="M111" s="11"/>
    </row>
    <row r="112" spans="1:13" x14ac:dyDescent="0.2">
      <c r="A112" s="21" t="s">
        <v>9</v>
      </c>
      <c r="B112" s="234"/>
      <c r="C112" s="145"/>
      <c r="D112" s="166"/>
      <c r="E112" s="27"/>
      <c r="F112" s="234"/>
      <c r="G112" s="145"/>
      <c r="H112" s="166"/>
      <c r="I112" s="27"/>
      <c r="J112" s="289"/>
      <c r="K112" s="44"/>
      <c r="L112" s="257"/>
      <c r="M112" s="27"/>
    </row>
    <row r="113" spans="1:14" x14ac:dyDescent="0.2">
      <c r="A113" s="21" t="s">
        <v>10</v>
      </c>
      <c r="B113" s="234"/>
      <c r="C113" s="145"/>
      <c r="D113" s="166"/>
      <c r="E113" s="27"/>
      <c r="F113" s="234"/>
      <c r="G113" s="145"/>
      <c r="H113" s="166"/>
      <c r="I113" s="27"/>
      <c r="J113" s="289"/>
      <c r="K113" s="44"/>
      <c r="L113" s="257"/>
      <c r="M113" s="27"/>
    </row>
    <row r="114" spans="1:14" x14ac:dyDescent="0.2">
      <c r="A114" s="21" t="s">
        <v>26</v>
      </c>
      <c r="B114" s="234"/>
      <c r="C114" s="145"/>
      <c r="D114" s="166"/>
      <c r="E114" s="27"/>
      <c r="F114" s="234"/>
      <c r="G114" s="145"/>
      <c r="H114" s="166"/>
      <c r="I114" s="27"/>
      <c r="J114" s="289"/>
      <c r="K114" s="44"/>
      <c r="L114" s="257"/>
      <c r="M114" s="27"/>
    </row>
    <row r="115" spans="1:14" x14ac:dyDescent="0.2">
      <c r="A115" s="298" t="s">
        <v>15</v>
      </c>
      <c r="B115" s="283"/>
      <c r="C115" s="283"/>
      <c r="D115" s="166"/>
      <c r="E115" s="418"/>
      <c r="F115" s="283"/>
      <c r="G115" s="283"/>
      <c r="H115" s="166"/>
      <c r="I115" s="418"/>
      <c r="J115" s="292"/>
      <c r="K115" s="292"/>
      <c r="L115" s="166"/>
      <c r="M115" s="23"/>
    </row>
    <row r="116" spans="1:14" ht="15.75" x14ac:dyDescent="0.2">
      <c r="A116" s="21" t="s">
        <v>466</v>
      </c>
      <c r="B116" s="234"/>
      <c r="C116" s="234"/>
      <c r="D116" s="166"/>
      <c r="E116" s="27"/>
      <c r="F116" s="234"/>
      <c r="G116" s="234"/>
      <c r="H116" s="166"/>
      <c r="I116" s="27"/>
      <c r="J116" s="289"/>
      <c r="K116" s="44"/>
      <c r="L116" s="257"/>
      <c r="M116" s="27"/>
    </row>
    <row r="117" spans="1:14" ht="15.75" x14ac:dyDescent="0.2">
      <c r="A117" s="21" t="s">
        <v>467</v>
      </c>
      <c r="B117" s="234"/>
      <c r="C117" s="234"/>
      <c r="D117" s="166"/>
      <c r="E117" s="27"/>
      <c r="F117" s="234"/>
      <c r="G117" s="234"/>
      <c r="H117" s="166"/>
      <c r="I117" s="27"/>
      <c r="J117" s="289"/>
      <c r="K117" s="44"/>
      <c r="L117" s="257"/>
      <c r="M117" s="27"/>
    </row>
    <row r="118" spans="1:14" ht="15.75" x14ac:dyDescent="0.2">
      <c r="A118" s="21" t="s">
        <v>465</v>
      </c>
      <c r="B118" s="234"/>
      <c r="C118" s="234"/>
      <c r="D118" s="166"/>
      <c r="E118" s="27"/>
      <c r="F118" s="234"/>
      <c r="G118" s="234"/>
      <c r="H118" s="166"/>
      <c r="I118" s="27"/>
      <c r="J118" s="289"/>
      <c r="K118" s="44"/>
      <c r="L118" s="257"/>
      <c r="M118" s="27"/>
    </row>
    <row r="119" spans="1:14" ht="15.75" x14ac:dyDescent="0.2">
      <c r="A119" s="13" t="s">
        <v>446</v>
      </c>
      <c r="B119" s="310"/>
      <c r="C119" s="159"/>
      <c r="D119" s="171"/>
      <c r="E119" s="11"/>
      <c r="F119" s="310"/>
      <c r="G119" s="159"/>
      <c r="H119" s="171"/>
      <c r="I119" s="11"/>
      <c r="J119" s="311"/>
      <c r="K119" s="236"/>
      <c r="L119" s="429"/>
      <c r="M119" s="11"/>
    </row>
    <row r="120" spans="1:14" x14ac:dyDescent="0.2">
      <c r="A120" s="21" t="s">
        <v>9</v>
      </c>
      <c r="B120" s="234"/>
      <c r="C120" s="145"/>
      <c r="D120" s="166"/>
      <c r="E120" s="27"/>
      <c r="F120" s="234"/>
      <c r="G120" s="145"/>
      <c r="H120" s="166"/>
      <c r="I120" s="27"/>
      <c r="J120" s="289"/>
      <c r="K120" s="44"/>
      <c r="L120" s="257"/>
      <c r="M120" s="27"/>
    </row>
    <row r="121" spans="1:14" x14ac:dyDescent="0.2">
      <c r="A121" s="21" t="s">
        <v>10</v>
      </c>
      <c r="B121" s="234"/>
      <c r="C121" s="145"/>
      <c r="D121" s="166"/>
      <c r="E121" s="27"/>
      <c r="F121" s="234"/>
      <c r="G121" s="145"/>
      <c r="H121" s="166"/>
      <c r="I121" s="27"/>
      <c r="J121" s="289"/>
      <c r="K121" s="44"/>
      <c r="L121" s="257"/>
      <c r="M121" s="27"/>
    </row>
    <row r="122" spans="1:14" x14ac:dyDescent="0.2">
      <c r="A122" s="21" t="s">
        <v>26</v>
      </c>
      <c r="B122" s="234"/>
      <c r="C122" s="145"/>
      <c r="D122" s="166"/>
      <c r="E122" s="27"/>
      <c r="F122" s="234"/>
      <c r="G122" s="145"/>
      <c r="H122" s="166"/>
      <c r="I122" s="27"/>
      <c r="J122" s="289"/>
      <c r="K122" s="44"/>
      <c r="L122" s="257"/>
      <c r="M122" s="27"/>
    </row>
    <row r="123" spans="1:14" x14ac:dyDescent="0.2">
      <c r="A123" s="298" t="s">
        <v>14</v>
      </c>
      <c r="B123" s="283"/>
      <c r="C123" s="283"/>
      <c r="D123" s="166"/>
      <c r="E123" s="418"/>
      <c r="F123" s="283"/>
      <c r="G123" s="283"/>
      <c r="H123" s="166"/>
      <c r="I123" s="418"/>
      <c r="J123" s="292"/>
      <c r="K123" s="292"/>
      <c r="L123" s="166"/>
      <c r="M123" s="23"/>
    </row>
    <row r="124" spans="1:14" ht="15.75" x14ac:dyDescent="0.2">
      <c r="A124" s="21" t="s">
        <v>472</v>
      </c>
      <c r="B124" s="234"/>
      <c r="C124" s="234"/>
      <c r="D124" s="166"/>
      <c r="E124" s="27"/>
      <c r="F124" s="234"/>
      <c r="G124" s="234"/>
      <c r="H124" s="166"/>
      <c r="I124" s="27"/>
      <c r="J124" s="289"/>
      <c r="K124" s="44"/>
      <c r="L124" s="257"/>
      <c r="M124" s="27"/>
    </row>
    <row r="125" spans="1:14" ht="15.75" x14ac:dyDescent="0.2">
      <c r="A125" s="21" t="s">
        <v>464</v>
      </c>
      <c r="B125" s="234"/>
      <c r="C125" s="234"/>
      <c r="D125" s="166"/>
      <c r="E125" s="27"/>
      <c r="F125" s="234"/>
      <c r="G125" s="234"/>
      <c r="H125" s="166"/>
      <c r="I125" s="27"/>
      <c r="J125" s="289"/>
      <c r="K125" s="44"/>
      <c r="L125" s="257"/>
      <c r="M125" s="27"/>
    </row>
    <row r="126" spans="1:14" ht="15.75" x14ac:dyDescent="0.2">
      <c r="A126" s="10" t="s">
        <v>465</v>
      </c>
      <c r="B126" s="45"/>
      <c r="C126" s="45"/>
      <c r="D126" s="167"/>
      <c r="E126" s="419"/>
      <c r="F126" s="45"/>
      <c r="G126" s="45"/>
      <c r="H126" s="167"/>
      <c r="I126" s="22"/>
      <c r="J126" s="290"/>
      <c r="K126" s="45"/>
      <c r="L126" s="258"/>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1022"/>
      <c r="C130" s="1022"/>
      <c r="D130" s="1022"/>
      <c r="E130" s="807"/>
      <c r="F130" s="1022"/>
      <c r="G130" s="1022"/>
      <c r="H130" s="1022"/>
      <c r="I130" s="807"/>
      <c r="J130" s="1022"/>
      <c r="K130" s="1022"/>
      <c r="L130" s="1022"/>
      <c r="M130" s="807"/>
    </row>
    <row r="131" spans="1:14" s="3" customFormat="1" x14ac:dyDescent="0.2">
      <c r="A131" s="144"/>
      <c r="B131" s="1023" t="s">
        <v>0</v>
      </c>
      <c r="C131" s="1024"/>
      <c r="D131" s="1024"/>
      <c r="E131" s="805"/>
      <c r="F131" s="1023" t="s">
        <v>1</v>
      </c>
      <c r="G131" s="1024"/>
      <c r="H131" s="1024"/>
      <c r="I131" s="806"/>
      <c r="J131" s="1023" t="s">
        <v>2</v>
      </c>
      <c r="K131" s="1024"/>
      <c r="L131" s="1024"/>
      <c r="M131" s="806"/>
      <c r="N131" s="148"/>
    </row>
    <row r="132" spans="1:14" s="3" customFormat="1" x14ac:dyDescent="0.2">
      <c r="A132" s="140"/>
      <c r="B132" s="152" t="s">
        <v>502</v>
      </c>
      <c r="C132" s="152" t="s">
        <v>503</v>
      </c>
      <c r="D132" s="245" t="s">
        <v>3</v>
      </c>
      <c r="E132" s="307" t="s">
        <v>29</v>
      </c>
      <c r="F132" s="152" t="s">
        <v>502</v>
      </c>
      <c r="G132" s="152" t="s">
        <v>503</v>
      </c>
      <c r="H132" s="206" t="s">
        <v>3</v>
      </c>
      <c r="I132" s="162" t="s">
        <v>29</v>
      </c>
      <c r="J132" s="152" t="s">
        <v>502</v>
      </c>
      <c r="K132" s="152" t="s">
        <v>503</v>
      </c>
      <c r="L132" s="246" t="s">
        <v>3</v>
      </c>
      <c r="M132" s="162" t="s">
        <v>29</v>
      </c>
      <c r="N132" s="148"/>
    </row>
    <row r="133" spans="1:14" s="3" customFormat="1" x14ac:dyDescent="0.2">
      <c r="A133" s="990"/>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468</v>
      </c>
      <c r="B134" s="236"/>
      <c r="C134" s="311"/>
      <c r="D134" s="351"/>
      <c r="E134" s="11"/>
      <c r="F134" s="318"/>
      <c r="G134" s="319"/>
      <c r="H134" s="432"/>
      <c r="I134" s="24"/>
      <c r="J134" s="320"/>
      <c r="K134" s="320"/>
      <c r="L134" s="428"/>
      <c r="M134" s="11"/>
      <c r="N134" s="148"/>
    </row>
    <row r="135" spans="1:14" s="3" customFormat="1" ht="15.75" x14ac:dyDescent="0.2">
      <c r="A135" s="13" t="s">
        <v>473</v>
      </c>
      <c r="B135" s="236"/>
      <c r="C135" s="311"/>
      <c r="D135" s="171"/>
      <c r="E135" s="11"/>
      <c r="F135" s="236"/>
      <c r="G135" s="311"/>
      <c r="H135" s="433"/>
      <c r="I135" s="24"/>
      <c r="J135" s="310"/>
      <c r="K135" s="310"/>
      <c r="L135" s="429"/>
      <c r="M135" s="11"/>
      <c r="N135" s="148"/>
    </row>
    <row r="136" spans="1:14" s="3" customFormat="1" ht="15.75" x14ac:dyDescent="0.2">
      <c r="A136" s="13" t="s">
        <v>470</v>
      </c>
      <c r="B136" s="236"/>
      <c r="C136" s="311"/>
      <c r="D136" s="171"/>
      <c r="E136" s="11"/>
      <c r="F136" s="236"/>
      <c r="G136" s="311"/>
      <c r="H136" s="433"/>
      <c r="I136" s="24"/>
      <c r="J136" s="310"/>
      <c r="K136" s="310"/>
      <c r="L136" s="429"/>
      <c r="M136" s="11"/>
      <c r="N136" s="148"/>
    </row>
    <row r="137" spans="1:14" s="3" customFormat="1" ht="15.75" x14ac:dyDescent="0.2">
      <c r="A137" s="41" t="s">
        <v>471</v>
      </c>
      <c r="B137" s="278"/>
      <c r="C137" s="317"/>
      <c r="D137" s="169"/>
      <c r="E137" s="9"/>
      <c r="F137" s="278"/>
      <c r="G137" s="317"/>
      <c r="H137" s="434"/>
      <c r="I137" s="36"/>
      <c r="J137" s="316"/>
      <c r="K137" s="316"/>
      <c r="L137" s="430"/>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50:C52">
    <cfRule type="expression" dxfId="1328" priority="82">
      <formula>kvartal &lt; 4</formula>
    </cfRule>
  </conditionalFormatting>
  <conditionalFormatting sqref="B69">
    <cfRule type="expression" dxfId="1327" priority="61">
      <formula>kvartal &lt; 4</formula>
    </cfRule>
  </conditionalFormatting>
  <conditionalFormatting sqref="C69">
    <cfRule type="expression" dxfId="1326" priority="60">
      <formula>kvartal &lt; 4</formula>
    </cfRule>
  </conditionalFormatting>
  <conditionalFormatting sqref="B72">
    <cfRule type="expression" dxfId="1325" priority="59">
      <formula>kvartal &lt; 4</formula>
    </cfRule>
  </conditionalFormatting>
  <conditionalFormatting sqref="C72">
    <cfRule type="expression" dxfId="1324" priority="58">
      <formula>kvartal &lt; 4</formula>
    </cfRule>
  </conditionalFormatting>
  <conditionalFormatting sqref="B80">
    <cfRule type="expression" dxfId="1323" priority="57">
      <formula>kvartal &lt; 4</formula>
    </cfRule>
  </conditionalFormatting>
  <conditionalFormatting sqref="C80">
    <cfRule type="expression" dxfId="1322" priority="56">
      <formula>kvartal &lt; 4</formula>
    </cfRule>
  </conditionalFormatting>
  <conditionalFormatting sqref="B83">
    <cfRule type="expression" dxfId="1321" priority="55">
      <formula>kvartal &lt; 4</formula>
    </cfRule>
  </conditionalFormatting>
  <conditionalFormatting sqref="C83">
    <cfRule type="expression" dxfId="1320" priority="54">
      <formula>kvartal &lt; 4</formula>
    </cfRule>
  </conditionalFormatting>
  <conditionalFormatting sqref="B90">
    <cfRule type="expression" dxfId="1319" priority="53">
      <formula>kvartal &lt; 4</formula>
    </cfRule>
  </conditionalFormatting>
  <conditionalFormatting sqref="C90">
    <cfRule type="expression" dxfId="1318" priority="52">
      <formula>kvartal &lt; 4</formula>
    </cfRule>
  </conditionalFormatting>
  <conditionalFormatting sqref="B93">
    <cfRule type="expression" dxfId="1317" priority="51">
      <formula>kvartal &lt; 4</formula>
    </cfRule>
  </conditionalFormatting>
  <conditionalFormatting sqref="C93">
    <cfRule type="expression" dxfId="1316" priority="50">
      <formula>kvartal &lt; 4</formula>
    </cfRule>
  </conditionalFormatting>
  <conditionalFormatting sqref="B101">
    <cfRule type="expression" dxfId="1315" priority="49">
      <formula>kvartal &lt; 4</formula>
    </cfRule>
  </conditionalFormatting>
  <conditionalFormatting sqref="C101">
    <cfRule type="expression" dxfId="1314" priority="48">
      <formula>kvartal &lt; 4</formula>
    </cfRule>
  </conditionalFormatting>
  <conditionalFormatting sqref="B104">
    <cfRule type="expression" dxfId="1313" priority="47">
      <formula>kvartal &lt; 4</formula>
    </cfRule>
  </conditionalFormatting>
  <conditionalFormatting sqref="C104">
    <cfRule type="expression" dxfId="1312" priority="46">
      <formula>kvartal &lt; 4</formula>
    </cfRule>
  </conditionalFormatting>
  <conditionalFormatting sqref="B115">
    <cfRule type="expression" dxfId="1311" priority="45">
      <formula>kvartal &lt; 4</formula>
    </cfRule>
  </conditionalFormatting>
  <conditionalFormatting sqref="C115">
    <cfRule type="expression" dxfId="1310" priority="44">
      <formula>kvartal &lt; 4</formula>
    </cfRule>
  </conditionalFormatting>
  <conditionalFormatting sqref="B123">
    <cfRule type="expression" dxfId="1309" priority="43">
      <formula>kvartal &lt; 4</formula>
    </cfRule>
  </conditionalFormatting>
  <conditionalFormatting sqref="C123">
    <cfRule type="expression" dxfId="1308" priority="42">
      <formula>kvartal &lt; 4</formula>
    </cfRule>
  </conditionalFormatting>
  <conditionalFormatting sqref="F70">
    <cfRule type="expression" dxfId="1307" priority="41">
      <formula>kvartal &lt; 4</formula>
    </cfRule>
  </conditionalFormatting>
  <conditionalFormatting sqref="G70">
    <cfRule type="expression" dxfId="1306" priority="40">
      <formula>kvartal &lt; 4</formula>
    </cfRule>
  </conditionalFormatting>
  <conditionalFormatting sqref="F71:G71">
    <cfRule type="expression" dxfId="1305" priority="39">
      <formula>kvartal &lt; 4</formula>
    </cfRule>
  </conditionalFormatting>
  <conditionalFormatting sqref="F73:G74">
    <cfRule type="expression" dxfId="1304" priority="38">
      <formula>kvartal &lt; 4</formula>
    </cfRule>
  </conditionalFormatting>
  <conditionalFormatting sqref="F81:G82">
    <cfRule type="expression" dxfId="1303" priority="37">
      <formula>kvartal &lt; 4</formula>
    </cfRule>
  </conditionalFormatting>
  <conditionalFormatting sqref="F84:G85">
    <cfRule type="expression" dxfId="1302" priority="36">
      <formula>kvartal &lt; 4</formula>
    </cfRule>
  </conditionalFormatting>
  <conditionalFormatting sqref="F91:G92">
    <cfRule type="expression" dxfId="1301" priority="35">
      <formula>kvartal &lt; 4</formula>
    </cfRule>
  </conditionalFormatting>
  <conditionalFormatting sqref="F94:G95">
    <cfRule type="expression" dxfId="1300" priority="34">
      <formula>kvartal &lt; 4</formula>
    </cfRule>
  </conditionalFormatting>
  <conditionalFormatting sqref="F102:G103">
    <cfRule type="expression" dxfId="1299" priority="33">
      <formula>kvartal &lt; 4</formula>
    </cfRule>
  </conditionalFormatting>
  <conditionalFormatting sqref="F105:G106">
    <cfRule type="expression" dxfId="1298" priority="32">
      <formula>kvartal &lt; 4</formula>
    </cfRule>
  </conditionalFormatting>
  <conditionalFormatting sqref="F115">
    <cfRule type="expression" dxfId="1297" priority="31">
      <formula>kvartal &lt; 4</formula>
    </cfRule>
  </conditionalFormatting>
  <conditionalFormatting sqref="G115">
    <cfRule type="expression" dxfId="1296" priority="30">
      <formula>kvartal &lt; 4</formula>
    </cfRule>
  </conditionalFormatting>
  <conditionalFormatting sqref="F123:G123">
    <cfRule type="expression" dxfId="1295" priority="29">
      <formula>kvartal &lt; 4</formula>
    </cfRule>
  </conditionalFormatting>
  <conditionalFormatting sqref="F69:G69">
    <cfRule type="expression" dxfId="1294" priority="28">
      <formula>kvartal &lt; 4</formula>
    </cfRule>
  </conditionalFormatting>
  <conditionalFormatting sqref="F72:G72">
    <cfRule type="expression" dxfId="1293" priority="27">
      <formula>kvartal &lt; 4</formula>
    </cfRule>
  </conditionalFormatting>
  <conditionalFormatting sqref="F80:G80">
    <cfRule type="expression" dxfId="1292" priority="26">
      <formula>kvartal &lt; 4</formula>
    </cfRule>
  </conditionalFormatting>
  <conditionalFormatting sqref="F83:G83">
    <cfRule type="expression" dxfId="1291" priority="25">
      <formula>kvartal &lt; 4</formula>
    </cfRule>
  </conditionalFormatting>
  <conditionalFormatting sqref="F90:G90">
    <cfRule type="expression" dxfId="1290" priority="24">
      <formula>kvartal &lt; 4</formula>
    </cfRule>
  </conditionalFormatting>
  <conditionalFormatting sqref="F93">
    <cfRule type="expression" dxfId="1289" priority="23">
      <formula>kvartal &lt; 4</formula>
    </cfRule>
  </conditionalFormatting>
  <conditionalFormatting sqref="G93">
    <cfRule type="expression" dxfId="1288" priority="22">
      <formula>kvartal &lt; 4</formula>
    </cfRule>
  </conditionalFormatting>
  <conditionalFormatting sqref="F101">
    <cfRule type="expression" dxfId="1287" priority="21">
      <formula>kvartal &lt; 4</formula>
    </cfRule>
  </conditionalFormatting>
  <conditionalFormatting sqref="G101">
    <cfRule type="expression" dxfId="1286" priority="20">
      <formula>kvartal &lt; 4</formula>
    </cfRule>
  </conditionalFormatting>
  <conditionalFormatting sqref="G104">
    <cfRule type="expression" dxfId="1285" priority="19">
      <formula>kvartal &lt; 4</formula>
    </cfRule>
  </conditionalFormatting>
  <conditionalFormatting sqref="F104">
    <cfRule type="expression" dxfId="1284" priority="18">
      <formula>kvartal &lt; 4</formula>
    </cfRule>
  </conditionalFormatting>
  <conditionalFormatting sqref="J69:K73">
    <cfRule type="expression" dxfId="1283" priority="17">
      <formula>kvartal &lt; 4</formula>
    </cfRule>
  </conditionalFormatting>
  <conditionalFormatting sqref="J74:K74">
    <cfRule type="expression" dxfId="1282" priority="16">
      <formula>kvartal &lt; 4</formula>
    </cfRule>
  </conditionalFormatting>
  <conditionalFormatting sqref="J80:K85">
    <cfRule type="expression" dxfId="1281" priority="15">
      <formula>kvartal &lt; 4</formula>
    </cfRule>
  </conditionalFormatting>
  <conditionalFormatting sqref="J90:K95">
    <cfRule type="expression" dxfId="1280" priority="14">
      <formula>kvartal &lt; 4</formula>
    </cfRule>
  </conditionalFormatting>
  <conditionalFormatting sqref="J101:K106">
    <cfRule type="expression" dxfId="1279" priority="13">
      <formula>kvartal &lt; 4</formula>
    </cfRule>
  </conditionalFormatting>
  <conditionalFormatting sqref="J115:K115">
    <cfRule type="expression" dxfId="1278" priority="12">
      <formula>kvartal &lt; 4</formula>
    </cfRule>
  </conditionalFormatting>
  <conditionalFormatting sqref="J123:K123">
    <cfRule type="expression" dxfId="1277" priority="11">
      <formula>kvartal &lt; 4</formula>
    </cfRule>
  </conditionalFormatting>
  <conditionalFormatting sqref="A50:A52">
    <cfRule type="expression" dxfId="1276" priority="8">
      <formula>kvartal &lt; 4</formula>
    </cfRule>
  </conditionalFormatting>
  <conditionalFormatting sqref="A69:A74">
    <cfRule type="expression" dxfId="1275" priority="7">
      <formula>kvartal &lt; 4</formula>
    </cfRule>
  </conditionalFormatting>
  <conditionalFormatting sqref="A80:A85">
    <cfRule type="expression" dxfId="1274" priority="6">
      <formula>kvartal &lt; 4</formula>
    </cfRule>
  </conditionalFormatting>
  <conditionalFormatting sqref="A90:A95">
    <cfRule type="expression" dxfId="1273" priority="5">
      <formula>kvartal &lt; 4</formula>
    </cfRule>
  </conditionalFormatting>
  <conditionalFormatting sqref="A101:A106">
    <cfRule type="expression" dxfId="1272" priority="4">
      <formula>kvartal &lt; 4</formula>
    </cfRule>
  </conditionalFormatting>
  <conditionalFormatting sqref="A115">
    <cfRule type="expression" dxfId="1271" priority="3">
      <formula>kvartal &lt; 4</formula>
    </cfRule>
  </conditionalFormatting>
  <conditionalFormatting sqref="A123">
    <cfRule type="expression" dxfId="1270" priority="2">
      <formula>kvartal &lt; 4</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7"/>
  <dimension ref="A1:N144"/>
  <sheetViews>
    <sheetView showGridLines="0" zoomScale="120" zoomScaleNormal="120" workbookViewId="0"/>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133</v>
      </c>
      <c r="B1" s="988"/>
      <c r="C1" s="248" t="s">
        <v>71</v>
      </c>
      <c r="D1" s="26"/>
      <c r="E1" s="26"/>
      <c r="F1" s="26"/>
      <c r="G1" s="26"/>
      <c r="H1" s="26"/>
      <c r="I1" s="26"/>
      <c r="J1" s="26"/>
      <c r="K1" s="26"/>
      <c r="L1" s="26"/>
      <c r="M1" s="26"/>
    </row>
    <row r="2" spans="1:14" ht="15.75" x14ac:dyDescent="0.25">
      <c r="A2" s="165" t="s">
        <v>28</v>
      </c>
      <c r="B2" s="1027"/>
      <c r="C2" s="1027"/>
      <c r="D2" s="1027"/>
      <c r="E2" s="301"/>
      <c r="F2" s="1027"/>
      <c r="G2" s="1027"/>
      <c r="H2" s="1027"/>
      <c r="I2" s="301"/>
      <c r="J2" s="1027"/>
      <c r="K2" s="1027"/>
      <c r="L2" s="1027"/>
      <c r="M2" s="301"/>
    </row>
    <row r="3" spans="1:14" ht="15.75" x14ac:dyDescent="0.25">
      <c r="A3" s="163"/>
      <c r="B3" s="301"/>
      <c r="C3" s="301"/>
      <c r="D3" s="301"/>
      <c r="E3" s="301"/>
      <c r="F3" s="301"/>
      <c r="G3" s="301"/>
      <c r="H3" s="301"/>
      <c r="I3" s="301"/>
      <c r="J3" s="301"/>
      <c r="K3" s="301"/>
      <c r="L3" s="301"/>
      <c r="M3" s="301"/>
    </row>
    <row r="4" spans="1:14" x14ac:dyDescent="0.2">
      <c r="A4" s="144"/>
      <c r="B4" s="1023" t="s">
        <v>0</v>
      </c>
      <c r="C4" s="1024"/>
      <c r="D4" s="1024"/>
      <c r="E4" s="303"/>
      <c r="F4" s="1023" t="s">
        <v>1</v>
      </c>
      <c r="G4" s="1024"/>
      <c r="H4" s="1024"/>
      <c r="I4" s="306"/>
      <c r="J4" s="1023" t="s">
        <v>2</v>
      </c>
      <c r="K4" s="1024"/>
      <c r="L4" s="1024"/>
      <c r="M4" s="306"/>
    </row>
    <row r="5" spans="1:14" x14ac:dyDescent="0.2">
      <c r="A5" s="158"/>
      <c r="B5" s="152" t="s">
        <v>502</v>
      </c>
      <c r="C5" s="152" t="s">
        <v>503</v>
      </c>
      <c r="D5" s="245" t="s">
        <v>3</v>
      </c>
      <c r="E5" s="307" t="s">
        <v>29</v>
      </c>
      <c r="F5" s="152" t="s">
        <v>502</v>
      </c>
      <c r="G5" s="152" t="s">
        <v>503</v>
      </c>
      <c r="H5" s="245" t="s">
        <v>3</v>
      </c>
      <c r="I5" s="162" t="s">
        <v>29</v>
      </c>
      <c r="J5" s="152" t="s">
        <v>502</v>
      </c>
      <c r="K5" s="152" t="s">
        <v>503</v>
      </c>
      <c r="L5" s="245" t="s">
        <v>3</v>
      </c>
      <c r="M5" s="162" t="s">
        <v>29</v>
      </c>
    </row>
    <row r="6" spans="1:14" x14ac:dyDescent="0.2">
      <c r="A6" s="989"/>
      <c r="B6" s="156"/>
      <c r="C6" s="156"/>
      <c r="D6" s="246" t="s">
        <v>4</v>
      </c>
      <c r="E6" s="156" t="s">
        <v>30</v>
      </c>
      <c r="F6" s="161"/>
      <c r="G6" s="161"/>
      <c r="H6" s="245" t="s">
        <v>4</v>
      </c>
      <c r="I6" s="156" t="s">
        <v>30</v>
      </c>
      <c r="J6" s="161"/>
      <c r="K6" s="161"/>
      <c r="L6" s="245" t="s">
        <v>4</v>
      </c>
      <c r="M6" s="156" t="s">
        <v>30</v>
      </c>
    </row>
    <row r="7" spans="1:14" ht="15.75" x14ac:dyDescent="0.2">
      <c r="A7" s="14" t="s">
        <v>23</v>
      </c>
      <c r="B7" s="308"/>
      <c r="C7" s="309"/>
      <c r="D7" s="351"/>
      <c r="E7" s="11"/>
      <c r="F7" s="308">
        <v>92433.316000000006</v>
      </c>
      <c r="G7" s="309">
        <v>89659.225330000001</v>
      </c>
      <c r="H7" s="351">
        <f>IF(F7=0, "    ---- ", IF(ABS(ROUND(100/F7*G7-100,1))&lt;999,ROUND(100/F7*G7-100,1),IF(ROUND(100/F7*G7-100,1)&gt;999,999,-999)))</f>
        <v>-3</v>
      </c>
      <c r="I7" s="160">
        <f>IFERROR(100/'Skjema total MA'!F7*G7,0)</f>
        <v>0.87042719074097885</v>
      </c>
      <c r="J7" s="310">
        <f t="shared" ref="J7:K12" si="0">SUM(B7,F7)</f>
        <v>92433.316000000006</v>
      </c>
      <c r="K7" s="311">
        <f t="shared" si="0"/>
        <v>89659.225330000001</v>
      </c>
      <c r="L7" s="428">
        <f>IF(J7=0, "    ---- ", IF(ABS(ROUND(100/J7*K7-100,1))&lt;999,ROUND(100/J7*K7-100,1),IF(ROUND(100/J7*K7-100,1)&gt;999,999,-999)))</f>
        <v>-3</v>
      </c>
      <c r="M7" s="11">
        <f>IFERROR(100/'Skjema total MA'!I7*K7,0)</f>
        <v>0.59554893144934073</v>
      </c>
    </row>
    <row r="8" spans="1:14" ht="15.75" x14ac:dyDescent="0.2">
      <c r="A8" s="21" t="s">
        <v>25</v>
      </c>
      <c r="B8" s="283"/>
      <c r="C8" s="284"/>
      <c r="D8" s="166"/>
      <c r="E8" s="27"/>
      <c r="F8" s="287"/>
      <c r="G8" s="288"/>
      <c r="H8" s="166"/>
      <c r="I8" s="175"/>
      <c r="J8" s="234"/>
      <c r="K8" s="289"/>
      <c r="L8" s="166"/>
      <c r="M8" s="27"/>
    </row>
    <row r="9" spans="1:14" ht="15.75" x14ac:dyDescent="0.2">
      <c r="A9" s="21" t="s">
        <v>24</v>
      </c>
      <c r="B9" s="283"/>
      <c r="C9" s="284"/>
      <c r="D9" s="166"/>
      <c r="E9" s="27"/>
      <c r="F9" s="287"/>
      <c r="G9" s="288"/>
      <c r="H9" s="166"/>
      <c r="I9" s="175"/>
      <c r="J9" s="234"/>
      <c r="K9" s="289"/>
      <c r="L9" s="166"/>
      <c r="M9" s="27"/>
    </row>
    <row r="10" spans="1:14" ht="15.75" x14ac:dyDescent="0.2">
      <c r="A10" s="13" t="s">
        <v>444</v>
      </c>
      <c r="B10" s="312"/>
      <c r="C10" s="313"/>
      <c r="D10" s="171"/>
      <c r="E10" s="11"/>
      <c r="F10" s="312">
        <v>948953</v>
      </c>
      <c r="G10" s="313">
        <v>1080964.3559900001</v>
      </c>
      <c r="H10" s="171">
        <f t="shared" ref="H10:H12" si="1">IF(F10=0, "    ---- ", IF(ABS(ROUND(100/F10*G10-100,1))&lt;999,ROUND(100/F10*G10-100,1),IF(ROUND(100/F10*G10-100,1)&gt;999,999,-999)))</f>
        <v>13.9</v>
      </c>
      <c r="I10" s="160">
        <f>IFERROR(100/'Skjema total MA'!F10*G10,0)</f>
        <v>1.7810836424441081</v>
      </c>
      <c r="J10" s="310">
        <f t="shared" si="0"/>
        <v>948953</v>
      </c>
      <c r="K10" s="311">
        <f t="shared" si="0"/>
        <v>1080964.3559900001</v>
      </c>
      <c r="L10" s="429">
        <f t="shared" ref="L10:L12" si="2">IF(J10=0, "    ---- ", IF(ABS(ROUND(100/J10*K10-100,1))&lt;999,ROUND(100/J10*K10-100,1),IF(ROUND(100/J10*K10-100,1)&gt;999,999,-999)))</f>
        <v>13.9</v>
      </c>
      <c r="M10" s="11">
        <f>IFERROR(100/'Skjema total MA'!I10*K10,0)</f>
        <v>1.3441512839073353</v>
      </c>
    </row>
    <row r="11" spans="1:14" s="43" customFormat="1" ht="15.75" x14ac:dyDescent="0.2">
      <c r="A11" s="13" t="s">
        <v>445</v>
      </c>
      <c r="B11" s="312"/>
      <c r="C11" s="313"/>
      <c r="D11" s="171"/>
      <c r="E11" s="11"/>
      <c r="F11" s="312">
        <v>30700.953000000001</v>
      </c>
      <c r="G11" s="313">
        <v>10290.339</v>
      </c>
      <c r="H11" s="171">
        <f t="shared" si="1"/>
        <v>-66.5</v>
      </c>
      <c r="I11" s="160">
        <f>IFERROR(100/'Skjema total MA'!F11*G11,0)</f>
        <v>3.0052467491292525</v>
      </c>
      <c r="J11" s="310">
        <f t="shared" si="0"/>
        <v>30700.953000000001</v>
      </c>
      <c r="K11" s="311">
        <f t="shared" si="0"/>
        <v>10290.339</v>
      </c>
      <c r="L11" s="429">
        <f t="shared" si="2"/>
        <v>-66.5</v>
      </c>
      <c r="M11" s="11">
        <f>IFERROR(100/'Skjema total MA'!I11*K11,0)</f>
        <v>2.6878234939466346</v>
      </c>
      <c r="N11" s="143"/>
    </row>
    <row r="12" spans="1:14" s="43" customFormat="1" ht="15.75" x14ac:dyDescent="0.2">
      <c r="A12" s="41" t="s">
        <v>446</v>
      </c>
      <c r="B12" s="314"/>
      <c r="C12" s="315"/>
      <c r="D12" s="169"/>
      <c r="E12" s="36"/>
      <c r="F12" s="314">
        <v>6265.5614500000001</v>
      </c>
      <c r="G12" s="315">
        <v>4026.3698899999999</v>
      </c>
      <c r="H12" s="169">
        <f t="shared" si="1"/>
        <v>-35.700000000000003</v>
      </c>
      <c r="I12" s="169">
        <f>IFERROR(100/'Skjema total MA'!F12*G12,0)</f>
        <v>1.6365329957974775</v>
      </c>
      <c r="J12" s="316">
        <f t="shared" si="0"/>
        <v>6265.5614500000001</v>
      </c>
      <c r="K12" s="317">
        <f t="shared" si="0"/>
        <v>4026.3698899999999</v>
      </c>
      <c r="L12" s="430">
        <f t="shared" si="2"/>
        <v>-35.700000000000003</v>
      </c>
      <c r="M12" s="36">
        <f>IFERROR(100/'Skjema total MA'!I12*K12,0)</f>
        <v>1.6179096117015137</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1022"/>
      <c r="C18" s="1022"/>
      <c r="D18" s="1022"/>
      <c r="E18" s="301"/>
      <c r="F18" s="1022"/>
      <c r="G18" s="1022"/>
      <c r="H18" s="1022"/>
      <c r="I18" s="301"/>
      <c r="J18" s="1022"/>
      <c r="K18" s="1022"/>
      <c r="L18" s="1022"/>
      <c r="M18" s="301"/>
    </row>
    <row r="19" spans="1:14" x14ac:dyDescent="0.2">
      <c r="A19" s="144"/>
      <c r="B19" s="1023" t="s">
        <v>0</v>
      </c>
      <c r="C19" s="1024"/>
      <c r="D19" s="1024"/>
      <c r="E19" s="303"/>
      <c r="F19" s="1023" t="s">
        <v>1</v>
      </c>
      <c r="G19" s="1024"/>
      <c r="H19" s="1024"/>
      <c r="I19" s="306"/>
      <c r="J19" s="1023" t="s">
        <v>2</v>
      </c>
      <c r="K19" s="1024"/>
      <c r="L19" s="1024"/>
      <c r="M19" s="306"/>
    </row>
    <row r="20" spans="1:14" x14ac:dyDescent="0.2">
      <c r="A20" s="140" t="s">
        <v>5</v>
      </c>
      <c r="B20" s="152" t="s">
        <v>502</v>
      </c>
      <c r="C20" s="152" t="s">
        <v>503</v>
      </c>
      <c r="D20" s="162" t="s">
        <v>3</v>
      </c>
      <c r="E20" s="307" t="s">
        <v>29</v>
      </c>
      <c r="F20" s="152" t="s">
        <v>502</v>
      </c>
      <c r="G20" s="152" t="s">
        <v>503</v>
      </c>
      <c r="H20" s="162" t="s">
        <v>3</v>
      </c>
      <c r="I20" s="162" t="s">
        <v>29</v>
      </c>
      <c r="J20" s="152" t="s">
        <v>502</v>
      </c>
      <c r="K20" s="152" t="s">
        <v>503</v>
      </c>
      <c r="L20" s="162" t="s">
        <v>3</v>
      </c>
      <c r="M20" s="162" t="s">
        <v>29</v>
      </c>
    </row>
    <row r="21" spans="1:14" x14ac:dyDescent="0.2">
      <c r="A21" s="990"/>
      <c r="B21" s="156"/>
      <c r="C21" s="156"/>
      <c r="D21" s="246" t="s">
        <v>4</v>
      </c>
      <c r="E21" s="156" t="s">
        <v>30</v>
      </c>
      <c r="F21" s="161"/>
      <c r="G21" s="161"/>
      <c r="H21" s="245" t="s">
        <v>4</v>
      </c>
      <c r="I21" s="156" t="s">
        <v>30</v>
      </c>
      <c r="J21" s="161"/>
      <c r="K21" s="161"/>
      <c r="L21" s="156" t="s">
        <v>4</v>
      </c>
      <c r="M21" s="156" t="s">
        <v>30</v>
      </c>
    </row>
    <row r="22" spans="1:14" ht="15.75" x14ac:dyDescent="0.2">
      <c r="A22" s="14" t="s">
        <v>23</v>
      </c>
      <c r="B22" s="312"/>
      <c r="C22" s="312"/>
      <c r="D22" s="351"/>
      <c r="E22" s="11"/>
      <c r="F22" s="320">
        <v>53401.392</v>
      </c>
      <c r="G22" s="320">
        <v>57256.076589999997</v>
      </c>
      <c r="H22" s="351">
        <f t="shared" ref="H22:H35" si="3">IF(F22=0, "    ---- ", IF(ABS(ROUND(100/F22*G22-100,1))&lt;999,ROUND(100/F22*G22-100,1),IF(ROUND(100/F22*G22-100,1)&gt;999,999,-999)))</f>
        <v>7.2</v>
      </c>
      <c r="I22" s="11">
        <f>IFERROR(100/'Skjema total MA'!F22*G22,0)</f>
        <v>3.8483551243863046</v>
      </c>
      <c r="J22" s="318">
        <f t="shared" ref="J22:K35" si="4">SUM(B22,F22)</f>
        <v>53401.392</v>
      </c>
      <c r="K22" s="318">
        <f t="shared" si="4"/>
        <v>57256.076589999997</v>
      </c>
      <c r="L22" s="428">
        <f t="shared" ref="L22:L35" si="5">IF(J22=0, "    ---- ", IF(ABS(ROUND(100/J22*K22-100,1))&lt;999,ROUND(100/J22*K22-100,1),IF(ROUND(100/J22*K22-100,1)&gt;999,999,-999)))</f>
        <v>7.2</v>
      </c>
      <c r="M22" s="24">
        <f>IFERROR(100/'Skjema total MA'!I22*K22,0)</f>
        <v>1.7552752613017963</v>
      </c>
    </row>
    <row r="23" spans="1:14" ht="15.75" x14ac:dyDescent="0.2">
      <c r="A23" s="811" t="s">
        <v>447</v>
      </c>
      <c r="B23" s="283"/>
      <c r="C23" s="283"/>
      <c r="D23" s="166"/>
      <c r="E23" s="11"/>
      <c r="F23" s="292">
        <v>311.66000000000003</v>
      </c>
      <c r="G23" s="292">
        <v>362.94459000000001</v>
      </c>
      <c r="H23" s="166">
        <f t="shared" si="3"/>
        <v>16.5</v>
      </c>
      <c r="I23" s="418">
        <f>IFERROR(100/'Skjema total MA'!F23*G23,0)</f>
        <v>0.20256758359345506</v>
      </c>
      <c r="J23" s="292">
        <f t="shared" ref="J23:J26" si="6">SUM(B23,F23)</f>
        <v>311.66000000000003</v>
      </c>
      <c r="K23" s="292">
        <f t="shared" ref="K23:K26" si="7">SUM(C23,G23)</f>
        <v>362.94459000000001</v>
      </c>
      <c r="L23" s="166">
        <f t="shared" si="5"/>
        <v>16.5</v>
      </c>
      <c r="M23" s="23">
        <f>IFERROR(100/'Skjema total MA'!I23*K23,0)</f>
        <v>2.8988043006301017E-2</v>
      </c>
    </row>
    <row r="24" spans="1:14" ht="15.75" x14ac:dyDescent="0.2">
      <c r="A24" s="811" t="s">
        <v>448</v>
      </c>
      <c r="B24" s="283"/>
      <c r="C24" s="283"/>
      <c r="D24" s="166"/>
      <c r="E24" s="11"/>
      <c r="F24" s="292"/>
      <c r="G24" s="292"/>
      <c r="H24" s="166"/>
      <c r="I24" s="418"/>
      <c r="J24" s="292"/>
      <c r="K24" s="292"/>
      <c r="L24" s="166"/>
      <c r="M24" s="23"/>
    </row>
    <row r="25" spans="1:14" ht="15.75" x14ac:dyDescent="0.2">
      <c r="A25" s="811" t="s">
        <v>449</v>
      </c>
      <c r="B25" s="283"/>
      <c r="C25" s="283"/>
      <c r="D25" s="166"/>
      <c r="E25" s="11"/>
      <c r="F25" s="292"/>
      <c r="G25" s="292"/>
      <c r="H25" s="166"/>
      <c r="I25" s="418"/>
      <c r="J25" s="292"/>
      <c r="K25" s="292"/>
      <c r="L25" s="166"/>
      <c r="M25" s="23"/>
    </row>
    <row r="26" spans="1:14" ht="15.75" x14ac:dyDescent="0.2">
      <c r="A26" s="811" t="s">
        <v>450</v>
      </c>
      <c r="B26" s="283"/>
      <c r="C26" s="283"/>
      <c r="D26" s="166"/>
      <c r="E26" s="11"/>
      <c r="F26" s="292">
        <v>53089.732000000004</v>
      </c>
      <c r="G26" s="292">
        <v>56893.131999999998</v>
      </c>
      <c r="H26" s="166">
        <f t="shared" si="3"/>
        <v>7.2</v>
      </c>
      <c r="I26" s="418">
        <f>IFERROR(100/'Skjema total MA'!F26*G26,0)</f>
        <v>4.4376783017884387</v>
      </c>
      <c r="J26" s="292">
        <f t="shared" si="6"/>
        <v>53089.732000000004</v>
      </c>
      <c r="K26" s="292">
        <f t="shared" si="7"/>
        <v>56893.131999999998</v>
      </c>
      <c r="L26" s="166">
        <f t="shared" si="5"/>
        <v>7.2</v>
      </c>
      <c r="M26" s="23">
        <f>IFERROR(100/'Skjema total MA'!I26*K26,0)</f>
        <v>4.4376783017884387</v>
      </c>
    </row>
    <row r="27" spans="1:14" x14ac:dyDescent="0.2">
      <c r="A27" s="811" t="s">
        <v>11</v>
      </c>
      <c r="B27" s="283"/>
      <c r="C27" s="283"/>
      <c r="D27" s="166"/>
      <c r="E27" s="11"/>
      <c r="F27" s="292"/>
      <c r="G27" s="292"/>
      <c r="H27" s="166"/>
      <c r="I27" s="418"/>
      <c r="J27" s="292"/>
      <c r="K27" s="292"/>
      <c r="L27" s="166"/>
      <c r="M27" s="23"/>
    </row>
    <row r="28" spans="1:14" ht="15.75" x14ac:dyDescent="0.2">
      <c r="A28" s="49" t="s">
        <v>272</v>
      </c>
      <c r="B28" s="44"/>
      <c r="C28" s="289"/>
      <c r="D28" s="166"/>
      <c r="E28" s="11"/>
      <c r="F28" s="234"/>
      <c r="G28" s="289"/>
      <c r="H28" s="166"/>
      <c r="I28" s="27"/>
      <c r="J28" s="44"/>
      <c r="K28" s="44"/>
      <c r="L28" s="257"/>
      <c r="M28" s="23"/>
    </row>
    <row r="29" spans="1:14" s="3" customFormat="1" ht="15.75" x14ac:dyDescent="0.2">
      <c r="A29" s="13" t="s">
        <v>444</v>
      </c>
      <c r="B29" s="236"/>
      <c r="C29" s="236"/>
      <c r="D29" s="171"/>
      <c r="E29" s="11"/>
      <c r="F29" s="310">
        <v>932353</v>
      </c>
      <c r="G29" s="310">
        <v>1019972.62493</v>
      </c>
      <c r="H29" s="171">
        <f t="shared" si="3"/>
        <v>9.4</v>
      </c>
      <c r="I29" s="11">
        <f>IFERROR(100/'Skjema total MA'!F29*G29,0)</f>
        <v>4.1566401027429265</v>
      </c>
      <c r="J29" s="236">
        <f t="shared" si="4"/>
        <v>932353</v>
      </c>
      <c r="K29" s="236">
        <f t="shared" si="4"/>
        <v>1019972.62493</v>
      </c>
      <c r="L29" s="429">
        <f t="shared" si="5"/>
        <v>9.4</v>
      </c>
      <c r="M29" s="24">
        <f>IFERROR(100/'Skjema total MA'!I29*K29,0)</f>
        <v>1.4511304589725873</v>
      </c>
      <c r="N29" s="148"/>
    </row>
    <row r="30" spans="1:14" s="3" customFormat="1" ht="15.75" x14ac:dyDescent="0.2">
      <c r="A30" s="811" t="s">
        <v>447</v>
      </c>
      <c r="B30" s="283"/>
      <c r="C30" s="283"/>
      <c r="D30" s="166"/>
      <c r="E30" s="11"/>
      <c r="F30" s="292">
        <v>122294</v>
      </c>
      <c r="G30" s="292">
        <v>121001.22156000001</v>
      </c>
      <c r="H30" s="166">
        <f t="shared" si="3"/>
        <v>-1.1000000000000001</v>
      </c>
      <c r="I30" s="418">
        <f>IFERROR(100/'Skjema total MA'!F30*G30,0)</f>
        <v>2.5845711490961421</v>
      </c>
      <c r="J30" s="292">
        <f t="shared" ref="J30:J33" si="8">SUM(B30,F30)</f>
        <v>122294</v>
      </c>
      <c r="K30" s="292">
        <f t="shared" ref="K30:K33" si="9">SUM(C30,G30)</f>
        <v>121001.22156000001</v>
      </c>
      <c r="L30" s="166">
        <f t="shared" si="5"/>
        <v>-1.1000000000000001</v>
      </c>
      <c r="M30" s="23">
        <f>IFERROR(100/'Skjema total MA'!I30*K30,0)</f>
        <v>0.59037385502535411</v>
      </c>
      <c r="N30" s="148"/>
    </row>
    <row r="31" spans="1:14" s="3" customFormat="1" ht="15.75" x14ac:dyDescent="0.2">
      <c r="A31" s="811" t="s">
        <v>448</v>
      </c>
      <c r="B31" s="283"/>
      <c r="C31" s="283"/>
      <c r="D31" s="166"/>
      <c r="E31" s="11"/>
      <c r="F31" s="292">
        <v>655364</v>
      </c>
      <c r="G31" s="292">
        <v>656533.45534999995</v>
      </c>
      <c r="H31" s="166">
        <f t="shared" si="3"/>
        <v>0.2</v>
      </c>
      <c r="I31" s="418">
        <f>IFERROR(100/'Skjema total MA'!F31*G31,0)</f>
        <v>6.8746566540082084</v>
      </c>
      <c r="J31" s="292">
        <f t="shared" si="8"/>
        <v>655364</v>
      </c>
      <c r="K31" s="292">
        <f t="shared" si="9"/>
        <v>656533.45534999995</v>
      </c>
      <c r="L31" s="166">
        <f t="shared" si="5"/>
        <v>0.2</v>
      </c>
      <c r="M31" s="23">
        <f>IFERROR(100/'Skjema total MA'!I31*K31,0)</f>
        <v>1.9843090932913676</v>
      </c>
      <c r="N31" s="148"/>
    </row>
    <row r="32" spans="1:14" ht="15.75" x14ac:dyDescent="0.2">
      <c r="A32" s="811" t="s">
        <v>449</v>
      </c>
      <c r="B32" s="283"/>
      <c r="C32" s="283"/>
      <c r="D32" s="166"/>
      <c r="E32" s="11"/>
      <c r="F32" s="292"/>
      <c r="G32" s="292"/>
      <c r="H32" s="166"/>
      <c r="I32" s="418"/>
      <c r="J32" s="292"/>
      <c r="K32" s="292"/>
      <c r="L32" s="166"/>
      <c r="M32" s="23"/>
    </row>
    <row r="33" spans="1:14" ht="15.75" x14ac:dyDescent="0.2">
      <c r="A33" s="811" t="s">
        <v>450</v>
      </c>
      <c r="B33" s="283"/>
      <c r="C33" s="283"/>
      <c r="D33" s="166"/>
      <c r="E33" s="11"/>
      <c r="F33" s="292">
        <v>154695</v>
      </c>
      <c r="G33" s="292">
        <v>242437.94802000001</v>
      </c>
      <c r="H33" s="166">
        <f t="shared" si="3"/>
        <v>56.7</v>
      </c>
      <c r="I33" s="418">
        <f>IFERROR(100/'Skjema total MA'!F33*G33,0)</f>
        <v>4.7871657095649471</v>
      </c>
      <c r="J33" s="292">
        <f t="shared" si="8"/>
        <v>154695</v>
      </c>
      <c r="K33" s="292">
        <f t="shared" si="9"/>
        <v>242437.94802000001</v>
      </c>
      <c r="L33" s="166">
        <f t="shared" si="5"/>
        <v>56.7</v>
      </c>
      <c r="M33" s="23">
        <f>IFERROR(100/'Skjema total MA'!I33*K33,0)</f>
        <v>4.7871657095649471</v>
      </c>
    </row>
    <row r="34" spans="1:14" ht="15.75" x14ac:dyDescent="0.2">
      <c r="A34" s="13" t="s">
        <v>445</v>
      </c>
      <c r="B34" s="236"/>
      <c r="C34" s="311"/>
      <c r="D34" s="171"/>
      <c r="E34" s="11"/>
      <c r="F34" s="310">
        <v>7760.0680000000002</v>
      </c>
      <c r="G34" s="311">
        <v>8438.9459999999999</v>
      </c>
      <c r="H34" s="171">
        <f t="shared" si="3"/>
        <v>8.6999999999999993</v>
      </c>
      <c r="I34" s="11">
        <f>IFERROR(100/'Skjema total MA'!F34*G34,0)</f>
        <v>4.6636251091968637</v>
      </c>
      <c r="J34" s="236">
        <f t="shared" si="4"/>
        <v>7760.0680000000002</v>
      </c>
      <c r="K34" s="236">
        <f t="shared" si="4"/>
        <v>8438.9459999999999</v>
      </c>
      <c r="L34" s="429">
        <f t="shared" si="5"/>
        <v>8.6999999999999993</v>
      </c>
      <c r="M34" s="24">
        <f>IFERROR(100/'Skjema total MA'!I34*K34,0)</f>
        <v>4.0418407253060256</v>
      </c>
    </row>
    <row r="35" spans="1:14" ht="15.75" x14ac:dyDescent="0.2">
      <c r="A35" s="13" t="s">
        <v>446</v>
      </c>
      <c r="B35" s="236"/>
      <c r="C35" s="311"/>
      <c r="D35" s="171"/>
      <c r="E35" s="11"/>
      <c r="F35" s="310">
        <v>7760.67094</v>
      </c>
      <c r="G35" s="311">
        <v>9060.2130699999998</v>
      </c>
      <c r="H35" s="171">
        <f t="shared" si="3"/>
        <v>16.7</v>
      </c>
      <c r="I35" s="11">
        <f>IFERROR(100/'Skjema total MA'!F35*G35,0)</f>
        <v>5.4506929774110011</v>
      </c>
      <c r="J35" s="236">
        <f t="shared" si="4"/>
        <v>7760.67094</v>
      </c>
      <c r="K35" s="236">
        <f t="shared" si="4"/>
        <v>9060.2130699999998</v>
      </c>
      <c r="L35" s="429">
        <f t="shared" si="5"/>
        <v>16.7</v>
      </c>
      <c r="M35" s="24">
        <f>IFERROR(100/'Skjema total MA'!I35*K35,0)</f>
        <v>21.405137392595137</v>
      </c>
    </row>
    <row r="36" spans="1:14" ht="15.75" x14ac:dyDescent="0.2">
      <c r="A36" s="12" t="s">
        <v>280</v>
      </c>
      <c r="B36" s="236"/>
      <c r="C36" s="311"/>
      <c r="D36" s="171"/>
      <c r="E36" s="11"/>
      <c r="F36" s="321"/>
      <c r="G36" s="322"/>
      <c r="H36" s="171"/>
      <c r="I36" s="435"/>
      <c r="J36" s="236"/>
      <c r="K36" s="236"/>
      <c r="L36" s="429"/>
      <c r="M36" s="24"/>
    </row>
    <row r="37" spans="1:14" ht="15.75" x14ac:dyDescent="0.2">
      <c r="A37" s="12" t="s">
        <v>452</v>
      </c>
      <c r="B37" s="236"/>
      <c r="C37" s="311"/>
      <c r="D37" s="171"/>
      <c r="E37" s="11"/>
      <c r="F37" s="321"/>
      <c r="G37" s="323"/>
      <c r="H37" s="171"/>
      <c r="I37" s="435"/>
      <c r="J37" s="236"/>
      <c r="K37" s="236"/>
      <c r="L37" s="429"/>
      <c r="M37" s="24"/>
    </row>
    <row r="38" spans="1:14" ht="15.75" x14ac:dyDescent="0.2">
      <c r="A38" s="12" t="s">
        <v>453</v>
      </c>
      <c r="B38" s="236"/>
      <c r="C38" s="311"/>
      <c r="D38" s="171"/>
      <c r="E38" s="24"/>
      <c r="F38" s="321"/>
      <c r="G38" s="322"/>
      <c r="H38" s="171"/>
      <c r="I38" s="435"/>
      <c r="J38" s="236"/>
      <c r="K38" s="236"/>
      <c r="L38" s="429"/>
      <c r="M38" s="24"/>
    </row>
    <row r="39" spans="1:14" ht="15.75" x14ac:dyDescent="0.2">
      <c r="A39" s="18" t="s">
        <v>454</v>
      </c>
      <c r="B39" s="278"/>
      <c r="C39" s="317"/>
      <c r="D39" s="169"/>
      <c r="E39" s="36"/>
      <c r="F39" s="324"/>
      <c r="G39" s="325"/>
      <c r="H39" s="169"/>
      <c r="I39" s="36"/>
      <c r="J39" s="236"/>
      <c r="K39" s="236"/>
      <c r="L39" s="430"/>
      <c r="M39" s="36"/>
    </row>
    <row r="40" spans="1:14" ht="15.75" x14ac:dyDescent="0.25">
      <c r="A40" s="47"/>
      <c r="B40" s="256"/>
      <c r="C40" s="256"/>
      <c r="D40" s="1026"/>
      <c r="E40" s="1026"/>
      <c r="F40" s="1026"/>
      <c r="G40" s="1026"/>
      <c r="H40" s="1026"/>
      <c r="I40" s="1026"/>
      <c r="J40" s="1026"/>
      <c r="K40" s="1026"/>
      <c r="L40" s="1026"/>
      <c r="M40" s="304"/>
    </row>
    <row r="41" spans="1:14" x14ac:dyDescent="0.2">
      <c r="A41" s="155"/>
    </row>
    <row r="42" spans="1:14" ht="15.75" x14ac:dyDescent="0.25">
      <c r="A42" s="147" t="s">
        <v>269</v>
      </c>
      <c r="B42" s="1027"/>
      <c r="C42" s="1027"/>
      <c r="D42" s="1027"/>
      <c r="E42" s="301"/>
      <c r="F42" s="1028"/>
      <c r="G42" s="1028"/>
      <c r="H42" s="1028"/>
      <c r="I42" s="304"/>
      <c r="J42" s="1028"/>
      <c r="K42" s="1028"/>
      <c r="L42" s="1028"/>
      <c r="M42" s="304"/>
    </row>
    <row r="43" spans="1:14" ht="15.75" x14ac:dyDescent="0.25">
      <c r="A43" s="163"/>
      <c r="B43" s="305"/>
      <c r="C43" s="305"/>
      <c r="D43" s="305"/>
      <c r="E43" s="305"/>
      <c r="F43" s="304"/>
      <c r="G43" s="304"/>
      <c r="H43" s="304"/>
      <c r="I43" s="304"/>
      <c r="J43" s="304"/>
      <c r="K43" s="304"/>
      <c r="L43" s="304"/>
      <c r="M43" s="304"/>
    </row>
    <row r="44" spans="1:14" ht="15.75" x14ac:dyDescent="0.25">
      <c r="A44" s="247"/>
      <c r="B44" s="1023" t="s">
        <v>0</v>
      </c>
      <c r="C44" s="1024"/>
      <c r="D44" s="1024"/>
      <c r="E44" s="243"/>
      <c r="F44" s="304"/>
      <c r="G44" s="304"/>
      <c r="H44" s="304"/>
      <c r="I44" s="304"/>
      <c r="J44" s="304"/>
      <c r="K44" s="304"/>
      <c r="L44" s="304"/>
      <c r="M44" s="304"/>
    </row>
    <row r="45" spans="1:14" s="3" customFormat="1" x14ac:dyDescent="0.2">
      <c r="A45" s="140"/>
      <c r="B45" s="152" t="s">
        <v>502</v>
      </c>
      <c r="C45" s="152" t="s">
        <v>503</v>
      </c>
      <c r="D45" s="162" t="s">
        <v>3</v>
      </c>
      <c r="E45" s="162" t="s">
        <v>29</v>
      </c>
      <c r="F45" s="174"/>
      <c r="G45" s="174"/>
      <c r="H45" s="173"/>
      <c r="I45" s="173"/>
      <c r="J45" s="174"/>
      <c r="K45" s="174"/>
      <c r="L45" s="173"/>
      <c r="M45" s="173"/>
      <c r="N45" s="148"/>
    </row>
    <row r="46" spans="1:14" s="3" customFormat="1" x14ac:dyDescent="0.2">
      <c r="A46" s="990"/>
      <c r="B46" s="244"/>
      <c r="C46" s="244"/>
      <c r="D46" s="245" t="s">
        <v>4</v>
      </c>
      <c r="E46" s="156" t="s">
        <v>30</v>
      </c>
      <c r="F46" s="173"/>
      <c r="G46" s="173"/>
      <c r="H46" s="173"/>
      <c r="I46" s="173"/>
      <c r="J46" s="173"/>
      <c r="K46" s="173"/>
      <c r="L46" s="173"/>
      <c r="M46" s="173"/>
      <c r="N46" s="148"/>
    </row>
    <row r="47" spans="1:14" s="3" customFormat="1" ht="15.75" x14ac:dyDescent="0.2">
      <c r="A47" s="14" t="s">
        <v>23</v>
      </c>
      <c r="B47" s="312"/>
      <c r="C47" s="313"/>
      <c r="D47" s="428"/>
      <c r="E47" s="11"/>
      <c r="F47" s="145"/>
      <c r="G47" s="33"/>
      <c r="H47" s="159"/>
      <c r="I47" s="159"/>
      <c r="J47" s="37"/>
      <c r="K47" s="37"/>
      <c r="L47" s="159"/>
      <c r="M47" s="159"/>
      <c r="N47" s="148"/>
    </row>
    <row r="48" spans="1:14" s="3" customFormat="1" ht="15.75" x14ac:dyDescent="0.2">
      <c r="A48" s="38" t="s">
        <v>455</v>
      </c>
      <c r="B48" s="283"/>
      <c r="C48" s="284"/>
      <c r="D48" s="257"/>
      <c r="E48" s="27"/>
      <c r="F48" s="145"/>
      <c r="G48" s="33"/>
      <c r="H48" s="145"/>
      <c r="I48" s="145"/>
      <c r="J48" s="33"/>
      <c r="K48" s="33"/>
      <c r="L48" s="159"/>
      <c r="M48" s="159"/>
      <c r="N48" s="148"/>
    </row>
    <row r="49" spans="1:14" s="3" customFormat="1" ht="15.75" x14ac:dyDescent="0.2">
      <c r="A49" s="38" t="s">
        <v>456</v>
      </c>
      <c r="B49" s="44"/>
      <c r="C49" s="289"/>
      <c r="D49" s="257"/>
      <c r="E49" s="27"/>
      <c r="F49" s="145"/>
      <c r="G49" s="33"/>
      <c r="H49" s="145"/>
      <c r="I49" s="145"/>
      <c r="J49" s="37"/>
      <c r="K49" s="37"/>
      <c r="L49" s="159"/>
      <c r="M49" s="159"/>
      <c r="N49" s="148"/>
    </row>
    <row r="50" spans="1:14" s="3" customFormat="1" x14ac:dyDescent="0.2">
      <c r="A50" s="298" t="s">
        <v>6</v>
      </c>
      <c r="B50" s="292"/>
      <c r="C50" s="293"/>
      <c r="D50" s="257"/>
      <c r="E50" s="23"/>
      <c r="F50" s="145"/>
      <c r="G50" s="33"/>
      <c r="H50" s="145"/>
      <c r="I50" s="145"/>
      <c r="J50" s="33"/>
      <c r="K50" s="33"/>
      <c r="L50" s="159"/>
      <c r="M50" s="159"/>
      <c r="N50" s="148"/>
    </row>
    <row r="51" spans="1:14" s="3" customFormat="1" x14ac:dyDescent="0.2">
      <c r="A51" s="298" t="s">
        <v>7</v>
      </c>
      <c r="B51" s="292"/>
      <c r="C51" s="293"/>
      <c r="D51" s="257"/>
      <c r="E51" s="23"/>
      <c r="F51" s="145"/>
      <c r="G51" s="33"/>
      <c r="H51" s="145"/>
      <c r="I51" s="145"/>
      <c r="J51" s="33"/>
      <c r="K51" s="33"/>
      <c r="L51" s="159"/>
      <c r="M51" s="159"/>
      <c r="N51" s="148"/>
    </row>
    <row r="52" spans="1:14" s="3" customFormat="1" x14ac:dyDescent="0.2">
      <c r="A52" s="298" t="s">
        <v>8</v>
      </c>
      <c r="B52" s="292"/>
      <c r="C52" s="293"/>
      <c r="D52" s="257"/>
      <c r="E52" s="23"/>
      <c r="F52" s="145"/>
      <c r="G52" s="33"/>
      <c r="H52" s="145"/>
      <c r="I52" s="145"/>
      <c r="J52" s="33"/>
      <c r="K52" s="33"/>
      <c r="L52" s="159"/>
      <c r="M52" s="159"/>
      <c r="N52" s="148"/>
    </row>
    <row r="53" spans="1:14" s="3" customFormat="1" ht="15.75" x14ac:dyDescent="0.2">
      <c r="A53" s="39" t="s">
        <v>457</v>
      </c>
      <c r="B53" s="312"/>
      <c r="C53" s="313"/>
      <c r="D53" s="429"/>
      <c r="E53" s="11"/>
      <c r="F53" s="145"/>
      <c r="G53" s="33"/>
      <c r="H53" s="145"/>
      <c r="I53" s="145"/>
      <c r="J53" s="33"/>
      <c r="K53" s="33"/>
      <c r="L53" s="159"/>
      <c r="M53" s="159"/>
      <c r="N53" s="148"/>
    </row>
    <row r="54" spans="1:14" s="3" customFormat="1" ht="15.75" x14ac:dyDescent="0.2">
      <c r="A54" s="38" t="s">
        <v>455</v>
      </c>
      <c r="B54" s="283"/>
      <c r="C54" s="284"/>
      <c r="D54" s="257"/>
      <c r="E54" s="27"/>
      <c r="F54" s="145"/>
      <c r="G54" s="33"/>
      <c r="H54" s="145"/>
      <c r="I54" s="145"/>
      <c r="J54" s="33"/>
      <c r="K54" s="33"/>
      <c r="L54" s="159"/>
      <c r="M54" s="159"/>
      <c r="N54" s="148"/>
    </row>
    <row r="55" spans="1:14" s="3" customFormat="1" ht="15.75" x14ac:dyDescent="0.2">
      <c r="A55" s="38" t="s">
        <v>456</v>
      </c>
      <c r="B55" s="283"/>
      <c r="C55" s="284"/>
      <c r="D55" s="257"/>
      <c r="E55" s="27"/>
      <c r="F55" s="145"/>
      <c r="G55" s="33"/>
      <c r="H55" s="145"/>
      <c r="I55" s="145"/>
      <c r="J55" s="33"/>
      <c r="K55" s="33"/>
      <c r="L55" s="159"/>
      <c r="M55" s="159"/>
      <c r="N55" s="148"/>
    </row>
    <row r="56" spans="1:14" s="3" customFormat="1" ht="15.75" x14ac:dyDescent="0.2">
      <c r="A56" s="39" t="s">
        <v>458</v>
      </c>
      <c r="B56" s="312"/>
      <c r="C56" s="313"/>
      <c r="D56" s="429"/>
      <c r="E56" s="11"/>
      <c r="F56" s="145"/>
      <c r="G56" s="33"/>
      <c r="H56" s="145"/>
      <c r="I56" s="145"/>
      <c r="J56" s="33"/>
      <c r="K56" s="33"/>
      <c r="L56" s="159"/>
      <c r="M56" s="159"/>
      <c r="N56" s="148"/>
    </row>
    <row r="57" spans="1:14" s="3" customFormat="1" ht="15.75" x14ac:dyDescent="0.2">
      <c r="A57" s="38" t="s">
        <v>455</v>
      </c>
      <c r="B57" s="283"/>
      <c r="C57" s="284"/>
      <c r="D57" s="257"/>
      <c r="E57" s="27"/>
      <c r="F57" s="145"/>
      <c r="G57" s="33"/>
      <c r="H57" s="145"/>
      <c r="I57" s="145"/>
      <c r="J57" s="33"/>
      <c r="K57" s="33"/>
      <c r="L57" s="159"/>
      <c r="M57" s="159"/>
      <c r="N57" s="148"/>
    </row>
    <row r="58" spans="1:14" s="3" customFormat="1" ht="15.75" x14ac:dyDescent="0.2">
      <c r="A58" s="46" t="s">
        <v>456</v>
      </c>
      <c r="B58" s="285"/>
      <c r="C58" s="286"/>
      <c r="D58" s="258"/>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1022"/>
      <c r="C62" s="1022"/>
      <c r="D62" s="1022"/>
      <c r="E62" s="301"/>
      <c r="F62" s="1022"/>
      <c r="G62" s="1022"/>
      <c r="H62" s="1022"/>
      <c r="I62" s="301"/>
      <c r="J62" s="1022"/>
      <c r="K62" s="1022"/>
      <c r="L62" s="1022"/>
      <c r="M62" s="301"/>
    </row>
    <row r="63" spans="1:14" x14ac:dyDescent="0.2">
      <c r="A63" s="144"/>
      <c r="B63" s="1023" t="s">
        <v>0</v>
      </c>
      <c r="C63" s="1024"/>
      <c r="D63" s="1025"/>
      <c r="E63" s="302"/>
      <c r="F63" s="1024" t="s">
        <v>1</v>
      </c>
      <c r="G63" s="1024"/>
      <c r="H63" s="1024"/>
      <c r="I63" s="306"/>
      <c r="J63" s="1023" t="s">
        <v>2</v>
      </c>
      <c r="K63" s="1024"/>
      <c r="L63" s="1024"/>
      <c r="M63" s="306"/>
    </row>
    <row r="64" spans="1:14" x14ac:dyDescent="0.2">
      <c r="A64" s="140"/>
      <c r="B64" s="152" t="s">
        <v>502</v>
      </c>
      <c r="C64" s="152" t="s">
        <v>503</v>
      </c>
      <c r="D64" s="245" t="s">
        <v>3</v>
      </c>
      <c r="E64" s="307" t="s">
        <v>29</v>
      </c>
      <c r="F64" s="152" t="s">
        <v>502</v>
      </c>
      <c r="G64" s="152" t="s">
        <v>503</v>
      </c>
      <c r="H64" s="245" t="s">
        <v>3</v>
      </c>
      <c r="I64" s="307" t="s">
        <v>29</v>
      </c>
      <c r="J64" s="152" t="s">
        <v>502</v>
      </c>
      <c r="K64" s="152" t="s">
        <v>503</v>
      </c>
      <c r="L64" s="245" t="s">
        <v>3</v>
      </c>
      <c r="M64" s="162" t="s">
        <v>29</v>
      </c>
    </row>
    <row r="65" spans="1:14" x14ac:dyDescent="0.2">
      <c r="A65" s="990"/>
      <c r="B65" s="156"/>
      <c r="C65" s="156"/>
      <c r="D65" s="246" t="s">
        <v>4</v>
      </c>
      <c r="E65" s="156" t="s">
        <v>30</v>
      </c>
      <c r="F65" s="161"/>
      <c r="G65" s="161"/>
      <c r="H65" s="245"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9"/>
      <c r="M66" s="11"/>
    </row>
    <row r="67" spans="1:14" x14ac:dyDescent="0.2">
      <c r="A67" s="420" t="s">
        <v>9</v>
      </c>
      <c r="B67" s="44"/>
      <c r="C67" s="145"/>
      <c r="D67" s="166"/>
      <c r="E67" s="27"/>
      <c r="F67" s="234"/>
      <c r="G67" s="145"/>
      <c r="H67" s="166"/>
      <c r="I67" s="27"/>
      <c r="J67" s="289"/>
      <c r="K67" s="44"/>
      <c r="L67" s="257"/>
      <c r="M67" s="27"/>
    </row>
    <row r="68" spans="1:14" x14ac:dyDescent="0.2">
      <c r="A68" s="21" t="s">
        <v>10</v>
      </c>
      <c r="B68" s="294"/>
      <c r="C68" s="295"/>
      <c r="D68" s="166"/>
      <c r="E68" s="27"/>
      <c r="F68" s="294"/>
      <c r="G68" s="295"/>
      <c r="H68" s="166"/>
      <c r="I68" s="27"/>
      <c r="J68" s="289"/>
      <c r="K68" s="44"/>
      <c r="L68" s="257"/>
      <c r="M68" s="27"/>
    </row>
    <row r="69" spans="1:14" ht="15.75" x14ac:dyDescent="0.2">
      <c r="A69" s="298" t="s">
        <v>459</v>
      </c>
      <c r="B69" s="283"/>
      <c r="C69" s="283"/>
      <c r="D69" s="166"/>
      <c r="E69" s="418"/>
      <c r="F69" s="283"/>
      <c r="G69" s="283"/>
      <c r="H69" s="166"/>
      <c r="I69" s="418"/>
      <c r="J69" s="292"/>
      <c r="K69" s="292"/>
      <c r="L69" s="166"/>
      <c r="M69" s="23"/>
    </row>
    <row r="70" spans="1:14" x14ac:dyDescent="0.2">
      <c r="A70" s="298" t="s">
        <v>12</v>
      </c>
      <c r="B70" s="296"/>
      <c r="C70" s="297"/>
      <c r="D70" s="166"/>
      <c r="E70" s="418"/>
      <c r="F70" s="283"/>
      <c r="G70" s="283"/>
      <c r="H70" s="166"/>
      <c r="I70" s="418"/>
      <c r="J70" s="292"/>
      <c r="K70" s="292"/>
      <c r="L70" s="166"/>
      <c r="M70" s="23"/>
    </row>
    <row r="71" spans="1:14" x14ac:dyDescent="0.2">
      <c r="A71" s="298" t="s">
        <v>13</v>
      </c>
      <c r="B71" s="235"/>
      <c r="C71" s="291"/>
      <c r="D71" s="166"/>
      <c r="E71" s="418"/>
      <c r="F71" s="283"/>
      <c r="G71" s="283"/>
      <c r="H71" s="166"/>
      <c r="I71" s="418"/>
      <c r="J71" s="292"/>
      <c r="K71" s="292"/>
      <c r="L71" s="166"/>
      <c r="M71" s="23"/>
    </row>
    <row r="72" spans="1:14" ht="15.75" x14ac:dyDescent="0.2">
      <c r="A72" s="298" t="s">
        <v>460</v>
      </c>
      <c r="B72" s="283"/>
      <c r="C72" s="283"/>
      <c r="D72" s="166"/>
      <c r="E72" s="418"/>
      <c r="F72" s="283"/>
      <c r="G72" s="283"/>
      <c r="H72" s="166"/>
      <c r="I72" s="418"/>
      <c r="J72" s="292"/>
      <c r="K72" s="292"/>
      <c r="L72" s="166"/>
      <c r="M72" s="23"/>
    </row>
    <row r="73" spans="1:14" x14ac:dyDescent="0.2">
      <c r="A73" s="298" t="s">
        <v>12</v>
      </c>
      <c r="B73" s="235"/>
      <c r="C73" s="291"/>
      <c r="D73" s="166"/>
      <c r="E73" s="418"/>
      <c r="F73" s="283"/>
      <c r="G73" s="283"/>
      <c r="H73" s="166"/>
      <c r="I73" s="418"/>
      <c r="J73" s="292"/>
      <c r="K73" s="292"/>
      <c r="L73" s="166"/>
      <c r="M73" s="23"/>
    </row>
    <row r="74" spans="1:14" s="3" customFormat="1" x14ac:dyDescent="0.2">
      <c r="A74" s="298" t="s">
        <v>13</v>
      </c>
      <c r="B74" s="235"/>
      <c r="C74" s="291"/>
      <c r="D74" s="166"/>
      <c r="E74" s="418"/>
      <c r="F74" s="283"/>
      <c r="G74" s="283"/>
      <c r="H74" s="166"/>
      <c r="I74" s="418"/>
      <c r="J74" s="292"/>
      <c r="K74" s="292"/>
      <c r="L74" s="166"/>
      <c r="M74" s="23"/>
      <c r="N74" s="148"/>
    </row>
    <row r="75" spans="1:14" s="3" customFormat="1" x14ac:dyDescent="0.2">
      <c r="A75" s="21" t="s">
        <v>346</v>
      </c>
      <c r="B75" s="234"/>
      <c r="C75" s="145"/>
      <c r="D75" s="166"/>
      <c r="E75" s="27"/>
      <c r="F75" s="234"/>
      <c r="G75" s="145"/>
      <c r="H75" s="166"/>
      <c r="I75" s="27"/>
      <c r="J75" s="289"/>
      <c r="K75" s="44"/>
      <c r="L75" s="257"/>
      <c r="M75" s="27"/>
      <c r="N75" s="148"/>
    </row>
    <row r="76" spans="1:14" s="3" customFormat="1" x14ac:dyDescent="0.2">
      <c r="A76" s="21" t="s">
        <v>345</v>
      </c>
      <c r="B76" s="234"/>
      <c r="C76" s="145"/>
      <c r="D76" s="166"/>
      <c r="E76" s="27"/>
      <c r="F76" s="234"/>
      <c r="G76" s="145"/>
      <c r="H76" s="166"/>
      <c r="I76" s="27"/>
      <c r="J76" s="289"/>
      <c r="K76" s="44"/>
      <c r="L76" s="257"/>
      <c r="M76" s="27"/>
      <c r="N76" s="148"/>
    </row>
    <row r="77" spans="1:14" ht="15.75" x14ac:dyDescent="0.2">
      <c r="A77" s="21" t="s">
        <v>461</v>
      </c>
      <c r="B77" s="234"/>
      <c r="C77" s="234"/>
      <c r="D77" s="166"/>
      <c r="E77" s="27"/>
      <c r="F77" s="234"/>
      <c r="G77" s="145"/>
      <c r="H77" s="166"/>
      <c r="I77" s="27"/>
      <c r="J77" s="289"/>
      <c r="K77" s="44"/>
      <c r="L77" s="257"/>
      <c r="M77" s="27"/>
    </row>
    <row r="78" spans="1:14" x14ac:dyDescent="0.2">
      <c r="A78" s="21" t="s">
        <v>9</v>
      </c>
      <c r="B78" s="234"/>
      <c r="C78" s="145"/>
      <c r="D78" s="166"/>
      <c r="E78" s="27"/>
      <c r="F78" s="234"/>
      <c r="G78" s="145"/>
      <c r="H78" s="166"/>
      <c r="I78" s="27"/>
      <c r="J78" s="289"/>
      <c r="K78" s="44"/>
      <c r="L78" s="257"/>
      <c r="M78" s="27"/>
    </row>
    <row r="79" spans="1:14" x14ac:dyDescent="0.2">
      <c r="A79" s="21" t="s">
        <v>10</v>
      </c>
      <c r="B79" s="294"/>
      <c r="C79" s="295"/>
      <c r="D79" s="166"/>
      <c r="E79" s="27"/>
      <c r="F79" s="294"/>
      <c r="G79" s="295"/>
      <c r="H79" s="166"/>
      <c r="I79" s="27"/>
      <c r="J79" s="289"/>
      <c r="K79" s="44"/>
      <c r="L79" s="257"/>
      <c r="M79" s="27"/>
    </row>
    <row r="80" spans="1:14" ht="15.75" x14ac:dyDescent="0.2">
      <c r="A80" s="298" t="s">
        <v>459</v>
      </c>
      <c r="B80" s="283"/>
      <c r="C80" s="283"/>
      <c r="D80" s="166"/>
      <c r="E80" s="418"/>
      <c r="F80" s="283"/>
      <c r="G80" s="283"/>
      <c r="H80" s="166"/>
      <c r="I80" s="418"/>
      <c r="J80" s="292"/>
      <c r="K80" s="292"/>
      <c r="L80" s="166"/>
      <c r="M80" s="23"/>
    </row>
    <row r="81" spans="1:13" x14ac:dyDescent="0.2">
      <c r="A81" s="298" t="s">
        <v>12</v>
      </c>
      <c r="B81" s="235"/>
      <c r="C81" s="291"/>
      <c r="D81" s="166"/>
      <c r="E81" s="418"/>
      <c r="F81" s="283"/>
      <c r="G81" s="283"/>
      <c r="H81" s="166"/>
      <c r="I81" s="418"/>
      <c r="J81" s="292"/>
      <c r="K81" s="292"/>
      <c r="L81" s="166"/>
      <c r="M81" s="23"/>
    </row>
    <row r="82" spans="1:13" x14ac:dyDescent="0.2">
      <c r="A82" s="298" t="s">
        <v>13</v>
      </c>
      <c r="B82" s="235"/>
      <c r="C82" s="291"/>
      <c r="D82" s="166"/>
      <c r="E82" s="418"/>
      <c r="F82" s="283"/>
      <c r="G82" s="283"/>
      <c r="H82" s="166"/>
      <c r="I82" s="418"/>
      <c r="J82" s="292"/>
      <c r="K82" s="292"/>
      <c r="L82" s="166"/>
      <c r="M82" s="23"/>
    </row>
    <row r="83" spans="1:13" ht="15.75" x14ac:dyDescent="0.2">
      <c r="A83" s="298" t="s">
        <v>460</v>
      </c>
      <c r="B83" s="283"/>
      <c r="C83" s="283"/>
      <c r="D83" s="166"/>
      <c r="E83" s="418"/>
      <c r="F83" s="283"/>
      <c r="G83" s="283"/>
      <c r="H83" s="166"/>
      <c r="I83" s="418"/>
      <c r="J83" s="292"/>
      <c r="K83" s="292"/>
      <c r="L83" s="166"/>
      <c r="M83" s="23"/>
    </row>
    <row r="84" spans="1:13" x14ac:dyDescent="0.2">
      <c r="A84" s="298" t="s">
        <v>12</v>
      </c>
      <c r="B84" s="235"/>
      <c r="C84" s="291"/>
      <c r="D84" s="166"/>
      <c r="E84" s="418"/>
      <c r="F84" s="283"/>
      <c r="G84" s="283"/>
      <c r="H84" s="166"/>
      <c r="I84" s="418"/>
      <c r="J84" s="292"/>
      <c r="K84" s="292"/>
      <c r="L84" s="166"/>
      <c r="M84" s="23"/>
    </row>
    <row r="85" spans="1:13" x14ac:dyDescent="0.2">
      <c r="A85" s="298" t="s">
        <v>13</v>
      </c>
      <c r="B85" s="235"/>
      <c r="C85" s="291"/>
      <c r="D85" s="166"/>
      <c r="E85" s="418"/>
      <c r="F85" s="283"/>
      <c r="G85" s="283"/>
      <c r="H85" s="166"/>
      <c r="I85" s="418"/>
      <c r="J85" s="292"/>
      <c r="K85" s="292"/>
      <c r="L85" s="166"/>
      <c r="M85" s="23"/>
    </row>
    <row r="86" spans="1:13" ht="15.75" x14ac:dyDescent="0.2">
      <c r="A86" s="21" t="s">
        <v>462</v>
      </c>
      <c r="B86" s="234"/>
      <c r="C86" s="145"/>
      <c r="D86" s="166"/>
      <c r="E86" s="27"/>
      <c r="F86" s="234"/>
      <c r="G86" s="145"/>
      <c r="H86" s="166"/>
      <c r="I86" s="27"/>
      <c r="J86" s="289"/>
      <c r="K86" s="44"/>
      <c r="L86" s="257"/>
      <c r="M86" s="27"/>
    </row>
    <row r="87" spans="1:13" ht="15.75" x14ac:dyDescent="0.2">
      <c r="A87" s="13" t="s">
        <v>444</v>
      </c>
      <c r="B87" s="354"/>
      <c r="C87" s="354"/>
      <c r="D87" s="171"/>
      <c r="E87" s="11"/>
      <c r="F87" s="353">
        <v>659880</v>
      </c>
      <c r="G87" s="353">
        <v>830779.46030999999</v>
      </c>
      <c r="H87" s="171">
        <f t="shared" ref="H87" si="10">IF(F87=0, "    ---- ", IF(ABS(ROUND(100/F87*G87-100,1))&lt;999,ROUND(100/F87*G87-100,1),IF(ROUND(100/F87*G87-100,1)&gt;999,999,-999)))</f>
        <v>25.9</v>
      </c>
      <c r="I87" s="435">
        <f>IFERROR(100/'Skjema total MA'!F87*G87,0)</f>
        <v>0.22284644233528911</v>
      </c>
      <c r="J87" s="311">
        <f t="shared" ref="J87:K111" si="11">SUM(B87,F87)</f>
        <v>659880</v>
      </c>
      <c r="K87" s="236">
        <f t="shared" si="11"/>
        <v>830779.46030999999</v>
      </c>
      <c r="L87" s="429">
        <f t="shared" ref="L87:L111" si="12">IF(J87=0, "    ---- ", IF(ABS(ROUND(100/J87*K87-100,1))&lt;999,ROUND(100/J87*K87-100,1),IF(ROUND(100/J87*K87-100,1)&gt;999,999,-999)))</f>
        <v>25.9</v>
      </c>
      <c r="M87" s="11">
        <f>IFERROR(100/'Skjema total MA'!I87*K87,0)</f>
        <v>0.10817285586458916</v>
      </c>
    </row>
    <row r="88" spans="1:13" x14ac:dyDescent="0.2">
      <c r="A88" s="21" t="s">
        <v>9</v>
      </c>
      <c r="B88" s="234"/>
      <c r="C88" s="145"/>
      <c r="D88" s="166"/>
      <c r="E88" s="27"/>
      <c r="F88" s="234"/>
      <c r="G88" s="145"/>
      <c r="H88" s="166"/>
      <c r="I88" s="27"/>
      <c r="J88" s="289"/>
      <c r="K88" s="44"/>
      <c r="L88" s="257"/>
      <c r="M88" s="27"/>
    </row>
    <row r="89" spans="1:13" x14ac:dyDescent="0.2">
      <c r="A89" s="21" t="s">
        <v>10</v>
      </c>
      <c r="B89" s="234"/>
      <c r="C89" s="145"/>
      <c r="D89" s="166"/>
      <c r="E89" s="27"/>
      <c r="F89" s="234">
        <v>659880</v>
      </c>
      <c r="G89" s="145">
        <v>830779.46030999999</v>
      </c>
      <c r="H89" s="166">
        <f t="shared" ref="H89" si="13">IF(F89=0, "    ---- ", IF(ABS(ROUND(100/F89*G89-100,1))&lt;999,ROUND(100/F89*G89-100,1),IF(ROUND(100/F89*G89-100,1)&gt;999,999,-999)))</f>
        <v>25.9</v>
      </c>
      <c r="I89" s="418">
        <f>IFERROR(100/'Skjema total MA'!F89*G89,0)</f>
        <v>0.22473452653447235</v>
      </c>
      <c r="J89" s="289">
        <f t="shared" si="11"/>
        <v>659880</v>
      </c>
      <c r="K89" s="44">
        <f t="shared" si="11"/>
        <v>830779.46030999999</v>
      </c>
      <c r="L89" s="257">
        <f t="shared" si="12"/>
        <v>25.9</v>
      </c>
      <c r="M89" s="27">
        <f>IFERROR(100/'Skjema total MA'!I89*K89,0)</f>
        <v>0.22289420631719131</v>
      </c>
    </row>
    <row r="90" spans="1:13" ht="15.75" x14ac:dyDescent="0.2">
      <c r="A90" s="298" t="s">
        <v>459</v>
      </c>
      <c r="B90" s="283"/>
      <c r="C90" s="283"/>
      <c r="D90" s="166"/>
      <c r="E90" s="418"/>
      <c r="F90" s="283"/>
      <c r="G90" s="283"/>
      <c r="H90" s="166"/>
      <c r="I90" s="418"/>
      <c r="J90" s="292"/>
      <c r="K90" s="292"/>
      <c r="L90" s="166"/>
      <c r="M90" s="23"/>
    </row>
    <row r="91" spans="1:13" x14ac:dyDescent="0.2">
      <c r="A91" s="298" t="s">
        <v>12</v>
      </c>
      <c r="B91" s="235"/>
      <c r="C91" s="291"/>
      <c r="D91" s="166"/>
      <c r="E91" s="418"/>
      <c r="F91" s="283"/>
      <c r="G91" s="283"/>
      <c r="H91" s="166"/>
      <c r="I91" s="418"/>
      <c r="J91" s="292"/>
      <c r="K91" s="292"/>
      <c r="L91" s="166"/>
      <c r="M91" s="23"/>
    </row>
    <row r="92" spans="1:13" x14ac:dyDescent="0.2">
      <c r="A92" s="298" t="s">
        <v>13</v>
      </c>
      <c r="B92" s="235"/>
      <c r="C92" s="291"/>
      <c r="D92" s="166"/>
      <c r="E92" s="418"/>
      <c r="F92" s="283"/>
      <c r="G92" s="283"/>
      <c r="H92" s="166"/>
      <c r="I92" s="418"/>
      <c r="J92" s="292"/>
      <c r="K92" s="292"/>
      <c r="L92" s="166"/>
      <c r="M92" s="23"/>
    </row>
    <row r="93" spans="1:13" ht="15.75" x14ac:dyDescent="0.2">
      <c r="A93" s="298" t="s">
        <v>460</v>
      </c>
      <c r="B93" s="283"/>
      <c r="C93" s="283"/>
      <c r="D93" s="166"/>
      <c r="E93" s="418"/>
      <c r="F93" s="283">
        <v>659880</v>
      </c>
      <c r="G93" s="283">
        <v>830779.46030999999</v>
      </c>
      <c r="H93" s="166">
        <f t="shared" ref="H93:H94" si="14">IF(F93=0, "    ---- ", IF(ABS(ROUND(100/F93*G93-100,1))&lt;999,ROUND(100/F93*G93-100,1),IF(ROUND(100/F93*G93-100,1)&gt;999,999,-999)))</f>
        <v>25.9</v>
      </c>
      <c r="I93" s="418">
        <f>IFERROR(100/'Skjema total MA'!F93*G93,0)</f>
        <v>0.22480467438924948</v>
      </c>
      <c r="J93" s="289">
        <f t="shared" ref="J93:J94" si="15">SUM(B93,F93)</f>
        <v>659880</v>
      </c>
      <c r="K93" s="44">
        <f t="shared" ref="K93:K94" si="16">SUM(C93,G93)</f>
        <v>830779.46030999999</v>
      </c>
      <c r="L93" s="257">
        <f t="shared" ref="L93:L94" si="17">IF(J93=0, "    ---- ", IF(ABS(ROUND(100/J93*K93-100,1))&lt;999,ROUND(100/J93*K93-100,1),IF(ROUND(100/J93*K93-100,1)&gt;999,999,-999)))</f>
        <v>25.9</v>
      </c>
      <c r="M93" s="27">
        <f>IFERROR(100/'Skjema total MA'!I93*K93,0)</f>
        <v>0.22296320983720536</v>
      </c>
    </row>
    <row r="94" spans="1:13" x14ac:dyDescent="0.2">
      <c r="A94" s="298" t="s">
        <v>12</v>
      </c>
      <c r="B94" s="235"/>
      <c r="C94" s="291"/>
      <c r="D94" s="166"/>
      <c r="E94" s="418"/>
      <c r="F94" s="283">
        <v>659880</v>
      </c>
      <c r="G94" s="283">
        <v>830779.46030999999</v>
      </c>
      <c r="H94" s="166">
        <f t="shared" si="14"/>
        <v>25.9</v>
      </c>
      <c r="I94" s="418">
        <f>IFERROR(100/'Skjema total MA'!F94*G94,0)</f>
        <v>98.632666698401977</v>
      </c>
      <c r="J94" s="289">
        <f t="shared" si="15"/>
        <v>659880</v>
      </c>
      <c r="K94" s="44">
        <f t="shared" si="16"/>
        <v>830779.46030999999</v>
      </c>
      <c r="L94" s="257">
        <f t="shared" si="17"/>
        <v>25.9</v>
      </c>
      <c r="M94" s="27">
        <f>IFERROR(100/'Skjema total MA'!I94*K94,0)</f>
        <v>98.632666698401977</v>
      </c>
    </row>
    <row r="95" spans="1:13" x14ac:dyDescent="0.2">
      <c r="A95" s="298" t="s">
        <v>13</v>
      </c>
      <c r="B95" s="235"/>
      <c r="C95" s="291"/>
      <c r="D95" s="166"/>
      <c r="E95" s="418"/>
      <c r="F95" s="283"/>
      <c r="G95" s="283"/>
      <c r="H95" s="166"/>
      <c r="I95" s="418"/>
      <c r="J95" s="292"/>
      <c r="K95" s="292"/>
      <c r="L95" s="166"/>
      <c r="M95" s="23"/>
    </row>
    <row r="96" spans="1:13" x14ac:dyDescent="0.2">
      <c r="A96" s="21" t="s">
        <v>344</v>
      </c>
      <c r="B96" s="234"/>
      <c r="C96" s="145"/>
      <c r="D96" s="166"/>
      <c r="E96" s="27"/>
      <c r="F96" s="234"/>
      <c r="G96" s="145"/>
      <c r="H96" s="166"/>
      <c r="I96" s="27"/>
      <c r="J96" s="289"/>
      <c r="K96" s="44"/>
      <c r="L96" s="257"/>
      <c r="M96" s="27"/>
    </row>
    <row r="97" spans="1:13" x14ac:dyDescent="0.2">
      <c r="A97" s="21" t="s">
        <v>343</v>
      </c>
      <c r="B97" s="234"/>
      <c r="C97" s="145"/>
      <c r="D97" s="166"/>
      <c r="E97" s="27"/>
      <c r="F97" s="234"/>
      <c r="G97" s="145"/>
      <c r="H97" s="166"/>
      <c r="I97" s="27"/>
      <c r="J97" s="289"/>
      <c r="K97" s="44"/>
      <c r="L97" s="257"/>
      <c r="M97" s="27"/>
    </row>
    <row r="98" spans="1:13" ht="15.75" x14ac:dyDescent="0.2">
      <c r="A98" s="21" t="s">
        <v>461</v>
      </c>
      <c r="B98" s="234"/>
      <c r="C98" s="234"/>
      <c r="D98" s="166"/>
      <c r="E98" s="27"/>
      <c r="F98" s="294"/>
      <c r="G98" s="294"/>
      <c r="H98" s="166"/>
      <c r="I98" s="27"/>
      <c r="J98" s="289"/>
      <c r="K98" s="44"/>
      <c r="L98" s="257"/>
      <c r="M98" s="27"/>
    </row>
    <row r="99" spans="1:13" x14ac:dyDescent="0.2">
      <c r="A99" s="21" t="s">
        <v>9</v>
      </c>
      <c r="B99" s="294"/>
      <c r="C99" s="295"/>
      <c r="D99" s="166"/>
      <c r="E99" s="27"/>
      <c r="F99" s="234"/>
      <c r="G99" s="145"/>
      <c r="H99" s="166"/>
      <c r="I99" s="27"/>
      <c r="J99" s="289"/>
      <c r="K99" s="44"/>
      <c r="L99" s="257"/>
      <c r="M99" s="27"/>
    </row>
    <row r="100" spans="1:13" x14ac:dyDescent="0.2">
      <c r="A100" s="21" t="s">
        <v>10</v>
      </c>
      <c r="B100" s="294"/>
      <c r="C100" s="295"/>
      <c r="D100" s="166"/>
      <c r="E100" s="27"/>
      <c r="F100" s="234"/>
      <c r="G100" s="234"/>
      <c r="H100" s="166"/>
      <c r="I100" s="27"/>
      <c r="J100" s="289"/>
      <c r="K100" s="44"/>
      <c r="L100" s="257"/>
      <c r="M100" s="27"/>
    </row>
    <row r="101" spans="1:13" ht="15.75" x14ac:dyDescent="0.2">
      <c r="A101" s="298" t="s">
        <v>459</v>
      </c>
      <c r="B101" s="283"/>
      <c r="C101" s="283"/>
      <c r="D101" s="166"/>
      <c r="E101" s="418"/>
      <c r="F101" s="283"/>
      <c r="G101" s="283"/>
      <c r="H101" s="166"/>
      <c r="I101" s="418"/>
      <c r="J101" s="292"/>
      <c r="K101" s="292"/>
      <c r="L101" s="166"/>
      <c r="M101" s="23"/>
    </row>
    <row r="102" spans="1:13" x14ac:dyDescent="0.2">
      <c r="A102" s="298" t="s">
        <v>12</v>
      </c>
      <c r="B102" s="235"/>
      <c r="C102" s="291"/>
      <c r="D102" s="166"/>
      <c r="E102" s="418"/>
      <c r="F102" s="283"/>
      <c r="G102" s="283"/>
      <c r="H102" s="166"/>
      <c r="I102" s="418"/>
      <c r="J102" s="292"/>
      <c r="K102" s="292"/>
      <c r="L102" s="166"/>
      <c r="M102" s="23"/>
    </row>
    <row r="103" spans="1:13" x14ac:dyDescent="0.2">
      <c r="A103" s="298" t="s">
        <v>13</v>
      </c>
      <c r="B103" s="235"/>
      <c r="C103" s="291"/>
      <c r="D103" s="166"/>
      <c r="E103" s="418"/>
      <c r="F103" s="283"/>
      <c r="G103" s="283"/>
      <c r="H103" s="166"/>
      <c r="I103" s="418"/>
      <c r="J103" s="292"/>
      <c r="K103" s="292"/>
      <c r="L103" s="166"/>
      <c r="M103" s="23"/>
    </row>
    <row r="104" spans="1:13" ht="15.75" x14ac:dyDescent="0.2">
      <c r="A104" s="298" t="s">
        <v>460</v>
      </c>
      <c r="B104" s="283"/>
      <c r="C104" s="283"/>
      <c r="D104" s="166"/>
      <c r="E104" s="418"/>
      <c r="F104" s="283"/>
      <c r="G104" s="283"/>
      <c r="H104" s="166"/>
      <c r="I104" s="418"/>
      <c r="J104" s="292"/>
      <c r="K104" s="292"/>
      <c r="L104" s="166"/>
      <c r="M104" s="23"/>
    </row>
    <row r="105" spans="1:13" x14ac:dyDescent="0.2">
      <c r="A105" s="298" t="s">
        <v>12</v>
      </c>
      <c r="B105" s="235"/>
      <c r="C105" s="291"/>
      <c r="D105" s="166"/>
      <c r="E105" s="418"/>
      <c r="F105" s="283"/>
      <c r="G105" s="283"/>
      <c r="H105" s="166"/>
      <c r="I105" s="418"/>
      <c r="J105" s="292"/>
      <c r="K105" s="292"/>
      <c r="L105" s="166"/>
      <c r="M105" s="23"/>
    </row>
    <row r="106" spans="1:13" x14ac:dyDescent="0.2">
      <c r="A106" s="298" t="s">
        <v>13</v>
      </c>
      <c r="B106" s="235"/>
      <c r="C106" s="291"/>
      <c r="D106" s="166"/>
      <c r="E106" s="418"/>
      <c r="F106" s="283"/>
      <c r="G106" s="283"/>
      <c r="H106" s="166"/>
      <c r="I106" s="418"/>
      <c r="J106" s="292"/>
      <c r="K106" s="292"/>
      <c r="L106" s="166"/>
      <c r="M106" s="23"/>
    </row>
    <row r="107" spans="1:13" ht="15.75" x14ac:dyDescent="0.2">
      <c r="A107" s="21" t="s">
        <v>462</v>
      </c>
      <c r="B107" s="234"/>
      <c r="C107" s="145"/>
      <c r="D107" s="166"/>
      <c r="E107" s="27"/>
      <c r="F107" s="234">
        <v>659880</v>
      </c>
      <c r="G107" s="145">
        <v>830779.46030999999</v>
      </c>
      <c r="H107" s="166">
        <f t="shared" ref="H107" si="18">IF(F107=0, "    ---- ", IF(ABS(ROUND(100/F107*G107-100,1))&lt;999,ROUND(100/F107*G107-100,1),IF(ROUND(100/F107*G107-100,1)&gt;999,999,-999)))</f>
        <v>25.9</v>
      </c>
      <c r="I107" s="418">
        <f>IFERROR(100/'Skjema total MA'!F107*G107,0)</f>
        <v>80.701210354424887</v>
      </c>
      <c r="J107" s="289">
        <f t="shared" si="11"/>
        <v>659880</v>
      </c>
      <c r="K107" s="44">
        <f t="shared" si="11"/>
        <v>830779.46030999999</v>
      </c>
      <c r="L107" s="257">
        <f t="shared" si="12"/>
        <v>25.9</v>
      </c>
      <c r="M107" s="27">
        <f>IFERROR(100/'Skjema total MA'!I107*K107,0)</f>
        <v>15.172223768277762</v>
      </c>
    </row>
    <row r="108" spans="1:13" ht="15.75" x14ac:dyDescent="0.2">
      <c r="A108" s="21" t="s">
        <v>463</v>
      </c>
      <c r="B108" s="234"/>
      <c r="C108" s="234"/>
      <c r="D108" s="166"/>
      <c r="E108" s="27"/>
      <c r="F108" s="234"/>
      <c r="G108" s="234"/>
      <c r="H108" s="166"/>
      <c r="I108" s="27"/>
      <c r="J108" s="289"/>
      <c r="K108" s="44"/>
      <c r="L108" s="257"/>
      <c r="M108" s="27"/>
    </row>
    <row r="109" spans="1:13" ht="15.75" x14ac:dyDescent="0.2">
      <c r="A109" s="21" t="s">
        <v>464</v>
      </c>
      <c r="B109" s="234"/>
      <c r="C109" s="234"/>
      <c r="D109" s="166"/>
      <c r="E109" s="27"/>
      <c r="F109" s="234">
        <v>485317.31049</v>
      </c>
      <c r="G109" s="234">
        <v>645700.78156999999</v>
      </c>
      <c r="H109" s="166">
        <f t="shared" ref="H109" si="19">IF(F109=0, "    ---- ", IF(ABS(ROUND(100/F109*G109-100,1))&lt;999,ROUND(100/F109*G109-100,1),IF(ROUND(100/F109*G109-100,1)&gt;999,999,-999)))</f>
        <v>33</v>
      </c>
      <c r="I109" s="418">
        <f>IFERROR(100/'Skjema total MA'!F109*G109,0)</f>
        <v>0.49652757081867882</v>
      </c>
      <c r="J109" s="289">
        <f t="shared" si="11"/>
        <v>485317.31049</v>
      </c>
      <c r="K109" s="44">
        <f t="shared" si="11"/>
        <v>645700.78156999999</v>
      </c>
      <c r="L109" s="257">
        <f t="shared" si="12"/>
        <v>33</v>
      </c>
      <c r="M109" s="27">
        <f>IFERROR(100/'Skjema total MA'!I109*K109,0)</f>
        <v>0.4924273285199085</v>
      </c>
    </row>
    <row r="110" spans="1:13" ht="15.75" x14ac:dyDescent="0.2">
      <c r="A110" s="21" t="s">
        <v>465</v>
      </c>
      <c r="B110" s="234"/>
      <c r="C110" s="234"/>
      <c r="D110" s="166"/>
      <c r="E110" s="27"/>
      <c r="F110" s="234"/>
      <c r="G110" s="234"/>
      <c r="H110" s="166"/>
      <c r="I110" s="27"/>
      <c r="J110" s="289"/>
      <c r="K110" s="44"/>
      <c r="L110" s="257"/>
      <c r="M110" s="27"/>
    </row>
    <row r="111" spans="1:13" ht="15.75" x14ac:dyDescent="0.2">
      <c r="A111" s="13" t="s">
        <v>445</v>
      </c>
      <c r="B111" s="310"/>
      <c r="C111" s="159"/>
      <c r="D111" s="171"/>
      <c r="E111" s="11"/>
      <c r="F111" s="310">
        <v>93438.851999999999</v>
      </c>
      <c r="G111" s="159">
        <v>85442.59</v>
      </c>
      <c r="H111" s="171">
        <f t="shared" ref="H111" si="20">IF(F111=0, "    ---- ", IF(ABS(ROUND(100/F111*G111-100,1))&lt;999,ROUND(100/F111*G111-100,1),IF(ROUND(100/F111*G111-100,1)&gt;999,999,-999)))</f>
        <v>-8.6</v>
      </c>
      <c r="I111" s="435">
        <f>IFERROR(100/'Skjema total MA'!F111*G111,0)</f>
        <v>0.38474802468574226</v>
      </c>
      <c r="J111" s="311">
        <f t="shared" si="11"/>
        <v>93438.851999999999</v>
      </c>
      <c r="K111" s="236">
        <f t="shared" si="11"/>
        <v>85442.59</v>
      </c>
      <c r="L111" s="429">
        <f t="shared" si="12"/>
        <v>-8.6</v>
      </c>
      <c r="M111" s="11">
        <f>IFERROR(100/'Skjema total MA'!I111*K111,0)</f>
        <v>0.36941531443756565</v>
      </c>
    </row>
    <row r="112" spans="1:13" x14ac:dyDescent="0.2">
      <c r="A112" s="21" t="s">
        <v>9</v>
      </c>
      <c r="B112" s="234"/>
      <c r="C112" s="145"/>
      <c r="D112" s="166"/>
      <c r="E112" s="27"/>
      <c r="F112" s="234"/>
      <c r="G112" s="145"/>
      <c r="H112" s="166"/>
      <c r="I112" s="27"/>
      <c r="J112" s="289"/>
      <c r="K112" s="44"/>
      <c r="L112" s="257"/>
      <c r="M112" s="27"/>
    </row>
    <row r="113" spans="1:14" x14ac:dyDescent="0.2">
      <c r="A113" s="21" t="s">
        <v>10</v>
      </c>
      <c r="B113" s="234"/>
      <c r="C113" s="145"/>
      <c r="D113" s="166"/>
      <c r="E113" s="27"/>
      <c r="F113" s="234">
        <v>93438.851999999999</v>
      </c>
      <c r="G113" s="145">
        <v>85442.59</v>
      </c>
      <c r="H113" s="166">
        <f t="shared" ref="H113" si="21">IF(F113=0, "    ---- ", IF(ABS(ROUND(100/F113*G113-100,1))&lt;999,ROUND(100/F113*G113-100,1),IF(ROUND(100/F113*G113-100,1)&gt;999,999,-999)))</f>
        <v>-8.6</v>
      </c>
      <c r="I113" s="418">
        <f>IFERROR(100/'Skjema total MA'!F113*G113,0)</f>
        <v>0.38627953069824073</v>
      </c>
      <c r="J113" s="289">
        <f t="shared" ref="J113:K125" si="22">SUM(B113,F113)</f>
        <v>93438.851999999999</v>
      </c>
      <c r="K113" s="44">
        <f t="shared" si="22"/>
        <v>85442.59</v>
      </c>
      <c r="L113" s="257">
        <f t="shared" ref="L113:L125" si="23">IF(J113=0, "    ---- ", IF(ABS(ROUND(100/J113*K113-100,1))&lt;999,ROUND(100/J113*K113-100,1),IF(ROUND(100/J113*K113-100,1)&gt;999,999,-999)))</f>
        <v>-8.6</v>
      </c>
      <c r="M113" s="27">
        <f>IFERROR(100/'Skjema total MA'!I113*K113,0)</f>
        <v>0.38619056452755146</v>
      </c>
    </row>
    <row r="114" spans="1:14" x14ac:dyDescent="0.2">
      <c r="A114" s="21" t="s">
        <v>26</v>
      </c>
      <c r="B114" s="234"/>
      <c r="C114" s="145"/>
      <c r="D114" s="166"/>
      <c r="E114" s="27"/>
      <c r="F114" s="234"/>
      <c r="G114" s="145"/>
      <c r="H114" s="166"/>
      <c r="I114" s="27"/>
      <c r="J114" s="289"/>
      <c r="K114" s="44"/>
      <c r="L114" s="257"/>
      <c r="M114" s="27"/>
    </row>
    <row r="115" spans="1:14" x14ac:dyDescent="0.2">
      <c r="A115" s="298" t="s">
        <v>15</v>
      </c>
      <c r="B115" s="283"/>
      <c r="C115" s="283"/>
      <c r="D115" s="166"/>
      <c r="E115" s="418"/>
      <c r="F115" s="283"/>
      <c r="G115" s="283"/>
      <c r="H115" s="166"/>
      <c r="I115" s="418"/>
      <c r="J115" s="292"/>
      <c r="K115" s="292"/>
      <c r="L115" s="166"/>
      <c r="M115" s="23"/>
    </row>
    <row r="116" spans="1:14" ht="15.75" x14ac:dyDescent="0.2">
      <c r="A116" s="21" t="s">
        <v>466</v>
      </c>
      <c r="B116" s="234"/>
      <c r="C116" s="234"/>
      <c r="D116" s="166"/>
      <c r="E116" s="27"/>
      <c r="F116" s="234"/>
      <c r="G116" s="234"/>
      <c r="H116" s="166"/>
      <c r="I116" s="27"/>
      <c r="J116" s="289"/>
      <c r="K116" s="44"/>
      <c r="L116" s="257"/>
      <c r="M116" s="27"/>
    </row>
    <row r="117" spans="1:14" ht="15.75" x14ac:dyDescent="0.2">
      <c r="A117" s="21" t="s">
        <v>467</v>
      </c>
      <c r="B117" s="234"/>
      <c r="C117" s="234"/>
      <c r="D117" s="166"/>
      <c r="E117" s="27"/>
      <c r="F117" s="234">
        <v>93346.263999999996</v>
      </c>
      <c r="G117" s="234">
        <v>85442.59</v>
      </c>
      <c r="H117" s="166">
        <f t="shared" ref="H117" si="24">IF(F117=0, "    ---- ", IF(ABS(ROUND(100/F117*G117-100,1))&lt;999,ROUND(100/F117*G117-100,1),IF(ROUND(100/F117*G117-100,1)&gt;999,999,-999)))</f>
        <v>-8.5</v>
      </c>
      <c r="I117" s="418">
        <f>IFERROR(100/'Skjema total MA'!F117*G117,0)</f>
        <v>1.7457508277489862</v>
      </c>
      <c r="J117" s="289">
        <f t="shared" si="22"/>
        <v>93346.263999999996</v>
      </c>
      <c r="K117" s="44">
        <f t="shared" si="22"/>
        <v>85442.59</v>
      </c>
      <c r="L117" s="257">
        <f t="shared" si="23"/>
        <v>-8.5</v>
      </c>
      <c r="M117" s="27">
        <f>IFERROR(100/'Skjema total MA'!I117*K117,0)</f>
        <v>1.7457508277489862</v>
      </c>
    </row>
    <row r="118" spans="1:14" ht="15.75" x14ac:dyDescent="0.2">
      <c r="A118" s="21" t="s">
        <v>465</v>
      </c>
      <c r="B118" s="234"/>
      <c r="C118" s="234"/>
      <c r="D118" s="166"/>
      <c r="E118" s="27"/>
      <c r="F118" s="234"/>
      <c r="G118" s="234"/>
      <c r="H118" s="166"/>
      <c r="I118" s="27"/>
      <c r="J118" s="289"/>
      <c r="K118" s="44"/>
      <c r="L118" s="257"/>
      <c r="M118" s="27"/>
    </row>
    <row r="119" spans="1:14" ht="15.75" x14ac:dyDescent="0.2">
      <c r="A119" s="13" t="s">
        <v>446</v>
      </c>
      <c r="B119" s="310"/>
      <c r="C119" s="159"/>
      <c r="D119" s="171"/>
      <c r="E119" s="11"/>
      <c r="F119" s="310">
        <v>9449.0473999999995</v>
      </c>
      <c r="G119" s="159">
        <v>8634.2164400000001</v>
      </c>
      <c r="H119" s="171">
        <f t="shared" ref="H119" si="25">IF(F119=0, "    ---- ", IF(ABS(ROUND(100/F119*G119-100,1))&lt;999,ROUND(100/F119*G119-100,1),IF(ROUND(100/F119*G119-100,1)&gt;999,999,-999)))</f>
        <v>-8.6</v>
      </c>
      <c r="I119" s="435">
        <f>IFERROR(100/'Skjema total MA'!F119*G119,0)</f>
        <v>3.848114002668928E-2</v>
      </c>
      <c r="J119" s="311">
        <f t="shared" si="22"/>
        <v>9449.0473999999995</v>
      </c>
      <c r="K119" s="236">
        <f t="shared" si="22"/>
        <v>8634.2164400000001</v>
      </c>
      <c r="L119" s="429">
        <f t="shared" si="23"/>
        <v>-8.6</v>
      </c>
      <c r="M119" s="11">
        <f>IFERROR(100/'Skjema total MA'!I119*K119,0)</f>
        <v>3.7073904654803133E-2</v>
      </c>
    </row>
    <row r="120" spans="1:14" x14ac:dyDescent="0.2">
      <c r="A120" s="21" t="s">
        <v>9</v>
      </c>
      <c r="B120" s="234"/>
      <c r="C120" s="145"/>
      <c r="D120" s="166"/>
      <c r="E120" s="27"/>
      <c r="F120" s="234"/>
      <c r="G120" s="145"/>
      <c r="H120" s="166"/>
      <c r="I120" s="27"/>
      <c r="J120" s="289"/>
      <c r="K120" s="44"/>
      <c r="L120" s="257"/>
      <c r="M120" s="27"/>
    </row>
    <row r="121" spans="1:14" x14ac:dyDescent="0.2">
      <c r="A121" s="21" t="s">
        <v>10</v>
      </c>
      <c r="B121" s="234"/>
      <c r="C121" s="145"/>
      <c r="D121" s="166"/>
      <c r="E121" s="27"/>
      <c r="F121" s="234">
        <v>9449.0473999999995</v>
      </c>
      <c r="G121" s="145">
        <v>8634.2164400000001</v>
      </c>
      <c r="H121" s="166">
        <f t="shared" ref="H121" si="26">IF(F121=0, "    ---- ", IF(ABS(ROUND(100/F121*G121-100,1))&lt;999,ROUND(100/F121*G121-100,1),IF(ROUND(100/F121*G121-100,1)&gt;999,999,-999)))</f>
        <v>-8.6</v>
      </c>
      <c r="I121" s="418">
        <f>IFERROR(100/'Skjema total MA'!F121*G121,0)</f>
        <v>3.848114002668928E-2</v>
      </c>
      <c r="J121" s="289">
        <f t="shared" si="22"/>
        <v>9449.0473999999995</v>
      </c>
      <c r="K121" s="44">
        <f t="shared" si="22"/>
        <v>8634.2164400000001</v>
      </c>
      <c r="L121" s="257">
        <f t="shared" si="23"/>
        <v>-8.6</v>
      </c>
      <c r="M121" s="27">
        <f>IFERROR(100/'Skjema total MA'!I121*K121,0)</f>
        <v>3.8438653722393343E-2</v>
      </c>
    </row>
    <row r="122" spans="1:14" x14ac:dyDescent="0.2">
      <c r="A122" s="21" t="s">
        <v>26</v>
      </c>
      <c r="B122" s="234"/>
      <c r="C122" s="145"/>
      <c r="D122" s="166"/>
      <c r="E122" s="27"/>
      <c r="F122" s="234"/>
      <c r="G122" s="145"/>
      <c r="H122" s="166"/>
      <c r="I122" s="27"/>
      <c r="J122" s="289"/>
      <c r="K122" s="44"/>
      <c r="L122" s="257"/>
      <c r="M122" s="27"/>
    </row>
    <row r="123" spans="1:14" x14ac:dyDescent="0.2">
      <c r="A123" s="298" t="s">
        <v>14</v>
      </c>
      <c r="B123" s="283"/>
      <c r="C123" s="283"/>
      <c r="D123" s="166"/>
      <c r="E123" s="418"/>
      <c r="F123" s="283"/>
      <c r="G123" s="283"/>
      <c r="H123" s="166"/>
      <c r="I123" s="418"/>
      <c r="J123" s="292"/>
      <c r="K123" s="292"/>
      <c r="L123" s="166"/>
      <c r="M123" s="23"/>
    </row>
    <row r="124" spans="1:14" ht="15.75" x14ac:dyDescent="0.2">
      <c r="A124" s="21" t="s">
        <v>472</v>
      </c>
      <c r="B124" s="234"/>
      <c r="C124" s="234"/>
      <c r="D124" s="166"/>
      <c r="E124" s="27"/>
      <c r="F124" s="234"/>
      <c r="G124" s="234"/>
      <c r="H124" s="166"/>
      <c r="I124" s="27"/>
      <c r="J124" s="289"/>
      <c r="K124" s="44"/>
      <c r="L124" s="257"/>
      <c r="M124" s="27"/>
    </row>
    <row r="125" spans="1:14" ht="15.75" x14ac:dyDescent="0.2">
      <c r="A125" s="21" t="s">
        <v>464</v>
      </c>
      <c r="B125" s="234"/>
      <c r="C125" s="234"/>
      <c r="D125" s="166"/>
      <c r="E125" s="27"/>
      <c r="F125" s="234">
        <v>9449.0473999999995</v>
      </c>
      <c r="G125" s="234">
        <v>8634.2164400000001</v>
      </c>
      <c r="H125" s="166">
        <f t="shared" ref="H125" si="27">IF(F125=0, "    ---- ", IF(ABS(ROUND(100/F125*G125-100,1))&lt;999,ROUND(100/F125*G125-100,1),IF(ROUND(100/F125*G125-100,1)&gt;999,999,-999)))</f>
        <v>-8.6</v>
      </c>
      <c r="I125" s="418">
        <f>IFERROR(100/'Skjema total MA'!F125*G125,0)</f>
        <v>0.24044419083087615</v>
      </c>
      <c r="J125" s="289">
        <f t="shared" si="22"/>
        <v>9449.0473999999995</v>
      </c>
      <c r="K125" s="44">
        <f t="shared" si="22"/>
        <v>8634.2164400000001</v>
      </c>
      <c r="L125" s="257">
        <f t="shared" si="23"/>
        <v>-8.6</v>
      </c>
      <c r="M125" s="27">
        <f>IFERROR(100/'Skjema total MA'!I125*K125,0)</f>
        <v>0.24027177314219633</v>
      </c>
    </row>
    <row r="126" spans="1:14" ht="15.75" x14ac:dyDescent="0.2">
      <c r="A126" s="10" t="s">
        <v>465</v>
      </c>
      <c r="B126" s="45"/>
      <c r="C126" s="45"/>
      <c r="D126" s="167"/>
      <c r="E126" s="419"/>
      <c r="F126" s="45"/>
      <c r="G126" s="45"/>
      <c r="H126" s="167"/>
      <c r="I126" s="22"/>
      <c r="J126" s="290"/>
      <c r="K126" s="45"/>
      <c r="L126" s="258"/>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1022"/>
      <c r="C130" s="1022"/>
      <c r="D130" s="1022"/>
      <c r="E130" s="301"/>
      <c r="F130" s="1022"/>
      <c r="G130" s="1022"/>
      <c r="H130" s="1022"/>
      <c r="I130" s="301"/>
      <c r="J130" s="1022"/>
      <c r="K130" s="1022"/>
      <c r="L130" s="1022"/>
      <c r="M130" s="301"/>
    </row>
    <row r="131" spans="1:14" s="3" customFormat="1" x14ac:dyDescent="0.2">
      <c r="A131" s="144"/>
      <c r="B131" s="1023" t="s">
        <v>0</v>
      </c>
      <c r="C131" s="1024"/>
      <c r="D131" s="1024"/>
      <c r="E131" s="303"/>
      <c r="F131" s="1023" t="s">
        <v>1</v>
      </c>
      <c r="G131" s="1024"/>
      <c r="H131" s="1024"/>
      <c r="I131" s="306"/>
      <c r="J131" s="1023" t="s">
        <v>2</v>
      </c>
      <c r="K131" s="1024"/>
      <c r="L131" s="1024"/>
      <c r="M131" s="306"/>
      <c r="N131" s="148"/>
    </row>
    <row r="132" spans="1:14" s="3" customFormat="1" x14ac:dyDescent="0.2">
      <c r="A132" s="140"/>
      <c r="B132" s="152" t="s">
        <v>502</v>
      </c>
      <c r="C132" s="152" t="s">
        <v>503</v>
      </c>
      <c r="D132" s="245" t="s">
        <v>3</v>
      </c>
      <c r="E132" s="307" t="s">
        <v>29</v>
      </c>
      <c r="F132" s="152" t="s">
        <v>502</v>
      </c>
      <c r="G132" s="152" t="s">
        <v>503</v>
      </c>
      <c r="H132" s="206" t="s">
        <v>3</v>
      </c>
      <c r="I132" s="162" t="s">
        <v>29</v>
      </c>
      <c r="J132" s="152" t="s">
        <v>502</v>
      </c>
      <c r="K132" s="152" t="s">
        <v>503</v>
      </c>
      <c r="L132" s="246" t="s">
        <v>3</v>
      </c>
      <c r="M132" s="162" t="s">
        <v>29</v>
      </c>
      <c r="N132" s="148"/>
    </row>
    <row r="133" spans="1:14" s="3" customFormat="1" x14ac:dyDescent="0.2">
      <c r="A133" s="990"/>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468</v>
      </c>
      <c r="B134" s="236"/>
      <c r="C134" s="311"/>
      <c r="D134" s="351"/>
      <c r="E134" s="11"/>
      <c r="F134" s="318"/>
      <c r="G134" s="319"/>
      <c r="H134" s="432"/>
      <c r="I134" s="24"/>
      <c r="J134" s="320"/>
      <c r="K134" s="320"/>
      <c r="L134" s="428"/>
      <c r="M134" s="11"/>
      <c r="N134" s="148"/>
    </row>
    <row r="135" spans="1:14" s="3" customFormat="1" ht="15.75" x14ac:dyDescent="0.2">
      <c r="A135" s="13" t="s">
        <v>473</v>
      </c>
      <c r="B135" s="236"/>
      <c r="C135" s="311"/>
      <c r="D135" s="171"/>
      <c r="E135" s="11"/>
      <c r="F135" s="236"/>
      <c r="G135" s="311"/>
      <c r="H135" s="433"/>
      <c r="I135" s="24"/>
      <c r="J135" s="310"/>
      <c r="K135" s="310"/>
      <c r="L135" s="429"/>
      <c r="M135" s="11"/>
      <c r="N135" s="148"/>
    </row>
    <row r="136" spans="1:14" s="3" customFormat="1" ht="15.75" x14ac:dyDescent="0.2">
      <c r="A136" s="13" t="s">
        <v>470</v>
      </c>
      <c r="B136" s="236"/>
      <c r="C136" s="311"/>
      <c r="D136" s="171"/>
      <c r="E136" s="11"/>
      <c r="F136" s="236"/>
      <c r="G136" s="311"/>
      <c r="H136" s="433"/>
      <c r="I136" s="24"/>
      <c r="J136" s="310"/>
      <c r="K136" s="310"/>
      <c r="L136" s="429"/>
      <c r="M136" s="11"/>
      <c r="N136" s="148"/>
    </row>
    <row r="137" spans="1:14" s="3" customFormat="1" ht="15.75" x14ac:dyDescent="0.2">
      <c r="A137" s="41" t="s">
        <v>471</v>
      </c>
      <c r="B137" s="278"/>
      <c r="C137" s="317"/>
      <c r="D137" s="169"/>
      <c r="E137" s="9"/>
      <c r="F137" s="278"/>
      <c r="G137" s="317"/>
      <c r="H137" s="434"/>
      <c r="I137" s="36"/>
      <c r="J137" s="316"/>
      <c r="K137" s="316"/>
      <c r="L137" s="430"/>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269" priority="132">
      <formula>kvartal &lt; 4</formula>
    </cfRule>
  </conditionalFormatting>
  <conditionalFormatting sqref="B69">
    <cfRule type="expression" dxfId="1268" priority="100">
      <formula>kvartal &lt; 4</formula>
    </cfRule>
  </conditionalFormatting>
  <conditionalFormatting sqref="C69">
    <cfRule type="expression" dxfId="1267" priority="99">
      <formula>kvartal &lt; 4</formula>
    </cfRule>
  </conditionalFormatting>
  <conditionalFormatting sqref="B72">
    <cfRule type="expression" dxfId="1266" priority="98">
      <formula>kvartal &lt; 4</formula>
    </cfRule>
  </conditionalFormatting>
  <conditionalFormatting sqref="C72">
    <cfRule type="expression" dxfId="1265" priority="97">
      <formula>kvartal &lt; 4</formula>
    </cfRule>
  </conditionalFormatting>
  <conditionalFormatting sqref="B80">
    <cfRule type="expression" dxfId="1264" priority="96">
      <formula>kvartal &lt; 4</formula>
    </cfRule>
  </conditionalFormatting>
  <conditionalFormatting sqref="C80">
    <cfRule type="expression" dxfId="1263" priority="95">
      <formula>kvartal &lt; 4</formula>
    </cfRule>
  </conditionalFormatting>
  <conditionalFormatting sqref="B83">
    <cfRule type="expression" dxfId="1262" priority="94">
      <formula>kvartal &lt; 4</formula>
    </cfRule>
  </conditionalFormatting>
  <conditionalFormatting sqref="C83">
    <cfRule type="expression" dxfId="1261" priority="93">
      <formula>kvartal &lt; 4</formula>
    </cfRule>
  </conditionalFormatting>
  <conditionalFormatting sqref="B90">
    <cfRule type="expression" dxfId="1260" priority="84">
      <formula>kvartal &lt; 4</formula>
    </cfRule>
  </conditionalFormatting>
  <conditionalFormatting sqref="C90">
    <cfRule type="expression" dxfId="1259" priority="83">
      <formula>kvartal &lt; 4</formula>
    </cfRule>
  </conditionalFormatting>
  <conditionalFormatting sqref="B93">
    <cfRule type="expression" dxfId="1258" priority="82">
      <formula>kvartal &lt; 4</formula>
    </cfRule>
  </conditionalFormatting>
  <conditionalFormatting sqref="C93">
    <cfRule type="expression" dxfId="1257" priority="81">
      <formula>kvartal &lt; 4</formula>
    </cfRule>
  </conditionalFormatting>
  <conditionalFormatting sqref="B101">
    <cfRule type="expression" dxfId="1256" priority="80">
      <formula>kvartal &lt; 4</formula>
    </cfRule>
  </conditionalFormatting>
  <conditionalFormatting sqref="C101">
    <cfRule type="expression" dxfId="1255" priority="79">
      <formula>kvartal &lt; 4</formula>
    </cfRule>
  </conditionalFormatting>
  <conditionalFormatting sqref="B104">
    <cfRule type="expression" dxfId="1254" priority="78">
      <formula>kvartal &lt; 4</formula>
    </cfRule>
  </conditionalFormatting>
  <conditionalFormatting sqref="C104">
    <cfRule type="expression" dxfId="1253" priority="77">
      <formula>kvartal &lt; 4</formula>
    </cfRule>
  </conditionalFormatting>
  <conditionalFormatting sqref="B115">
    <cfRule type="expression" dxfId="1252" priority="76">
      <formula>kvartal &lt; 4</formula>
    </cfRule>
  </conditionalFormatting>
  <conditionalFormatting sqref="C115">
    <cfRule type="expression" dxfId="1251" priority="75">
      <formula>kvartal &lt; 4</formula>
    </cfRule>
  </conditionalFormatting>
  <conditionalFormatting sqref="B123">
    <cfRule type="expression" dxfId="1250" priority="74">
      <formula>kvartal &lt; 4</formula>
    </cfRule>
  </conditionalFormatting>
  <conditionalFormatting sqref="C123">
    <cfRule type="expression" dxfId="1249" priority="73">
      <formula>kvartal &lt; 4</formula>
    </cfRule>
  </conditionalFormatting>
  <conditionalFormatting sqref="F70">
    <cfRule type="expression" dxfId="1248" priority="72">
      <formula>kvartal &lt; 4</formula>
    </cfRule>
  </conditionalFormatting>
  <conditionalFormatting sqref="G70">
    <cfRule type="expression" dxfId="1247" priority="71">
      <formula>kvartal &lt; 4</formula>
    </cfRule>
  </conditionalFormatting>
  <conditionalFormatting sqref="F71:G71">
    <cfRule type="expression" dxfId="1246" priority="70">
      <formula>kvartal &lt; 4</formula>
    </cfRule>
  </conditionalFormatting>
  <conditionalFormatting sqref="F73:G74">
    <cfRule type="expression" dxfId="1245" priority="69">
      <formula>kvartal &lt; 4</formula>
    </cfRule>
  </conditionalFormatting>
  <conditionalFormatting sqref="F81:G82">
    <cfRule type="expression" dxfId="1244" priority="68">
      <formula>kvartal &lt; 4</formula>
    </cfRule>
  </conditionalFormatting>
  <conditionalFormatting sqref="F84:G85">
    <cfRule type="expression" dxfId="1243" priority="67">
      <formula>kvartal &lt; 4</formula>
    </cfRule>
  </conditionalFormatting>
  <conditionalFormatting sqref="F91:G92">
    <cfRule type="expression" dxfId="1242" priority="62">
      <formula>kvartal &lt; 4</formula>
    </cfRule>
  </conditionalFormatting>
  <conditionalFormatting sqref="F94:G95">
    <cfRule type="expression" dxfId="1241" priority="61">
      <formula>kvartal &lt; 4</formula>
    </cfRule>
  </conditionalFormatting>
  <conditionalFormatting sqref="F102:G103">
    <cfRule type="expression" dxfId="1240" priority="60">
      <formula>kvartal &lt; 4</formula>
    </cfRule>
  </conditionalFormatting>
  <conditionalFormatting sqref="F105:G106">
    <cfRule type="expression" dxfId="1239" priority="59">
      <formula>kvartal &lt; 4</formula>
    </cfRule>
  </conditionalFormatting>
  <conditionalFormatting sqref="F115">
    <cfRule type="expression" dxfId="1238" priority="58">
      <formula>kvartal &lt; 4</formula>
    </cfRule>
  </conditionalFormatting>
  <conditionalFormatting sqref="G115">
    <cfRule type="expression" dxfId="1237" priority="57">
      <formula>kvartal &lt; 4</formula>
    </cfRule>
  </conditionalFormatting>
  <conditionalFormatting sqref="F123:G123">
    <cfRule type="expression" dxfId="1236" priority="56">
      <formula>kvartal &lt; 4</formula>
    </cfRule>
  </conditionalFormatting>
  <conditionalFormatting sqref="F69:G69">
    <cfRule type="expression" dxfId="1235" priority="55">
      <formula>kvartal &lt; 4</formula>
    </cfRule>
  </conditionalFormatting>
  <conditionalFormatting sqref="F72:G72">
    <cfRule type="expression" dxfId="1234" priority="54">
      <formula>kvartal &lt; 4</formula>
    </cfRule>
  </conditionalFormatting>
  <conditionalFormatting sqref="F80:G80">
    <cfRule type="expression" dxfId="1233" priority="53">
      <formula>kvartal &lt; 4</formula>
    </cfRule>
  </conditionalFormatting>
  <conditionalFormatting sqref="F83:G83">
    <cfRule type="expression" dxfId="1232" priority="52">
      <formula>kvartal &lt; 4</formula>
    </cfRule>
  </conditionalFormatting>
  <conditionalFormatting sqref="F90:G90">
    <cfRule type="expression" dxfId="1231" priority="46">
      <formula>kvartal &lt; 4</formula>
    </cfRule>
  </conditionalFormatting>
  <conditionalFormatting sqref="F93">
    <cfRule type="expression" dxfId="1230" priority="45">
      <formula>kvartal &lt; 4</formula>
    </cfRule>
  </conditionalFormatting>
  <conditionalFormatting sqref="G93">
    <cfRule type="expression" dxfId="1229" priority="44">
      <formula>kvartal &lt; 4</formula>
    </cfRule>
  </conditionalFormatting>
  <conditionalFormatting sqref="F101">
    <cfRule type="expression" dxfId="1228" priority="43">
      <formula>kvartal &lt; 4</formula>
    </cfRule>
  </conditionalFormatting>
  <conditionalFormatting sqref="G101">
    <cfRule type="expression" dxfId="1227" priority="42">
      <formula>kvartal &lt; 4</formula>
    </cfRule>
  </conditionalFormatting>
  <conditionalFormatting sqref="G104">
    <cfRule type="expression" dxfId="1226" priority="41">
      <formula>kvartal &lt; 4</formula>
    </cfRule>
  </conditionalFormatting>
  <conditionalFormatting sqref="F104">
    <cfRule type="expression" dxfId="1225" priority="40">
      <formula>kvartal &lt; 4</formula>
    </cfRule>
  </conditionalFormatting>
  <conditionalFormatting sqref="J69:K73">
    <cfRule type="expression" dxfId="1224" priority="39">
      <formula>kvartal &lt; 4</formula>
    </cfRule>
  </conditionalFormatting>
  <conditionalFormatting sqref="J74:K74">
    <cfRule type="expression" dxfId="1223" priority="38">
      <formula>kvartal &lt; 4</formula>
    </cfRule>
  </conditionalFormatting>
  <conditionalFormatting sqref="J80:K85">
    <cfRule type="expression" dxfId="1222" priority="37">
      <formula>kvartal &lt; 4</formula>
    </cfRule>
  </conditionalFormatting>
  <conditionalFormatting sqref="J90:K92 J95:K95">
    <cfRule type="expression" dxfId="1221" priority="34">
      <formula>kvartal &lt; 4</formula>
    </cfRule>
  </conditionalFormatting>
  <conditionalFormatting sqref="J101:K106">
    <cfRule type="expression" dxfId="1220" priority="33">
      <formula>kvartal &lt; 4</formula>
    </cfRule>
  </conditionalFormatting>
  <conditionalFormatting sqref="J115:K115">
    <cfRule type="expression" dxfId="1219" priority="32">
      <formula>kvartal &lt; 4</formula>
    </cfRule>
  </conditionalFormatting>
  <conditionalFormatting sqref="J123:K123">
    <cfRule type="expression" dxfId="1218" priority="31">
      <formula>kvartal &lt; 4</formula>
    </cfRule>
  </conditionalFormatting>
  <conditionalFormatting sqref="A50:A52">
    <cfRule type="expression" dxfId="1217" priority="12">
      <formula>kvartal &lt; 4</formula>
    </cfRule>
  </conditionalFormatting>
  <conditionalFormatting sqref="A69:A74">
    <cfRule type="expression" dxfId="1216" priority="10">
      <formula>kvartal &lt; 4</formula>
    </cfRule>
  </conditionalFormatting>
  <conditionalFormatting sqref="A80:A85">
    <cfRule type="expression" dxfId="1215" priority="9">
      <formula>kvartal &lt; 4</formula>
    </cfRule>
  </conditionalFormatting>
  <conditionalFormatting sqref="A90:A95">
    <cfRule type="expression" dxfId="1214" priority="6">
      <formula>kvartal &lt; 4</formula>
    </cfRule>
  </conditionalFormatting>
  <conditionalFormatting sqref="A101:A106">
    <cfRule type="expression" dxfId="1213" priority="5">
      <formula>kvartal &lt; 4</formula>
    </cfRule>
  </conditionalFormatting>
  <conditionalFormatting sqref="A115">
    <cfRule type="expression" dxfId="1212" priority="4">
      <formula>kvartal &lt; 4</formula>
    </cfRule>
  </conditionalFormatting>
  <conditionalFormatting sqref="A123">
    <cfRule type="expression" dxfId="1211" priority="3">
      <formula>kvartal &lt; 4</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9"/>
  <dimension ref="A1:N144"/>
  <sheetViews>
    <sheetView showGridLines="0" zoomScale="120" zoomScaleNormal="120" workbookViewId="0"/>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133</v>
      </c>
      <c r="B1" s="988"/>
      <c r="C1" s="248" t="s">
        <v>130</v>
      </c>
      <c r="D1" s="26"/>
      <c r="E1" s="26"/>
      <c r="F1" s="26"/>
      <c r="G1" s="26"/>
      <c r="H1" s="26"/>
      <c r="I1" s="26"/>
      <c r="J1" s="26"/>
      <c r="K1" s="26"/>
      <c r="L1" s="26"/>
      <c r="M1" s="26"/>
    </row>
    <row r="2" spans="1:14" ht="15.75" x14ac:dyDescent="0.25">
      <c r="A2" s="165" t="s">
        <v>28</v>
      </c>
      <c r="B2" s="1027"/>
      <c r="C2" s="1027"/>
      <c r="D2" s="1027"/>
      <c r="E2" s="301"/>
      <c r="F2" s="1027"/>
      <c r="G2" s="1027"/>
      <c r="H2" s="1027"/>
      <c r="I2" s="301"/>
      <c r="J2" s="1027"/>
      <c r="K2" s="1027"/>
      <c r="L2" s="1027"/>
      <c r="M2" s="301"/>
    </row>
    <row r="3" spans="1:14" ht="15.75" x14ac:dyDescent="0.25">
      <c r="A3" s="163"/>
      <c r="B3" s="301"/>
      <c r="C3" s="301"/>
      <c r="D3" s="301"/>
      <c r="E3" s="301"/>
      <c r="F3" s="301"/>
      <c r="G3" s="301"/>
      <c r="H3" s="301"/>
      <c r="I3" s="301"/>
      <c r="J3" s="301"/>
      <c r="K3" s="301"/>
      <c r="L3" s="301"/>
      <c r="M3" s="301"/>
    </row>
    <row r="4" spans="1:14" x14ac:dyDescent="0.2">
      <c r="A4" s="144"/>
      <c r="B4" s="1023" t="s">
        <v>0</v>
      </c>
      <c r="C4" s="1024"/>
      <c r="D4" s="1024"/>
      <c r="E4" s="303"/>
      <c r="F4" s="1023" t="s">
        <v>1</v>
      </c>
      <c r="G4" s="1024"/>
      <c r="H4" s="1024"/>
      <c r="I4" s="306"/>
      <c r="J4" s="1023" t="s">
        <v>2</v>
      </c>
      <c r="K4" s="1024"/>
      <c r="L4" s="1024"/>
      <c r="M4" s="306"/>
    </row>
    <row r="5" spans="1:14" x14ac:dyDescent="0.2">
      <c r="A5" s="158"/>
      <c r="B5" s="152" t="s">
        <v>502</v>
      </c>
      <c r="C5" s="152" t="s">
        <v>503</v>
      </c>
      <c r="D5" s="245" t="s">
        <v>3</v>
      </c>
      <c r="E5" s="307" t="s">
        <v>29</v>
      </c>
      <c r="F5" s="152" t="s">
        <v>502</v>
      </c>
      <c r="G5" s="152" t="s">
        <v>503</v>
      </c>
      <c r="H5" s="245" t="s">
        <v>3</v>
      </c>
      <c r="I5" s="162" t="s">
        <v>29</v>
      </c>
      <c r="J5" s="152" t="s">
        <v>502</v>
      </c>
      <c r="K5" s="152" t="s">
        <v>503</v>
      </c>
      <c r="L5" s="245" t="s">
        <v>3</v>
      </c>
      <c r="M5" s="162" t="s">
        <v>29</v>
      </c>
    </row>
    <row r="6" spans="1:14" x14ac:dyDescent="0.2">
      <c r="A6" s="989"/>
      <c r="B6" s="156"/>
      <c r="C6" s="156"/>
      <c r="D6" s="246" t="s">
        <v>4</v>
      </c>
      <c r="E6" s="156" t="s">
        <v>30</v>
      </c>
      <c r="F6" s="161"/>
      <c r="G6" s="161"/>
      <c r="H6" s="245" t="s">
        <v>4</v>
      </c>
      <c r="I6" s="156" t="s">
        <v>30</v>
      </c>
      <c r="J6" s="161"/>
      <c r="K6" s="161"/>
      <c r="L6" s="245" t="s">
        <v>4</v>
      </c>
      <c r="M6" s="156" t="s">
        <v>30</v>
      </c>
    </row>
    <row r="7" spans="1:14" ht="15.75" x14ac:dyDescent="0.2">
      <c r="A7" s="14" t="s">
        <v>23</v>
      </c>
      <c r="B7" s="308">
        <v>912280.78319999995</v>
      </c>
      <c r="C7" s="309">
        <v>6515.6889000000001</v>
      </c>
      <c r="D7" s="351">
        <f>IF(B7=0, "    ---- ", IF(ABS(ROUND(100/B7*C7-100,1))&lt;999,ROUND(100/B7*C7-100,1),IF(ROUND(100/B7*C7-100,1)&gt;999,999,-999)))</f>
        <v>-99.3</v>
      </c>
      <c r="E7" s="11">
        <f>IFERROR(100/'Skjema total MA'!C7*C7,0)</f>
        <v>0.13704868256439001</v>
      </c>
      <c r="F7" s="308">
        <v>410572.87265999999</v>
      </c>
      <c r="G7" s="309">
        <v>467270.49729000003</v>
      </c>
      <c r="H7" s="351">
        <f>IF(F7=0, "    ---- ", IF(ABS(ROUND(100/F7*G7-100,1))&lt;999,ROUND(100/F7*G7-100,1),IF(ROUND(100/F7*G7-100,1)&gt;999,999,-999)))</f>
        <v>13.8</v>
      </c>
      <c r="I7" s="160">
        <f>IFERROR(100/'Skjema total MA'!F7*G7,0)</f>
        <v>4.53634240955442</v>
      </c>
      <c r="J7" s="310">
        <f t="shared" ref="J7:K12" si="0">SUM(B7,F7)</f>
        <v>1322853.6558599998</v>
      </c>
      <c r="K7" s="311">
        <f t="shared" si="0"/>
        <v>473786.18619000004</v>
      </c>
      <c r="L7" s="428">
        <f>IF(J7=0, "    ---- ", IF(ABS(ROUND(100/J7*K7-100,1))&lt;999,ROUND(100/J7*K7-100,1),IF(ROUND(100/J7*K7-100,1)&gt;999,999,-999)))</f>
        <v>-64.2</v>
      </c>
      <c r="M7" s="11">
        <f>IFERROR(100/'Skjema total MA'!I7*K7,0)</f>
        <v>3.1470588317307393</v>
      </c>
    </row>
    <row r="8" spans="1:14" ht="15.75" x14ac:dyDescent="0.2">
      <c r="A8" s="21" t="s">
        <v>25</v>
      </c>
      <c r="B8" s="283">
        <v>818793.18714959</v>
      </c>
      <c r="C8" s="284">
        <v>5979.6251000000002</v>
      </c>
      <c r="D8" s="166">
        <f t="shared" ref="D8:D10" si="1">IF(B8=0, "    ---- ", IF(ABS(ROUND(100/B8*C8-100,1))&lt;999,ROUND(100/B8*C8-100,1),IF(ROUND(100/B8*C8-100,1)&gt;999,999,-999)))</f>
        <v>-99.3</v>
      </c>
      <c r="E8" s="27">
        <f>IFERROR(100/'Skjema total MA'!C8*C8,0)</f>
        <v>0.19271773364573358</v>
      </c>
      <c r="F8" s="287"/>
      <c r="G8" s="288"/>
      <c r="H8" s="166"/>
      <c r="I8" s="175"/>
      <c r="J8" s="234">
        <f t="shared" si="0"/>
        <v>818793.18714959</v>
      </c>
      <c r="K8" s="289">
        <f t="shared" si="0"/>
        <v>5979.6251000000002</v>
      </c>
      <c r="L8" s="166">
        <f t="shared" ref="L8:L9" si="2">IF(J8=0, "    ---- ", IF(ABS(ROUND(100/J8*K8-100,1))&lt;999,ROUND(100/J8*K8-100,1),IF(ROUND(100/J8*K8-100,1)&gt;999,999,-999)))</f>
        <v>-99.3</v>
      </c>
      <c r="M8" s="27">
        <f>IFERROR(100/'Skjema total MA'!I8*K8,0)</f>
        <v>0.19271773364573358</v>
      </c>
    </row>
    <row r="9" spans="1:14" ht="15.75" x14ac:dyDescent="0.2">
      <c r="A9" s="21" t="s">
        <v>24</v>
      </c>
      <c r="B9" s="283">
        <v>94965.588671925594</v>
      </c>
      <c r="C9" s="284">
        <v>2457.18923</v>
      </c>
      <c r="D9" s="166">
        <f t="shared" si="1"/>
        <v>-97.4</v>
      </c>
      <c r="E9" s="27">
        <f>IFERROR(100/'Skjema total MA'!C9*C9,0)</f>
        <v>0.25913477700666143</v>
      </c>
      <c r="F9" s="287"/>
      <c r="G9" s="288"/>
      <c r="H9" s="166"/>
      <c r="I9" s="175"/>
      <c r="J9" s="234">
        <f t="shared" si="0"/>
        <v>94965.588671925594</v>
      </c>
      <c r="K9" s="289">
        <f t="shared" si="0"/>
        <v>2457.18923</v>
      </c>
      <c r="L9" s="166">
        <f t="shared" si="2"/>
        <v>-97.4</v>
      </c>
      <c r="M9" s="27">
        <f>IFERROR(100/'Skjema total MA'!I9*K9,0)</f>
        <v>0.25913477700666143</v>
      </c>
    </row>
    <row r="10" spans="1:14" ht="15.75" x14ac:dyDescent="0.2">
      <c r="A10" s="13" t="s">
        <v>444</v>
      </c>
      <c r="B10" s="312">
        <v>851594.36453000002</v>
      </c>
      <c r="C10" s="313">
        <v>417910.06646</v>
      </c>
      <c r="D10" s="171">
        <f t="shared" si="1"/>
        <v>-50.9</v>
      </c>
      <c r="E10" s="11">
        <f>IFERROR(100/'Skjema total MA'!C10*C10,0)</f>
        <v>2.1183109732976293</v>
      </c>
      <c r="F10" s="312">
        <v>2717296.87861</v>
      </c>
      <c r="G10" s="313">
        <v>3305759.6871099998</v>
      </c>
      <c r="H10" s="171">
        <f t="shared" ref="H10:H12" si="3">IF(F10=0, "    ---- ", IF(ABS(ROUND(100/F10*G10-100,1))&lt;999,ROUND(100/F10*G10-100,1),IF(ROUND(100/F10*G10-100,1)&gt;999,999,-999)))</f>
        <v>21.7</v>
      </c>
      <c r="I10" s="160">
        <f>IFERROR(100/'Skjema total MA'!F10*G10,0)</f>
        <v>5.4468350153603415</v>
      </c>
      <c r="J10" s="310">
        <f t="shared" si="0"/>
        <v>3568891.2431399999</v>
      </c>
      <c r="K10" s="311">
        <f t="shared" si="0"/>
        <v>3723669.7535699997</v>
      </c>
      <c r="L10" s="429">
        <f t="shared" ref="L10:L12" si="4">IF(J10=0, "    ---- ", IF(ABS(ROUND(100/J10*K10-100,1))&lt;999,ROUND(100/J10*K10-100,1),IF(ROUND(100/J10*K10-100,1)&gt;999,999,-999)))</f>
        <v>4.3</v>
      </c>
      <c r="M10" s="11">
        <f>IFERROR(100/'Skjema total MA'!I10*K10,0)</f>
        <v>4.6302872544988229</v>
      </c>
    </row>
    <row r="11" spans="1:14" s="43" customFormat="1" ht="15.75" x14ac:dyDescent="0.2">
      <c r="A11" s="13" t="s">
        <v>445</v>
      </c>
      <c r="B11" s="312"/>
      <c r="C11" s="313"/>
      <c r="D11" s="171"/>
      <c r="E11" s="11"/>
      <c r="F11" s="312">
        <v>31375.167990000002</v>
      </c>
      <c r="G11" s="313">
        <v>37948.950259999998</v>
      </c>
      <c r="H11" s="171">
        <f t="shared" si="3"/>
        <v>21</v>
      </c>
      <c r="I11" s="160">
        <f>IFERROR(100/'Skjema total MA'!F11*G11,0)</f>
        <v>11.08281849623542</v>
      </c>
      <c r="J11" s="310">
        <f t="shared" si="0"/>
        <v>31375.167990000002</v>
      </c>
      <c r="K11" s="311">
        <f t="shared" si="0"/>
        <v>37948.950259999998</v>
      </c>
      <c r="L11" s="429">
        <f t="shared" si="4"/>
        <v>21</v>
      </c>
      <c r="M11" s="11">
        <f>IFERROR(100/'Skjema total MA'!I11*K11,0)</f>
        <v>9.9122176712973431</v>
      </c>
      <c r="N11" s="143"/>
    </row>
    <row r="12" spans="1:14" s="43" customFormat="1" ht="15.75" x14ac:dyDescent="0.2">
      <c r="A12" s="41" t="s">
        <v>446</v>
      </c>
      <c r="B12" s="314"/>
      <c r="C12" s="315"/>
      <c r="D12" s="169"/>
      <c r="E12" s="36"/>
      <c r="F12" s="314">
        <v>19000.259129999999</v>
      </c>
      <c r="G12" s="315">
        <v>10725.48531</v>
      </c>
      <c r="H12" s="169">
        <f t="shared" si="3"/>
        <v>-43.6</v>
      </c>
      <c r="I12" s="169">
        <f>IFERROR(100/'Skjema total MA'!F12*G12,0)</f>
        <v>4.3594133388862932</v>
      </c>
      <c r="J12" s="316">
        <f t="shared" si="0"/>
        <v>19000.259129999999</v>
      </c>
      <c r="K12" s="317">
        <f t="shared" si="0"/>
        <v>10725.48531</v>
      </c>
      <c r="L12" s="430">
        <f t="shared" si="4"/>
        <v>-43.6</v>
      </c>
      <c r="M12" s="36">
        <f>IFERROR(100/'Skjema total MA'!I12*K12,0)</f>
        <v>4.309804177780693</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1022"/>
      <c r="C18" s="1022"/>
      <c r="D18" s="1022"/>
      <c r="E18" s="301"/>
      <c r="F18" s="1022"/>
      <c r="G18" s="1022"/>
      <c r="H18" s="1022"/>
      <c r="I18" s="301"/>
      <c r="J18" s="1022"/>
      <c r="K18" s="1022"/>
      <c r="L18" s="1022"/>
      <c r="M18" s="301"/>
    </row>
    <row r="19" spans="1:14" x14ac:dyDescent="0.2">
      <c r="A19" s="144"/>
      <c r="B19" s="1023" t="s">
        <v>0</v>
      </c>
      <c r="C19" s="1024"/>
      <c r="D19" s="1024"/>
      <c r="E19" s="303"/>
      <c r="F19" s="1023" t="s">
        <v>1</v>
      </c>
      <c r="G19" s="1024"/>
      <c r="H19" s="1024"/>
      <c r="I19" s="306"/>
      <c r="J19" s="1023" t="s">
        <v>2</v>
      </c>
      <c r="K19" s="1024"/>
      <c r="L19" s="1024"/>
      <c r="M19" s="306"/>
    </row>
    <row r="20" spans="1:14" x14ac:dyDescent="0.2">
      <c r="A20" s="140" t="s">
        <v>5</v>
      </c>
      <c r="B20" s="152" t="s">
        <v>502</v>
      </c>
      <c r="C20" s="152" t="s">
        <v>503</v>
      </c>
      <c r="D20" s="162" t="s">
        <v>3</v>
      </c>
      <c r="E20" s="307" t="s">
        <v>29</v>
      </c>
      <c r="F20" s="152" t="s">
        <v>502</v>
      </c>
      <c r="G20" s="152" t="s">
        <v>503</v>
      </c>
      <c r="H20" s="162" t="s">
        <v>3</v>
      </c>
      <c r="I20" s="162" t="s">
        <v>29</v>
      </c>
      <c r="J20" s="152" t="s">
        <v>502</v>
      </c>
      <c r="K20" s="152" t="s">
        <v>503</v>
      </c>
      <c r="L20" s="162" t="s">
        <v>3</v>
      </c>
      <c r="M20" s="162" t="s">
        <v>29</v>
      </c>
    </row>
    <row r="21" spans="1:14" x14ac:dyDescent="0.2">
      <c r="A21" s="990"/>
      <c r="B21" s="156"/>
      <c r="C21" s="156"/>
      <c r="D21" s="246" t="s">
        <v>4</v>
      </c>
      <c r="E21" s="156" t="s">
        <v>30</v>
      </c>
      <c r="F21" s="161"/>
      <c r="G21" s="161"/>
      <c r="H21" s="245" t="s">
        <v>4</v>
      </c>
      <c r="I21" s="156" t="s">
        <v>30</v>
      </c>
      <c r="J21" s="161"/>
      <c r="K21" s="161"/>
      <c r="L21" s="156" t="s">
        <v>4</v>
      </c>
      <c r="M21" s="156" t="s">
        <v>30</v>
      </c>
    </row>
    <row r="22" spans="1:14" ht="15.75" x14ac:dyDescent="0.2">
      <c r="A22" s="14" t="s">
        <v>23</v>
      </c>
      <c r="B22" s="312">
        <v>639395.41255999997</v>
      </c>
      <c r="C22" s="312">
        <v>5198.6336600000004</v>
      </c>
      <c r="D22" s="351">
        <f t="shared" ref="D22:D35" si="5">IF(B22=0, "    ---- ", IF(ABS(ROUND(100/B22*C22-100,1))&lt;999,ROUND(100/B22*C22-100,1),IF(ROUND(100/B22*C22-100,1)&gt;999,999,-999)))</f>
        <v>-99.2</v>
      </c>
      <c r="E22" s="11">
        <f>IFERROR(100/'Skjema total MA'!C22*C22,0)</f>
        <v>0.29302333266772207</v>
      </c>
      <c r="F22" s="320">
        <v>299237.27568000002</v>
      </c>
      <c r="G22" s="320">
        <v>325651.54398999998</v>
      </c>
      <c r="H22" s="351">
        <f t="shared" ref="H22:H35" si="6">IF(F22=0, "    ---- ", IF(ABS(ROUND(100/F22*G22-100,1))&lt;999,ROUND(100/F22*G22-100,1),IF(ROUND(100/F22*G22-100,1)&gt;999,999,-999)))</f>
        <v>8.8000000000000007</v>
      </c>
      <c r="I22" s="11">
        <f>IFERROR(100/'Skjema total MA'!F22*G22,0)</f>
        <v>21.888031152611475</v>
      </c>
      <c r="J22" s="318">
        <f t="shared" ref="J22:K35" si="7">SUM(B22,F22)</f>
        <v>938632.68824000005</v>
      </c>
      <c r="K22" s="318">
        <f t="shared" si="7"/>
        <v>330850.17764999997</v>
      </c>
      <c r="L22" s="428">
        <f t="shared" ref="L22:L35" si="8">IF(J22=0, "    ---- ", IF(ABS(ROUND(100/J22*K22-100,1))&lt;999,ROUND(100/J22*K22-100,1),IF(ROUND(100/J22*K22-100,1)&gt;999,999,-999)))</f>
        <v>-64.8</v>
      </c>
      <c r="M22" s="24">
        <f>IFERROR(100/'Skjema total MA'!I22*K22,0)</f>
        <v>10.142733603367033</v>
      </c>
    </row>
    <row r="23" spans="1:14" ht="15.75" x14ac:dyDescent="0.2">
      <c r="A23" s="811" t="s">
        <v>447</v>
      </c>
      <c r="B23" s="283">
        <v>634345.00475369801</v>
      </c>
      <c r="C23" s="283">
        <v>5193.54972</v>
      </c>
      <c r="D23" s="166">
        <f t="shared" si="5"/>
        <v>-99.2</v>
      </c>
      <c r="E23" s="11">
        <f>IFERROR(100/'Skjema total MA'!C23*C23,0)</f>
        <v>0.48407680805942949</v>
      </c>
      <c r="F23" s="292">
        <v>7724.7907999999998</v>
      </c>
      <c r="G23" s="292">
        <v>6236.5997100000004</v>
      </c>
      <c r="H23" s="166">
        <f t="shared" si="6"/>
        <v>-19.3</v>
      </c>
      <c r="I23" s="418">
        <f>IFERROR(100/'Skjema total MA'!F23*G23,0)</f>
        <v>3.4807873375226306</v>
      </c>
      <c r="J23" s="292">
        <f t="shared" ref="J23:J26" si="9">SUM(B23,F23)</f>
        <v>642069.79555369797</v>
      </c>
      <c r="K23" s="292">
        <f t="shared" ref="K23:K26" si="10">SUM(C23,G23)</f>
        <v>11430.149430000001</v>
      </c>
      <c r="L23" s="166">
        <f t="shared" si="8"/>
        <v>-98.2</v>
      </c>
      <c r="M23" s="23">
        <f>IFERROR(100/'Skjema total MA'!I23*K23,0)</f>
        <v>0.9129152834191222</v>
      </c>
    </row>
    <row r="24" spans="1:14" ht="15.75" x14ac:dyDescent="0.2">
      <c r="A24" s="811" t="s">
        <v>448</v>
      </c>
      <c r="B24" s="283">
        <v>5050.4078063024499</v>
      </c>
      <c r="C24" s="283">
        <v>5.0839400000000001</v>
      </c>
      <c r="D24" s="166">
        <f t="shared" si="5"/>
        <v>-99.9</v>
      </c>
      <c r="E24" s="11">
        <f>IFERROR(100/'Skjema total MA'!C24*C24,0)</f>
        <v>1.3186846914869993E-2</v>
      </c>
      <c r="F24" s="292">
        <v>-74.96857</v>
      </c>
      <c r="G24" s="292">
        <v>389.67572999999999</v>
      </c>
      <c r="H24" s="166">
        <f t="shared" si="6"/>
        <v>-619.79999999999995</v>
      </c>
      <c r="I24" s="418">
        <f>IFERROR(100/'Skjema total MA'!F24*G24,0)</f>
        <v>8.4181611304117379</v>
      </c>
      <c r="J24" s="292">
        <f t="shared" si="9"/>
        <v>4975.4392363024499</v>
      </c>
      <c r="K24" s="292">
        <f t="shared" si="10"/>
        <v>394.75966999999997</v>
      </c>
      <c r="L24" s="166">
        <f t="shared" si="8"/>
        <v>-92.1</v>
      </c>
      <c r="M24" s="23">
        <f>IFERROR(100/'Skjema total MA'!I24*K24,0)</f>
        <v>0.91417428435836368</v>
      </c>
    </row>
    <row r="25" spans="1:14" ht="15.75" x14ac:dyDescent="0.2">
      <c r="A25" s="811" t="s">
        <v>449</v>
      </c>
      <c r="B25" s="283"/>
      <c r="C25" s="283"/>
      <c r="D25" s="166"/>
      <c r="E25" s="11"/>
      <c r="F25" s="292">
        <v>9371.2122600000002</v>
      </c>
      <c r="G25" s="292">
        <v>8820.0637900000002</v>
      </c>
      <c r="H25" s="166">
        <f t="shared" si="6"/>
        <v>-5.9</v>
      </c>
      <c r="I25" s="418">
        <f>IFERROR(100/'Skjema total MA'!F25*G25,0)</f>
        <v>34.596423919278458</v>
      </c>
      <c r="J25" s="292">
        <f t="shared" si="9"/>
        <v>9371.2122600000002</v>
      </c>
      <c r="K25" s="292">
        <f t="shared" si="10"/>
        <v>8820.0637900000002</v>
      </c>
      <c r="L25" s="166">
        <f t="shared" si="8"/>
        <v>-5.9</v>
      </c>
      <c r="M25" s="23">
        <f>IFERROR(100/'Skjema total MA'!I25*K25,0)</f>
        <v>13.731008796768005</v>
      </c>
    </row>
    <row r="26" spans="1:14" ht="15.75" x14ac:dyDescent="0.2">
      <c r="A26" s="811" t="s">
        <v>450</v>
      </c>
      <c r="B26" s="283"/>
      <c r="C26" s="283"/>
      <c r="D26" s="166"/>
      <c r="E26" s="11"/>
      <c r="F26" s="292">
        <v>282216.24118999997</v>
      </c>
      <c r="G26" s="292">
        <v>310205.20475999999</v>
      </c>
      <c r="H26" s="166">
        <f t="shared" si="6"/>
        <v>9.9</v>
      </c>
      <c r="I26" s="418">
        <f>IFERROR(100/'Skjema total MA'!F26*G26,0)</f>
        <v>24.196082336709672</v>
      </c>
      <c r="J26" s="292">
        <f t="shared" si="9"/>
        <v>282216.24118999997</v>
      </c>
      <c r="K26" s="292">
        <f t="shared" si="10"/>
        <v>310205.20475999999</v>
      </c>
      <c r="L26" s="166">
        <f t="shared" si="8"/>
        <v>9.9</v>
      </c>
      <c r="M26" s="23">
        <f>IFERROR(100/'Skjema total MA'!I26*K26,0)</f>
        <v>24.196082336709672</v>
      </c>
    </row>
    <row r="27" spans="1:14" x14ac:dyDescent="0.2">
      <c r="A27" s="811" t="s">
        <v>11</v>
      </c>
      <c r="B27" s="283"/>
      <c r="C27" s="283"/>
      <c r="D27" s="166"/>
      <c r="E27" s="11"/>
      <c r="F27" s="292"/>
      <c r="G27" s="292"/>
      <c r="H27" s="166"/>
      <c r="I27" s="418"/>
      <c r="J27" s="292"/>
      <c r="K27" s="292"/>
      <c r="L27" s="166"/>
      <c r="M27" s="23"/>
    </row>
    <row r="28" spans="1:14" ht="15.75" x14ac:dyDescent="0.2">
      <c r="A28" s="49" t="s">
        <v>272</v>
      </c>
      <c r="B28" s="44">
        <v>558011.22908428998</v>
      </c>
      <c r="C28" s="289">
        <v>0</v>
      </c>
      <c r="D28" s="166">
        <f t="shared" si="5"/>
        <v>-100</v>
      </c>
      <c r="E28" s="11">
        <f>IFERROR(100/'Skjema total MA'!C28*C28,0)</f>
        <v>0</v>
      </c>
      <c r="F28" s="234"/>
      <c r="G28" s="289"/>
      <c r="H28" s="166"/>
      <c r="I28" s="27"/>
      <c r="J28" s="44">
        <f t="shared" si="7"/>
        <v>558011.22908428998</v>
      </c>
      <c r="K28" s="44">
        <f t="shared" si="7"/>
        <v>0</v>
      </c>
      <c r="L28" s="257">
        <f t="shared" si="8"/>
        <v>-100</v>
      </c>
      <c r="M28" s="23">
        <f>IFERROR(100/'Skjema total MA'!I28*K28,0)</f>
        <v>0</v>
      </c>
    </row>
    <row r="29" spans="1:14" s="3" customFormat="1" ht="15.75" x14ac:dyDescent="0.2">
      <c r="A29" s="13" t="s">
        <v>444</v>
      </c>
      <c r="B29" s="236">
        <v>5523902.9984799996</v>
      </c>
      <c r="C29" s="236">
        <v>2718606.5263999999</v>
      </c>
      <c r="D29" s="171">
        <f t="shared" si="5"/>
        <v>-50.8</v>
      </c>
      <c r="E29" s="11">
        <f>IFERROR(100/'Skjema total MA'!C29*C29,0)</f>
        <v>5.9423418778965571</v>
      </c>
      <c r="F29" s="310">
        <v>2663787.44875</v>
      </c>
      <c r="G29" s="310">
        <v>3180052.4708099999</v>
      </c>
      <c r="H29" s="171">
        <f t="shared" si="6"/>
        <v>19.399999999999999</v>
      </c>
      <c r="I29" s="11">
        <f>IFERROR(100/'Skjema total MA'!F29*G29,0)</f>
        <v>12.959498427619799</v>
      </c>
      <c r="J29" s="236">
        <f t="shared" si="7"/>
        <v>8187690.44723</v>
      </c>
      <c r="K29" s="236">
        <f t="shared" si="7"/>
        <v>5898658.9972099997</v>
      </c>
      <c r="L29" s="429">
        <f t="shared" si="8"/>
        <v>-28</v>
      </c>
      <c r="M29" s="24">
        <f>IFERROR(100/'Skjema total MA'!I29*K29,0)</f>
        <v>8.3921112476244897</v>
      </c>
      <c r="N29" s="148"/>
    </row>
    <row r="30" spans="1:14" s="3" customFormat="1" ht="15.75" x14ac:dyDescent="0.2">
      <c r="A30" s="811" t="s">
        <v>447</v>
      </c>
      <c r="B30" s="283">
        <v>3169019.1156249898</v>
      </c>
      <c r="C30" s="283">
        <v>1559642.89242499</v>
      </c>
      <c r="D30" s="166">
        <f t="shared" si="5"/>
        <v>-50.8</v>
      </c>
      <c r="E30" s="11">
        <f>IFERROR(100/'Skjema total MA'!C30*C30,0)</f>
        <v>9.8624065573718696</v>
      </c>
      <c r="F30" s="292">
        <v>617245.03763999895</v>
      </c>
      <c r="G30" s="292">
        <v>651294.03177999903</v>
      </c>
      <c r="H30" s="166">
        <f t="shared" si="6"/>
        <v>5.5</v>
      </c>
      <c r="I30" s="418">
        <f>IFERROR(100/'Skjema total MA'!F30*G30,0)</f>
        <v>13.911560085221105</v>
      </c>
      <c r="J30" s="292">
        <f t="shared" ref="J30:J33" si="11">SUM(B30,F30)</f>
        <v>3786264.1532649887</v>
      </c>
      <c r="K30" s="292">
        <f t="shared" ref="K30:K33" si="12">SUM(C30,G30)</f>
        <v>2210936.9242049889</v>
      </c>
      <c r="L30" s="166">
        <f t="shared" si="8"/>
        <v>-41.6</v>
      </c>
      <c r="M30" s="23">
        <f>IFERROR(100/'Skjema total MA'!I30*K30,0)</f>
        <v>10.787323783450887</v>
      </c>
      <c r="N30" s="148"/>
    </row>
    <row r="31" spans="1:14" s="3" customFormat="1" ht="15.75" x14ac:dyDescent="0.2">
      <c r="A31" s="811" t="s">
        <v>448</v>
      </c>
      <c r="B31" s="283">
        <v>2354883.8828550102</v>
      </c>
      <c r="C31" s="283">
        <v>1158963.6339750099</v>
      </c>
      <c r="D31" s="166">
        <f t="shared" si="5"/>
        <v>-50.8</v>
      </c>
      <c r="E31" s="11">
        <f>IFERROR(100/'Skjema total MA'!C31*C31,0)</f>
        <v>4.9241758828003812</v>
      </c>
      <c r="F31" s="292">
        <v>917528.73288000003</v>
      </c>
      <c r="G31" s="292">
        <v>931456.823529999</v>
      </c>
      <c r="H31" s="166">
        <f t="shared" si="6"/>
        <v>1.5</v>
      </c>
      <c r="I31" s="418">
        <f>IFERROR(100/'Skjema total MA'!F31*G31,0)</f>
        <v>9.7534189577409443</v>
      </c>
      <c r="J31" s="292">
        <f t="shared" si="11"/>
        <v>3272412.6157350102</v>
      </c>
      <c r="K31" s="292">
        <f t="shared" si="12"/>
        <v>2090420.4575050089</v>
      </c>
      <c r="L31" s="166">
        <f t="shared" si="8"/>
        <v>-36.1</v>
      </c>
      <c r="M31" s="23">
        <f>IFERROR(100/'Skjema total MA'!I31*K31,0)</f>
        <v>6.3180943618755228</v>
      </c>
      <c r="N31" s="148"/>
    </row>
    <row r="32" spans="1:14" ht="15.75" x14ac:dyDescent="0.2">
      <c r="A32" s="811" t="s">
        <v>449</v>
      </c>
      <c r="B32" s="283"/>
      <c r="C32" s="283"/>
      <c r="D32" s="166"/>
      <c r="E32" s="11"/>
      <c r="F32" s="292">
        <v>427441.75848999998</v>
      </c>
      <c r="G32" s="292">
        <v>487617.53460000001</v>
      </c>
      <c r="H32" s="166">
        <f t="shared" si="6"/>
        <v>14.1</v>
      </c>
      <c r="I32" s="418">
        <f>IFERROR(100/'Skjema total MA'!F32*G32,0)</f>
        <v>9.3015413524190595</v>
      </c>
      <c r="J32" s="292">
        <f t="shared" si="11"/>
        <v>427441.75848999998</v>
      </c>
      <c r="K32" s="292">
        <f t="shared" si="12"/>
        <v>487617.53460000001</v>
      </c>
      <c r="L32" s="166">
        <f t="shared" si="8"/>
        <v>14.1</v>
      </c>
      <c r="M32" s="23">
        <f>IFERROR(100/'Skjema total MA'!I32*K32,0)</f>
        <v>5.9510416100727221</v>
      </c>
    </row>
    <row r="33" spans="1:14" ht="15.75" x14ac:dyDescent="0.2">
      <c r="A33" s="811" t="s">
        <v>450</v>
      </c>
      <c r="B33" s="283"/>
      <c r="C33" s="283"/>
      <c r="D33" s="166"/>
      <c r="E33" s="11"/>
      <c r="F33" s="292">
        <v>701571.91974000004</v>
      </c>
      <c r="G33" s="292">
        <v>1109684.0808999999</v>
      </c>
      <c r="H33" s="166">
        <f t="shared" si="6"/>
        <v>58.2</v>
      </c>
      <c r="I33" s="418">
        <f>IFERROR(100/'Skjema total MA'!F33*G33,0)</f>
        <v>21.911757725718495</v>
      </c>
      <c r="J33" s="292">
        <f t="shared" si="11"/>
        <v>701571.91974000004</v>
      </c>
      <c r="K33" s="292">
        <f t="shared" si="12"/>
        <v>1109684.0808999999</v>
      </c>
      <c r="L33" s="166">
        <f t="shared" si="8"/>
        <v>58.2</v>
      </c>
      <c r="M33" s="23">
        <f>IFERROR(100/'Skjema total MA'!I33*K33,0)</f>
        <v>21.911757725718495</v>
      </c>
    </row>
    <row r="34" spans="1:14" ht="15.75" x14ac:dyDescent="0.2">
      <c r="A34" s="13" t="s">
        <v>445</v>
      </c>
      <c r="B34" s="236"/>
      <c r="C34" s="311"/>
      <c r="D34" s="171"/>
      <c r="E34" s="11"/>
      <c r="F34" s="310">
        <v>17628.94083</v>
      </c>
      <c r="G34" s="311">
        <v>26884.48516</v>
      </c>
      <c r="H34" s="171">
        <f t="shared" si="6"/>
        <v>52.5</v>
      </c>
      <c r="I34" s="11">
        <f>IFERROR(100/'Skjema total MA'!F34*G34,0)</f>
        <v>14.857206106071359</v>
      </c>
      <c r="J34" s="236">
        <f t="shared" si="7"/>
        <v>17628.94083</v>
      </c>
      <c r="K34" s="236">
        <f t="shared" si="7"/>
        <v>26884.48516</v>
      </c>
      <c r="L34" s="429">
        <f t="shared" si="8"/>
        <v>52.5</v>
      </c>
      <c r="M34" s="24">
        <f>IFERROR(100/'Skjema total MA'!I34*K34,0)</f>
        <v>12.876348183597036</v>
      </c>
    </row>
    <row r="35" spans="1:14" ht="15.75" x14ac:dyDescent="0.2">
      <c r="A35" s="13" t="s">
        <v>446</v>
      </c>
      <c r="B35" s="236">
        <v>801.90830000000005</v>
      </c>
      <c r="C35" s="311">
        <v>558.22864000000004</v>
      </c>
      <c r="D35" s="171">
        <f t="shared" si="5"/>
        <v>-30.4</v>
      </c>
      <c r="E35" s="11">
        <f>IFERROR(100/'Skjema total MA'!C35*C35,0)</f>
        <v>-0.45056946643660928</v>
      </c>
      <c r="F35" s="310">
        <v>8544.6726899999994</v>
      </c>
      <c r="G35" s="311">
        <v>10665.338239999999</v>
      </c>
      <c r="H35" s="171">
        <f t="shared" si="6"/>
        <v>24.8</v>
      </c>
      <c r="I35" s="11">
        <f>IFERROR(100/'Skjema total MA'!F35*G35,0)</f>
        <v>6.4163484674517708</v>
      </c>
      <c r="J35" s="236">
        <f t="shared" si="7"/>
        <v>9346.5809899999986</v>
      </c>
      <c r="K35" s="236">
        <f t="shared" si="7"/>
        <v>11223.566879999998</v>
      </c>
      <c r="L35" s="429">
        <f t="shared" si="8"/>
        <v>20.100000000000001</v>
      </c>
      <c r="M35" s="24">
        <f>IFERROR(100/'Skjema total MA'!I35*K35,0)</f>
        <v>26.516152461895722</v>
      </c>
    </row>
    <row r="36" spans="1:14" ht="15.75" x14ac:dyDescent="0.2">
      <c r="A36" s="12" t="s">
        <v>280</v>
      </c>
      <c r="B36" s="236"/>
      <c r="C36" s="311"/>
      <c r="D36" s="171"/>
      <c r="E36" s="11"/>
      <c r="F36" s="321"/>
      <c r="G36" s="322"/>
      <c r="H36" s="171"/>
      <c r="I36" s="435"/>
      <c r="J36" s="236"/>
      <c r="K36" s="236"/>
      <c r="L36" s="429"/>
      <c r="M36" s="24"/>
    </row>
    <row r="37" spans="1:14" ht="15.75" x14ac:dyDescent="0.2">
      <c r="A37" s="12" t="s">
        <v>452</v>
      </c>
      <c r="B37" s="236"/>
      <c r="C37" s="311"/>
      <c r="D37" s="171"/>
      <c r="E37" s="11"/>
      <c r="F37" s="321"/>
      <c r="G37" s="323"/>
      <c r="H37" s="171"/>
      <c r="I37" s="435"/>
      <c r="J37" s="236"/>
      <c r="K37" s="236"/>
      <c r="L37" s="429"/>
      <c r="M37" s="24"/>
    </row>
    <row r="38" spans="1:14" ht="15.75" x14ac:dyDescent="0.2">
      <c r="A38" s="12" t="s">
        <v>453</v>
      </c>
      <c r="B38" s="236"/>
      <c r="C38" s="311"/>
      <c r="D38" s="171"/>
      <c r="E38" s="24"/>
      <c r="F38" s="321"/>
      <c r="G38" s="322"/>
      <c r="H38" s="171"/>
      <c r="I38" s="435"/>
      <c r="J38" s="236"/>
      <c r="K38" s="236"/>
      <c r="L38" s="429"/>
      <c r="M38" s="24"/>
    </row>
    <row r="39" spans="1:14" ht="15.75" x14ac:dyDescent="0.2">
      <c r="A39" s="18" t="s">
        <v>454</v>
      </c>
      <c r="B39" s="278"/>
      <c r="C39" s="317"/>
      <c r="D39" s="169"/>
      <c r="E39" s="36"/>
      <c r="F39" s="324"/>
      <c r="G39" s="325"/>
      <c r="H39" s="169"/>
      <c r="I39" s="36"/>
      <c r="J39" s="236"/>
      <c r="K39" s="236"/>
      <c r="L39" s="430"/>
      <c r="M39" s="36"/>
    </row>
    <row r="40" spans="1:14" ht="15.75" x14ac:dyDescent="0.25">
      <c r="A40" s="47"/>
      <c r="B40" s="256"/>
      <c r="C40" s="256"/>
      <c r="D40" s="1026"/>
      <c r="E40" s="1026"/>
      <c r="F40" s="1026"/>
      <c r="G40" s="1026"/>
      <c r="H40" s="1026"/>
      <c r="I40" s="1026"/>
      <c r="J40" s="1026"/>
      <c r="K40" s="1026"/>
      <c r="L40" s="1026"/>
      <c r="M40" s="304"/>
    </row>
    <row r="41" spans="1:14" x14ac:dyDescent="0.2">
      <c r="A41" s="155"/>
    </row>
    <row r="42" spans="1:14" ht="15.75" x14ac:dyDescent="0.25">
      <c r="A42" s="147" t="s">
        <v>269</v>
      </c>
      <c r="B42" s="1027"/>
      <c r="C42" s="1027"/>
      <c r="D42" s="1027"/>
      <c r="E42" s="301"/>
      <c r="F42" s="1028"/>
      <c r="G42" s="1028"/>
      <c r="H42" s="1028"/>
      <c r="I42" s="304"/>
      <c r="J42" s="1028"/>
      <c r="K42" s="1028"/>
      <c r="L42" s="1028"/>
      <c r="M42" s="304"/>
    </row>
    <row r="43" spans="1:14" ht="15.75" x14ac:dyDescent="0.25">
      <c r="A43" s="163"/>
      <c r="B43" s="305"/>
      <c r="C43" s="305"/>
      <c r="D43" s="305"/>
      <c r="E43" s="305"/>
      <c r="F43" s="304"/>
      <c r="G43" s="304"/>
      <c r="H43" s="304"/>
      <c r="I43" s="304"/>
      <c r="J43" s="304"/>
      <c r="K43" s="304"/>
      <c r="L43" s="304"/>
      <c r="M43" s="304"/>
    </row>
    <row r="44" spans="1:14" ht="15.75" x14ac:dyDescent="0.25">
      <c r="A44" s="247"/>
      <c r="B44" s="1023" t="s">
        <v>0</v>
      </c>
      <c r="C44" s="1024"/>
      <c r="D44" s="1024"/>
      <c r="E44" s="243"/>
      <c r="F44" s="304"/>
      <c r="G44" s="304"/>
      <c r="H44" s="304"/>
      <c r="I44" s="304"/>
      <c r="J44" s="304"/>
      <c r="K44" s="304"/>
      <c r="L44" s="304"/>
      <c r="M44" s="304"/>
    </row>
    <row r="45" spans="1:14" s="3" customFormat="1" x14ac:dyDescent="0.2">
      <c r="A45" s="140"/>
      <c r="B45" s="152" t="s">
        <v>502</v>
      </c>
      <c r="C45" s="152" t="s">
        <v>503</v>
      </c>
      <c r="D45" s="162" t="s">
        <v>3</v>
      </c>
      <c r="E45" s="162" t="s">
        <v>29</v>
      </c>
      <c r="F45" s="174"/>
      <c r="G45" s="174"/>
      <c r="H45" s="173"/>
      <c r="I45" s="173"/>
      <c r="J45" s="174"/>
      <c r="K45" s="174"/>
      <c r="L45" s="173"/>
      <c r="M45" s="173"/>
      <c r="N45" s="148"/>
    </row>
    <row r="46" spans="1:14" s="3" customFormat="1" x14ac:dyDescent="0.2">
      <c r="A46" s="990"/>
      <c r="B46" s="244"/>
      <c r="C46" s="244"/>
      <c r="D46" s="245" t="s">
        <v>4</v>
      </c>
      <c r="E46" s="156" t="s">
        <v>30</v>
      </c>
      <c r="F46" s="173"/>
      <c r="G46" s="173"/>
      <c r="H46" s="173"/>
      <c r="I46" s="173"/>
      <c r="J46" s="173"/>
      <c r="K46" s="173"/>
      <c r="L46" s="173"/>
      <c r="M46" s="173"/>
      <c r="N46" s="148"/>
    </row>
    <row r="47" spans="1:14" s="3" customFormat="1" ht="15.75" x14ac:dyDescent="0.2">
      <c r="A47" s="14" t="s">
        <v>23</v>
      </c>
      <c r="B47" s="312">
        <v>734354.68797999993</v>
      </c>
      <c r="C47" s="313">
        <v>0</v>
      </c>
      <c r="D47" s="428">
        <f t="shared" ref="D47:D58" si="13">IF(B47=0, "    ---- ", IF(ABS(ROUND(100/B47*C47-100,1))&lt;999,ROUND(100/B47*C47-100,1),IF(ROUND(100/B47*C47-100,1)&gt;999,999,-999)))</f>
        <v>-100</v>
      </c>
      <c r="E47" s="11">
        <f>IFERROR(100/'Skjema total MA'!C47*C47,0)</f>
        <v>0</v>
      </c>
      <c r="F47" s="145"/>
      <c r="G47" s="33"/>
      <c r="H47" s="159"/>
      <c r="I47" s="159"/>
      <c r="J47" s="37"/>
      <c r="K47" s="37"/>
      <c r="L47" s="159"/>
      <c r="M47" s="159"/>
      <c r="N47" s="148"/>
    </row>
    <row r="48" spans="1:14" s="3" customFormat="1" ht="15.75" x14ac:dyDescent="0.2">
      <c r="A48" s="38" t="s">
        <v>455</v>
      </c>
      <c r="B48" s="283">
        <v>98695.161170000007</v>
      </c>
      <c r="C48" s="284">
        <v>0</v>
      </c>
      <c r="D48" s="257">
        <f t="shared" si="13"/>
        <v>-100</v>
      </c>
      <c r="E48" s="27">
        <f>IFERROR(100/'Skjema total MA'!C48*C48,0)</f>
        <v>0</v>
      </c>
      <c r="F48" s="145"/>
      <c r="G48" s="33"/>
      <c r="H48" s="145"/>
      <c r="I48" s="145"/>
      <c r="J48" s="33"/>
      <c r="K48" s="33"/>
      <c r="L48" s="159"/>
      <c r="M48" s="159"/>
      <c r="N48" s="148"/>
    </row>
    <row r="49" spans="1:14" s="3" customFormat="1" ht="15.75" x14ac:dyDescent="0.2">
      <c r="A49" s="38" t="s">
        <v>456</v>
      </c>
      <c r="B49" s="44">
        <v>635659.52680999995</v>
      </c>
      <c r="C49" s="289">
        <v>0</v>
      </c>
      <c r="D49" s="257">
        <f>IF(B49=0, "    ---- ", IF(ABS(ROUND(100/B49*C49-100,1))&lt;999,ROUND(100/B49*C49-100,1),IF(ROUND(100/B49*C49-100,1)&gt;999,999,-999)))</f>
        <v>-100</v>
      </c>
      <c r="E49" s="27">
        <f>IFERROR(100/'Skjema total MA'!C49*C49,0)</f>
        <v>0</v>
      </c>
      <c r="F49" s="145"/>
      <c r="G49" s="33"/>
      <c r="H49" s="145"/>
      <c r="I49" s="145"/>
      <c r="J49" s="37"/>
      <c r="K49" s="37"/>
      <c r="L49" s="159"/>
      <c r="M49" s="159"/>
      <c r="N49" s="148"/>
    </row>
    <row r="50" spans="1:14" s="3" customFormat="1" x14ac:dyDescent="0.2">
      <c r="A50" s="298" t="s">
        <v>6</v>
      </c>
      <c r="B50" s="292"/>
      <c r="C50" s="293"/>
      <c r="D50" s="257"/>
      <c r="E50" s="23"/>
      <c r="F50" s="145"/>
      <c r="G50" s="33"/>
      <c r="H50" s="145"/>
      <c r="I50" s="145"/>
      <c r="J50" s="33"/>
      <c r="K50" s="33"/>
      <c r="L50" s="159"/>
      <c r="M50" s="159"/>
      <c r="N50" s="148"/>
    </row>
    <row r="51" spans="1:14" s="3" customFormat="1" x14ac:dyDescent="0.2">
      <c r="A51" s="298" t="s">
        <v>7</v>
      </c>
      <c r="B51" s="292">
        <v>441020.5148</v>
      </c>
      <c r="C51" s="293">
        <v>0</v>
      </c>
      <c r="D51" s="257">
        <f t="shared" ref="D51:D52" si="14">IF(B51=0, "    ---- ", IF(ABS(ROUND(100/B51*C51-100,1))&lt;999,ROUND(100/B51*C51-100,1),IF(ROUND(100/B51*C51-100,1)&gt;999,999,-999)))</f>
        <v>-100</v>
      </c>
      <c r="E51" s="27">
        <f>IFERROR(100/'Skjema total MA'!C51*C51,0)</f>
        <v>0</v>
      </c>
      <c r="F51" s="145"/>
      <c r="G51" s="33"/>
      <c r="H51" s="145"/>
      <c r="I51" s="145"/>
      <c r="J51" s="33"/>
      <c r="K51" s="33"/>
      <c r="L51" s="159"/>
      <c r="M51" s="159"/>
      <c r="N51" s="148"/>
    </row>
    <row r="52" spans="1:14" s="3" customFormat="1" x14ac:dyDescent="0.2">
      <c r="A52" s="298" t="s">
        <v>8</v>
      </c>
      <c r="B52" s="292">
        <v>194639.01201000001</v>
      </c>
      <c r="C52" s="293">
        <v>0</v>
      </c>
      <c r="D52" s="257">
        <f t="shared" si="14"/>
        <v>-100</v>
      </c>
      <c r="E52" s="27">
        <f>IFERROR(100/'Skjema total MA'!C52*C52,0)</f>
        <v>0</v>
      </c>
      <c r="F52" s="145"/>
      <c r="G52" s="33"/>
      <c r="H52" s="145"/>
      <c r="I52" s="145"/>
      <c r="J52" s="33"/>
      <c r="K52" s="33"/>
      <c r="L52" s="159"/>
      <c r="M52" s="159"/>
      <c r="N52" s="148"/>
    </row>
    <row r="53" spans="1:14" s="3" customFormat="1" ht="15.75" x14ac:dyDescent="0.2">
      <c r="A53" s="39" t="s">
        <v>457</v>
      </c>
      <c r="B53" s="312">
        <v>499.81599999999997</v>
      </c>
      <c r="C53" s="313">
        <v>0</v>
      </c>
      <c r="D53" s="429">
        <f t="shared" si="13"/>
        <v>-100</v>
      </c>
      <c r="E53" s="11">
        <f>IFERROR(100/'Skjema total MA'!C53*C53,0)</f>
        <v>0</v>
      </c>
      <c r="F53" s="145"/>
      <c r="G53" s="33"/>
      <c r="H53" s="145"/>
      <c r="I53" s="145"/>
      <c r="J53" s="33"/>
      <c r="K53" s="33"/>
      <c r="L53" s="159"/>
      <c r="M53" s="159"/>
      <c r="N53" s="148"/>
    </row>
    <row r="54" spans="1:14" s="3" customFormat="1" ht="15.75" x14ac:dyDescent="0.2">
      <c r="A54" s="38" t="s">
        <v>455</v>
      </c>
      <c r="B54" s="283">
        <v>499.81599999999997</v>
      </c>
      <c r="C54" s="284">
        <v>0</v>
      </c>
      <c r="D54" s="257">
        <f t="shared" si="13"/>
        <v>-100</v>
      </c>
      <c r="E54" s="27">
        <f>IFERROR(100/'Skjema total MA'!C54*C54,0)</f>
        <v>0</v>
      </c>
      <c r="F54" s="145"/>
      <c r="G54" s="33"/>
      <c r="H54" s="145"/>
      <c r="I54" s="145"/>
      <c r="J54" s="33"/>
      <c r="K54" s="33"/>
      <c r="L54" s="159"/>
      <c r="M54" s="159"/>
      <c r="N54" s="148"/>
    </row>
    <row r="55" spans="1:14" s="3" customFormat="1" ht="15.75" x14ac:dyDescent="0.2">
      <c r="A55" s="38" t="s">
        <v>456</v>
      </c>
      <c r="B55" s="283"/>
      <c r="C55" s="284"/>
      <c r="D55" s="257"/>
      <c r="E55" s="27"/>
      <c r="F55" s="145"/>
      <c r="G55" s="33"/>
      <c r="H55" s="145"/>
      <c r="I55" s="145"/>
      <c r="J55" s="33"/>
      <c r="K55" s="33"/>
      <c r="L55" s="159"/>
      <c r="M55" s="159"/>
      <c r="N55" s="148"/>
    </row>
    <row r="56" spans="1:14" s="3" customFormat="1" ht="15.75" x14ac:dyDescent="0.2">
      <c r="A56" s="39" t="s">
        <v>458</v>
      </c>
      <c r="B56" s="312">
        <v>7416.8610000000008</v>
      </c>
      <c r="C56" s="313">
        <v>0</v>
      </c>
      <c r="D56" s="429">
        <f t="shared" si="13"/>
        <v>-100</v>
      </c>
      <c r="E56" s="11">
        <f>IFERROR(100/'Skjema total MA'!C56*C56,0)</f>
        <v>0</v>
      </c>
      <c r="F56" s="145"/>
      <c r="G56" s="33"/>
      <c r="H56" s="145"/>
      <c r="I56" s="145"/>
      <c r="J56" s="33"/>
      <c r="K56" s="33"/>
      <c r="L56" s="159"/>
      <c r="M56" s="159"/>
      <c r="N56" s="148"/>
    </row>
    <row r="57" spans="1:14" s="3" customFormat="1" ht="15.75" x14ac:dyDescent="0.2">
      <c r="A57" s="38" t="s">
        <v>455</v>
      </c>
      <c r="B57" s="283">
        <v>6862.9480000000003</v>
      </c>
      <c r="C57" s="284">
        <v>0</v>
      </c>
      <c r="D57" s="257">
        <f t="shared" si="13"/>
        <v>-100</v>
      </c>
      <c r="E57" s="27">
        <f>IFERROR(100/'Skjema total MA'!C57*C57,0)</f>
        <v>0</v>
      </c>
      <c r="F57" s="145"/>
      <c r="G57" s="33"/>
      <c r="H57" s="145"/>
      <c r="I57" s="145"/>
      <c r="J57" s="33"/>
      <c r="K57" s="33"/>
      <c r="L57" s="159"/>
      <c r="M57" s="159"/>
      <c r="N57" s="148"/>
    </row>
    <row r="58" spans="1:14" s="3" customFormat="1" ht="15.75" x14ac:dyDescent="0.2">
      <c r="A58" s="46" t="s">
        <v>456</v>
      </c>
      <c r="B58" s="285">
        <v>553.91300000000001</v>
      </c>
      <c r="C58" s="286">
        <v>0</v>
      </c>
      <c r="D58" s="258">
        <f t="shared" si="13"/>
        <v>-100</v>
      </c>
      <c r="E58" s="22">
        <f>IFERROR(100/'Skjema total MA'!C58*C58,0)</f>
        <v>0</v>
      </c>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1022"/>
      <c r="C62" s="1022"/>
      <c r="D62" s="1022"/>
      <c r="E62" s="301"/>
      <c r="F62" s="1022"/>
      <c r="G62" s="1022"/>
      <c r="H62" s="1022"/>
      <c r="I62" s="301"/>
      <c r="J62" s="1022"/>
      <c r="K62" s="1022"/>
      <c r="L62" s="1022"/>
      <c r="M62" s="301"/>
    </row>
    <row r="63" spans="1:14" x14ac:dyDescent="0.2">
      <c r="A63" s="144"/>
      <c r="B63" s="1023" t="s">
        <v>0</v>
      </c>
      <c r="C63" s="1024"/>
      <c r="D63" s="1025"/>
      <c r="E63" s="302"/>
      <c r="F63" s="1024" t="s">
        <v>1</v>
      </c>
      <c r="G63" s="1024"/>
      <c r="H63" s="1024"/>
      <c r="I63" s="306"/>
      <c r="J63" s="1023" t="s">
        <v>2</v>
      </c>
      <c r="K63" s="1024"/>
      <c r="L63" s="1024"/>
      <c r="M63" s="306"/>
    </row>
    <row r="64" spans="1:14" x14ac:dyDescent="0.2">
      <c r="A64" s="140"/>
      <c r="B64" s="152" t="s">
        <v>502</v>
      </c>
      <c r="C64" s="152" t="s">
        <v>503</v>
      </c>
      <c r="D64" s="245" t="s">
        <v>3</v>
      </c>
      <c r="E64" s="307" t="s">
        <v>29</v>
      </c>
      <c r="F64" s="152" t="s">
        <v>502</v>
      </c>
      <c r="G64" s="152" t="s">
        <v>503</v>
      </c>
      <c r="H64" s="245" t="s">
        <v>3</v>
      </c>
      <c r="I64" s="307" t="s">
        <v>29</v>
      </c>
      <c r="J64" s="152" t="s">
        <v>502</v>
      </c>
      <c r="K64" s="152" t="s">
        <v>503</v>
      </c>
      <c r="L64" s="245" t="s">
        <v>3</v>
      </c>
      <c r="M64" s="162" t="s">
        <v>29</v>
      </c>
    </row>
    <row r="65" spans="1:14" x14ac:dyDescent="0.2">
      <c r="A65" s="990"/>
      <c r="B65" s="156"/>
      <c r="C65" s="156"/>
      <c r="D65" s="246" t="s">
        <v>4</v>
      </c>
      <c r="E65" s="156" t="s">
        <v>30</v>
      </c>
      <c r="F65" s="161"/>
      <c r="G65" s="161"/>
      <c r="H65" s="245" t="s">
        <v>4</v>
      </c>
      <c r="I65" s="156" t="s">
        <v>30</v>
      </c>
      <c r="J65" s="161"/>
      <c r="K65" s="206"/>
      <c r="L65" s="156" t="s">
        <v>4</v>
      </c>
      <c r="M65" s="156" t="s">
        <v>30</v>
      </c>
    </row>
    <row r="66" spans="1:14" ht="15.75" x14ac:dyDescent="0.2">
      <c r="A66" s="14" t="s">
        <v>23</v>
      </c>
      <c r="B66" s="354">
        <v>702133.28372000006</v>
      </c>
      <c r="C66" s="354">
        <v>723455.96609</v>
      </c>
      <c r="D66" s="351">
        <f t="shared" ref="D66:D111" si="15">IF(B66=0, "    ---- ", IF(ABS(ROUND(100/B66*C66-100,1))&lt;999,ROUND(100/B66*C66-100,1),IF(ROUND(100/B66*C66-100,1)&gt;999,999,-999)))</f>
        <v>3</v>
      </c>
      <c r="E66" s="11">
        <f>IFERROR(100/'Skjema total MA'!C66*C66,0)</f>
        <v>9.7408971571917995</v>
      </c>
      <c r="F66" s="353">
        <v>3747785.6501700003</v>
      </c>
      <c r="G66" s="353">
        <v>3986013.5295700002</v>
      </c>
      <c r="H66" s="351">
        <f t="shared" ref="H66:H111" si="16">IF(F66=0, "    ---- ", IF(ABS(ROUND(100/F66*G66-100,1))&lt;999,ROUND(100/F66*G66-100,1),IF(ROUND(100/F66*G66-100,1)&gt;999,999,-999)))</f>
        <v>6.4</v>
      </c>
      <c r="I66" s="11">
        <f>IFERROR(100/'Skjema total MA'!F66*G66,0)</f>
        <v>11.384658631276819</v>
      </c>
      <c r="J66" s="311">
        <f t="shared" ref="J66:K86" si="17">SUM(B66,F66)</f>
        <v>4449918.93389</v>
      </c>
      <c r="K66" s="318">
        <f t="shared" si="17"/>
        <v>4709469.4956600005</v>
      </c>
      <c r="L66" s="429">
        <f t="shared" ref="L66:L111" si="18">IF(J66=0, "    ---- ", IF(ABS(ROUND(100/J66*K66-100,1))&lt;999,ROUND(100/J66*K66-100,1),IF(ROUND(100/J66*K66-100,1)&gt;999,999,-999)))</f>
        <v>5.8</v>
      </c>
      <c r="M66" s="11">
        <f>IFERROR(100/'Skjema total MA'!I66*K66,0)</f>
        <v>11.096994751150865</v>
      </c>
    </row>
    <row r="67" spans="1:14" x14ac:dyDescent="0.2">
      <c r="A67" s="420" t="s">
        <v>9</v>
      </c>
      <c r="B67" s="44">
        <v>165750.08832000001</v>
      </c>
      <c r="C67" s="145">
        <v>148828.62966999999</v>
      </c>
      <c r="D67" s="166">
        <f t="shared" si="15"/>
        <v>-10.199999999999999</v>
      </c>
      <c r="E67" s="27">
        <f>IFERROR(100/'Skjema total MA'!C67*C67,0)</f>
        <v>2.8963341153847582</v>
      </c>
      <c r="F67" s="234"/>
      <c r="G67" s="145"/>
      <c r="H67" s="166"/>
      <c r="I67" s="27"/>
      <c r="J67" s="289">
        <f t="shared" si="17"/>
        <v>165750.08832000001</v>
      </c>
      <c r="K67" s="44">
        <f t="shared" si="17"/>
        <v>148828.62966999999</v>
      </c>
      <c r="L67" s="257">
        <f t="shared" si="18"/>
        <v>-10.199999999999999</v>
      </c>
      <c r="M67" s="27">
        <f>IFERROR(100/'Skjema total MA'!I67*K67,0)</f>
        <v>2.8963341153847582</v>
      </c>
    </row>
    <row r="68" spans="1:14" x14ac:dyDescent="0.2">
      <c r="A68" s="21" t="s">
        <v>10</v>
      </c>
      <c r="B68" s="294">
        <v>46418.359680000001</v>
      </c>
      <c r="C68" s="295">
        <v>42777.453390000002</v>
      </c>
      <c r="D68" s="166">
        <f t="shared" si="15"/>
        <v>-7.8</v>
      </c>
      <c r="E68" s="27">
        <f>IFERROR(100/'Skjema total MA'!C68*C68,0)</f>
        <v>34.699299210615919</v>
      </c>
      <c r="F68" s="294">
        <v>3499439.7366200001</v>
      </c>
      <c r="G68" s="295">
        <v>3702518.4673000001</v>
      </c>
      <c r="H68" s="166">
        <f t="shared" si="16"/>
        <v>5.8</v>
      </c>
      <c r="I68" s="27">
        <f>IFERROR(100/'Skjema total MA'!F68*G68,0)</f>
        <v>11.008535311857353</v>
      </c>
      <c r="J68" s="289">
        <f t="shared" si="17"/>
        <v>3545858.0963000003</v>
      </c>
      <c r="K68" s="44">
        <f t="shared" si="17"/>
        <v>3745295.9206900001</v>
      </c>
      <c r="L68" s="257">
        <f t="shared" si="18"/>
        <v>5.6</v>
      </c>
      <c r="M68" s="27">
        <f>IFERROR(100/'Skjema total MA'!I68*K68,0)</f>
        <v>11.095055334111587</v>
      </c>
    </row>
    <row r="69" spans="1:14" ht="15.75" x14ac:dyDescent="0.2">
      <c r="A69" s="298" t="s">
        <v>459</v>
      </c>
      <c r="B69" s="283"/>
      <c r="C69" s="283"/>
      <c r="D69" s="166"/>
      <c r="E69" s="418"/>
      <c r="F69" s="283"/>
      <c r="G69" s="283"/>
      <c r="H69" s="166"/>
      <c r="I69" s="418"/>
      <c r="J69" s="292"/>
      <c r="K69" s="292"/>
      <c r="L69" s="166"/>
      <c r="M69" s="23"/>
    </row>
    <row r="70" spans="1:14" x14ac:dyDescent="0.2">
      <c r="A70" s="298" t="s">
        <v>12</v>
      </c>
      <c r="B70" s="296"/>
      <c r="C70" s="297"/>
      <c r="D70" s="166"/>
      <c r="E70" s="418"/>
      <c r="F70" s="283"/>
      <c r="G70" s="283"/>
      <c r="H70" s="166"/>
      <c r="I70" s="418"/>
      <c r="J70" s="292"/>
      <c r="K70" s="292"/>
      <c r="L70" s="166"/>
      <c r="M70" s="23"/>
    </row>
    <row r="71" spans="1:14" x14ac:dyDescent="0.2">
      <c r="A71" s="298" t="s">
        <v>13</v>
      </c>
      <c r="B71" s="235"/>
      <c r="C71" s="291"/>
      <c r="D71" s="166"/>
      <c r="E71" s="418"/>
      <c r="F71" s="283"/>
      <c r="G71" s="283"/>
      <c r="H71" s="166"/>
      <c r="I71" s="418"/>
      <c r="J71" s="292"/>
      <c r="K71" s="292"/>
      <c r="L71" s="166"/>
      <c r="M71" s="23"/>
    </row>
    <row r="72" spans="1:14" ht="15.75" x14ac:dyDescent="0.2">
      <c r="A72" s="298" t="s">
        <v>460</v>
      </c>
      <c r="B72" s="283">
        <v>46418.359680000001</v>
      </c>
      <c r="C72" s="283">
        <v>42777.453390000002</v>
      </c>
      <c r="D72" s="166">
        <f t="shared" ref="D72" si="19">IF(B72=0, "    ---- ", IF(ABS(ROUND(100/B72*C72-100,1))&lt;999,ROUND(100/B72*C72-100,1),IF(ROUND(100/B72*C72-100,1)&gt;999,999,-999)))</f>
        <v>-7.8</v>
      </c>
      <c r="E72" s="27">
        <f>IFERROR(100/'Skjema total MA'!C72*C72,0)</f>
        <v>37.947343464391693</v>
      </c>
      <c r="F72" s="283">
        <v>3499439.7366200001</v>
      </c>
      <c r="G72" s="283">
        <v>3702518.4673000001</v>
      </c>
      <c r="H72" s="166">
        <f t="shared" ref="H72" si="20">IF(F72=0, "    ---- ", IF(ABS(ROUND(100/F72*G72-100,1))&lt;999,ROUND(100/F72*G72-100,1),IF(ROUND(100/F72*G72-100,1)&gt;999,999,-999)))</f>
        <v>5.8</v>
      </c>
      <c r="I72" s="27">
        <f>IFERROR(100/'Skjema total MA'!F72*G72,0)</f>
        <v>11.00935234308993</v>
      </c>
      <c r="J72" s="289">
        <f t="shared" ref="J72:J74" si="21">SUM(B72,F72)</f>
        <v>3545858.0963000003</v>
      </c>
      <c r="K72" s="44">
        <f t="shared" ref="K72:K74" si="22">SUM(C72,G72)</f>
        <v>3745295.9206900001</v>
      </c>
      <c r="L72" s="257">
        <f t="shared" ref="L72:L74" si="23">IF(J72=0, "    ---- ", IF(ABS(ROUND(100/J72*K72-100,1))&lt;999,ROUND(100/J72*K72-100,1),IF(ROUND(100/J72*K72-100,1)&gt;999,999,-999)))</f>
        <v>5.6</v>
      </c>
      <c r="M72" s="27">
        <f>IFERROR(100/'Skjema total MA'!I72*K72,0)</f>
        <v>11.099345604436014</v>
      </c>
    </row>
    <row r="73" spans="1:14" x14ac:dyDescent="0.2">
      <c r="A73" s="298" t="s">
        <v>12</v>
      </c>
      <c r="B73" s="235"/>
      <c r="C73" s="291"/>
      <c r="D73" s="166"/>
      <c r="E73" s="418"/>
      <c r="F73" s="283"/>
      <c r="G73" s="283"/>
      <c r="H73" s="166"/>
      <c r="I73" s="418"/>
      <c r="J73" s="289">
        <f t="shared" si="21"/>
        <v>0</v>
      </c>
      <c r="K73" s="44">
        <f t="shared" si="22"/>
        <v>0</v>
      </c>
      <c r="L73" s="257" t="str">
        <f t="shared" si="23"/>
        <v xml:space="preserve">    ---- </v>
      </c>
      <c r="M73" s="27">
        <f>IFERROR(100/'Skjema total MA'!I73*K73,0)</f>
        <v>0</v>
      </c>
    </row>
    <row r="74" spans="1:14" s="3" customFormat="1" x14ac:dyDescent="0.2">
      <c r="A74" s="298" t="s">
        <v>13</v>
      </c>
      <c r="B74" s="235"/>
      <c r="C74" s="291"/>
      <c r="D74" s="166"/>
      <c r="E74" s="418"/>
      <c r="F74" s="283">
        <v>3499439.7366200001</v>
      </c>
      <c r="G74" s="283">
        <v>3702518.4673000001</v>
      </c>
      <c r="H74" s="166">
        <f t="shared" ref="H74" si="24">IF(F74=0, "    ---- ", IF(ABS(ROUND(100/F74*G74-100,1))&lt;999,ROUND(100/F74*G74-100,1),IF(ROUND(100/F74*G74-100,1)&gt;999,999,-999)))</f>
        <v>5.8</v>
      </c>
      <c r="I74" s="27">
        <f>IFERROR(100/'Skjema total MA'!F74*G74,0)</f>
        <v>11.009685278812155</v>
      </c>
      <c r="J74" s="289">
        <f t="shared" si="21"/>
        <v>3499439.7366200001</v>
      </c>
      <c r="K74" s="44">
        <f t="shared" si="22"/>
        <v>3702518.4673000001</v>
      </c>
      <c r="L74" s="257">
        <f t="shared" si="23"/>
        <v>5.8</v>
      </c>
      <c r="M74" s="27">
        <f>IFERROR(100/'Skjema total MA'!I74*K74,0)</f>
        <v>11.009685278812155</v>
      </c>
      <c r="N74" s="148"/>
    </row>
    <row r="75" spans="1:14" s="3" customFormat="1" x14ac:dyDescent="0.2">
      <c r="A75" s="21" t="s">
        <v>346</v>
      </c>
      <c r="B75" s="234">
        <v>307663.51377000002</v>
      </c>
      <c r="C75" s="145">
        <v>327423.87595000002</v>
      </c>
      <c r="D75" s="166">
        <f t="shared" si="15"/>
        <v>6.4</v>
      </c>
      <c r="E75" s="27">
        <f>IFERROR(100/'Skjema total MA'!C75*C75,0)</f>
        <v>72.521489328137065</v>
      </c>
      <c r="F75" s="234">
        <v>248345.91355</v>
      </c>
      <c r="G75" s="145">
        <v>283495.06226999999</v>
      </c>
      <c r="H75" s="166">
        <f t="shared" si="16"/>
        <v>14.2</v>
      </c>
      <c r="I75" s="27">
        <f>IFERROR(100/'Skjema total MA'!F75*G75,0)</f>
        <v>20.558219747661713</v>
      </c>
      <c r="J75" s="289">
        <f t="shared" si="17"/>
        <v>556009.42732000002</v>
      </c>
      <c r="K75" s="44">
        <f t="shared" si="17"/>
        <v>610918.93822000001</v>
      </c>
      <c r="L75" s="257">
        <f t="shared" si="18"/>
        <v>9.9</v>
      </c>
      <c r="M75" s="27">
        <f>IFERROR(100/'Skjema total MA'!I75*K75,0)</f>
        <v>33.37494481834139</v>
      </c>
      <c r="N75" s="148"/>
    </row>
    <row r="76" spans="1:14" s="3" customFormat="1" x14ac:dyDescent="0.2">
      <c r="A76" s="21" t="s">
        <v>345</v>
      </c>
      <c r="B76" s="234">
        <v>182301.32195000001</v>
      </c>
      <c r="C76" s="145">
        <v>204426.00708000001</v>
      </c>
      <c r="D76" s="166">
        <f t="shared" ref="D76" si="25">IF(B76=0, "    ---- ", IF(ABS(ROUND(100/B76*C76-100,1))&lt;999,ROUND(100/B76*C76-100,1),IF(ROUND(100/B76*C76-100,1)&gt;999,999,-999)))</f>
        <v>12.1</v>
      </c>
      <c r="E76" s="27">
        <f>IFERROR(100/'Skjema total MA'!C77*C76,0)</f>
        <v>3.9942848029714564</v>
      </c>
      <c r="F76" s="234"/>
      <c r="G76" s="145"/>
      <c r="H76" s="166"/>
      <c r="I76" s="27"/>
      <c r="J76" s="289">
        <f t="shared" ref="J76" si="26">SUM(B76,F76)</f>
        <v>182301.32195000001</v>
      </c>
      <c r="K76" s="44">
        <f t="shared" ref="K76" si="27">SUM(C76,G76)</f>
        <v>204426.00708000001</v>
      </c>
      <c r="L76" s="257">
        <f t="shared" ref="L76" si="28">IF(J76=0, "    ---- ", IF(ABS(ROUND(100/J76*K76-100,1))&lt;999,ROUND(100/J76*K76-100,1),IF(ROUND(100/J76*K76-100,1)&gt;999,999,-999)))</f>
        <v>12.1</v>
      </c>
      <c r="M76" s="27">
        <f>IFERROR(100/'Skjema total MA'!I77*K76,0)</f>
        <v>0.52772888049633049</v>
      </c>
      <c r="N76" s="148"/>
    </row>
    <row r="77" spans="1:14" ht="15.75" x14ac:dyDescent="0.2">
      <c r="A77" s="21" t="s">
        <v>461</v>
      </c>
      <c r="B77" s="234">
        <v>212168.448</v>
      </c>
      <c r="C77" s="234">
        <v>191606.08306</v>
      </c>
      <c r="D77" s="166">
        <f t="shared" si="15"/>
        <v>-9.6999999999999993</v>
      </c>
      <c r="E77" s="27">
        <f>IFERROR(100/'Skjema total MA'!C77*C77,0)</f>
        <v>3.7437959908102147</v>
      </c>
      <c r="F77" s="234">
        <v>3489831.0570899998</v>
      </c>
      <c r="G77" s="145">
        <v>3690827.7742400002</v>
      </c>
      <c r="H77" s="166">
        <f t="shared" si="16"/>
        <v>5.8</v>
      </c>
      <c r="I77" s="27">
        <f>IFERROR(100/'Skjema total MA'!F77*G77,0)</f>
        <v>10.978406653908387</v>
      </c>
      <c r="J77" s="289">
        <f t="shared" si="17"/>
        <v>3701999.5050899996</v>
      </c>
      <c r="K77" s="44">
        <f t="shared" si="17"/>
        <v>3882433.8573000003</v>
      </c>
      <c r="L77" s="257">
        <f t="shared" si="18"/>
        <v>4.9000000000000004</v>
      </c>
      <c r="M77" s="27">
        <f>IFERROR(100/'Skjema total MA'!I77*K77,0)</f>
        <v>10.022562698258712</v>
      </c>
    </row>
    <row r="78" spans="1:14" x14ac:dyDescent="0.2">
      <c r="A78" s="21" t="s">
        <v>9</v>
      </c>
      <c r="B78" s="234">
        <v>165750.08832000001</v>
      </c>
      <c r="C78" s="145">
        <v>148828.62966999999</v>
      </c>
      <c r="D78" s="166">
        <f t="shared" si="15"/>
        <v>-10.199999999999999</v>
      </c>
      <c r="E78" s="27">
        <f>IFERROR(100/'Skjema total MA'!C78*C78,0)</f>
        <v>2.9782490349262538</v>
      </c>
      <c r="F78" s="234"/>
      <c r="G78" s="145"/>
      <c r="H78" s="166"/>
      <c r="I78" s="27"/>
      <c r="J78" s="289">
        <f t="shared" si="17"/>
        <v>165750.08832000001</v>
      </c>
      <c r="K78" s="44">
        <f t="shared" si="17"/>
        <v>148828.62966999999</v>
      </c>
      <c r="L78" s="257">
        <f t="shared" si="18"/>
        <v>-10.199999999999999</v>
      </c>
      <c r="M78" s="27">
        <f>IFERROR(100/'Skjema total MA'!I78*K78,0)</f>
        <v>2.9782490349262538</v>
      </c>
    </row>
    <row r="79" spans="1:14" x14ac:dyDescent="0.2">
      <c r="A79" s="21" t="s">
        <v>10</v>
      </c>
      <c r="B79" s="294">
        <v>46418.359680000001</v>
      </c>
      <c r="C79" s="295">
        <v>42777.453390000002</v>
      </c>
      <c r="D79" s="166">
        <f t="shared" si="15"/>
        <v>-7.8</v>
      </c>
      <c r="E79" s="27">
        <f>IFERROR(100/'Skjema total MA'!C79*C79,0)</f>
        <v>35.418486047997412</v>
      </c>
      <c r="F79" s="294">
        <v>3489831.0570899998</v>
      </c>
      <c r="G79" s="295">
        <v>3690827.7742400002</v>
      </c>
      <c r="H79" s="166">
        <f t="shared" si="16"/>
        <v>5.8</v>
      </c>
      <c r="I79" s="27">
        <f>IFERROR(100/'Skjema total MA'!F79*G79,0)</f>
        <v>10.978406653908387</v>
      </c>
      <c r="J79" s="289">
        <f t="shared" si="17"/>
        <v>3536249.41677</v>
      </c>
      <c r="K79" s="44">
        <f t="shared" si="17"/>
        <v>3733605.2276300001</v>
      </c>
      <c r="L79" s="257">
        <f t="shared" si="18"/>
        <v>5.6</v>
      </c>
      <c r="M79" s="27">
        <f>IFERROR(100/'Skjema total MA'!I79*K79,0)</f>
        <v>11.065894083863192</v>
      </c>
    </row>
    <row r="80" spans="1:14" ht="15.75" x14ac:dyDescent="0.2">
      <c r="A80" s="298" t="s">
        <v>459</v>
      </c>
      <c r="B80" s="283"/>
      <c r="C80" s="283"/>
      <c r="D80" s="166"/>
      <c r="E80" s="418"/>
      <c r="F80" s="283"/>
      <c r="G80" s="283"/>
      <c r="H80" s="166"/>
      <c r="I80" s="418"/>
      <c r="J80" s="292"/>
      <c r="K80" s="292"/>
      <c r="L80" s="166"/>
      <c r="M80" s="23"/>
    </row>
    <row r="81" spans="1:13" x14ac:dyDescent="0.2">
      <c r="A81" s="298" t="s">
        <v>12</v>
      </c>
      <c r="B81" s="235"/>
      <c r="C81" s="291"/>
      <c r="D81" s="166"/>
      <c r="E81" s="418"/>
      <c r="F81" s="283"/>
      <c r="G81" s="283"/>
      <c r="H81" s="166"/>
      <c r="I81" s="418"/>
      <c r="J81" s="292"/>
      <c r="K81" s="292"/>
      <c r="L81" s="166"/>
      <c r="M81" s="23"/>
    </row>
    <row r="82" spans="1:13" x14ac:dyDescent="0.2">
      <c r="A82" s="298" t="s">
        <v>13</v>
      </c>
      <c r="B82" s="235"/>
      <c r="C82" s="291"/>
      <c r="D82" s="166"/>
      <c r="E82" s="418"/>
      <c r="F82" s="283"/>
      <c r="G82" s="283"/>
      <c r="H82" s="166"/>
      <c r="I82" s="418"/>
      <c r="J82" s="292"/>
      <c r="K82" s="292"/>
      <c r="L82" s="166"/>
      <c r="M82" s="23"/>
    </row>
    <row r="83" spans="1:13" ht="15.75" x14ac:dyDescent="0.2">
      <c r="A83" s="298" t="s">
        <v>460</v>
      </c>
      <c r="B83" s="283">
        <v>46418.359680000001</v>
      </c>
      <c r="C83" s="283">
        <v>42777.453390000002</v>
      </c>
      <c r="D83" s="166">
        <f t="shared" ref="D83" si="29">IF(B83=0, "    ---- ", IF(ABS(ROUND(100/B83*C83-100,1))&lt;999,ROUND(100/B83*C83-100,1),IF(ROUND(100/B83*C83-100,1)&gt;999,999,-999)))</f>
        <v>-7.8</v>
      </c>
      <c r="E83" s="27">
        <f>IFERROR(100/'Skjema total MA'!C83*C83,0)</f>
        <v>35.418486047997412</v>
      </c>
      <c r="F83" s="283">
        <v>3489831.0570899998</v>
      </c>
      <c r="G83" s="283">
        <v>3690827.7742400002</v>
      </c>
      <c r="H83" s="166">
        <f t="shared" ref="H83" si="30">IF(F83=0, "    ---- ", IF(ABS(ROUND(100/F83*G83-100,1))&lt;999,ROUND(100/F83*G83-100,1),IF(ROUND(100/F83*G83-100,1)&gt;999,999,-999)))</f>
        <v>5.8</v>
      </c>
      <c r="I83" s="27">
        <f>IFERROR(100/'Skjema total MA'!F83*G83,0)</f>
        <v>10.978406653908387</v>
      </c>
      <c r="J83" s="289">
        <f t="shared" ref="J83" si="31">SUM(B83,F83)</f>
        <v>3536249.41677</v>
      </c>
      <c r="K83" s="44">
        <f t="shared" ref="K83" si="32">SUM(C83,G83)</f>
        <v>3733605.2276300001</v>
      </c>
      <c r="L83" s="257">
        <f t="shared" ref="L83" si="33">IF(J83=0, "    ---- ", IF(ABS(ROUND(100/J83*K83-100,1))&lt;999,ROUND(100/J83*K83-100,1),IF(ROUND(100/J83*K83-100,1)&gt;999,999,-999)))</f>
        <v>5.6</v>
      </c>
      <c r="M83" s="27">
        <f>IFERROR(100/'Skjema total MA'!I83*K83,0)</f>
        <v>11.065894083863192</v>
      </c>
    </row>
    <row r="84" spans="1:13" x14ac:dyDescent="0.2">
      <c r="A84" s="298" t="s">
        <v>12</v>
      </c>
      <c r="B84" s="235"/>
      <c r="C84" s="291"/>
      <c r="D84" s="166"/>
      <c r="E84" s="418"/>
      <c r="F84" s="283"/>
      <c r="G84" s="283"/>
      <c r="H84" s="166"/>
      <c r="I84" s="418"/>
      <c r="J84" s="292"/>
      <c r="K84" s="292"/>
      <c r="L84" s="166"/>
      <c r="M84" s="23"/>
    </row>
    <row r="85" spans="1:13" x14ac:dyDescent="0.2">
      <c r="A85" s="298" t="s">
        <v>13</v>
      </c>
      <c r="B85" s="235"/>
      <c r="C85" s="291"/>
      <c r="D85" s="166"/>
      <c r="E85" s="418"/>
      <c r="F85" s="283">
        <v>3489831.0570899998</v>
      </c>
      <c r="G85" s="283">
        <v>3690827.7742400002</v>
      </c>
      <c r="H85" s="166">
        <f t="shared" ref="H85" si="34">IF(F85=0, "    ---- ", IF(ABS(ROUND(100/F85*G85-100,1))&lt;999,ROUND(100/F85*G85-100,1),IF(ROUND(100/F85*G85-100,1)&gt;999,999,-999)))</f>
        <v>5.8</v>
      </c>
      <c r="I85" s="27">
        <f>IFERROR(100/'Skjema total MA'!F85*G85,0)</f>
        <v>10.978738769250127</v>
      </c>
      <c r="J85" s="289">
        <f t="shared" ref="J85" si="35">SUM(B85,F85)</f>
        <v>3489831.0570899998</v>
      </c>
      <c r="K85" s="44">
        <f t="shared" ref="K85" si="36">SUM(C85,G85)</f>
        <v>3690827.7742400002</v>
      </c>
      <c r="L85" s="257">
        <f t="shared" ref="L85" si="37">IF(J85=0, "    ---- ", IF(ABS(ROUND(100/J85*K85-100,1))&lt;999,ROUND(100/J85*K85-100,1),IF(ROUND(100/J85*K85-100,1)&gt;999,999,-999)))</f>
        <v>5.8</v>
      </c>
      <c r="M85" s="27">
        <f>IFERROR(100/'Skjema total MA'!I85*K85,0)</f>
        <v>10.978738769250127</v>
      </c>
    </row>
    <row r="86" spans="1:13" ht="15.75" x14ac:dyDescent="0.2">
      <c r="A86" s="21" t="s">
        <v>462</v>
      </c>
      <c r="B86" s="234"/>
      <c r="C86" s="145"/>
      <c r="D86" s="166"/>
      <c r="E86" s="27"/>
      <c r="F86" s="234">
        <v>9608.6795299999994</v>
      </c>
      <c r="G86" s="145">
        <v>11690.69306</v>
      </c>
      <c r="H86" s="166">
        <f t="shared" si="16"/>
        <v>21.7</v>
      </c>
      <c r="I86" s="27">
        <f>IFERROR(100/'Skjema total MA'!F86*G86,0)</f>
        <v>82.406047769951542</v>
      </c>
      <c r="J86" s="289">
        <f t="shared" si="17"/>
        <v>9608.6795299999994</v>
      </c>
      <c r="K86" s="44">
        <f t="shared" si="17"/>
        <v>11690.69306</v>
      </c>
      <c r="L86" s="257">
        <f t="shared" si="18"/>
        <v>21.7</v>
      </c>
      <c r="M86" s="27">
        <f>IFERROR(100/'Skjema total MA'!I86*K86,0)</f>
        <v>7.398155292680034</v>
      </c>
    </row>
    <row r="87" spans="1:13" ht="15.75" x14ac:dyDescent="0.2">
      <c r="A87" s="13" t="s">
        <v>444</v>
      </c>
      <c r="B87" s="354">
        <v>15607433.105380001</v>
      </c>
      <c r="C87" s="354">
        <v>16162334.403500002</v>
      </c>
      <c r="D87" s="171">
        <f t="shared" si="15"/>
        <v>3.6</v>
      </c>
      <c r="E87" s="11">
        <f>IFERROR(100/'Skjema total MA'!C87*C87,0)</f>
        <v>4.0895822079767834</v>
      </c>
      <c r="F87" s="353">
        <v>30539625.526970003</v>
      </c>
      <c r="G87" s="353">
        <v>37099120.122170001</v>
      </c>
      <c r="H87" s="171">
        <f t="shared" si="16"/>
        <v>21.5</v>
      </c>
      <c r="I87" s="11">
        <f>IFERROR(100/'Skjema total MA'!F87*G87,0)</f>
        <v>9.9513858105136475</v>
      </c>
      <c r="J87" s="311">
        <f t="shared" ref="J87:K111" si="38">SUM(B87,F87)</f>
        <v>46147058.632350005</v>
      </c>
      <c r="K87" s="236">
        <f t="shared" si="38"/>
        <v>53261454.525670007</v>
      </c>
      <c r="L87" s="429">
        <f t="shared" si="18"/>
        <v>15.4</v>
      </c>
      <c r="M87" s="11">
        <f>IFERROR(100/'Skjema total MA'!I87*K87,0)</f>
        <v>6.9349856596043269</v>
      </c>
    </row>
    <row r="88" spans="1:13" x14ac:dyDescent="0.2">
      <c r="A88" s="21" t="s">
        <v>9</v>
      </c>
      <c r="B88" s="234">
        <v>12206955.447620001</v>
      </c>
      <c r="C88" s="145">
        <v>12065176.120820001</v>
      </c>
      <c r="D88" s="166">
        <f t="shared" si="15"/>
        <v>-1.2</v>
      </c>
      <c r="E88" s="27">
        <f>IFERROR(100/'Skjema total MA'!C88*C88,0)</f>
        <v>3.1473170952149077</v>
      </c>
      <c r="F88" s="234"/>
      <c r="G88" s="145"/>
      <c r="H88" s="166"/>
      <c r="I88" s="27"/>
      <c r="J88" s="289">
        <f t="shared" si="38"/>
        <v>12206955.447620001</v>
      </c>
      <c r="K88" s="44">
        <f t="shared" si="38"/>
        <v>12065176.120820001</v>
      </c>
      <c r="L88" s="257">
        <f t="shared" si="18"/>
        <v>-1.2</v>
      </c>
      <c r="M88" s="27">
        <f>IFERROR(100/'Skjema total MA'!I88*K88,0)</f>
        <v>3.1473170952149077</v>
      </c>
    </row>
    <row r="89" spans="1:13" x14ac:dyDescent="0.2">
      <c r="A89" s="21" t="s">
        <v>10</v>
      </c>
      <c r="B89" s="234">
        <v>1516913.70585</v>
      </c>
      <c r="C89" s="145">
        <v>1631918.4897</v>
      </c>
      <c r="D89" s="166">
        <f t="shared" si="15"/>
        <v>7.6</v>
      </c>
      <c r="E89" s="27">
        <f>IFERROR(100/'Skjema total MA'!C89*C89,0)</f>
        <v>53.467255779369047</v>
      </c>
      <c r="F89" s="234">
        <v>29575631.747000001</v>
      </c>
      <c r="G89" s="145">
        <v>35810377.421949998</v>
      </c>
      <c r="H89" s="166">
        <f t="shared" si="16"/>
        <v>21.1</v>
      </c>
      <c r="I89" s="27">
        <f>IFERROR(100/'Skjema total MA'!F89*G89,0)</f>
        <v>9.6870813488090999</v>
      </c>
      <c r="J89" s="289">
        <f t="shared" si="38"/>
        <v>31092545.452850003</v>
      </c>
      <c r="K89" s="44">
        <f t="shared" si="38"/>
        <v>37442295.911649995</v>
      </c>
      <c r="L89" s="257">
        <f t="shared" si="18"/>
        <v>20.399999999999999</v>
      </c>
      <c r="M89" s="27">
        <f>IFERROR(100/'Skjema total MA'!I89*K89,0)</f>
        <v>10.045591193126645</v>
      </c>
    </row>
    <row r="90" spans="1:13" ht="15.75" x14ac:dyDescent="0.2">
      <c r="A90" s="298" t="s">
        <v>459</v>
      </c>
      <c r="B90" s="283"/>
      <c r="C90" s="283"/>
      <c r="D90" s="166"/>
      <c r="E90" s="418"/>
      <c r="F90" s="283"/>
      <c r="G90" s="283"/>
      <c r="H90" s="166"/>
      <c r="I90" s="418"/>
      <c r="J90" s="292"/>
      <c r="K90" s="292"/>
      <c r="L90" s="166"/>
      <c r="M90" s="23"/>
    </row>
    <row r="91" spans="1:13" x14ac:dyDescent="0.2">
      <c r="A91" s="298" t="s">
        <v>12</v>
      </c>
      <c r="B91" s="235"/>
      <c r="C91" s="291"/>
      <c r="D91" s="166"/>
      <c r="E91" s="418"/>
      <c r="F91" s="283"/>
      <c r="G91" s="283"/>
      <c r="H91" s="166"/>
      <c r="I91" s="418"/>
      <c r="J91" s="292"/>
      <c r="K91" s="292"/>
      <c r="L91" s="166"/>
      <c r="M91" s="23"/>
    </row>
    <row r="92" spans="1:13" x14ac:dyDescent="0.2">
      <c r="A92" s="298" t="s">
        <v>13</v>
      </c>
      <c r="B92" s="235"/>
      <c r="C92" s="291"/>
      <c r="D92" s="166"/>
      <c r="E92" s="418"/>
      <c r="F92" s="283"/>
      <c r="G92" s="283"/>
      <c r="H92" s="166"/>
      <c r="I92" s="418"/>
      <c r="J92" s="292"/>
      <c r="K92" s="292"/>
      <c r="L92" s="166"/>
      <c r="M92" s="23"/>
    </row>
    <row r="93" spans="1:13" ht="15.75" x14ac:dyDescent="0.2">
      <c r="A93" s="298" t="s">
        <v>460</v>
      </c>
      <c r="B93" s="283">
        <v>1516913.70585</v>
      </c>
      <c r="C93" s="283">
        <v>1631918.4897</v>
      </c>
      <c r="D93" s="166">
        <f t="shared" ref="D93" si="39">IF(B93=0, "    ---- ", IF(ABS(ROUND(100/B93*C93-100,1))&lt;999,ROUND(100/B93*C93-100,1),IF(ROUND(100/B93*C93-100,1)&gt;999,999,-999)))</f>
        <v>7.6</v>
      </c>
      <c r="E93" s="27">
        <f>IFERROR(100/'Skjema total MA'!C93*C93,0)</f>
        <v>53.467255779369047</v>
      </c>
      <c r="F93" s="283">
        <v>29575631.747000001</v>
      </c>
      <c r="G93" s="283">
        <v>35810377.421949998</v>
      </c>
      <c r="H93" s="166">
        <f t="shared" ref="H93" si="40">IF(F93=0, "    ---- ", IF(ABS(ROUND(100/F93*G93-100,1))&lt;999,ROUND(100/F93*G93-100,1),IF(ROUND(100/F93*G93-100,1)&gt;999,999,-999)))</f>
        <v>21.1</v>
      </c>
      <c r="I93" s="27">
        <f>IFERROR(100/'Skjema total MA'!F93*G93,0)</f>
        <v>9.690105040745312</v>
      </c>
      <c r="J93" s="289">
        <f t="shared" ref="J93" si="41">SUM(B93,F93)</f>
        <v>31092545.452850003</v>
      </c>
      <c r="K93" s="44">
        <f t="shared" ref="K93" si="42">SUM(C93,G93)</f>
        <v>37442295.911649995</v>
      </c>
      <c r="L93" s="257">
        <f t="shared" ref="L93" si="43">IF(J93=0, "    ---- ", IF(ABS(ROUND(100/J93*K93-100,1))&lt;999,ROUND(100/J93*K93-100,1),IF(ROUND(100/J93*K93-100,1)&gt;999,999,-999)))</f>
        <v>20.399999999999999</v>
      </c>
      <c r="M93" s="27">
        <f>IFERROR(100/'Skjema total MA'!I93*K93,0)</f>
        <v>10.04870110416651</v>
      </c>
    </row>
    <row r="94" spans="1:13" x14ac:dyDescent="0.2">
      <c r="A94" s="298" t="s">
        <v>12</v>
      </c>
      <c r="B94" s="235"/>
      <c r="C94" s="291"/>
      <c r="D94" s="166"/>
      <c r="E94" s="418"/>
      <c r="F94" s="283"/>
      <c r="G94" s="283"/>
      <c r="H94" s="166"/>
      <c r="I94" s="418"/>
      <c r="J94" s="292"/>
      <c r="K94" s="292"/>
      <c r="L94" s="166"/>
      <c r="M94" s="23"/>
    </row>
    <row r="95" spans="1:13" x14ac:dyDescent="0.2">
      <c r="A95" s="298" t="s">
        <v>13</v>
      </c>
      <c r="B95" s="235"/>
      <c r="C95" s="291"/>
      <c r="D95" s="166"/>
      <c r="E95" s="418"/>
      <c r="F95" s="283">
        <v>29575631.747000001</v>
      </c>
      <c r="G95" s="283">
        <v>35810377.421949998</v>
      </c>
      <c r="H95" s="166">
        <f t="shared" ref="H95" si="44">IF(F95=0, "    ---- ", IF(ABS(ROUND(100/F95*G95-100,1))&lt;999,ROUND(100/F95*G95-100,1),IF(ROUND(100/F95*G95-100,1)&gt;999,999,-999)))</f>
        <v>21.1</v>
      </c>
      <c r="I95" s="27">
        <f>IFERROR(100/'Skjema total MA'!F95*G95,0)</f>
        <v>9.7122412894522565</v>
      </c>
      <c r="J95" s="289">
        <f t="shared" ref="J95" si="45">SUM(B95,F95)</f>
        <v>29575631.747000001</v>
      </c>
      <c r="K95" s="44">
        <f t="shared" ref="K95" si="46">SUM(C95,G95)</f>
        <v>35810377.421949998</v>
      </c>
      <c r="L95" s="257">
        <f t="shared" ref="L95" si="47">IF(J95=0, "    ---- ", IF(ABS(ROUND(100/J95*K95-100,1))&lt;999,ROUND(100/J95*K95-100,1),IF(ROUND(100/J95*K95-100,1)&gt;999,999,-999)))</f>
        <v>21.1</v>
      </c>
      <c r="M95" s="27">
        <f>IFERROR(100/'Skjema total MA'!I95*K95,0)</f>
        <v>9.7122412894522565</v>
      </c>
    </row>
    <row r="96" spans="1:13" x14ac:dyDescent="0.2">
      <c r="A96" s="21" t="s">
        <v>344</v>
      </c>
      <c r="B96" s="234">
        <v>1152940.8347700001</v>
      </c>
      <c r="C96" s="145">
        <v>1566333.6014400001</v>
      </c>
      <c r="D96" s="166">
        <f t="shared" si="15"/>
        <v>35.9</v>
      </c>
      <c r="E96" s="27">
        <f>IFERROR(100/'Skjema total MA'!C96*C96,0)</f>
        <v>78.343752051660829</v>
      </c>
      <c r="F96" s="234">
        <v>963993.77997000003</v>
      </c>
      <c r="G96" s="145">
        <v>1288742.70022</v>
      </c>
      <c r="H96" s="166">
        <f t="shared" si="16"/>
        <v>33.700000000000003</v>
      </c>
      <c r="I96" s="27">
        <f>IFERROR(100/'Skjema total MA'!F96*G96,0)</f>
        <v>41.146662488153872</v>
      </c>
      <c r="J96" s="289">
        <f t="shared" si="38"/>
        <v>2116934.6147400001</v>
      </c>
      <c r="K96" s="44">
        <f t="shared" si="38"/>
        <v>2855076.3016600003</v>
      </c>
      <c r="L96" s="257">
        <f t="shared" si="18"/>
        <v>34.9</v>
      </c>
      <c r="M96" s="27">
        <f>IFERROR(100/'Skjema total MA'!I96*K96,0)</f>
        <v>55.639542161587578</v>
      </c>
    </row>
    <row r="97" spans="1:13" x14ac:dyDescent="0.2">
      <c r="A97" s="21" t="s">
        <v>343</v>
      </c>
      <c r="B97" s="234">
        <v>730623.11713999999</v>
      </c>
      <c r="C97" s="145">
        <v>898906.19154000003</v>
      </c>
      <c r="D97" s="166">
        <f t="shared" ref="D97" si="48">IF(B97=0, "    ---- ", IF(ABS(ROUND(100/B97*C97-100,1))&lt;999,ROUND(100/B97*C97-100,1),IF(ROUND(100/B97*C97-100,1)&gt;999,999,-999)))</f>
        <v>23</v>
      </c>
      <c r="E97" s="27">
        <f>IFERROR(100/'Skjema total MA'!C98*C97,0)</f>
        <v>0.23534413299628185</v>
      </c>
      <c r="F97" s="234"/>
      <c r="G97" s="145"/>
      <c r="H97" s="166"/>
      <c r="I97" s="27"/>
      <c r="J97" s="289">
        <f t="shared" ref="J97" si="49">SUM(B97,F97)</f>
        <v>730623.11713999999</v>
      </c>
      <c r="K97" s="44">
        <f t="shared" ref="K97" si="50">SUM(C97,G97)</f>
        <v>898906.19154000003</v>
      </c>
      <c r="L97" s="257">
        <f t="shared" ref="L97" si="51">IF(J97=0, "    ---- ", IF(ABS(ROUND(100/J97*K97-100,1))&lt;999,ROUND(100/J97*K97-100,1),IF(ROUND(100/J97*K97-100,1)&gt;999,999,-999)))</f>
        <v>23</v>
      </c>
      <c r="M97" s="27">
        <f>IFERROR(100/'Skjema total MA'!I98*K97,0)</f>
        <v>0.11975899443557013</v>
      </c>
    </row>
    <row r="98" spans="1:13" ht="15.75" x14ac:dyDescent="0.2">
      <c r="A98" s="21" t="s">
        <v>461</v>
      </c>
      <c r="B98" s="234">
        <v>13723869.15347</v>
      </c>
      <c r="C98" s="234">
        <v>13697094.610520002</v>
      </c>
      <c r="D98" s="166">
        <f t="shared" si="15"/>
        <v>-0.2</v>
      </c>
      <c r="E98" s="27">
        <f>IFERROR(100/'Skjema total MA'!C98*C98,0)</f>
        <v>3.5860592417973485</v>
      </c>
      <c r="F98" s="294">
        <v>29476636.65405</v>
      </c>
      <c r="G98" s="294">
        <v>35727057.796599999</v>
      </c>
      <c r="H98" s="166">
        <f t="shared" si="16"/>
        <v>21.2</v>
      </c>
      <c r="I98" s="27">
        <f>IFERROR(100/'Skjema total MA'!F98*G98,0)</f>
        <v>9.6915312308567643</v>
      </c>
      <c r="J98" s="289">
        <f t="shared" si="38"/>
        <v>43200505.807520002</v>
      </c>
      <c r="K98" s="44">
        <f t="shared" si="38"/>
        <v>49424152.407120004</v>
      </c>
      <c r="L98" s="257">
        <f t="shared" si="18"/>
        <v>14.4</v>
      </c>
      <c r="M98" s="27">
        <f>IFERROR(100/'Skjema total MA'!I98*K98,0)</f>
        <v>6.5846546044662198</v>
      </c>
    </row>
    <row r="99" spans="1:13" x14ac:dyDescent="0.2">
      <c r="A99" s="21" t="s">
        <v>9</v>
      </c>
      <c r="B99" s="294">
        <v>12206955.447620001</v>
      </c>
      <c r="C99" s="295">
        <v>12065176.120820001</v>
      </c>
      <c r="D99" s="166">
        <f t="shared" si="15"/>
        <v>-1.2</v>
      </c>
      <c r="E99" s="27">
        <f>IFERROR(100/'Skjema total MA'!C99*C99,0)</f>
        <v>3.1842491773135762</v>
      </c>
      <c r="F99" s="234"/>
      <c r="G99" s="145"/>
      <c r="H99" s="166"/>
      <c r="I99" s="27"/>
      <c r="J99" s="289">
        <f t="shared" si="38"/>
        <v>12206955.447620001</v>
      </c>
      <c r="K99" s="44">
        <f t="shared" si="38"/>
        <v>12065176.120820001</v>
      </c>
      <c r="L99" s="257">
        <f t="shared" si="18"/>
        <v>-1.2</v>
      </c>
      <c r="M99" s="27">
        <f>IFERROR(100/'Skjema total MA'!I99*K99,0)</f>
        <v>3.1842491773135762</v>
      </c>
    </row>
    <row r="100" spans="1:13" x14ac:dyDescent="0.2">
      <c r="A100" s="21" t="s">
        <v>10</v>
      </c>
      <c r="B100" s="294">
        <v>1516913.70585</v>
      </c>
      <c r="C100" s="295">
        <v>1631918.4897</v>
      </c>
      <c r="D100" s="166">
        <f t="shared" si="15"/>
        <v>7.6</v>
      </c>
      <c r="E100" s="27">
        <f>IFERROR(100/'Skjema total MA'!C100*C100,0)</f>
        <v>53.467255779369047</v>
      </c>
      <c r="F100" s="234">
        <v>29476636.65405</v>
      </c>
      <c r="G100" s="234">
        <v>35727057.796599999</v>
      </c>
      <c r="H100" s="166">
        <f t="shared" ref="H100" si="52">IF(F100=0, "    ---- ", IF(ABS(ROUND(100/F100*G100-100,1))&lt;999,ROUND(100/F100*G100-100,1),IF(ROUND(100/F100*G100-100,1)&gt;999,999,-999)))</f>
        <v>21.2</v>
      </c>
      <c r="I100" s="27">
        <f>IFERROR(100/'Skjema total MA'!F100*G100,0)</f>
        <v>9.6915312308567643</v>
      </c>
      <c r="J100" s="289">
        <f t="shared" si="38"/>
        <v>30993550.359900001</v>
      </c>
      <c r="K100" s="44">
        <f t="shared" si="38"/>
        <v>37358976.286299996</v>
      </c>
      <c r="L100" s="257">
        <f t="shared" si="18"/>
        <v>20.5</v>
      </c>
      <c r="M100" s="27">
        <f>IFERROR(100/'Skjema total MA'!I100*K100,0)</f>
        <v>10.05099747015432</v>
      </c>
    </row>
    <row r="101" spans="1:13" ht="15.75" x14ac:dyDescent="0.2">
      <c r="A101" s="298" t="s">
        <v>459</v>
      </c>
      <c r="B101" s="283"/>
      <c r="C101" s="283"/>
      <c r="D101" s="166"/>
      <c r="E101" s="418"/>
      <c r="F101" s="283"/>
      <c r="G101" s="283"/>
      <c r="H101" s="166"/>
      <c r="I101" s="418"/>
      <c r="J101" s="292"/>
      <c r="K101" s="292"/>
      <c r="L101" s="166"/>
      <c r="M101" s="23"/>
    </row>
    <row r="102" spans="1:13" x14ac:dyDescent="0.2">
      <c r="A102" s="298" t="s">
        <v>12</v>
      </c>
      <c r="B102" s="235"/>
      <c r="C102" s="291"/>
      <c r="D102" s="166"/>
      <c r="E102" s="418"/>
      <c r="F102" s="283"/>
      <c r="G102" s="283"/>
      <c r="H102" s="166"/>
      <c r="I102" s="418"/>
      <c r="J102" s="292"/>
      <c r="K102" s="292"/>
      <c r="L102" s="166"/>
      <c r="M102" s="23"/>
    </row>
    <row r="103" spans="1:13" x14ac:dyDescent="0.2">
      <c r="A103" s="298" t="s">
        <v>13</v>
      </c>
      <c r="B103" s="235"/>
      <c r="C103" s="291"/>
      <c r="D103" s="166"/>
      <c r="E103" s="418"/>
      <c r="F103" s="283"/>
      <c r="G103" s="283"/>
      <c r="H103" s="166"/>
      <c r="I103" s="418"/>
      <c r="J103" s="292"/>
      <c r="K103" s="292"/>
      <c r="L103" s="166"/>
      <c r="M103" s="23"/>
    </row>
    <row r="104" spans="1:13" ht="15.75" x14ac:dyDescent="0.2">
      <c r="A104" s="298" t="s">
        <v>460</v>
      </c>
      <c r="B104" s="283">
        <v>1516913.70585</v>
      </c>
      <c r="C104" s="283">
        <v>1631918.4897</v>
      </c>
      <c r="D104" s="166">
        <f t="shared" ref="D104" si="53">IF(B104=0, "    ---- ", IF(ABS(ROUND(100/B104*C104-100,1))&lt;999,ROUND(100/B104*C104-100,1),IF(ROUND(100/B104*C104-100,1)&gt;999,999,-999)))</f>
        <v>7.6</v>
      </c>
      <c r="E104" s="27">
        <f>IFERROR(100/'Skjema total MA'!C104*C104,0)</f>
        <v>53.467255779369047</v>
      </c>
      <c r="F104" s="283">
        <v>29476636.65405</v>
      </c>
      <c r="G104" s="283">
        <v>35727057.796599999</v>
      </c>
      <c r="H104" s="166">
        <f t="shared" ref="H104" si="54">IF(F104=0, "    ---- ", IF(ABS(ROUND(100/F104*G104-100,1))&lt;999,ROUND(100/F104*G104-100,1),IF(ROUND(100/F104*G104-100,1)&gt;999,999,-999)))</f>
        <v>21.2</v>
      </c>
      <c r="I104" s="27">
        <f>IFERROR(100/'Skjema total MA'!F104*G104,0)</f>
        <v>9.6915312308567643</v>
      </c>
      <c r="J104" s="289">
        <f t="shared" ref="J104" si="55">SUM(B104,F104)</f>
        <v>30993550.359900001</v>
      </c>
      <c r="K104" s="44">
        <f t="shared" ref="K104" si="56">SUM(C104,G104)</f>
        <v>37358976.286299996</v>
      </c>
      <c r="L104" s="257">
        <f t="shared" ref="L104" si="57">IF(J104=0, "    ---- ", IF(ABS(ROUND(100/J104*K104-100,1))&lt;999,ROUND(100/J104*K104-100,1),IF(ROUND(100/J104*K104-100,1)&gt;999,999,-999)))</f>
        <v>20.5</v>
      </c>
      <c r="M104" s="27">
        <f>IFERROR(100/'Skjema total MA'!I104*K104,0)</f>
        <v>10.05099747015432</v>
      </c>
    </row>
    <row r="105" spans="1:13" x14ac:dyDescent="0.2">
      <c r="A105" s="298" t="s">
        <v>12</v>
      </c>
      <c r="B105" s="235"/>
      <c r="C105" s="291"/>
      <c r="D105" s="166"/>
      <c r="E105" s="418"/>
      <c r="F105" s="283"/>
      <c r="G105" s="283"/>
      <c r="H105" s="166"/>
      <c r="I105" s="418"/>
      <c r="J105" s="292"/>
      <c r="K105" s="292"/>
      <c r="L105" s="166"/>
      <c r="M105" s="23"/>
    </row>
    <row r="106" spans="1:13" x14ac:dyDescent="0.2">
      <c r="A106" s="298" t="s">
        <v>13</v>
      </c>
      <c r="B106" s="235"/>
      <c r="C106" s="291"/>
      <c r="D106" s="166"/>
      <c r="E106" s="418"/>
      <c r="F106" s="283">
        <v>29476636.65405</v>
      </c>
      <c r="G106" s="283">
        <v>35727057.796599999</v>
      </c>
      <c r="H106" s="166">
        <f t="shared" ref="H106" si="58">IF(F106=0, "    ---- ", IF(ABS(ROUND(100/F106*G106-100,1))&lt;999,ROUND(100/F106*G106-100,1),IF(ROUND(100/F106*G106-100,1)&gt;999,999,-999)))</f>
        <v>21.2</v>
      </c>
      <c r="I106" s="27">
        <f>IFERROR(100/'Skjema total MA'!F106*G106,0)</f>
        <v>9.6918340201273789</v>
      </c>
      <c r="J106" s="289">
        <f t="shared" ref="J106" si="59">SUM(B106,F106)</f>
        <v>29476636.65405</v>
      </c>
      <c r="K106" s="44">
        <f t="shared" ref="K106" si="60">SUM(C106,G106)</f>
        <v>35727057.796599999</v>
      </c>
      <c r="L106" s="257">
        <f t="shared" ref="L106" si="61">IF(J106=0, "    ---- ", IF(ABS(ROUND(100/J106*K106-100,1))&lt;999,ROUND(100/J106*K106-100,1),IF(ROUND(100/J106*K106-100,1)&gt;999,999,-999)))</f>
        <v>21.2</v>
      </c>
      <c r="M106" s="27">
        <f>IFERROR(100/'Skjema total MA'!I106*K106,0)</f>
        <v>9.6918340201273789</v>
      </c>
    </row>
    <row r="107" spans="1:13" ht="15.75" x14ac:dyDescent="0.2">
      <c r="A107" s="21" t="s">
        <v>462</v>
      </c>
      <c r="B107" s="234"/>
      <c r="C107" s="145"/>
      <c r="D107" s="166"/>
      <c r="E107" s="27"/>
      <c r="F107" s="234">
        <v>98995.092950000006</v>
      </c>
      <c r="G107" s="145">
        <v>83319.625350000002</v>
      </c>
      <c r="H107" s="166">
        <f t="shared" ref="H107" si="62">IF(F107=0, "    ---- ", IF(ABS(ROUND(100/F107*G107-100,1))&lt;999,ROUND(100/F107*G107-100,1),IF(ROUND(100/F107*G107-100,1)&gt;999,999,-999)))</f>
        <v>-15.8</v>
      </c>
      <c r="I107" s="27">
        <f>IFERROR(100/'Skjema total MA'!F107*G107,0)</f>
        <v>8.0935975589878044</v>
      </c>
      <c r="J107" s="289">
        <f t="shared" si="38"/>
        <v>98995.092950000006</v>
      </c>
      <c r="K107" s="44">
        <f t="shared" si="38"/>
        <v>83319.625350000002</v>
      </c>
      <c r="L107" s="257">
        <f t="shared" si="18"/>
        <v>-15.8</v>
      </c>
      <c r="M107" s="27">
        <f>IFERROR(100/'Skjema total MA'!I107*K107,0)</f>
        <v>1.5216360785178311</v>
      </c>
    </row>
    <row r="108" spans="1:13" ht="15.75" x14ac:dyDescent="0.2">
      <c r="A108" s="21" t="s">
        <v>463</v>
      </c>
      <c r="B108" s="234">
        <v>8946773.5393100008</v>
      </c>
      <c r="C108" s="234">
        <v>8872272.8258400001</v>
      </c>
      <c r="D108" s="166">
        <f t="shared" si="15"/>
        <v>-0.8</v>
      </c>
      <c r="E108" s="27">
        <f>IFERROR(100/'Skjema total MA'!C108*C108,0)</f>
        <v>2.715481299224547</v>
      </c>
      <c r="F108" s="234"/>
      <c r="G108" s="234"/>
      <c r="H108" s="166"/>
      <c r="I108" s="27"/>
      <c r="J108" s="289">
        <f t="shared" si="38"/>
        <v>8946773.5393100008</v>
      </c>
      <c r="K108" s="44">
        <f t="shared" si="38"/>
        <v>8872272.8258400001</v>
      </c>
      <c r="L108" s="257">
        <f t="shared" si="18"/>
        <v>-0.8</v>
      </c>
      <c r="M108" s="27">
        <f>IFERROR(100/'Skjema total MA'!I108*K108,0)</f>
        <v>2.5687997091245922</v>
      </c>
    </row>
    <row r="109" spans="1:13" ht="15.75" x14ac:dyDescent="0.2">
      <c r="A109" s="21" t="s">
        <v>464</v>
      </c>
      <c r="B109" s="234">
        <v>346286.38481000002</v>
      </c>
      <c r="C109" s="234">
        <v>356742.62899</v>
      </c>
      <c r="D109" s="166">
        <f t="shared" si="15"/>
        <v>3</v>
      </c>
      <c r="E109" s="27">
        <f>IFERROR(100/'Skjema total MA'!C109*C109,0)</f>
        <v>32.945772163199102</v>
      </c>
      <c r="F109" s="234">
        <v>9769508.9950799998</v>
      </c>
      <c r="G109" s="234">
        <v>12371455.06831</v>
      </c>
      <c r="H109" s="166">
        <f t="shared" si="16"/>
        <v>26.6</v>
      </c>
      <c r="I109" s="27">
        <f>IFERROR(100/'Skjema total MA'!F109*G109,0)</f>
        <v>9.5133360650802672</v>
      </c>
      <c r="J109" s="289">
        <f t="shared" si="38"/>
        <v>10115795.37989</v>
      </c>
      <c r="K109" s="44">
        <f t="shared" si="38"/>
        <v>12728197.6973</v>
      </c>
      <c r="L109" s="257">
        <f t="shared" si="18"/>
        <v>25.8</v>
      </c>
      <c r="M109" s="27">
        <f>IFERROR(100/'Skjema total MA'!I109*K109,0)</f>
        <v>9.706837234601073</v>
      </c>
    </row>
    <row r="110" spans="1:13" ht="15.75" x14ac:dyDescent="0.2">
      <c r="A110" s="21" t="s">
        <v>465</v>
      </c>
      <c r="B110" s="234">
        <v>211137.48579000001</v>
      </c>
      <c r="C110" s="234">
        <v>323161.00264999998</v>
      </c>
      <c r="D110" s="166">
        <f t="shared" si="15"/>
        <v>53.1</v>
      </c>
      <c r="E110" s="27">
        <f>IFERROR(100/'Skjema total MA'!C110*C110,0)</f>
        <v>68.316998686428065</v>
      </c>
      <c r="F110" s="234"/>
      <c r="G110" s="234"/>
      <c r="H110" s="166"/>
      <c r="I110" s="27"/>
      <c r="J110" s="289">
        <f t="shared" si="38"/>
        <v>211137.48579000001</v>
      </c>
      <c r="K110" s="44">
        <f t="shared" si="38"/>
        <v>323161.00264999998</v>
      </c>
      <c r="L110" s="257">
        <f t="shared" si="18"/>
        <v>53.1</v>
      </c>
      <c r="M110" s="27">
        <f>IFERROR(100/'Skjema total MA'!I110*K110,0)</f>
        <v>68.316998686428065</v>
      </c>
    </row>
    <row r="111" spans="1:13" ht="15.75" x14ac:dyDescent="0.2">
      <c r="A111" s="13" t="s">
        <v>445</v>
      </c>
      <c r="B111" s="310">
        <v>27561.362980000002</v>
      </c>
      <c r="C111" s="159">
        <v>26226.796280000002</v>
      </c>
      <c r="D111" s="171">
        <f t="shared" si="15"/>
        <v>-4.8</v>
      </c>
      <c r="E111" s="11">
        <f>IFERROR(100/'Skjema total MA'!C111*C111,0)</f>
        <v>2.8453991931280114</v>
      </c>
      <c r="F111" s="310">
        <v>1342282.4630200001</v>
      </c>
      <c r="G111" s="159">
        <v>1095726.4710200001</v>
      </c>
      <c r="H111" s="171">
        <f t="shared" si="16"/>
        <v>-18.399999999999999</v>
      </c>
      <c r="I111" s="11">
        <f>IFERROR(100/'Skjema total MA'!F111*G111,0)</f>
        <v>4.9340568365357873</v>
      </c>
      <c r="J111" s="311">
        <f t="shared" si="38"/>
        <v>1369843.8260000001</v>
      </c>
      <c r="K111" s="236">
        <f t="shared" si="38"/>
        <v>1121953.2672999999</v>
      </c>
      <c r="L111" s="429">
        <f t="shared" si="18"/>
        <v>-18.100000000000001</v>
      </c>
      <c r="M111" s="11">
        <f>IFERROR(100/'Skjema total MA'!I111*K111,0)</f>
        <v>4.8508211071771541</v>
      </c>
    </row>
    <row r="112" spans="1:13" x14ac:dyDescent="0.2">
      <c r="A112" s="21" t="s">
        <v>9</v>
      </c>
      <c r="B112" s="234">
        <v>3691.94391</v>
      </c>
      <c r="C112" s="145">
        <v>9234.1969800000006</v>
      </c>
      <c r="D112" s="166">
        <f t="shared" ref="D112:D125" si="63">IF(B112=0, "    ---- ", IF(ABS(ROUND(100/B112*C112-100,1))&lt;999,ROUND(100/B112*C112-100,1),IF(ROUND(100/B112*C112-100,1)&gt;999,999,-999)))</f>
        <v>150.1</v>
      </c>
      <c r="E112" s="27">
        <f>IFERROR(100/'Skjema total MA'!C112*C112,0)</f>
        <v>1.9237205435221554</v>
      </c>
      <c r="F112" s="234"/>
      <c r="G112" s="145"/>
      <c r="H112" s="166"/>
      <c r="I112" s="27"/>
      <c r="J112" s="289">
        <f t="shared" ref="J112:K125" si="64">SUM(B112,F112)</f>
        <v>3691.94391</v>
      </c>
      <c r="K112" s="44">
        <f t="shared" si="64"/>
        <v>9234.1969800000006</v>
      </c>
      <c r="L112" s="257">
        <f t="shared" ref="L112:L125" si="65">IF(J112=0, "    ---- ", IF(ABS(ROUND(100/J112*K112-100,1))&lt;999,ROUND(100/J112*K112-100,1),IF(ROUND(100/J112*K112-100,1)&gt;999,999,-999)))</f>
        <v>150.1</v>
      </c>
      <c r="M112" s="27">
        <f>IFERROR(100/'Skjema total MA'!I112*K112,0)</f>
        <v>1.8501048517475067</v>
      </c>
    </row>
    <row r="113" spans="1:14" x14ac:dyDescent="0.2">
      <c r="A113" s="21" t="s">
        <v>10</v>
      </c>
      <c r="B113" s="234">
        <v>345.58834999999999</v>
      </c>
      <c r="C113" s="145">
        <v>3724.60727</v>
      </c>
      <c r="D113" s="166">
        <f t="shared" si="63"/>
        <v>977.8</v>
      </c>
      <c r="E113" s="27">
        <f>IFERROR(100/'Skjema total MA'!C113*C113,0)</f>
        <v>73.094472800687399</v>
      </c>
      <c r="F113" s="234">
        <v>1312605.1536600001</v>
      </c>
      <c r="G113" s="145">
        <v>1095548.3690200001</v>
      </c>
      <c r="H113" s="166">
        <f t="shared" ref="H113:H125" si="66">IF(F113=0, "    ---- ", IF(ABS(ROUND(100/F113*G113-100,1))&lt;999,ROUND(100/F113*G113-100,1),IF(ROUND(100/F113*G113-100,1)&gt;999,999,-999)))</f>
        <v>-16.5</v>
      </c>
      <c r="I113" s="27">
        <f>IFERROR(100/'Skjema total MA'!F113*G113,0)</f>
        <v>4.9528918756122531</v>
      </c>
      <c r="J113" s="289">
        <f t="shared" si="64"/>
        <v>1312950.7420100002</v>
      </c>
      <c r="K113" s="44">
        <f t="shared" si="64"/>
        <v>1099272.9762900001</v>
      </c>
      <c r="L113" s="257">
        <f t="shared" si="65"/>
        <v>-16.3</v>
      </c>
      <c r="M113" s="27">
        <f>IFERROR(100/'Skjema total MA'!I113*K113,0)</f>
        <v>4.9685859392056919</v>
      </c>
    </row>
    <row r="114" spans="1:14" x14ac:dyDescent="0.2">
      <c r="A114" s="21" t="s">
        <v>26</v>
      </c>
      <c r="B114" s="234">
        <v>23523.830720000002</v>
      </c>
      <c r="C114" s="145">
        <v>13267.992029999999</v>
      </c>
      <c r="D114" s="166">
        <f t="shared" si="63"/>
        <v>-43.6</v>
      </c>
      <c r="E114" s="27">
        <f>IFERROR(100/'Skjema total MA'!C114*C114,0)</f>
        <v>3.0388433395563341</v>
      </c>
      <c r="F114" s="234">
        <v>29677.309359999999</v>
      </c>
      <c r="G114" s="145">
        <v>178.102</v>
      </c>
      <c r="H114" s="166">
        <f t="shared" si="66"/>
        <v>-99.4</v>
      </c>
      <c r="I114" s="27">
        <f>IFERROR(100/'Skjema total MA'!F114*G114,0)</f>
        <v>0.25831655757036176</v>
      </c>
      <c r="J114" s="289">
        <f t="shared" si="64"/>
        <v>53201.140079999997</v>
      </c>
      <c r="K114" s="44">
        <f t="shared" si="64"/>
        <v>13446.09403</v>
      </c>
      <c r="L114" s="257">
        <f t="shared" si="65"/>
        <v>-74.7</v>
      </c>
      <c r="M114" s="27">
        <f>IFERROR(100/'Skjema total MA'!I114*K114,0)</f>
        <v>2.6596413808635893</v>
      </c>
    </row>
    <row r="115" spans="1:14" x14ac:dyDescent="0.2">
      <c r="A115" s="298" t="s">
        <v>15</v>
      </c>
      <c r="B115" s="283"/>
      <c r="C115" s="283"/>
      <c r="D115" s="166"/>
      <c r="E115" s="418"/>
      <c r="F115" s="283"/>
      <c r="G115" s="283"/>
      <c r="H115" s="166"/>
      <c r="I115" s="418"/>
      <c r="J115" s="292"/>
      <c r="K115" s="292"/>
      <c r="L115" s="166"/>
      <c r="M115" s="23"/>
    </row>
    <row r="116" spans="1:14" ht="15.75" x14ac:dyDescent="0.2">
      <c r="A116" s="21" t="s">
        <v>466</v>
      </c>
      <c r="B116" s="234">
        <v>2128.8671300000001</v>
      </c>
      <c r="C116" s="234">
        <v>8060.1324699999996</v>
      </c>
      <c r="D116" s="166">
        <f t="shared" si="63"/>
        <v>278.60000000000002</v>
      </c>
      <c r="E116" s="27">
        <f>IFERROR(100/'Skjema total MA'!C116*C116,0)</f>
        <v>9.723659024553756</v>
      </c>
      <c r="F116" s="234"/>
      <c r="G116" s="234"/>
      <c r="H116" s="166"/>
      <c r="I116" s="27"/>
      <c r="J116" s="289">
        <f t="shared" si="64"/>
        <v>2128.8671300000001</v>
      </c>
      <c r="K116" s="44">
        <f t="shared" si="64"/>
        <v>8060.1324699999996</v>
      </c>
      <c r="L116" s="257">
        <f t="shared" si="65"/>
        <v>278.60000000000002</v>
      </c>
      <c r="M116" s="27">
        <f>IFERROR(100/'Skjema total MA'!I116*K116,0)</f>
        <v>7.9027202038244875</v>
      </c>
    </row>
    <row r="117" spans="1:14" ht="15.75" x14ac:dyDescent="0.2">
      <c r="A117" s="21" t="s">
        <v>467</v>
      </c>
      <c r="B117" s="234"/>
      <c r="C117" s="234"/>
      <c r="D117" s="166"/>
      <c r="E117" s="27"/>
      <c r="F117" s="234">
        <v>367463.08412999997</v>
      </c>
      <c r="G117" s="234">
        <v>426038.61816000001</v>
      </c>
      <c r="H117" s="166">
        <f t="shared" si="66"/>
        <v>15.9</v>
      </c>
      <c r="I117" s="27">
        <f>IFERROR(100/'Skjema total MA'!F117*G117,0)</f>
        <v>8.7047603578713417</v>
      </c>
      <c r="J117" s="289">
        <f t="shared" si="64"/>
        <v>367463.08412999997</v>
      </c>
      <c r="K117" s="44">
        <f t="shared" si="64"/>
        <v>426038.61816000001</v>
      </c>
      <c r="L117" s="257">
        <f t="shared" si="65"/>
        <v>15.9</v>
      </c>
      <c r="M117" s="27">
        <f>IFERROR(100/'Skjema total MA'!I117*K117,0)</f>
        <v>8.7047603578713417</v>
      </c>
    </row>
    <row r="118" spans="1:14" ht="15.75" x14ac:dyDescent="0.2">
      <c r="A118" s="21" t="s">
        <v>465</v>
      </c>
      <c r="B118" s="234"/>
      <c r="C118" s="234"/>
      <c r="D118" s="166"/>
      <c r="E118" s="27"/>
      <c r="F118" s="234"/>
      <c r="G118" s="234"/>
      <c r="H118" s="166"/>
      <c r="I118" s="27"/>
      <c r="J118" s="289"/>
      <c r="K118" s="44"/>
      <c r="L118" s="257"/>
      <c r="M118" s="27"/>
    </row>
    <row r="119" spans="1:14" ht="15.75" x14ac:dyDescent="0.2">
      <c r="A119" s="13" t="s">
        <v>446</v>
      </c>
      <c r="B119" s="310">
        <v>53658.277589999998</v>
      </c>
      <c r="C119" s="159">
        <v>40009.438720000006</v>
      </c>
      <c r="D119" s="171">
        <f t="shared" si="63"/>
        <v>-25.4</v>
      </c>
      <c r="E119" s="11">
        <f>IFERROR(100/'Skjema total MA'!C119*C119,0)</f>
        <v>4.6977407189051812</v>
      </c>
      <c r="F119" s="310">
        <v>1220512.7212</v>
      </c>
      <c r="G119" s="159">
        <v>1301486.09139</v>
      </c>
      <c r="H119" s="171">
        <f t="shared" si="66"/>
        <v>6.6</v>
      </c>
      <c r="I119" s="11">
        <f>IFERROR(100/'Skjema total MA'!F119*G119,0)</f>
        <v>5.8004879624684405</v>
      </c>
      <c r="J119" s="311">
        <f t="shared" si="64"/>
        <v>1274170.9987900001</v>
      </c>
      <c r="K119" s="236">
        <f t="shared" si="64"/>
        <v>1341495.5301099999</v>
      </c>
      <c r="L119" s="429">
        <f t="shared" si="65"/>
        <v>5.3</v>
      </c>
      <c r="M119" s="11">
        <f>IFERROR(100/'Skjema total MA'!I119*K119,0)</f>
        <v>5.7601610665834455</v>
      </c>
    </row>
    <row r="120" spans="1:14" x14ac:dyDescent="0.2">
      <c r="A120" s="21" t="s">
        <v>9</v>
      </c>
      <c r="B120" s="234">
        <v>4722.7186000000002</v>
      </c>
      <c r="C120" s="145">
        <v>396.30399999999997</v>
      </c>
      <c r="D120" s="166">
        <f t="shared" si="63"/>
        <v>-91.6</v>
      </c>
      <c r="E120" s="27">
        <f>IFERROR(100/'Skjema total MA'!C120*C120,0)</f>
        <v>6.4421553380408794E-2</v>
      </c>
      <c r="F120" s="234"/>
      <c r="G120" s="145"/>
      <c r="H120" s="166"/>
      <c r="I120" s="27"/>
      <c r="J120" s="289">
        <f t="shared" si="64"/>
        <v>4722.7186000000002</v>
      </c>
      <c r="K120" s="44">
        <f t="shared" si="64"/>
        <v>396.30399999999997</v>
      </c>
      <c r="L120" s="257">
        <f t="shared" si="65"/>
        <v>-91.6</v>
      </c>
      <c r="M120" s="27">
        <f>IFERROR(100/'Skjema total MA'!I120*K120,0)</f>
        <v>6.4421553380408794E-2</v>
      </c>
    </row>
    <row r="121" spans="1:14" x14ac:dyDescent="0.2">
      <c r="A121" s="21" t="s">
        <v>10</v>
      </c>
      <c r="B121" s="234">
        <v>37118.085039999998</v>
      </c>
      <c r="C121" s="145">
        <v>22381.234550000001</v>
      </c>
      <c r="D121" s="166">
        <f t="shared" si="63"/>
        <v>-39.700000000000003</v>
      </c>
      <c r="E121" s="27">
        <f>IFERROR(100/'Skjema total MA'!C121*C121,0)</f>
        <v>90.246059991396322</v>
      </c>
      <c r="F121" s="234">
        <v>1220512.7212</v>
      </c>
      <c r="G121" s="145">
        <v>1301486.09139</v>
      </c>
      <c r="H121" s="166">
        <f t="shared" si="66"/>
        <v>6.6</v>
      </c>
      <c r="I121" s="27">
        <f>IFERROR(100/'Skjema total MA'!F121*G121,0)</f>
        <v>5.8004879624684405</v>
      </c>
      <c r="J121" s="289">
        <f t="shared" si="64"/>
        <v>1257630.8062400001</v>
      </c>
      <c r="K121" s="44">
        <f t="shared" si="64"/>
        <v>1323867.3259399999</v>
      </c>
      <c r="L121" s="257">
        <f t="shared" si="65"/>
        <v>5.3</v>
      </c>
      <c r="M121" s="27">
        <f>IFERROR(100/'Skjema total MA'!I121*K121,0)</f>
        <v>5.8937227332464799</v>
      </c>
    </row>
    <row r="122" spans="1:14" x14ac:dyDescent="0.2">
      <c r="A122" s="21" t="s">
        <v>26</v>
      </c>
      <c r="B122" s="234">
        <v>11817.47395</v>
      </c>
      <c r="C122" s="145">
        <v>17231.900170000001</v>
      </c>
      <c r="D122" s="166">
        <f t="shared" si="63"/>
        <v>45.8</v>
      </c>
      <c r="E122" s="27">
        <f>IFERROR(100/'Skjema total MA'!C122*C122,0)</f>
        <v>8.139741770846717</v>
      </c>
      <c r="F122" s="234"/>
      <c r="G122" s="145"/>
      <c r="H122" s="166"/>
      <c r="I122" s="27"/>
      <c r="J122" s="289">
        <f t="shared" si="64"/>
        <v>11817.47395</v>
      </c>
      <c r="K122" s="44">
        <f t="shared" si="64"/>
        <v>17231.900170000001</v>
      </c>
      <c r="L122" s="257">
        <f t="shared" si="65"/>
        <v>45.8</v>
      </c>
      <c r="M122" s="27">
        <f>IFERROR(100/'Skjema total MA'!I122*K122,0)</f>
        <v>8.139741770846717</v>
      </c>
    </row>
    <row r="123" spans="1:14" x14ac:dyDescent="0.2">
      <c r="A123" s="298" t="s">
        <v>14</v>
      </c>
      <c r="B123" s="283"/>
      <c r="C123" s="283"/>
      <c r="D123" s="166"/>
      <c r="E123" s="418"/>
      <c r="F123" s="283"/>
      <c r="G123" s="283"/>
      <c r="H123" s="166"/>
      <c r="I123" s="418"/>
      <c r="J123" s="292"/>
      <c r="K123" s="292"/>
      <c r="L123" s="166"/>
      <c r="M123" s="23"/>
    </row>
    <row r="124" spans="1:14" ht="15.75" x14ac:dyDescent="0.2">
      <c r="A124" s="21" t="s">
        <v>472</v>
      </c>
      <c r="B124" s="234">
        <v>115.97561</v>
      </c>
      <c r="C124" s="234">
        <v>0</v>
      </c>
      <c r="D124" s="166">
        <f t="shared" si="63"/>
        <v>-100</v>
      </c>
      <c r="E124" s="27">
        <f>IFERROR(100/'Skjema total MA'!C124*C124,0)</f>
        <v>0</v>
      </c>
      <c r="F124" s="234"/>
      <c r="G124" s="234"/>
      <c r="H124" s="166"/>
      <c r="I124" s="27"/>
      <c r="J124" s="289">
        <f t="shared" si="64"/>
        <v>115.97561</v>
      </c>
      <c r="K124" s="44">
        <f t="shared" si="64"/>
        <v>0</v>
      </c>
      <c r="L124" s="257">
        <f t="shared" si="65"/>
        <v>-100</v>
      </c>
      <c r="M124" s="27">
        <f>IFERROR(100/'Skjema total MA'!I124*K124,0)</f>
        <v>0</v>
      </c>
    </row>
    <row r="125" spans="1:14" ht="15.75" x14ac:dyDescent="0.2">
      <c r="A125" s="21" t="s">
        <v>464</v>
      </c>
      <c r="B125" s="234">
        <v>3593.3910599999999</v>
      </c>
      <c r="C125" s="234">
        <v>2299.2925100000002</v>
      </c>
      <c r="D125" s="166">
        <f t="shared" si="63"/>
        <v>-36</v>
      </c>
      <c r="E125" s="27">
        <f>IFERROR(100/'Skjema total MA'!C125*C125,0)</f>
        <v>89.229100861542705</v>
      </c>
      <c r="F125" s="234">
        <v>278094.45474999998</v>
      </c>
      <c r="G125" s="234">
        <v>347115.00407999998</v>
      </c>
      <c r="H125" s="166">
        <f t="shared" si="66"/>
        <v>24.8</v>
      </c>
      <c r="I125" s="27">
        <f>IFERROR(100/'Skjema total MA'!F125*G125,0)</f>
        <v>9.6663995929747468</v>
      </c>
      <c r="J125" s="289">
        <f t="shared" si="64"/>
        <v>281687.84580999997</v>
      </c>
      <c r="K125" s="44">
        <f t="shared" si="64"/>
        <v>349414.29658999998</v>
      </c>
      <c r="L125" s="257">
        <f t="shared" si="65"/>
        <v>24</v>
      </c>
      <c r="M125" s="27">
        <f>IFERROR(100/'Skjema total MA'!I125*K125,0)</f>
        <v>9.7234524043171398</v>
      </c>
    </row>
    <row r="126" spans="1:14" ht="15.75" x14ac:dyDescent="0.2">
      <c r="A126" s="10" t="s">
        <v>465</v>
      </c>
      <c r="B126" s="45"/>
      <c r="C126" s="45"/>
      <c r="D126" s="167"/>
      <c r="E126" s="419"/>
      <c r="F126" s="45"/>
      <c r="G126" s="45"/>
      <c r="H126" s="167"/>
      <c r="I126" s="22"/>
      <c r="J126" s="290"/>
      <c r="K126" s="45"/>
      <c r="L126" s="258"/>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1022"/>
      <c r="C130" s="1022"/>
      <c r="D130" s="1022"/>
      <c r="E130" s="301"/>
      <c r="F130" s="1022"/>
      <c r="G130" s="1022"/>
      <c r="H130" s="1022"/>
      <c r="I130" s="301"/>
      <c r="J130" s="1022"/>
      <c r="K130" s="1022"/>
      <c r="L130" s="1022"/>
      <c r="M130" s="301"/>
    </row>
    <row r="131" spans="1:14" s="3" customFormat="1" x14ac:dyDescent="0.2">
      <c r="A131" s="144"/>
      <c r="B131" s="1023" t="s">
        <v>0</v>
      </c>
      <c r="C131" s="1024"/>
      <c r="D131" s="1024"/>
      <c r="E131" s="303"/>
      <c r="F131" s="1023" t="s">
        <v>1</v>
      </c>
      <c r="G131" s="1024"/>
      <c r="H131" s="1024"/>
      <c r="I131" s="306"/>
      <c r="J131" s="1023" t="s">
        <v>2</v>
      </c>
      <c r="K131" s="1024"/>
      <c r="L131" s="1024"/>
      <c r="M131" s="306"/>
      <c r="N131" s="148"/>
    </row>
    <row r="132" spans="1:14" s="3" customFormat="1" x14ac:dyDescent="0.2">
      <c r="A132" s="140"/>
      <c r="B132" s="152" t="s">
        <v>502</v>
      </c>
      <c r="C132" s="152" t="s">
        <v>503</v>
      </c>
      <c r="D132" s="245" t="s">
        <v>3</v>
      </c>
      <c r="E132" s="307" t="s">
        <v>29</v>
      </c>
      <c r="F132" s="152" t="s">
        <v>502</v>
      </c>
      <c r="G132" s="152" t="s">
        <v>503</v>
      </c>
      <c r="H132" s="206" t="s">
        <v>3</v>
      </c>
      <c r="I132" s="162" t="s">
        <v>29</v>
      </c>
      <c r="J132" s="152" t="s">
        <v>502</v>
      </c>
      <c r="K132" s="152" t="s">
        <v>503</v>
      </c>
      <c r="L132" s="246" t="s">
        <v>3</v>
      </c>
      <c r="M132" s="162" t="s">
        <v>29</v>
      </c>
      <c r="N132" s="148"/>
    </row>
    <row r="133" spans="1:14" s="3" customFormat="1" x14ac:dyDescent="0.2">
      <c r="A133" s="990"/>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468</v>
      </c>
      <c r="B134" s="236"/>
      <c r="C134" s="311"/>
      <c r="D134" s="351"/>
      <c r="E134" s="11"/>
      <c r="F134" s="318"/>
      <c r="G134" s="319"/>
      <c r="H134" s="432"/>
      <c r="I134" s="24"/>
      <c r="J134" s="320"/>
      <c r="K134" s="320"/>
      <c r="L134" s="428"/>
      <c r="M134" s="11"/>
      <c r="N134" s="148"/>
    </row>
    <row r="135" spans="1:14" s="3" customFormat="1" ht="15.75" x14ac:dyDescent="0.2">
      <c r="A135" s="13" t="s">
        <v>473</v>
      </c>
      <c r="B135" s="236"/>
      <c r="C135" s="311"/>
      <c r="D135" s="171"/>
      <c r="E135" s="11"/>
      <c r="F135" s="236"/>
      <c r="G135" s="311"/>
      <c r="H135" s="433"/>
      <c r="I135" s="24"/>
      <c r="J135" s="310"/>
      <c r="K135" s="310"/>
      <c r="L135" s="429"/>
      <c r="M135" s="11"/>
      <c r="N135" s="148"/>
    </row>
    <row r="136" spans="1:14" s="3" customFormat="1" ht="15.75" x14ac:dyDescent="0.2">
      <c r="A136" s="13" t="s">
        <v>470</v>
      </c>
      <c r="B136" s="236"/>
      <c r="C136" s="311"/>
      <c r="D136" s="171"/>
      <c r="E136" s="11"/>
      <c r="F136" s="236"/>
      <c r="G136" s="311"/>
      <c r="H136" s="433"/>
      <c r="I136" s="24"/>
      <c r="J136" s="310"/>
      <c r="K136" s="310"/>
      <c r="L136" s="429"/>
      <c r="M136" s="11"/>
      <c r="N136" s="148"/>
    </row>
    <row r="137" spans="1:14" s="3" customFormat="1" ht="15.75" x14ac:dyDescent="0.2">
      <c r="A137" s="41" t="s">
        <v>471</v>
      </c>
      <c r="B137" s="278"/>
      <c r="C137" s="317"/>
      <c r="D137" s="169"/>
      <c r="E137" s="9"/>
      <c r="F137" s="278"/>
      <c r="G137" s="317"/>
      <c r="H137" s="434"/>
      <c r="I137" s="36"/>
      <c r="J137" s="316"/>
      <c r="K137" s="316"/>
      <c r="L137" s="430"/>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210" priority="132">
      <formula>kvartal &lt; 4</formula>
    </cfRule>
  </conditionalFormatting>
  <conditionalFormatting sqref="B69">
    <cfRule type="expression" dxfId="1209" priority="100">
      <formula>kvartal &lt; 4</formula>
    </cfRule>
  </conditionalFormatting>
  <conditionalFormatting sqref="C69">
    <cfRule type="expression" dxfId="1208" priority="99">
      <formula>kvartal &lt; 4</formula>
    </cfRule>
  </conditionalFormatting>
  <conditionalFormatting sqref="B72">
    <cfRule type="expression" dxfId="1207" priority="98">
      <formula>kvartal &lt; 4</formula>
    </cfRule>
  </conditionalFormatting>
  <conditionalFormatting sqref="C72">
    <cfRule type="expression" dxfId="1206" priority="97">
      <formula>kvartal &lt; 4</formula>
    </cfRule>
  </conditionalFormatting>
  <conditionalFormatting sqref="B80">
    <cfRule type="expression" dxfId="1205" priority="96">
      <formula>kvartal &lt; 4</formula>
    </cfRule>
  </conditionalFormatting>
  <conditionalFormatting sqref="C80">
    <cfRule type="expression" dxfId="1204" priority="95">
      <formula>kvartal &lt; 4</formula>
    </cfRule>
  </conditionalFormatting>
  <conditionalFormatting sqref="B83">
    <cfRule type="expression" dxfId="1203" priority="94">
      <formula>kvartal &lt; 4</formula>
    </cfRule>
  </conditionalFormatting>
  <conditionalFormatting sqref="C83">
    <cfRule type="expression" dxfId="1202" priority="93">
      <formula>kvartal &lt; 4</formula>
    </cfRule>
  </conditionalFormatting>
  <conditionalFormatting sqref="B90">
    <cfRule type="expression" dxfId="1201" priority="84">
      <formula>kvartal &lt; 4</formula>
    </cfRule>
  </conditionalFormatting>
  <conditionalFormatting sqref="C90">
    <cfRule type="expression" dxfId="1200" priority="83">
      <formula>kvartal &lt; 4</formula>
    </cfRule>
  </conditionalFormatting>
  <conditionalFormatting sqref="B93">
    <cfRule type="expression" dxfId="1199" priority="82">
      <formula>kvartal &lt; 4</formula>
    </cfRule>
  </conditionalFormatting>
  <conditionalFormatting sqref="C93">
    <cfRule type="expression" dxfId="1198" priority="81">
      <formula>kvartal &lt; 4</formula>
    </cfRule>
  </conditionalFormatting>
  <conditionalFormatting sqref="B101">
    <cfRule type="expression" dxfId="1197" priority="80">
      <formula>kvartal &lt; 4</formula>
    </cfRule>
  </conditionalFormatting>
  <conditionalFormatting sqref="C101">
    <cfRule type="expression" dxfId="1196" priority="79">
      <formula>kvartal &lt; 4</formula>
    </cfRule>
  </conditionalFormatting>
  <conditionalFormatting sqref="B104">
    <cfRule type="expression" dxfId="1195" priority="78">
      <formula>kvartal &lt; 4</formula>
    </cfRule>
  </conditionalFormatting>
  <conditionalFormatting sqref="C104">
    <cfRule type="expression" dxfId="1194" priority="77">
      <formula>kvartal &lt; 4</formula>
    </cfRule>
  </conditionalFormatting>
  <conditionalFormatting sqref="B115">
    <cfRule type="expression" dxfId="1193" priority="76">
      <formula>kvartal &lt; 4</formula>
    </cfRule>
  </conditionalFormatting>
  <conditionalFormatting sqref="C115">
    <cfRule type="expression" dxfId="1192" priority="75">
      <formula>kvartal &lt; 4</formula>
    </cfRule>
  </conditionalFormatting>
  <conditionalFormatting sqref="B123">
    <cfRule type="expression" dxfId="1191" priority="74">
      <formula>kvartal &lt; 4</formula>
    </cfRule>
  </conditionalFormatting>
  <conditionalFormatting sqref="C123">
    <cfRule type="expression" dxfId="1190" priority="73">
      <formula>kvartal &lt; 4</formula>
    </cfRule>
  </conditionalFormatting>
  <conditionalFormatting sqref="F70">
    <cfRule type="expression" dxfId="1189" priority="72">
      <formula>kvartal &lt; 4</formula>
    </cfRule>
  </conditionalFormatting>
  <conditionalFormatting sqref="G70">
    <cfRule type="expression" dxfId="1188" priority="71">
      <formula>kvartal &lt; 4</formula>
    </cfRule>
  </conditionalFormatting>
  <conditionalFormatting sqref="F71:G71">
    <cfRule type="expression" dxfId="1187" priority="70">
      <formula>kvartal &lt; 4</formula>
    </cfRule>
  </conditionalFormatting>
  <conditionalFormatting sqref="F73:G74">
    <cfRule type="expression" dxfId="1186" priority="69">
      <formula>kvartal &lt; 4</formula>
    </cfRule>
  </conditionalFormatting>
  <conditionalFormatting sqref="F81:G82">
    <cfRule type="expression" dxfId="1185" priority="68">
      <formula>kvartal &lt; 4</formula>
    </cfRule>
  </conditionalFormatting>
  <conditionalFormatting sqref="F84:G85">
    <cfRule type="expression" dxfId="1184" priority="67">
      <formula>kvartal &lt; 4</formula>
    </cfRule>
  </conditionalFormatting>
  <conditionalFormatting sqref="F91:G92">
    <cfRule type="expression" dxfId="1183" priority="62">
      <formula>kvartal &lt; 4</formula>
    </cfRule>
  </conditionalFormatting>
  <conditionalFormatting sqref="F94:G95">
    <cfRule type="expression" dxfId="1182" priority="61">
      <formula>kvartal &lt; 4</formula>
    </cfRule>
  </conditionalFormatting>
  <conditionalFormatting sqref="F102:G103">
    <cfRule type="expression" dxfId="1181" priority="60">
      <formula>kvartal &lt; 4</formula>
    </cfRule>
  </conditionalFormatting>
  <conditionalFormatting sqref="F105:G106">
    <cfRule type="expression" dxfId="1180" priority="59">
      <formula>kvartal &lt; 4</formula>
    </cfRule>
  </conditionalFormatting>
  <conditionalFormatting sqref="F115">
    <cfRule type="expression" dxfId="1179" priority="58">
      <formula>kvartal &lt; 4</formula>
    </cfRule>
  </conditionalFormatting>
  <conditionalFormatting sqref="G115">
    <cfRule type="expression" dxfId="1178" priority="57">
      <formula>kvartal &lt; 4</formula>
    </cfRule>
  </conditionalFormatting>
  <conditionalFormatting sqref="F123:G123">
    <cfRule type="expression" dxfId="1177" priority="56">
      <formula>kvartal &lt; 4</formula>
    </cfRule>
  </conditionalFormatting>
  <conditionalFormatting sqref="F69:G69">
    <cfRule type="expression" dxfId="1176" priority="55">
      <formula>kvartal &lt; 4</formula>
    </cfRule>
  </conditionalFormatting>
  <conditionalFormatting sqref="F72:G72">
    <cfRule type="expression" dxfId="1175" priority="54">
      <formula>kvartal &lt; 4</formula>
    </cfRule>
  </conditionalFormatting>
  <conditionalFormatting sqref="F80:G80">
    <cfRule type="expression" dxfId="1174" priority="53">
      <formula>kvartal &lt; 4</formula>
    </cfRule>
  </conditionalFormatting>
  <conditionalFormatting sqref="F83:G83">
    <cfRule type="expression" dxfId="1173" priority="52">
      <formula>kvartal &lt; 4</formula>
    </cfRule>
  </conditionalFormatting>
  <conditionalFormatting sqref="F90:G90">
    <cfRule type="expression" dxfId="1172" priority="46">
      <formula>kvartal &lt; 4</formula>
    </cfRule>
  </conditionalFormatting>
  <conditionalFormatting sqref="F93">
    <cfRule type="expression" dxfId="1171" priority="45">
      <formula>kvartal &lt; 4</formula>
    </cfRule>
  </conditionalFormatting>
  <conditionalFormatting sqref="G93">
    <cfRule type="expression" dxfId="1170" priority="44">
      <formula>kvartal &lt; 4</formula>
    </cfRule>
  </conditionalFormatting>
  <conditionalFormatting sqref="F101">
    <cfRule type="expression" dxfId="1169" priority="43">
      <formula>kvartal &lt; 4</formula>
    </cfRule>
  </conditionalFormatting>
  <conditionalFormatting sqref="G101">
    <cfRule type="expression" dxfId="1168" priority="42">
      <formula>kvartal &lt; 4</formula>
    </cfRule>
  </conditionalFormatting>
  <conditionalFormatting sqref="G104">
    <cfRule type="expression" dxfId="1167" priority="41">
      <formula>kvartal &lt; 4</formula>
    </cfRule>
  </conditionalFormatting>
  <conditionalFormatting sqref="F104">
    <cfRule type="expression" dxfId="1166" priority="40">
      <formula>kvartal &lt; 4</formula>
    </cfRule>
  </conditionalFormatting>
  <conditionalFormatting sqref="J69:K71">
    <cfRule type="expression" dxfId="1165" priority="39">
      <formula>kvartal &lt; 4</formula>
    </cfRule>
  </conditionalFormatting>
  <conditionalFormatting sqref="J80:K82 J84:K84">
    <cfRule type="expression" dxfId="1164" priority="37">
      <formula>kvartal &lt; 4</formula>
    </cfRule>
  </conditionalFormatting>
  <conditionalFormatting sqref="J90:K92 J94:K94">
    <cfRule type="expression" dxfId="1163" priority="34">
      <formula>kvartal &lt; 4</formula>
    </cfRule>
  </conditionalFormatting>
  <conditionalFormatting sqref="J101:K103 J105:K105">
    <cfRule type="expression" dxfId="1162" priority="33">
      <formula>kvartal &lt; 4</formula>
    </cfRule>
  </conditionalFormatting>
  <conditionalFormatting sqref="J115:K115">
    <cfRule type="expression" dxfId="1161" priority="32">
      <formula>kvartal &lt; 4</formula>
    </cfRule>
  </conditionalFormatting>
  <conditionalFormatting sqref="J123:K123">
    <cfRule type="expression" dxfId="1160" priority="31">
      <formula>kvartal &lt; 4</formula>
    </cfRule>
  </conditionalFormatting>
  <conditionalFormatting sqref="A50:A52">
    <cfRule type="expression" dxfId="1159" priority="12">
      <formula>kvartal &lt; 4</formula>
    </cfRule>
  </conditionalFormatting>
  <conditionalFormatting sqref="A69:A74">
    <cfRule type="expression" dxfId="1158" priority="10">
      <formula>kvartal &lt; 4</formula>
    </cfRule>
  </conditionalFormatting>
  <conditionalFormatting sqref="A80:A85">
    <cfRule type="expression" dxfId="1157" priority="9">
      <formula>kvartal &lt; 4</formula>
    </cfRule>
  </conditionalFormatting>
  <conditionalFormatting sqref="A90:A95">
    <cfRule type="expression" dxfId="1156" priority="6">
      <formula>kvartal &lt; 4</formula>
    </cfRule>
  </conditionalFormatting>
  <conditionalFormatting sqref="A101:A106">
    <cfRule type="expression" dxfId="1155" priority="5">
      <formula>kvartal &lt; 4</formula>
    </cfRule>
  </conditionalFormatting>
  <conditionalFormatting sqref="A115">
    <cfRule type="expression" dxfId="1154" priority="4">
      <formula>kvartal &lt; 4</formula>
    </cfRule>
  </conditionalFormatting>
  <conditionalFormatting sqref="A123">
    <cfRule type="expression" dxfId="1153" priority="3">
      <formula>kvartal &lt; 4</formula>
    </cfRule>
  </conditionalFormatting>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30"/>
  <dimension ref="A1:N144"/>
  <sheetViews>
    <sheetView showGridLines="0" zoomScale="120" zoomScaleNormal="120" workbookViewId="0"/>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133</v>
      </c>
      <c r="B1" s="988"/>
      <c r="C1" s="248" t="s">
        <v>131</v>
      </c>
      <c r="D1" s="26"/>
      <c r="E1" s="26"/>
      <c r="F1" s="26"/>
      <c r="G1" s="26"/>
      <c r="H1" s="26"/>
      <c r="I1" s="26"/>
      <c r="J1" s="26"/>
      <c r="K1" s="26"/>
      <c r="L1" s="26"/>
      <c r="M1" s="26"/>
    </row>
    <row r="2" spans="1:14" ht="15.75" x14ac:dyDescent="0.25">
      <c r="A2" s="165" t="s">
        <v>28</v>
      </c>
      <c r="B2" s="1027"/>
      <c r="C2" s="1027"/>
      <c r="D2" s="1027"/>
      <c r="E2" s="301"/>
      <c r="F2" s="1027"/>
      <c r="G2" s="1027"/>
      <c r="H2" s="1027"/>
      <c r="I2" s="301"/>
      <c r="J2" s="1027"/>
      <c r="K2" s="1027"/>
      <c r="L2" s="1027"/>
      <c r="M2" s="301"/>
    </row>
    <row r="3" spans="1:14" ht="15.75" x14ac:dyDescent="0.25">
      <c r="A3" s="163"/>
      <c r="B3" s="301"/>
      <c r="C3" s="301"/>
      <c r="D3" s="301"/>
      <c r="E3" s="301"/>
      <c r="F3" s="301"/>
      <c r="G3" s="301"/>
      <c r="H3" s="301"/>
      <c r="I3" s="301"/>
      <c r="J3" s="301"/>
      <c r="K3" s="301"/>
      <c r="L3" s="301"/>
      <c r="M3" s="301"/>
    </row>
    <row r="4" spans="1:14" x14ac:dyDescent="0.2">
      <c r="A4" s="144"/>
      <c r="B4" s="1023" t="s">
        <v>0</v>
      </c>
      <c r="C4" s="1024"/>
      <c r="D4" s="1024"/>
      <c r="E4" s="303"/>
      <c r="F4" s="1023" t="s">
        <v>1</v>
      </c>
      <c r="G4" s="1024"/>
      <c r="H4" s="1024"/>
      <c r="I4" s="306"/>
      <c r="J4" s="1023" t="s">
        <v>2</v>
      </c>
      <c r="K4" s="1024"/>
      <c r="L4" s="1024"/>
      <c r="M4" s="306"/>
    </row>
    <row r="5" spans="1:14" x14ac:dyDescent="0.2">
      <c r="A5" s="158"/>
      <c r="B5" s="152" t="s">
        <v>502</v>
      </c>
      <c r="C5" s="152" t="s">
        <v>503</v>
      </c>
      <c r="D5" s="245" t="s">
        <v>3</v>
      </c>
      <c r="E5" s="307" t="s">
        <v>29</v>
      </c>
      <c r="F5" s="152" t="s">
        <v>502</v>
      </c>
      <c r="G5" s="152" t="s">
        <v>503</v>
      </c>
      <c r="H5" s="245" t="s">
        <v>3</v>
      </c>
      <c r="I5" s="162" t="s">
        <v>29</v>
      </c>
      <c r="J5" s="152" t="s">
        <v>502</v>
      </c>
      <c r="K5" s="152" t="s">
        <v>503</v>
      </c>
      <c r="L5" s="245" t="s">
        <v>3</v>
      </c>
      <c r="M5" s="162" t="s">
        <v>29</v>
      </c>
    </row>
    <row r="6" spans="1:14" x14ac:dyDescent="0.2">
      <c r="A6" s="989"/>
      <c r="B6" s="156"/>
      <c r="C6" s="156"/>
      <c r="D6" s="246" t="s">
        <v>4</v>
      </c>
      <c r="E6" s="156" t="s">
        <v>30</v>
      </c>
      <c r="F6" s="161"/>
      <c r="G6" s="161"/>
      <c r="H6" s="245" t="s">
        <v>4</v>
      </c>
      <c r="I6" s="156" t="s">
        <v>30</v>
      </c>
      <c r="J6" s="161"/>
      <c r="K6" s="161"/>
      <c r="L6" s="245" t="s">
        <v>4</v>
      </c>
      <c r="M6" s="156" t="s">
        <v>30</v>
      </c>
    </row>
    <row r="7" spans="1:14" ht="15.75" x14ac:dyDescent="0.2">
      <c r="A7" s="14" t="s">
        <v>23</v>
      </c>
      <c r="B7" s="308">
        <v>681154.11199999996</v>
      </c>
      <c r="C7" s="309">
        <v>714277.73199999996</v>
      </c>
      <c r="D7" s="351">
        <f>IF(B7=0, "    ---- ", IF(ABS(ROUND(100/B7*C7-100,1))&lt;999,ROUND(100/B7*C7-100,1),IF(ROUND(100/B7*C7-100,1)&gt;999,999,-999)))</f>
        <v>4.9000000000000004</v>
      </c>
      <c r="E7" s="11">
        <f>IFERROR(100/'Skjema total MA'!C7*C7,0)</f>
        <v>15.023863732303186</v>
      </c>
      <c r="F7" s="308">
        <v>1233965.504</v>
      </c>
      <c r="G7" s="309">
        <v>1477997.915</v>
      </c>
      <c r="H7" s="351">
        <f>IF(F7=0, "    ---- ", IF(ABS(ROUND(100/F7*G7-100,1))&lt;999,ROUND(100/F7*G7-100,1),IF(ROUND(100/F7*G7-100,1)&gt;999,999,-999)))</f>
        <v>19.8</v>
      </c>
      <c r="I7" s="160">
        <f>IFERROR(100/'Skjema total MA'!F7*G7,0)</f>
        <v>14.348658136844445</v>
      </c>
      <c r="J7" s="310">
        <f t="shared" ref="J7:K12" si="0">SUM(B7,F7)</f>
        <v>1915119.6159999999</v>
      </c>
      <c r="K7" s="311">
        <f t="shared" si="0"/>
        <v>2192275.6469999999</v>
      </c>
      <c r="L7" s="428">
        <f>IF(J7=0, "    ---- ", IF(ABS(ROUND(100/J7*K7-100,1))&lt;999,ROUND(100/J7*K7-100,1),IF(ROUND(100/J7*K7-100,1)&gt;999,999,-999)))</f>
        <v>14.5</v>
      </c>
      <c r="M7" s="11">
        <f>IFERROR(100/'Skjema total MA'!I7*K7,0)</f>
        <v>14.561886010143848</v>
      </c>
    </row>
    <row r="8" spans="1:14" ht="15.75" x14ac:dyDescent="0.2">
      <c r="A8" s="21" t="s">
        <v>25</v>
      </c>
      <c r="B8" s="283">
        <v>266800.79100000003</v>
      </c>
      <c r="C8" s="284">
        <v>276364.62800000003</v>
      </c>
      <c r="D8" s="166">
        <f t="shared" ref="D8:D10" si="1">IF(B8=0, "    ---- ", IF(ABS(ROUND(100/B8*C8-100,1))&lt;999,ROUND(100/B8*C8-100,1),IF(ROUND(100/B8*C8-100,1)&gt;999,999,-999)))</f>
        <v>3.6</v>
      </c>
      <c r="E8" s="27">
        <f>IFERROR(100/'Skjema total MA'!C8*C8,0)</f>
        <v>8.9069739117936084</v>
      </c>
      <c r="F8" s="287"/>
      <c r="G8" s="288"/>
      <c r="H8" s="166"/>
      <c r="I8" s="175"/>
      <c r="J8" s="234">
        <f t="shared" si="0"/>
        <v>266800.79100000003</v>
      </c>
      <c r="K8" s="289">
        <f t="shared" si="0"/>
        <v>276364.62800000003</v>
      </c>
      <c r="L8" s="166">
        <f t="shared" ref="L8:L9" si="2">IF(J8=0, "    ---- ", IF(ABS(ROUND(100/J8*K8-100,1))&lt;999,ROUND(100/J8*K8-100,1),IF(ROUND(100/J8*K8-100,1)&gt;999,999,-999)))</f>
        <v>3.6</v>
      </c>
      <c r="M8" s="27">
        <f>IFERROR(100/'Skjema total MA'!I8*K8,0)</f>
        <v>8.9069739117936084</v>
      </c>
    </row>
    <row r="9" spans="1:14" ht="15.75" x14ac:dyDescent="0.2">
      <c r="A9" s="21" t="s">
        <v>24</v>
      </c>
      <c r="B9" s="283">
        <v>61205.169000000002</v>
      </c>
      <c r="C9" s="284">
        <v>58622.487999999998</v>
      </c>
      <c r="D9" s="166">
        <f t="shared" si="1"/>
        <v>-4.2</v>
      </c>
      <c r="E9" s="27">
        <f>IFERROR(100/'Skjema total MA'!C9*C9,0)</f>
        <v>6.1823180608095392</v>
      </c>
      <c r="F9" s="287"/>
      <c r="G9" s="288"/>
      <c r="H9" s="166"/>
      <c r="I9" s="175"/>
      <c r="J9" s="234">
        <f t="shared" si="0"/>
        <v>61205.169000000002</v>
      </c>
      <c r="K9" s="289">
        <f t="shared" si="0"/>
        <v>58622.487999999998</v>
      </c>
      <c r="L9" s="166">
        <f t="shared" si="2"/>
        <v>-4.2</v>
      </c>
      <c r="M9" s="27">
        <f>IFERROR(100/'Skjema total MA'!I9*K9,0)</f>
        <v>6.1823180608095392</v>
      </c>
    </row>
    <row r="10" spans="1:14" ht="15.75" x14ac:dyDescent="0.2">
      <c r="A10" s="13" t="s">
        <v>444</v>
      </c>
      <c r="B10" s="312">
        <v>3960295.855</v>
      </c>
      <c r="C10" s="313">
        <v>4055092.72</v>
      </c>
      <c r="D10" s="171">
        <f t="shared" si="1"/>
        <v>2.4</v>
      </c>
      <c r="E10" s="11">
        <f>IFERROR(100/'Skjema total MA'!C10*C10,0)</f>
        <v>20.554535762391147</v>
      </c>
      <c r="F10" s="312">
        <v>7506271.8710000003</v>
      </c>
      <c r="G10" s="313">
        <v>9082091.9360000007</v>
      </c>
      <c r="H10" s="171">
        <f t="shared" ref="H10:H12" si="3">IF(F10=0, "    ---- ", IF(ABS(ROUND(100/F10*G10-100,1))&lt;999,ROUND(100/F10*G10-100,1),IF(ROUND(100/F10*G10-100,1)&gt;999,999,-999)))</f>
        <v>21</v>
      </c>
      <c r="I10" s="160">
        <f>IFERROR(100/'Skjema total MA'!F10*G10,0)</f>
        <v>14.964383697525717</v>
      </c>
      <c r="J10" s="310">
        <f t="shared" si="0"/>
        <v>11466567.726</v>
      </c>
      <c r="K10" s="311">
        <f t="shared" si="0"/>
        <v>13137184.656000001</v>
      </c>
      <c r="L10" s="429">
        <f t="shared" ref="L10:L12" si="4">IF(J10=0, "    ---- ", IF(ABS(ROUND(100/J10*K10-100,1))&lt;999,ROUND(100/J10*K10-100,1),IF(ROUND(100/J10*K10-100,1)&gt;999,999,-999)))</f>
        <v>14.6</v>
      </c>
      <c r="M10" s="11">
        <f>IFERROR(100/'Skjema total MA'!I10*K10,0)</f>
        <v>16.335750133146391</v>
      </c>
    </row>
    <row r="11" spans="1:14" s="43" customFormat="1" ht="15.75" x14ac:dyDescent="0.2">
      <c r="A11" s="13" t="s">
        <v>445</v>
      </c>
      <c r="B11" s="312"/>
      <c r="C11" s="313"/>
      <c r="D11" s="171"/>
      <c r="E11" s="11"/>
      <c r="F11" s="312">
        <v>11825.915000000001</v>
      </c>
      <c r="G11" s="313">
        <v>19082.621999999999</v>
      </c>
      <c r="H11" s="171">
        <f t="shared" si="3"/>
        <v>61.4</v>
      </c>
      <c r="I11" s="160">
        <f>IFERROR(100/'Skjema total MA'!F11*G11,0)</f>
        <v>5.5729930501184031</v>
      </c>
      <c r="J11" s="310">
        <f t="shared" si="0"/>
        <v>11825.915000000001</v>
      </c>
      <c r="K11" s="311">
        <f t="shared" si="0"/>
        <v>19082.621999999999</v>
      </c>
      <c r="L11" s="429">
        <f t="shared" si="4"/>
        <v>61.4</v>
      </c>
      <c r="M11" s="11">
        <f>IFERROR(100/'Skjema total MA'!I11*K11,0)</f>
        <v>4.9843566609130088</v>
      </c>
      <c r="N11" s="143"/>
    </row>
    <row r="12" spans="1:14" s="43" customFormat="1" ht="15.75" x14ac:dyDescent="0.2">
      <c r="A12" s="41" t="s">
        <v>446</v>
      </c>
      <c r="B12" s="314"/>
      <c r="C12" s="315"/>
      <c r="D12" s="169"/>
      <c r="E12" s="36"/>
      <c r="F12" s="314">
        <v>52011.178999999996</v>
      </c>
      <c r="G12" s="315">
        <v>27061.306</v>
      </c>
      <c r="H12" s="169">
        <f t="shared" si="3"/>
        <v>-48</v>
      </c>
      <c r="I12" s="169">
        <f>IFERROR(100/'Skjema total MA'!F12*G12,0)</f>
        <v>10.999168329855619</v>
      </c>
      <c r="J12" s="316">
        <f t="shared" si="0"/>
        <v>52011.178999999996</v>
      </c>
      <c r="K12" s="317">
        <f t="shared" si="0"/>
        <v>27061.306</v>
      </c>
      <c r="L12" s="430">
        <f t="shared" si="4"/>
        <v>-48</v>
      </c>
      <c r="M12" s="36">
        <f>IFERROR(100/'Skjema total MA'!I12*K12,0)</f>
        <v>10.874000223212439</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1022"/>
      <c r="C18" s="1022"/>
      <c r="D18" s="1022"/>
      <c r="E18" s="301"/>
      <c r="F18" s="1022"/>
      <c r="G18" s="1022"/>
      <c r="H18" s="1022"/>
      <c r="I18" s="301"/>
      <c r="J18" s="1022"/>
      <c r="K18" s="1022"/>
      <c r="L18" s="1022"/>
      <c r="M18" s="301"/>
    </row>
    <row r="19" spans="1:14" x14ac:dyDescent="0.2">
      <c r="A19" s="144"/>
      <c r="B19" s="1023" t="s">
        <v>0</v>
      </c>
      <c r="C19" s="1024"/>
      <c r="D19" s="1024"/>
      <c r="E19" s="303"/>
      <c r="F19" s="1023" t="s">
        <v>1</v>
      </c>
      <c r="G19" s="1024"/>
      <c r="H19" s="1024"/>
      <c r="I19" s="306"/>
      <c r="J19" s="1023" t="s">
        <v>2</v>
      </c>
      <c r="K19" s="1024"/>
      <c r="L19" s="1024"/>
      <c r="M19" s="306"/>
    </row>
    <row r="20" spans="1:14" x14ac:dyDescent="0.2">
      <c r="A20" s="140" t="s">
        <v>5</v>
      </c>
      <c r="B20" s="152" t="s">
        <v>502</v>
      </c>
      <c r="C20" s="152" t="s">
        <v>503</v>
      </c>
      <c r="D20" s="162" t="s">
        <v>3</v>
      </c>
      <c r="E20" s="307" t="s">
        <v>29</v>
      </c>
      <c r="F20" s="152" t="s">
        <v>502</v>
      </c>
      <c r="G20" s="152" t="s">
        <v>503</v>
      </c>
      <c r="H20" s="162" t="s">
        <v>3</v>
      </c>
      <c r="I20" s="162" t="s">
        <v>29</v>
      </c>
      <c r="J20" s="152" t="s">
        <v>502</v>
      </c>
      <c r="K20" s="152" t="s">
        <v>503</v>
      </c>
      <c r="L20" s="162" t="s">
        <v>3</v>
      </c>
      <c r="M20" s="162" t="s">
        <v>29</v>
      </c>
    </row>
    <row r="21" spans="1:14" x14ac:dyDescent="0.2">
      <c r="A21" s="990"/>
      <c r="B21" s="156"/>
      <c r="C21" s="156"/>
      <c r="D21" s="246" t="s">
        <v>4</v>
      </c>
      <c r="E21" s="156" t="s">
        <v>30</v>
      </c>
      <c r="F21" s="161"/>
      <c r="G21" s="161"/>
      <c r="H21" s="245" t="s">
        <v>4</v>
      </c>
      <c r="I21" s="156" t="s">
        <v>30</v>
      </c>
      <c r="J21" s="161"/>
      <c r="K21" s="161"/>
      <c r="L21" s="156" t="s">
        <v>4</v>
      </c>
      <c r="M21" s="156" t="s">
        <v>30</v>
      </c>
    </row>
    <row r="22" spans="1:14" ht="15.75" x14ac:dyDescent="0.2">
      <c r="A22" s="14" t="s">
        <v>23</v>
      </c>
      <c r="B22" s="312">
        <v>10196.307000000001</v>
      </c>
      <c r="C22" s="312">
        <v>8491.3340000000007</v>
      </c>
      <c r="D22" s="351">
        <f t="shared" ref="D22:D37" si="5">IF(B22=0, "    ---- ", IF(ABS(ROUND(100/B22*C22-100,1))&lt;999,ROUND(100/B22*C22-100,1),IF(ROUND(100/B22*C22-100,1)&gt;999,999,-999)))</f>
        <v>-16.7</v>
      </c>
      <c r="E22" s="11">
        <f>IFERROR(100/'Skjema total MA'!C22*C22,0)</f>
        <v>0.47861787350385049</v>
      </c>
      <c r="F22" s="320">
        <v>414493.20600000001</v>
      </c>
      <c r="G22" s="320">
        <v>429508.15899999999</v>
      </c>
      <c r="H22" s="351">
        <f t="shared" ref="H22:H35" si="6">IF(F22=0, "    ---- ", IF(ABS(ROUND(100/F22*G22-100,1))&lt;999,ROUND(100/F22*G22-100,1),IF(ROUND(100/F22*G22-100,1)&gt;999,999,-999)))</f>
        <v>3.6</v>
      </c>
      <c r="I22" s="11">
        <f>IFERROR(100/'Skjema total MA'!F22*G22,0)</f>
        <v>28.868550258682294</v>
      </c>
      <c r="J22" s="318">
        <f t="shared" ref="J22:K35" si="7">SUM(B22,F22)</f>
        <v>424689.51300000004</v>
      </c>
      <c r="K22" s="318">
        <f t="shared" si="7"/>
        <v>437999.49299999996</v>
      </c>
      <c r="L22" s="428">
        <f t="shared" ref="L22:L35" si="8">IF(J22=0, "    ---- ", IF(ABS(ROUND(100/J22*K22-100,1))&lt;999,ROUND(100/J22*K22-100,1),IF(ROUND(100/J22*K22-100,1)&gt;999,999,-999)))</f>
        <v>3.1</v>
      </c>
      <c r="M22" s="24">
        <f>IFERROR(100/'Skjema total MA'!I22*K22,0)</f>
        <v>13.427564728734922</v>
      </c>
    </row>
    <row r="23" spans="1:14" ht="15.75" x14ac:dyDescent="0.2">
      <c r="A23" s="811" t="s">
        <v>447</v>
      </c>
      <c r="B23" s="283">
        <v>1290.875</v>
      </c>
      <c r="C23" s="283">
        <v>1138.817</v>
      </c>
      <c r="D23" s="166">
        <f t="shared" si="5"/>
        <v>-11.8</v>
      </c>
      <c r="E23" s="11">
        <f>IFERROR(100/'Skjema total MA'!C23*C23,0)</f>
        <v>0.1061460711930597</v>
      </c>
      <c r="F23" s="292">
        <v>29514.04</v>
      </c>
      <c r="G23" s="292">
        <v>21541.452000000001</v>
      </c>
      <c r="H23" s="166">
        <f t="shared" si="6"/>
        <v>-27</v>
      </c>
      <c r="I23" s="418">
        <f>IFERROR(100/'Skjema total MA'!F23*G23,0)</f>
        <v>12.022771516540308</v>
      </c>
      <c r="J23" s="292">
        <f t="shared" ref="J23:J26" si="9">SUM(B23,F23)</f>
        <v>30804.915000000001</v>
      </c>
      <c r="K23" s="292">
        <f t="shared" ref="K23:K26" si="10">SUM(C23,G23)</f>
        <v>22680.269</v>
      </c>
      <c r="L23" s="166">
        <f t="shared" si="8"/>
        <v>-26.4</v>
      </c>
      <c r="M23" s="23">
        <f>IFERROR(100/'Skjema total MA'!I23*K23,0)</f>
        <v>1.8114517512617443</v>
      </c>
    </row>
    <row r="24" spans="1:14" ht="15.75" x14ac:dyDescent="0.2">
      <c r="A24" s="811" t="s">
        <v>448</v>
      </c>
      <c r="B24" s="283">
        <v>8905.4320000000007</v>
      </c>
      <c r="C24" s="283">
        <v>7352.5169999999998</v>
      </c>
      <c r="D24" s="166">
        <f t="shared" si="5"/>
        <v>-17.399999999999999</v>
      </c>
      <c r="E24" s="11">
        <f>IFERROR(100/'Skjema total MA'!C24*C24,0)</f>
        <v>19.071136976042038</v>
      </c>
      <c r="F24" s="292">
        <v>3.371</v>
      </c>
      <c r="G24" s="292">
        <v>0</v>
      </c>
      <c r="H24" s="166">
        <f t="shared" ref="H24:H25" si="11">IF(F24=0, "    ---- ", IF(ABS(ROUND(100/F24*G24-100,1))&lt;999,ROUND(100/F24*G24-100,1),IF(ROUND(100/F24*G24-100,1)&gt;999,999,-999)))</f>
        <v>-100</v>
      </c>
      <c r="I24" s="418">
        <f>IFERROR(100/'Skjema total MA'!F24*G24,0)</f>
        <v>0</v>
      </c>
      <c r="J24" s="292">
        <f t="shared" si="9"/>
        <v>8908.8029999999999</v>
      </c>
      <c r="K24" s="292">
        <f t="shared" si="10"/>
        <v>7352.5169999999998</v>
      </c>
      <c r="L24" s="166">
        <f t="shared" si="8"/>
        <v>-17.5</v>
      </c>
      <c r="M24" s="23">
        <f>IFERROR(100/'Skjema total MA'!I24*K24,0)</f>
        <v>17.026769646219694</v>
      </c>
    </row>
    <row r="25" spans="1:14" ht="15.75" x14ac:dyDescent="0.2">
      <c r="A25" s="811" t="s">
        <v>449</v>
      </c>
      <c r="B25" s="283"/>
      <c r="C25" s="283"/>
      <c r="D25" s="166"/>
      <c r="E25" s="11"/>
      <c r="F25" s="292">
        <v>45.378999999999998</v>
      </c>
      <c r="G25" s="292">
        <v>345.233</v>
      </c>
      <c r="H25" s="166">
        <f t="shared" si="11"/>
        <v>660.8</v>
      </c>
      <c r="I25" s="418">
        <f>IFERROR(100/'Skjema total MA'!F25*G25,0)</f>
        <v>1.3541656277436356</v>
      </c>
      <c r="J25" s="292">
        <f t="shared" si="9"/>
        <v>45.378999999999998</v>
      </c>
      <c r="K25" s="292">
        <f t="shared" si="10"/>
        <v>345.233</v>
      </c>
      <c r="L25" s="166">
        <f t="shared" si="8"/>
        <v>660.8</v>
      </c>
      <c r="M25" s="23">
        <f>IFERROR(100/'Skjema total MA'!I25*K25,0)</f>
        <v>0.53745613102131651</v>
      </c>
    </row>
    <row r="26" spans="1:14" ht="15.75" x14ac:dyDescent="0.2">
      <c r="A26" s="811" t="s">
        <v>450</v>
      </c>
      <c r="B26" s="283"/>
      <c r="C26" s="283"/>
      <c r="D26" s="166"/>
      <c r="E26" s="11"/>
      <c r="F26" s="292">
        <v>384930.41600000003</v>
      </c>
      <c r="G26" s="292">
        <v>407621.47399999999</v>
      </c>
      <c r="H26" s="166">
        <f t="shared" si="6"/>
        <v>5.9</v>
      </c>
      <c r="I26" s="418">
        <f>IFERROR(100/'Skjema total MA'!F26*G26,0)</f>
        <v>31.794575319088082</v>
      </c>
      <c r="J26" s="292">
        <f t="shared" si="9"/>
        <v>384930.41600000003</v>
      </c>
      <c r="K26" s="292">
        <f t="shared" si="10"/>
        <v>407621.47399999999</v>
      </c>
      <c r="L26" s="166">
        <f t="shared" si="8"/>
        <v>5.9</v>
      </c>
      <c r="M26" s="23">
        <f>IFERROR(100/'Skjema total MA'!I26*K26,0)</f>
        <v>31.794575319088082</v>
      </c>
    </row>
    <row r="27" spans="1:14" x14ac:dyDescent="0.2">
      <c r="A27" s="811" t="s">
        <v>11</v>
      </c>
      <c r="B27" s="283"/>
      <c r="C27" s="283"/>
      <c r="D27" s="166"/>
      <c r="E27" s="11"/>
      <c r="F27" s="292"/>
      <c r="G27" s="292"/>
      <c r="H27" s="166"/>
      <c r="I27" s="418"/>
      <c r="J27" s="292"/>
      <c r="K27" s="292"/>
      <c r="L27" s="166"/>
      <c r="M27" s="23"/>
    </row>
    <row r="28" spans="1:14" ht="15.75" x14ac:dyDescent="0.2">
      <c r="A28" s="49" t="s">
        <v>272</v>
      </c>
      <c r="B28" s="44">
        <v>191708.98699999999</v>
      </c>
      <c r="C28" s="289">
        <v>199971.033</v>
      </c>
      <c r="D28" s="166">
        <f t="shared" si="5"/>
        <v>4.3</v>
      </c>
      <c r="E28" s="11">
        <f>IFERROR(100/'Skjema total MA'!C28*C28,0)</f>
        <v>10.489568630293904</v>
      </c>
      <c r="F28" s="234"/>
      <c r="G28" s="289"/>
      <c r="H28" s="166"/>
      <c r="I28" s="27"/>
      <c r="J28" s="44">
        <f t="shared" si="7"/>
        <v>191708.98699999999</v>
      </c>
      <c r="K28" s="44">
        <f t="shared" si="7"/>
        <v>199971.033</v>
      </c>
      <c r="L28" s="257">
        <f t="shared" si="8"/>
        <v>4.3</v>
      </c>
      <c r="M28" s="23">
        <f>IFERROR(100/'Skjema total MA'!I28*K28,0)</f>
        <v>10.489568630293904</v>
      </c>
    </row>
    <row r="29" spans="1:14" s="3" customFormat="1" ht="15.75" x14ac:dyDescent="0.2">
      <c r="A29" s="13" t="s">
        <v>444</v>
      </c>
      <c r="B29" s="236">
        <v>9679303.9440000001</v>
      </c>
      <c r="C29" s="236">
        <v>9016633.9240000006</v>
      </c>
      <c r="D29" s="171">
        <f t="shared" si="5"/>
        <v>-6.8</v>
      </c>
      <c r="E29" s="11">
        <f>IFERROR(100/'Skjema total MA'!C29*C29,0)</f>
        <v>19.708597343507051</v>
      </c>
      <c r="F29" s="310">
        <v>4910627.807</v>
      </c>
      <c r="G29" s="310">
        <v>5737312.943</v>
      </c>
      <c r="H29" s="171">
        <f t="shared" si="6"/>
        <v>16.8</v>
      </c>
      <c r="I29" s="11">
        <f>IFERROR(100/'Skjema total MA'!F29*G29,0)</f>
        <v>23.380965800426761</v>
      </c>
      <c r="J29" s="236">
        <f t="shared" si="7"/>
        <v>14589931.751</v>
      </c>
      <c r="K29" s="236">
        <f t="shared" si="7"/>
        <v>14753946.867000001</v>
      </c>
      <c r="L29" s="429">
        <f t="shared" si="8"/>
        <v>1.1000000000000001</v>
      </c>
      <c r="M29" s="24">
        <f>IFERROR(100/'Skjema total MA'!I29*K29,0)</f>
        <v>20.990663048663901</v>
      </c>
      <c r="N29" s="148"/>
    </row>
    <row r="30" spans="1:14" s="3" customFormat="1" ht="15.75" x14ac:dyDescent="0.2">
      <c r="A30" s="811" t="s">
        <v>447</v>
      </c>
      <c r="B30" s="283">
        <v>1225421.0419999999</v>
      </c>
      <c r="C30" s="283">
        <v>1209268.1270000001</v>
      </c>
      <c r="D30" s="166">
        <f t="shared" si="5"/>
        <v>-1.3</v>
      </c>
      <c r="E30" s="11">
        <f>IFERROR(100/'Skjema total MA'!C30*C30,0)</f>
        <v>7.6468106662558899</v>
      </c>
      <c r="F30" s="292">
        <v>516904.00300000003</v>
      </c>
      <c r="G30" s="292">
        <v>518747.55699999997</v>
      </c>
      <c r="H30" s="166">
        <f t="shared" si="6"/>
        <v>0.4</v>
      </c>
      <c r="I30" s="418">
        <f>IFERROR(100/'Skjema total MA'!F30*G30,0)</f>
        <v>11.080383753163048</v>
      </c>
      <c r="J30" s="292">
        <f t="shared" ref="J30:J33" si="12">SUM(B30,F30)</f>
        <v>1742325.0449999999</v>
      </c>
      <c r="K30" s="292">
        <f t="shared" ref="K30:K33" si="13">SUM(C30,G30)</f>
        <v>1728015.6840000001</v>
      </c>
      <c r="L30" s="166">
        <f t="shared" si="8"/>
        <v>-0.8</v>
      </c>
      <c r="M30" s="23">
        <f>IFERROR(100/'Skjema total MA'!I30*K30,0)</f>
        <v>8.4311155520152106</v>
      </c>
      <c r="N30" s="148"/>
    </row>
    <row r="31" spans="1:14" s="3" customFormat="1" ht="15.75" x14ac:dyDescent="0.2">
      <c r="A31" s="811" t="s">
        <v>448</v>
      </c>
      <c r="B31" s="283">
        <v>8453882.9020000007</v>
      </c>
      <c r="C31" s="283">
        <v>7807365.7970000003</v>
      </c>
      <c r="D31" s="166">
        <f t="shared" si="5"/>
        <v>-7.6</v>
      </c>
      <c r="E31" s="11">
        <f>IFERROR(100/'Skjema total MA'!C31*C31,0)</f>
        <v>33.171741751663056</v>
      </c>
      <c r="F31" s="292">
        <v>1834657.4339999999</v>
      </c>
      <c r="G31" s="292">
        <v>1779726.335</v>
      </c>
      <c r="H31" s="166">
        <f t="shared" si="6"/>
        <v>-3</v>
      </c>
      <c r="I31" s="418">
        <f>IFERROR(100/'Skjema total MA'!F31*G31,0)</f>
        <v>18.635771553635255</v>
      </c>
      <c r="J31" s="292">
        <f t="shared" si="12"/>
        <v>10288540.336000001</v>
      </c>
      <c r="K31" s="292">
        <f t="shared" si="13"/>
        <v>9587092.1319999993</v>
      </c>
      <c r="L31" s="166">
        <f t="shared" si="8"/>
        <v>-6.8</v>
      </c>
      <c r="M31" s="23">
        <f>IFERROR(100/'Skjema total MA'!I31*K31,0)</f>
        <v>28.97606198241353</v>
      </c>
      <c r="N31" s="148"/>
    </row>
    <row r="32" spans="1:14" ht="15.75" x14ac:dyDescent="0.2">
      <c r="A32" s="811" t="s">
        <v>449</v>
      </c>
      <c r="B32" s="283"/>
      <c r="C32" s="283"/>
      <c r="D32" s="166"/>
      <c r="E32" s="11"/>
      <c r="F32" s="292">
        <v>1412669.8859999999</v>
      </c>
      <c r="G32" s="292">
        <v>1750156.5560000001</v>
      </c>
      <c r="H32" s="166">
        <f t="shared" si="6"/>
        <v>23.9</v>
      </c>
      <c r="I32" s="418">
        <f>IFERROR(100/'Skjema total MA'!F32*G32,0)</f>
        <v>33.385086514978092</v>
      </c>
      <c r="J32" s="292">
        <f t="shared" si="12"/>
        <v>1412669.8859999999</v>
      </c>
      <c r="K32" s="292">
        <f t="shared" si="13"/>
        <v>1750156.5560000001</v>
      </c>
      <c r="L32" s="166">
        <f t="shared" si="8"/>
        <v>23.9</v>
      </c>
      <c r="M32" s="23">
        <f>IFERROR(100/'Skjema total MA'!I32*K32,0)</f>
        <v>21.359474895506704</v>
      </c>
    </row>
    <row r="33" spans="1:14" ht="15.75" x14ac:dyDescent="0.2">
      <c r="A33" s="811" t="s">
        <v>450</v>
      </c>
      <c r="B33" s="283"/>
      <c r="C33" s="283"/>
      <c r="D33" s="166"/>
      <c r="E33" s="11"/>
      <c r="F33" s="292">
        <v>1146396.4839999999</v>
      </c>
      <c r="G33" s="292">
        <v>1688682.4950000001</v>
      </c>
      <c r="H33" s="166">
        <f t="shared" si="6"/>
        <v>47.3</v>
      </c>
      <c r="I33" s="418">
        <f>IFERROR(100/'Skjema total MA'!F33*G33,0)</f>
        <v>33.344626946519476</v>
      </c>
      <c r="J33" s="292">
        <f t="shared" si="12"/>
        <v>1146396.4839999999</v>
      </c>
      <c r="K33" s="292">
        <f t="shared" si="13"/>
        <v>1688682.4950000001</v>
      </c>
      <c r="L33" s="166">
        <f t="shared" si="8"/>
        <v>47.3</v>
      </c>
      <c r="M33" s="23">
        <f>IFERROR(100/'Skjema total MA'!I33*K33,0)</f>
        <v>33.344626946519476</v>
      </c>
    </row>
    <row r="34" spans="1:14" ht="15.75" x14ac:dyDescent="0.2">
      <c r="A34" s="13" t="s">
        <v>445</v>
      </c>
      <c r="B34" s="236">
        <v>6602.5330000000004</v>
      </c>
      <c r="C34" s="311">
        <v>8961.1149999999998</v>
      </c>
      <c r="D34" s="171">
        <f t="shared" si="5"/>
        <v>35.700000000000003</v>
      </c>
      <c r="E34" s="11">
        <f>IFERROR(100/'Skjema total MA'!C34*C34,0)</f>
        <v>32.191177276276548</v>
      </c>
      <c r="F34" s="310">
        <v>15269.174000000001</v>
      </c>
      <c r="G34" s="311">
        <v>21048.477999999999</v>
      </c>
      <c r="H34" s="171">
        <f t="shared" si="6"/>
        <v>37.799999999999997</v>
      </c>
      <c r="I34" s="11">
        <f>IFERROR(100/'Skjema total MA'!F34*G34,0)</f>
        <v>11.632046290043542</v>
      </c>
      <c r="J34" s="236">
        <f t="shared" si="7"/>
        <v>21871.707000000002</v>
      </c>
      <c r="K34" s="236">
        <f t="shared" si="7"/>
        <v>30009.593000000001</v>
      </c>
      <c r="L34" s="429">
        <f t="shared" si="8"/>
        <v>37.200000000000003</v>
      </c>
      <c r="M34" s="24">
        <f>IFERROR(100/'Skjema total MA'!I34*K34,0)</f>
        <v>14.373121375259259</v>
      </c>
    </row>
    <row r="35" spans="1:14" ht="15.75" x14ac:dyDescent="0.2">
      <c r="A35" s="13" t="s">
        <v>446</v>
      </c>
      <c r="B35" s="236">
        <v>1156.0450000000001</v>
      </c>
      <c r="C35" s="311">
        <v>2771.748</v>
      </c>
      <c r="D35" s="171">
        <f t="shared" si="5"/>
        <v>139.80000000000001</v>
      </c>
      <c r="E35" s="11">
        <f>IFERROR(100/'Skjema total MA'!C35*C35,0)</f>
        <v>-2.23719266259205</v>
      </c>
      <c r="F35" s="310">
        <v>22122.853999999999</v>
      </c>
      <c r="G35" s="311">
        <v>30440.102999999999</v>
      </c>
      <c r="H35" s="171">
        <f t="shared" si="6"/>
        <v>37.6</v>
      </c>
      <c r="I35" s="11">
        <f>IFERROR(100/'Skjema total MA'!F35*G35,0)</f>
        <v>18.312997097513904</v>
      </c>
      <c r="J35" s="236">
        <f t="shared" si="7"/>
        <v>23278.898999999998</v>
      </c>
      <c r="K35" s="236">
        <f t="shared" si="7"/>
        <v>33211.851000000002</v>
      </c>
      <c r="L35" s="429">
        <f t="shared" si="8"/>
        <v>42.7</v>
      </c>
      <c r="M35" s="24">
        <f>IFERROR(100/'Skjema total MA'!I35*K35,0)</f>
        <v>78.464405662967295</v>
      </c>
    </row>
    <row r="36" spans="1:14" ht="15.75" x14ac:dyDescent="0.2">
      <c r="A36" s="12" t="s">
        <v>280</v>
      </c>
      <c r="B36" s="236">
        <v>52.220999999999997</v>
      </c>
      <c r="C36" s="311">
        <v>58.33</v>
      </c>
      <c r="D36" s="171">
        <f t="shared" si="5"/>
        <v>11.7</v>
      </c>
      <c r="E36" s="11">
        <f>IFERROR(100/'Skjema total MA'!C36*C36,0)</f>
        <v>0.50663014088886527</v>
      </c>
      <c r="F36" s="321"/>
      <c r="G36" s="322"/>
      <c r="H36" s="171"/>
      <c r="I36" s="435"/>
      <c r="J36" s="236">
        <f t="shared" ref="J36:J37" si="14">SUM(B36,F36)</f>
        <v>52.220999999999997</v>
      </c>
      <c r="K36" s="236">
        <f t="shared" ref="K36:K37" si="15">SUM(C36,G36)</f>
        <v>58.33</v>
      </c>
      <c r="L36" s="429"/>
      <c r="M36" s="24">
        <f>IFERROR(100/'Skjema total MA'!I36*K36,0)</f>
        <v>0.50663014088886527</v>
      </c>
    </row>
    <row r="37" spans="1:14" ht="15.75" x14ac:dyDescent="0.2">
      <c r="A37" s="12" t="s">
        <v>452</v>
      </c>
      <c r="B37" s="236">
        <v>460677.3</v>
      </c>
      <c r="C37" s="311">
        <v>456586.90299999999</v>
      </c>
      <c r="D37" s="171">
        <f t="shared" si="5"/>
        <v>-0.9</v>
      </c>
      <c r="E37" s="11">
        <f>IFERROR(100/'Skjema total MA'!C37*C37,0)</f>
        <v>13.707091969268696</v>
      </c>
      <c r="F37" s="321"/>
      <c r="G37" s="323"/>
      <c r="H37" s="171"/>
      <c r="I37" s="435"/>
      <c r="J37" s="236">
        <f t="shared" si="14"/>
        <v>460677.3</v>
      </c>
      <c r="K37" s="236">
        <f t="shared" si="15"/>
        <v>456586.90299999999</v>
      </c>
      <c r="L37" s="429"/>
      <c r="M37" s="24">
        <f>IFERROR(100/'Skjema total MA'!I37*K37,0)</f>
        <v>13.707091969268696</v>
      </c>
    </row>
    <row r="38" spans="1:14" ht="15.75" x14ac:dyDescent="0.2">
      <c r="A38" s="12" t="s">
        <v>453</v>
      </c>
      <c r="B38" s="236"/>
      <c r="C38" s="311"/>
      <c r="D38" s="171"/>
      <c r="E38" s="24"/>
      <c r="F38" s="321"/>
      <c r="G38" s="322"/>
      <c r="H38" s="171"/>
      <c r="I38" s="435"/>
      <c r="J38" s="236"/>
      <c r="K38" s="236"/>
      <c r="L38" s="429"/>
      <c r="M38" s="24"/>
    </row>
    <row r="39" spans="1:14" ht="15.75" x14ac:dyDescent="0.2">
      <c r="A39" s="18" t="s">
        <v>454</v>
      </c>
      <c r="B39" s="278"/>
      <c r="C39" s="317"/>
      <c r="D39" s="169"/>
      <c r="E39" s="36"/>
      <c r="F39" s="324"/>
      <c r="G39" s="325"/>
      <c r="H39" s="169"/>
      <c r="I39" s="36"/>
      <c r="J39" s="236"/>
      <c r="K39" s="236"/>
      <c r="L39" s="430"/>
      <c r="M39" s="36"/>
    </row>
    <row r="40" spans="1:14" ht="15.75" x14ac:dyDescent="0.25">
      <c r="A40" s="47"/>
      <c r="B40" s="256"/>
      <c r="C40" s="256"/>
      <c r="D40" s="1026"/>
      <c r="E40" s="1026"/>
      <c r="F40" s="1026"/>
      <c r="G40" s="1026"/>
      <c r="H40" s="1026"/>
      <c r="I40" s="1026"/>
      <c r="J40" s="1026"/>
      <c r="K40" s="1026"/>
      <c r="L40" s="1026"/>
      <c r="M40" s="304"/>
    </row>
    <row r="41" spans="1:14" x14ac:dyDescent="0.2">
      <c r="A41" s="155"/>
    </row>
    <row r="42" spans="1:14" ht="15.75" x14ac:dyDescent="0.25">
      <c r="A42" s="147" t="s">
        <v>269</v>
      </c>
      <c r="B42" s="1027"/>
      <c r="C42" s="1027"/>
      <c r="D42" s="1027"/>
      <c r="E42" s="301"/>
      <c r="F42" s="1028"/>
      <c r="G42" s="1028"/>
      <c r="H42" s="1028"/>
      <c r="I42" s="304"/>
      <c r="J42" s="1028"/>
      <c r="K42" s="1028"/>
      <c r="L42" s="1028"/>
      <c r="M42" s="304"/>
    </row>
    <row r="43" spans="1:14" ht="15.75" x14ac:dyDescent="0.25">
      <c r="A43" s="163"/>
      <c r="B43" s="305"/>
      <c r="C43" s="305"/>
      <c r="D43" s="305"/>
      <c r="E43" s="305"/>
      <c r="F43" s="304"/>
      <c r="G43" s="304"/>
      <c r="H43" s="304"/>
      <c r="I43" s="304"/>
      <c r="J43" s="304"/>
      <c r="K43" s="304"/>
      <c r="L43" s="304"/>
      <c r="M43" s="304"/>
    </row>
    <row r="44" spans="1:14" ht="15.75" x14ac:dyDescent="0.25">
      <c r="A44" s="247"/>
      <c r="B44" s="1023" t="s">
        <v>0</v>
      </c>
      <c r="C44" s="1024"/>
      <c r="D44" s="1024"/>
      <c r="E44" s="243"/>
      <c r="F44" s="304"/>
      <c r="G44" s="304"/>
      <c r="H44" s="304"/>
      <c r="I44" s="304"/>
      <c r="J44" s="304"/>
      <c r="K44" s="304"/>
      <c r="L44" s="304"/>
      <c r="M44" s="304"/>
    </row>
    <row r="45" spans="1:14" s="3" customFormat="1" x14ac:dyDescent="0.2">
      <c r="A45" s="140"/>
      <c r="B45" s="152" t="s">
        <v>502</v>
      </c>
      <c r="C45" s="152" t="s">
        <v>503</v>
      </c>
      <c r="D45" s="162" t="s">
        <v>3</v>
      </c>
      <c r="E45" s="162" t="s">
        <v>29</v>
      </c>
      <c r="F45" s="174"/>
      <c r="G45" s="174"/>
      <c r="H45" s="173"/>
      <c r="I45" s="173"/>
      <c r="J45" s="174"/>
      <c r="K45" s="174"/>
      <c r="L45" s="173"/>
      <c r="M45" s="173"/>
      <c r="N45" s="148"/>
    </row>
    <row r="46" spans="1:14" s="3" customFormat="1" x14ac:dyDescent="0.2">
      <c r="A46" s="990"/>
      <c r="B46" s="244"/>
      <c r="C46" s="244"/>
      <c r="D46" s="245" t="s">
        <v>4</v>
      </c>
      <c r="E46" s="156" t="s">
        <v>30</v>
      </c>
      <c r="F46" s="173"/>
      <c r="G46" s="173"/>
      <c r="H46" s="173"/>
      <c r="I46" s="173"/>
      <c r="J46" s="173"/>
      <c r="K46" s="173"/>
      <c r="L46" s="173"/>
      <c r="M46" s="173"/>
      <c r="N46" s="148"/>
    </row>
    <row r="47" spans="1:14" s="3" customFormat="1" ht="15.75" x14ac:dyDescent="0.2">
      <c r="A47" s="14" t="s">
        <v>23</v>
      </c>
      <c r="B47" s="312">
        <v>664120.58299999987</v>
      </c>
      <c r="C47" s="313">
        <v>837247.27399999998</v>
      </c>
      <c r="D47" s="428">
        <f t="shared" ref="D47:D57" si="16">IF(B47=0, "    ---- ", IF(ABS(ROUND(100/B47*C47-100,1))&lt;999,ROUND(100/B47*C47-100,1),IF(ROUND(100/B47*C47-100,1)&gt;999,999,-999)))</f>
        <v>26.1</v>
      </c>
      <c r="E47" s="11">
        <f>IFERROR(100/'Skjema total MA'!C47*C47,0)</f>
        <v>17.526354815004716</v>
      </c>
      <c r="F47" s="145"/>
      <c r="G47" s="33"/>
      <c r="H47" s="159"/>
      <c r="I47" s="159"/>
      <c r="J47" s="37"/>
      <c r="K47" s="37"/>
      <c r="L47" s="159"/>
      <c r="M47" s="159"/>
      <c r="N47" s="148"/>
    </row>
    <row r="48" spans="1:14" s="3" customFormat="1" ht="15.75" x14ac:dyDescent="0.2">
      <c r="A48" s="38" t="s">
        <v>455</v>
      </c>
      <c r="B48" s="283">
        <v>346511.13500000001</v>
      </c>
      <c r="C48" s="284">
        <v>468642.538</v>
      </c>
      <c r="D48" s="257">
        <f t="shared" si="16"/>
        <v>35.200000000000003</v>
      </c>
      <c r="E48" s="27">
        <f>IFERROR(100/'Skjema total MA'!C48*C48,0)</f>
        <v>17.589202538006148</v>
      </c>
      <c r="F48" s="145"/>
      <c r="G48" s="33"/>
      <c r="H48" s="145"/>
      <c r="I48" s="145"/>
      <c r="J48" s="33"/>
      <c r="K48" s="33"/>
      <c r="L48" s="159"/>
      <c r="M48" s="159"/>
      <c r="N48" s="148"/>
    </row>
    <row r="49" spans="1:14" s="3" customFormat="1" ht="15.75" x14ac:dyDescent="0.2">
      <c r="A49" s="38" t="s">
        <v>456</v>
      </c>
      <c r="B49" s="44">
        <v>317609.44799999986</v>
      </c>
      <c r="C49" s="289">
        <v>368604.73599999998</v>
      </c>
      <c r="D49" s="257">
        <f>IF(B49=0, "    ---- ", IF(ABS(ROUND(100/B49*C49-100,1))&lt;999,ROUND(100/B49*C49-100,1),IF(ROUND(100/B49*C49-100,1)&gt;999,999,-999)))</f>
        <v>16.100000000000001</v>
      </c>
      <c r="E49" s="27">
        <f>IFERROR(100/'Skjema total MA'!C49*C49,0)</f>
        <v>17.44709604196111</v>
      </c>
      <c r="F49" s="145"/>
      <c r="G49" s="33"/>
      <c r="H49" s="145"/>
      <c r="I49" s="145"/>
      <c r="J49" s="37"/>
      <c r="K49" s="37"/>
      <c r="L49" s="159"/>
      <c r="M49" s="159"/>
      <c r="N49" s="148"/>
    </row>
    <row r="50" spans="1:14" s="3" customFormat="1" x14ac:dyDescent="0.2">
      <c r="A50" s="298" t="s">
        <v>6</v>
      </c>
      <c r="B50" s="292"/>
      <c r="C50" s="293"/>
      <c r="D50" s="257"/>
      <c r="E50" s="23"/>
      <c r="F50" s="145"/>
      <c r="G50" s="33"/>
      <c r="H50" s="145"/>
      <c r="I50" s="145"/>
      <c r="J50" s="33"/>
      <c r="K50" s="33"/>
      <c r="L50" s="159"/>
      <c r="M50" s="159"/>
      <c r="N50" s="148"/>
    </row>
    <row r="51" spans="1:14" s="3" customFormat="1" x14ac:dyDescent="0.2">
      <c r="A51" s="298" t="s">
        <v>7</v>
      </c>
      <c r="B51" s="292">
        <v>302584.83299999998</v>
      </c>
      <c r="C51" s="293">
        <v>354480.32199999999</v>
      </c>
      <c r="D51" s="257">
        <f t="shared" ref="D51:D52" si="17">IF(B51=0, "    ---- ", IF(ABS(ROUND(100/B51*C51-100,1))&lt;999,ROUND(100/B51*C51-100,1),IF(ROUND(100/B51*C51-100,1)&gt;999,999,-999)))</f>
        <v>17.2</v>
      </c>
      <c r="E51" s="27">
        <f>IFERROR(100/'Skjema total MA'!C51*C51,0)</f>
        <v>17.389537226033671</v>
      </c>
      <c r="F51" s="145"/>
      <c r="G51" s="33"/>
      <c r="H51" s="145"/>
      <c r="I51" s="145"/>
      <c r="J51" s="33"/>
      <c r="K51" s="33"/>
      <c r="L51" s="159"/>
      <c r="M51" s="159"/>
      <c r="N51" s="148"/>
    </row>
    <row r="52" spans="1:14" s="3" customFormat="1" x14ac:dyDescent="0.2">
      <c r="A52" s="298" t="s">
        <v>8</v>
      </c>
      <c r="B52" s="292">
        <v>15024.6149999999</v>
      </c>
      <c r="C52" s="293">
        <v>14124.414000000001</v>
      </c>
      <c r="D52" s="257">
        <f t="shared" si="17"/>
        <v>-6</v>
      </c>
      <c r="E52" s="27">
        <f>IFERROR(100/'Skjema total MA'!C52*C52,0)</f>
        <v>19.426471028442631</v>
      </c>
      <c r="F52" s="145"/>
      <c r="G52" s="33"/>
      <c r="H52" s="145"/>
      <c r="I52" s="145"/>
      <c r="J52" s="33"/>
      <c r="K52" s="33"/>
      <c r="L52" s="159"/>
      <c r="M52" s="159"/>
      <c r="N52" s="148"/>
    </row>
    <row r="53" spans="1:14" s="3" customFormat="1" ht="15.75" x14ac:dyDescent="0.2">
      <c r="A53" s="39" t="s">
        <v>457</v>
      </c>
      <c r="B53" s="312">
        <v>7604.527</v>
      </c>
      <c r="C53" s="313">
        <v>9225.4840000000004</v>
      </c>
      <c r="D53" s="429">
        <f t="shared" si="16"/>
        <v>21.3</v>
      </c>
      <c r="E53" s="11">
        <f>IFERROR(100/'Skjema total MA'!C53*C53,0)</f>
        <v>5.6374629712905371</v>
      </c>
      <c r="F53" s="145"/>
      <c r="G53" s="33"/>
      <c r="H53" s="145"/>
      <c r="I53" s="145"/>
      <c r="J53" s="33"/>
      <c r="K53" s="33"/>
      <c r="L53" s="159"/>
      <c r="M53" s="159"/>
      <c r="N53" s="148"/>
    </row>
    <row r="54" spans="1:14" s="3" customFormat="1" ht="15.75" x14ac:dyDescent="0.2">
      <c r="A54" s="38" t="s">
        <v>455</v>
      </c>
      <c r="B54" s="283">
        <v>7604.527</v>
      </c>
      <c r="C54" s="284">
        <v>9225.4840000000004</v>
      </c>
      <c r="D54" s="257">
        <f t="shared" si="16"/>
        <v>21.3</v>
      </c>
      <c r="E54" s="27">
        <f>IFERROR(100/'Skjema total MA'!C54*C54,0)</f>
        <v>5.6374629712905371</v>
      </c>
      <c r="F54" s="145"/>
      <c r="G54" s="33"/>
      <c r="H54" s="145"/>
      <c r="I54" s="145"/>
      <c r="J54" s="33"/>
      <c r="K54" s="33"/>
      <c r="L54" s="159"/>
      <c r="M54" s="159"/>
      <c r="N54" s="148"/>
    </row>
    <row r="55" spans="1:14" s="3" customFormat="1" ht="15.75" x14ac:dyDescent="0.2">
      <c r="A55" s="38" t="s">
        <v>456</v>
      </c>
      <c r="B55" s="283"/>
      <c r="C55" s="284"/>
      <c r="D55" s="257"/>
      <c r="E55" s="27"/>
      <c r="F55" s="145"/>
      <c r="G55" s="33"/>
      <c r="H55" s="145"/>
      <c r="I55" s="145"/>
      <c r="J55" s="33"/>
      <c r="K55" s="33"/>
      <c r="L55" s="159"/>
      <c r="M55" s="159"/>
      <c r="N55" s="148"/>
    </row>
    <row r="56" spans="1:14" s="3" customFormat="1" ht="15.75" x14ac:dyDescent="0.2">
      <c r="A56" s="39" t="s">
        <v>458</v>
      </c>
      <c r="B56" s="312">
        <v>5297.4160000000002</v>
      </c>
      <c r="C56" s="313">
        <v>1460.376</v>
      </c>
      <c r="D56" s="429">
        <f t="shared" si="16"/>
        <v>-72.400000000000006</v>
      </c>
      <c r="E56" s="11">
        <f>IFERROR(100/'Skjema total MA'!C56*C56,0)</f>
        <v>1.1509295895194649</v>
      </c>
      <c r="F56" s="145"/>
      <c r="G56" s="33"/>
      <c r="H56" s="145"/>
      <c r="I56" s="145"/>
      <c r="J56" s="33"/>
      <c r="K56" s="33"/>
      <c r="L56" s="159"/>
      <c r="M56" s="159"/>
      <c r="N56" s="148"/>
    </row>
    <row r="57" spans="1:14" s="3" customFormat="1" ht="15.75" x14ac:dyDescent="0.2">
      <c r="A57" s="38" t="s">
        <v>455</v>
      </c>
      <c r="B57" s="283">
        <v>5297.4160000000002</v>
      </c>
      <c r="C57" s="284">
        <v>1460.376</v>
      </c>
      <c r="D57" s="257">
        <f t="shared" si="16"/>
        <v>-72.400000000000006</v>
      </c>
      <c r="E57" s="27">
        <f>IFERROR(100/'Skjema total MA'!C57*C57,0)</f>
        <v>1.1509568017628751</v>
      </c>
      <c r="F57" s="145"/>
      <c r="G57" s="33"/>
      <c r="H57" s="145"/>
      <c r="I57" s="145"/>
      <c r="J57" s="33"/>
      <c r="K57" s="33"/>
      <c r="L57" s="159"/>
      <c r="M57" s="159"/>
      <c r="N57" s="148"/>
    </row>
    <row r="58" spans="1:14" s="3" customFormat="1" ht="15.75" x14ac:dyDescent="0.2">
      <c r="A58" s="46" t="s">
        <v>456</v>
      </c>
      <c r="B58" s="285"/>
      <c r="C58" s="286"/>
      <c r="D58" s="258"/>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1022"/>
      <c r="C62" s="1022"/>
      <c r="D62" s="1022"/>
      <c r="E62" s="301"/>
      <c r="F62" s="1022"/>
      <c r="G62" s="1022"/>
      <c r="H62" s="1022"/>
      <c r="I62" s="301"/>
      <c r="J62" s="1022"/>
      <c r="K62" s="1022"/>
      <c r="L62" s="1022"/>
      <c r="M62" s="301"/>
    </row>
    <row r="63" spans="1:14" x14ac:dyDescent="0.2">
      <c r="A63" s="144"/>
      <c r="B63" s="1023" t="s">
        <v>0</v>
      </c>
      <c r="C63" s="1024"/>
      <c r="D63" s="1025"/>
      <c r="E63" s="302"/>
      <c r="F63" s="1024" t="s">
        <v>1</v>
      </c>
      <c r="G63" s="1024"/>
      <c r="H63" s="1024"/>
      <c r="I63" s="306"/>
      <c r="J63" s="1023" t="s">
        <v>2</v>
      </c>
      <c r="K63" s="1024"/>
      <c r="L63" s="1024"/>
      <c r="M63" s="306"/>
    </row>
    <row r="64" spans="1:14" x14ac:dyDescent="0.2">
      <c r="A64" s="140"/>
      <c r="B64" s="152" t="s">
        <v>502</v>
      </c>
      <c r="C64" s="152" t="s">
        <v>503</v>
      </c>
      <c r="D64" s="245" t="s">
        <v>3</v>
      </c>
      <c r="E64" s="307" t="s">
        <v>29</v>
      </c>
      <c r="F64" s="152" t="s">
        <v>502</v>
      </c>
      <c r="G64" s="152" t="s">
        <v>503</v>
      </c>
      <c r="H64" s="245" t="s">
        <v>3</v>
      </c>
      <c r="I64" s="307" t="s">
        <v>29</v>
      </c>
      <c r="J64" s="152" t="s">
        <v>502</v>
      </c>
      <c r="K64" s="152" t="s">
        <v>503</v>
      </c>
      <c r="L64" s="245" t="s">
        <v>3</v>
      </c>
      <c r="M64" s="162" t="s">
        <v>29</v>
      </c>
    </row>
    <row r="65" spans="1:14" x14ac:dyDescent="0.2">
      <c r="A65" s="990"/>
      <c r="B65" s="156"/>
      <c r="C65" s="156"/>
      <c r="D65" s="246" t="s">
        <v>4</v>
      </c>
      <c r="E65" s="156" t="s">
        <v>30</v>
      </c>
      <c r="F65" s="161"/>
      <c r="G65" s="161"/>
      <c r="H65" s="245" t="s">
        <v>4</v>
      </c>
      <c r="I65" s="156" t="s">
        <v>30</v>
      </c>
      <c r="J65" s="161"/>
      <c r="K65" s="206"/>
      <c r="L65" s="156" t="s">
        <v>4</v>
      </c>
      <c r="M65" s="156" t="s">
        <v>30</v>
      </c>
    </row>
    <row r="66" spans="1:14" ht="15.75" x14ac:dyDescent="0.2">
      <c r="A66" s="14" t="s">
        <v>23</v>
      </c>
      <c r="B66" s="354">
        <v>3886942.4340000004</v>
      </c>
      <c r="C66" s="354">
        <v>3117658.4810000001</v>
      </c>
      <c r="D66" s="351">
        <f t="shared" ref="D66:D111" si="18">IF(B66=0, "    ---- ", IF(ABS(ROUND(100/B66*C66-100,1))&lt;999,ROUND(100/B66*C66-100,1),IF(ROUND(100/B66*C66-100,1)&gt;999,999,-999)))</f>
        <v>-19.8</v>
      </c>
      <c r="E66" s="11">
        <f>IFERROR(100/'Skjema total MA'!C66*C66,0)</f>
        <v>41.97738640376329</v>
      </c>
      <c r="F66" s="353">
        <v>9463918.0479999986</v>
      </c>
      <c r="G66" s="353">
        <v>10871001.523</v>
      </c>
      <c r="H66" s="351">
        <f t="shared" ref="H66:H111" si="19">IF(F66=0, "    ---- ", IF(ABS(ROUND(100/F66*G66-100,1))&lt;999,ROUND(100/F66*G66-100,1),IF(ROUND(100/F66*G66-100,1)&gt;999,999,-999)))</f>
        <v>14.9</v>
      </c>
      <c r="I66" s="11">
        <f>IFERROR(100/'Skjema total MA'!F66*G66,0)</f>
        <v>31.049227605807086</v>
      </c>
      <c r="J66" s="311">
        <f t="shared" ref="J66:K86" si="20">SUM(B66,F66)</f>
        <v>13350860.481999999</v>
      </c>
      <c r="K66" s="318">
        <f t="shared" si="20"/>
        <v>13988660.004000001</v>
      </c>
      <c r="L66" s="429">
        <f t="shared" ref="L66:L111" si="21">IF(J66=0, "    ---- ", IF(ABS(ROUND(100/J66*K66-100,1))&lt;999,ROUND(100/J66*K66-100,1),IF(ROUND(100/J66*K66-100,1)&gt;999,999,-999)))</f>
        <v>4.8</v>
      </c>
      <c r="M66" s="11">
        <f>IFERROR(100/'Skjema total MA'!I66*K66,0)</f>
        <v>32.961692773055603</v>
      </c>
    </row>
    <row r="67" spans="1:14" x14ac:dyDescent="0.2">
      <c r="A67" s="420" t="s">
        <v>9</v>
      </c>
      <c r="B67" s="44">
        <v>2880378.6060000001</v>
      </c>
      <c r="C67" s="145">
        <v>1958191.0319999999</v>
      </c>
      <c r="D67" s="166">
        <f t="shared" si="18"/>
        <v>-32</v>
      </c>
      <c r="E67" s="27">
        <f>IFERROR(100/'Skjema total MA'!C67*C67,0)</f>
        <v>38.108094544697202</v>
      </c>
      <c r="F67" s="234"/>
      <c r="G67" s="145"/>
      <c r="H67" s="166"/>
      <c r="I67" s="27"/>
      <c r="J67" s="289">
        <f t="shared" si="20"/>
        <v>2880378.6060000001</v>
      </c>
      <c r="K67" s="44">
        <f t="shared" si="20"/>
        <v>1958191.0319999999</v>
      </c>
      <c r="L67" s="257">
        <f t="shared" si="21"/>
        <v>-32</v>
      </c>
      <c r="M67" s="27">
        <f>IFERROR(100/'Skjema total MA'!I67*K67,0)</f>
        <v>38.108094544697202</v>
      </c>
    </row>
    <row r="68" spans="1:14" x14ac:dyDescent="0.2">
      <c r="A68" s="21" t="s">
        <v>10</v>
      </c>
      <c r="B68" s="294"/>
      <c r="C68" s="295"/>
      <c r="D68" s="166"/>
      <c r="E68" s="27"/>
      <c r="F68" s="294">
        <v>9274633.4049999993</v>
      </c>
      <c r="G68" s="295">
        <v>9775510.1469999999</v>
      </c>
      <c r="H68" s="166">
        <f t="shared" si="19"/>
        <v>5.4</v>
      </c>
      <c r="I68" s="27">
        <f>IFERROR(100/'Skjema total MA'!F68*G68,0)</f>
        <v>29.065094366199098</v>
      </c>
      <c r="J68" s="289">
        <f t="shared" si="20"/>
        <v>9274633.4049999993</v>
      </c>
      <c r="K68" s="44">
        <f t="shared" si="20"/>
        <v>9775510.1469999999</v>
      </c>
      <c r="L68" s="257">
        <f t="shared" si="21"/>
        <v>5.4</v>
      </c>
      <c r="M68" s="27">
        <f>IFERROR(100/'Skjema total MA'!I68*K68,0)</f>
        <v>28.958946982259448</v>
      </c>
    </row>
    <row r="69" spans="1:14" ht="15.75" x14ac:dyDescent="0.2">
      <c r="A69" s="298" t="s">
        <v>459</v>
      </c>
      <c r="B69" s="283"/>
      <c r="C69" s="283"/>
      <c r="D69" s="166"/>
      <c r="E69" s="418"/>
      <c r="F69" s="283"/>
      <c r="G69" s="283"/>
      <c r="H69" s="166"/>
      <c r="I69" s="418"/>
      <c r="J69" s="292"/>
      <c r="K69" s="292"/>
      <c r="L69" s="166"/>
      <c r="M69" s="23"/>
    </row>
    <row r="70" spans="1:14" x14ac:dyDescent="0.2">
      <c r="A70" s="298" t="s">
        <v>12</v>
      </c>
      <c r="B70" s="296"/>
      <c r="C70" s="297"/>
      <c r="D70" s="166"/>
      <c r="E70" s="418"/>
      <c r="F70" s="283"/>
      <c r="G70" s="283"/>
      <c r="H70" s="166"/>
      <c r="I70" s="418"/>
      <c r="J70" s="292"/>
      <c r="K70" s="292"/>
      <c r="L70" s="166"/>
      <c r="M70" s="23"/>
    </row>
    <row r="71" spans="1:14" x14ac:dyDescent="0.2">
      <c r="A71" s="298" t="s">
        <v>13</v>
      </c>
      <c r="B71" s="235"/>
      <c r="C71" s="291"/>
      <c r="D71" s="166"/>
      <c r="E71" s="418"/>
      <c r="F71" s="283"/>
      <c r="G71" s="283"/>
      <c r="H71" s="166"/>
      <c r="I71" s="418"/>
      <c r="J71" s="292"/>
      <c r="K71" s="292"/>
      <c r="L71" s="166"/>
      <c r="M71" s="23"/>
    </row>
    <row r="72" spans="1:14" ht="15.75" x14ac:dyDescent="0.2">
      <c r="A72" s="298" t="s">
        <v>460</v>
      </c>
      <c r="B72" s="283"/>
      <c r="C72" s="283"/>
      <c r="D72" s="166"/>
      <c r="E72" s="418"/>
      <c r="F72" s="283">
        <v>9274633.4049999993</v>
      </c>
      <c r="G72" s="283">
        <v>9775510.1469999999</v>
      </c>
      <c r="H72" s="166">
        <f t="shared" ref="H72" si="22">IF(F72=0, "    ---- ", IF(ABS(ROUND(100/F72*G72-100,1))&lt;999,ROUND(100/F72*G72-100,1),IF(ROUND(100/F72*G72-100,1)&gt;999,999,-999)))</f>
        <v>5.4</v>
      </c>
      <c r="I72" s="27">
        <f>IFERROR(100/'Skjema total MA'!F72*G72,0)</f>
        <v>29.067251518735951</v>
      </c>
      <c r="J72" s="289">
        <f t="shared" ref="J72" si="23">SUM(B72,F72)</f>
        <v>9274633.4049999993</v>
      </c>
      <c r="K72" s="44">
        <f t="shared" ref="K72" si="24">SUM(C72,G72)</f>
        <v>9775510.1469999999</v>
      </c>
      <c r="L72" s="257">
        <f t="shared" ref="L72" si="25">IF(J72=0, "    ---- ", IF(ABS(ROUND(100/J72*K72-100,1))&lt;999,ROUND(100/J72*K72-100,1),IF(ROUND(100/J72*K72-100,1)&gt;999,999,-999)))</f>
        <v>5.4</v>
      </c>
      <c r="M72" s="27">
        <f>IFERROR(100/'Skjema total MA'!I72*K72,0)</f>
        <v>28.970144917476826</v>
      </c>
    </row>
    <row r="73" spans="1:14" x14ac:dyDescent="0.2">
      <c r="A73" s="298" t="s">
        <v>12</v>
      </c>
      <c r="B73" s="235"/>
      <c r="C73" s="291"/>
      <c r="D73" s="166"/>
      <c r="E73" s="418"/>
      <c r="F73" s="283"/>
      <c r="G73" s="283"/>
      <c r="H73" s="166"/>
      <c r="I73" s="418"/>
      <c r="J73" s="292"/>
      <c r="K73" s="292"/>
      <c r="L73" s="166"/>
      <c r="M73" s="23"/>
    </row>
    <row r="74" spans="1:14" s="3" customFormat="1" x14ac:dyDescent="0.2">
      <c r="A74" s="298" t="s">
        <v>13</v>
      </c>
      <c r="B74" s="235"/>
      <c r="C74" s="291"/>
      <c r="D74" s="166"/>
      <c r="E74" s="418"/>
      <c r="F74" s="283">
        <v>9274633.4049999993</v>
      </c>
      <c r="G74" s="283">
        <v>9775510.1469999999</v>
      </c>
      <c r="H74" s="166">
        <f t="shared" ref="H74" si="26">IF(F74=0, "    ---- ", IF(ABS(ROUND(100/F74*G74-100,1))&lt;999,ROUND(100/F74*G74-100,1),IF(ROUND(100/F74*G74-100,1)&gt;999,999,-999)))</f>
        <v>5.4</v>
      </c>
      <c r="I74" s="27">
        <f>IFERROR(100/'Skjema total MA'!F74*G74,0)</f>
        <v>29.068130546500338</v>
      </c>
      <c r="J74" s="289">
        <f t="shared" ref="J74" si="27">SUM(B74,F74)</f>
        <v>9274633.4049999993</v>
      </c>
      <c r="K74" s="44">
        <f t="shared" ref="K74" si="28">SUM(C74,G74)</f>
        <v>9775510.1469999999</v>
      </c>
      <c r="L74" s="257">
        <f t="shared" ref="L74" si="29">IF(J74=0, "    ---- ", IF(ABS(ROUND(100/J74*K74-100,1))&lt;999,ROUND(100/J74*K74-100,1),IF(ROUND(100/J74*K74-100,1)&gt;999,999,-999)))</f>
        <v>5.4</v>
      </c>
      <c r="M74" s="27">
        <f>IFERROR(100/'Skjema total MA'!I74*K74,0)</f>
        <v>29.068130546500338</v>
      </c>
      <c r="N74" s="148"/>
    </row>
    <row r="75" spans="1:14" s="3" customFormat="1" x14ac:dyDescent="0.2">
      <c r="A75" s="21" t="s">
        <v>346</v>
      </c>
      <c r="B75" s="234">
        <v>82735.817999999999</v>
      </c>
      <c r="C75" s="145">
        <v>124061.44100000001</v>
      </c>
      <c r="D75" s="166">
        <f t="shared" si="18"/>
        <v>49.9</v>
      </c>
      <c r="E75" s="27">
        <f>IFERROR(100/'Skjema total MA'!C75*C75,0)</f>
        <v>27.478510671862949</v>
      </c>
      <c r="F75" s="234">
        <v>189284.64300000001</v>
      </c>
      <c r="G75" s="145">
        <v>1095491.3759999999</v>
      </c>
      <c r="H75" s="166">
        <f t="shared" si="19"/>
        <v>478.8</v>
      </c>
      <c r="I75" s="27">
        <f>IFERROR(100/'Skjema total MA'!F75*G75,0)</f>
        <v>79.441780252338305</v>
      </c>
      <c r="J75" s="289">
        <f t="shared" si="20"/>
        <v>272020.46100000001</v>
      </c>
      <c r="K75" s="44">
        <f t="shared" si="20"/>
        <v>1219552.817</v>
      </c>
      <c r="L75" s="257">
        <f t="shared" si="21"/>
        <v>348.3</v>
      </c>
      <c r="M75" s="27">
        <f>IFERROR(100/'Skjema total MA'!I75*K75,0)</f>
        <v>66.625055181658638</v>
      </c>
      <c r="N75" s="148"/>
    </row>
    <row r="76" spans="1:14" s="3" customFormat="1" x14ac:dyDescent="0.2">
      <c r="A76" s="21" t="s">
        <v>345</v>
      </c>
      <c r="B76" s="234">
        <v>923828.01</v>
      </c>
      <c r="C76" s="145">
        <v>1035406.008</v>
      </c>
      <c r="D76" s="166">
        <f t="shared" ref="D76" si="30">IF(B76=0, "    ---- ", IF(ABS(ROUND(100/B76*C76-100,1))&lt;999,ROUND(100/B76*C76-100,1),IF(ROUND(100/B76*C76-100,1)&gt;999,999,-999)))</f>
        <v>12.1</v>
      </c>
      <c r="E76" s="27">
        <f>IFERROR(100/'Skjema total MA'!C77*C76,0)</f>
        <v>20.230823571490472</v>
      </c>
      <c r="F76" s="234"/>
      <c r="G76" s="145"/>
      <c r="H76" s="166"/>
      <c r="I76" s="27"/>
      <c r="J76" s="289">
        <f t="shared" ref="J76" si="31">SUM(B76,F76)</f>
        <v>923828.01</v>
      </c>
      <c r="K76" s="44">
        <f t="shared" ref="K76" si="32">SUM(C76,G76)</f>
        <v>1035406.008</v>
      </c>
      <c r="L76" s="257">
        <f t="shared" ref="L76" si="33">IF(J76=0, "    ---- ", IF(ABS(ROUND(100/J76*K76-100,1))&lt;999,ROUND(100/J76*K76-100,1),IF(ROUND(100/J76*K76-100,1)&gt;999,999,-999)))</f>
        <v>12.1</v>
      </c>
      <c r="M76" s="27">
        <f>IFERROR(100/'Skjema total MA'!I77*K76,0)</f>
        <v>2.6729165298776358</v>
      </c>
      <c r="N76" s="148"/>
    </row>
    <row r="77" spans="1:14" ht="15.75" x14ac:dyDescent="0.2">
      <c r="A77" s="21" t="s">
        <v>461</v>
      </c>
      <c r="B77" s="234">
        <v>2799302.588</v>
      </c>
      <c r="C77" s="234">
        <v>1851186.524</v>
      </c>
      <c r="D77" s="166">
        <f t="shared" si="18"/>
        <v>-33.9</v>
      </c>
      <c r="E77" s="27">
        <f>IFERROR(100/'Skjema total MA'!C77*C77,0)</f>
        <v>36.170379228632704</v>
      </c>
      <c r="F77" s="234">
        <v>9274633.4049999993</v>
      </c>
      <c r="G77" s="145">
        <v>9775510.1469999999</v>
      </c>
      <c r="H77" s="166">
        <f t="shared" si="19"/>
        <v>5.4</v>
      </c>
      <c r="I77" s="27">
        <f>IFERROR(100/'Skjema total MA'!F77*G77,0)</f>
        <v>29.077359391355653</v>
      </c>
      <c r="J77" s="289">
        <f t="shared" si="20"/>
        <v>12073935.992999999</v>
      </c>
      <c r="K77" s="44">
        <f t="shared" si="20"/>
        <v>11626696.671</v>
      </c>
      <c r="L77" s="257">
        <f t="shared" si="21"/>
        <v>-3.7</v>
      </c>
      <c r="M77" s="27">
        <f>IFERROR(100/'Skjema total MA'!I77*K77,0)</f>
        <v>30.014496226285353</v>
      </c>
    </row>
    <row r="78" spans="1:14" x14ac:dyDescent="0.2">
      <c r="A78" s="21" t="s">
        <v>9</v>
      </c>
      <c r="B78" s="234">
        <v>2799302.588</v>
      </c>
      <c r="C78" s="145">
        <v>1851186.524</v>
      </c>
      <c r="D78" s="166">
        <f t="shared" si="18"/>
        <v>-33.9</v>
      </c>
      <c r="E78" s="27">
        <f>IFERROR(100/'Skjema total MA'!C78*C78,0)</f>
        <v>37.044582690818288</v>
      </c>
      <c r="F78" s="234"/>
      <c r="G78" s="145"/>
      <c r="H78" s="166"/>
      <c r="I78" s="27"/>
      <c r="J78" s="289">
        <f t="shared" si="20"/>
        <v>2799302.588</v>
      </c>
      <c r="K78" s="44">
        <f t="shared" si="20"/>
        <v>1851186.524</v>
      </c>
      <c r="L78" s="257">
        <f t="shared" si="21"/>
        <v>-33.9</v>
      </c>
      <c r="M78" s="27">
        <f>IFERROR(100/'Skjema total MA'!I78*K78,0)</f>
        <v>37.044582690818288</v>
      </c>
    </row>
    <row r="79" spans="1:14" x14ac:dyDescent="0.2">
      <c r="A79" s="21" t="s">
        <v>10</v>
      </c>
      <c r="B79" s="294"/>
      <c r="C79" s="295"/>
      <c r="D79" s="166"/>
      <c r="E79" s="27"/>
      <c r="F79" s="294">
        <v>9274633.4049999993</v>
      </c>
      <c r="G79" s="295">
        <v>9775510.1469999999</v>
      </c>
      <c r="H79" s="166">
        <f t="shared" si="19"/>
        <v>5.4</v>
      </c>
      <c r="I79" s="27">
        <f>IFERROR(100/'Skjema total MA'!F79*G79,0)</f>
        <v>29.077359391355653</v>
      </c>
      <c r="J79" s="289">
        <f t="shared" si="20"/>
        <v>9274633.4049999993</v>
      </c>
      <c r="K79" s="44">
        <f t="shared" si="20"/>
        <v>9775510.1469999999</v>
      </c>
      <c r="L79" s="257">
        <f t="shared" si="21"/>
        <v>5.4</v>
      </c>
      <c r="M79" s="27">
        <f>IFERROR(100/'Skjema total MA'!I79*K79,0)</f>
        <v>28.973272027235339</v>
      </c>
    </row>
    <row r="80" spans="1:14" ht="15.75" x14ac:dyDescent="0.2">
      <c r="A80" s="298" t="s">
        <v>459</v>
      </c>
      <c r="B80" s="283"/>
      <c r="C80" s="283"/>
      <c r="D80" s="166"/>
      <c r="E80" s="418"/>
      <c r="F80" s="283"/>
      <c r="G80" s="283"/>
      <c r="H80" s="166"/>
      <c r="I80" s="418"/>
      <c r="J80" s="292"/>
      <c r="K80" s="292"/>
      <c r="L80" s="166"/>
      <c r="M80" s="23"/>
    </row>
    <row r="81" spans="1:13" x14ac:dyDescent="0.2">
      <c r="A81" s="298" t="s">
        <v>12</v>
      </c>
      <c r="B81" s="235"/>
      <c r="C81" s="291"/>
      <c r="D81" s="166"/>
      <c r="E81" s="418"/>
      <c r="F81" s="283"/>
      <c r="G81" s="283"/>
      <c r="H81" s="166"/>
      <c r="I81" s="418"/>
      <c r="J81" s="292"/>
      <c r="K81" s="292"/>
      <c r="L81" s="166"/>
      <c r="M81" s="23"/>
    </row>
    <row r="82" spans="1:13" x14ac:dyDescent="0.2">
      <c r="A82" s="298" t="s">
        <v>13</v>
      </c>
      <c r="B82" s="235"/>
      <c r="C82" s="291"/>
      <c r="D82" s="166"/>
      <c r="E82" s="418"/>
      <c r="F82" s="283"/>
      <c r="G82" s="283"/>
      <c r="H82" s="166"/>
      <c r="I82" s="418"/>
      <c r="J82" s="292"/>
      <c r="K82" s="292"/>
      <c r="L82" s="166"/>
      <c r="M82" s="23"/>
    </row>
    <row r="83" spans="1:13" ht="15.75" x14ac:dyDescent="0.2">
      <c r="A83" s="298" t="s">
        <v>460</v>
      </c>
      <c r="B83" s="283"/>
      <c r="C83" s="283"/>
      <c r="D83" s="166"/>
      <c r="E83" s="418"/>
      <c r="F83" s="283">
        <v>9274633.4049999993</v>
      </c>
      <c r="G83" s="283">
        <v>9775510.1469999999</v>
      </c>
      <c r="H83" s="166">
        <f t="shared" ref="H83" si="34">IF(F83=0, "    ---- ", IF(ABS(ROUND(100/F83*G83-100,1))&lt;999,ROUND(100/F83*G83-100,1),IF(ROUND(100/F83*G83-100,1)&gt;999,999,-999)))</f>
        <v>5.4</v>
      </c>
      <c r="I83" s="27">
        <f>IFERROR(100/'Skjema total MA'!F83*G83,0)</f>
        <v>29.077359391355653</v>
      </c>
      <c r="J83" s="289">
        <f t="shared" ref="J83" si="35">SUM(B83,F83)</f>
        <v>9274633.4049999993</v>
      </c>
      <c r="K83" s="44">
        <f t="shared" ref="K83" si="36">SUM(C83,G83)</f>
        <v>9775510.1469999999</v>
      </c>
      <c r="L83" s="257">
        <f t="shared" ref="L83" si="37">IF(J83=0, "    ---- ", IF(ABS(ROUND(100/J83*K83-100,1))&lt;999,ROUND(100/J83*K83-100,1),IF(ROUND(100/J83*K83-100,1)&gt;999,999,-999)))</f>
        <v>5.4</v>
      </c>
      <c r="M83" s="27">
        <f>IFERROR(100/'Skjema total MA'!I83*K83,0)</f>
        <v>28.973272027235339</v>
      </c>
    </row>
    <row r="84" spans="1:13" x14ac:dyDescent="0.2">
      <c r="A84" s="298" t="s">
        <v>12</v>
      </c>
      <c r="B84" s="235"/>
      <c r="C84" s="291"/>
      <c r="D84" s="166"/>
      <c r="E84" s="418"/>
      <c r="F84" s="283"/>
      <c r="G84" s="283"/>
      <c r="H84" s="166"/>
      <c r="I84" s="418"/>
      <c r="J84" s="292"/>
      <c r="K84" s="292"/>
      <c r="L84" s="166"/>
      <c r="M84" s="23"/>
    </row>
    <row r="85" spans="1:13" x14ac:dyDescent="0.2">
      <c r="A85" s="298" t="s">
        <v>13</v>
      </c>
      <c r="B85" s="235"/>
      <c r="C85" s="291"/>
      <c r="D85" s="166"/>
      <c r="E85" s="418"/>
      <c r="F85" s="283">
        <v>9274633.4049999993</v>
      </c>
      <c r="G85" s="283">
        <v>9775510.1469999999</v>
      </c>
      <c r="H85" s="166">
        <f t="shared" ref="H85" si="38">IF(F85=0, "    ---- ", IF(ABS(ROUND(100/F85*G85-100,1))&lt;999,ROUND(100/F85*G85-100,1),IF(ROUND(100/F85*G85-100,1)&gt;999,999,-999)))</f>
        <v>5.4</v>
      </c>
      <c r="I85" s="27">
        <f>IFERROR(100/'Skjema total MA'!F85*G85,0)</f>
        <v>29.078239030583418</v>
      </c>
      <c r="J85" s="289">
        <f t="shared" ref="J85" si="39">SUM(B85,F85)</f>
        <v>9274633.4049999993</v>
      </c>
      <c r="K85" s="44">
        <f t="shared" ref="K85" si="40">SUM(C85,G85)</f>
        <v>9775510.1469999999</v>
      </c>
      <c r="L85" s="257">
        <f t="shared" ref="L85" si="41">IF(J85=0, "    ---- ", IF(ABS(ROUND(100/J85*K85-100,1))&lt;999,ROUND(100/J85*K85-100,1),IF(ROUND(100/J85*K85-100,1)&gt;999,999,-999)))</f>
        <v>5.4</v>
      </c>
      <c r="M85" s="27">
        <f>IFERROR(100/'Skjema total MA'!I85*K85,0)</f>
        <v>29.078239030583418</v>
      </c>
    </row>
    <row r="86" spans="1:13" ht="15.75" x14ac:dyDescent="0.2">
      <c r="A86" s="21" t="s">
        <v>462</v>
      </c>
      <c r="B86" s="234">
        <v>81076.017999999996</v>
      </c>
      <c r="C86" s="145">
        <v>107004.508</v>
      </c>
      <c r="D86" s="166">
        <f t="shared" si="18"/>
        <v>32</v>
      </c>
      <c r="E86" s="27">
        <f>IFERROR(100/'Skjema total MA'!C86*C86,0)</f>
        <v>74.393909500687869</v>
      </c>
      <c r="F86" s="234"/>
      <c r="G86" s="145"/>
      <c r="H86" s="166"/>
      <c r="I86" s="27"/>
      <c r="J86" s="289">
        <f t="shared" si="20"/>
        <v>81076.017999999996</v>
      </c>
      <c r="K86" s="44">
        <f t="shared" si="20"/>
        <v>107004.508</v>
      </c>
      <c r="L86" s="257">
        <f t="shared" si="21"/>
        <v>32</v>
      </c>
      <c r="M86" s="27">
        <f>IFERROR(100/'Skjema total MA'!I86*K86,0)</f>
        <v>67.715058734150276</v>
      </c>
    </row>
    <row r="87" spans="1:13" ht="15.75" x14ac:dyDescent="0.2">
      <c r="A87" s="13" t="s">
        <v>444</v>
      </c>
      <c r="B87" s="354">
        <v>164299446.204</v>
      </c>
      <c r="C87" s="354">
        <v>166916683.30500001</v>
      </c>
      <c r="D87" s="171">
        <f t="shared" si="18"/>
        <v>1.6</v>
      </c>
      <c r="E87" s="11">
        <f>IFERROR(100/'Skjema total MA'!C87*C87,0)</f>
        <v>42.235204470883872</v>
      </c>
      <c r="F87" s="353">
        <v>102084752.133</v>
      </c>
      <c r="G87" s="353">
        <v>122233388.62800001</v>
      </c>
      <c r="H87" s="171">
        <f t="shared" si="19"/>
        <v>19.7</v>
      </c>
      <c r="I87" s="11">
        <f>IFERROR(100/'Skjema total MA'!F87*G87,0)</f>
        <v>32.787613430130335</v>
      </c>
      <c r="J87" s="311">
        <f t="shared" ref="J87:K111" si="42">SUM(B87,F87)</f>
        <v>266384198.33700001</v>
      </c>
      <c r="K87" s="236">
        <f t="shared" si="42"/>
        <v>289150071.93300003</v>
      </c>
      <c r="L87" s="429">
        <f t="shared" si="21"/>
        <v>8.5</v>
      </c>
      <c r="M87" s="11">
        <f>IFERROR(100/'Skjema total MA'!I87*K87,0)</f>
        <v>37.649208422621264</v>
      </c>
    </row>
    <row r="88" spans="1:13" x14ac:dyDescent="0.2">
      <c r="A88" s="21" t="s">
        <v>9</v>
      </c>
      <c r="B88" s="234">
        <v>159560865.039</v>
      </c>
      <c r="C88" s="145">
        <v>160820217.98899999</v>
      </c>
      <c r="D88" s="166">
        <f t="shared" si="18"/>
        <v>0.8</v>
      </c>
      <c r="E88" s="27">
        <f>IFERROR(100/'Skjema total MA'!C88*C88,0)</f>
        <v>41.951498781649562</v>
      </c>
      <c r="F88" s="234"/>
      <c r="G88" s="145"/>
      <c r="H88" s="166"/>
      <c r="I88" s="27"/>
      <c r="J88" s="289">
        <f t="shared" si="42"/>
        <v>159560865.039</v>
      </c>
      <c r="K88" s="44">
        <f t="shared" si="42"/>
        <v>160820217.98899999</v>
      </c>
      <c r="L88" s="257">
        <f t="shared" si="21"/>
        <v>0.8</v>
      </c>
      <c r="M88" s="27">
        <f>IFERROR(100/'Skjema total MA'!I88*K88,0)</f>
        <v>41.951498781649562</v>
      </c>
    </row>
    <row r="89" spans="1:13" x14ac:dyDescent="0.2">
      <c r="A89" s="21" t="s">
        <v>10</v>
      </c>
      <c r="B89" s="234">
        <v>48376.71</v>
      </c>
      <c r="C89" s="145">
        <v>48051.506999999998</v>
      </c>
      <c r="D89" s="166">
        <f t="shared" si="18"/>
        <v>-0.7</v>
      </c>
      <c r="E89" s="27">
        <f>IFERROR(100/'Skjema total MA'!C89*C89,0)</f>
        <v>1.5743324385186919</v>
      </c>
      <c r="F89" s="234">
        <v>101470980.26000001</v>
      </c>
      <c r="G89" s="145">
        <v>120390060.287</v>
      </c>
      <c r="H89" s="166">
        <f t="shared" si="19"/>
        <v>18.600000000000001</v>
      </c>
      <c r="I89" s="27">
        <f>IFERROR(100/'Skjema total MA'!F89*G89,0)</f>
        <v>32.56676951059891</v>
      </c>
      <c r="J89" s="289">
        <f t="shared" si="42"/>
        <v>101519356.97</v>
      </c>
      <c r="K89" s="44">
        <f t="shared" si="42"/>
        <v>120438111.794</v>
      </c>
      <c r="L89" s="257">
        <f t="shared" si="21"/>
        <v>18.600000000000001</v>
      </c>
      <c r="M89" s="27">
        <f>IFERROR(100/'Skjema total MA'!I89*K89,0)</f>
        <v>32.312976693775944</v>
      </c>
    </row>
    <row r="90" spans="1:13" ht="15.75" x14ac:dyDescent="0.2">
      <c r="A90" s="298" t="s">
        <v>459</v>
      </c>
      <c r="B90" s="283"/>
      <c r="C90" s="283"/>
      <c r="D90" s="166"/>
      <c r="E90" s="418"/>
      <c r="F90" s="283"/>
      <c r="G90" s="283"/>
      <c r="H90" s="166"/>
      <c r="I90" s="418"/>
      <c r="J90" s="292"/>
      <c r="K90" s="292"/>
      <c r="L90" s="166"/>
      <c r="M90" s="23"/>
    </row>
    <row r="91" spans="1:13" x14ac:dyDescent="0.2">
      <c r="A91" s="298" t="s">
        <v>12</v>
      </c>
      <c r="B91" s="235"/>
      <c r="C91" s="291"/>
      <c r="D91" s="166"/>
      <c r="E91" s="418"/>
      <c r="F91" s="283"/>
      <c r="G91" s="283"/>
      <c r="H91" s="166"/>
      <c r="I91" s="418"/>
      <c r="J91" s="292"/>
      <c r="K91" s="292"/>
      <c r="L91" s="166"/>
      <c r="M91" s="23"/>
    </row>
    <row r="92" spans="1:13" x14ac:dyDescent="0.2">
      <c r="A92" s="298" t="s">
        <v>13</v>
      </c>
      <c r="B92" s="235"/>
      <c r="C92" s="291"/>
      <c r="D92" s="166"/>
      <c r="E92" s="418"/>
      <c r="F92" s="283"/>
      <c r="G92" s="283"/>
      <c r="H92" s="166"/>
      <c r="I92" s="418"/>
      <c r="J92" s="292"/>
      <c r="K92" s="292"/>
      <c r="L92" s="166"/>
      <c r="M92" s="23"/>
    </row>
    <row r="93" spans="1:13" ht="15.75" x14ac:dyDescent="0.2">
      <c r="A93" s="298" t="s">
        <v>460</v>
      </c>
      <c r="B93" s="283">
        <v>48376.71</v>
      </c>
      <c r="C93" s="283">
        <v>48051.506999999998</v>
      </c>
      <c r="D93" s="166">
        <f t="shared" ref="D93" si="43">IF(B93=0, "    ---- ", IF(ABS(ROUND(100/B93*C93-100,1))&lt;999,ROUND(100/B93*C93-100,1),IF(ROUND(100/B93*C93-100,1)&gt;999,999,-999)))</f>
        <v>-0.7</v>
      </c>
      <c r="E93" s="27">
        <f>IFERROR(100/'Skjema total MA'!C93*C93,0)</f>
        <v>1.5743324385186919</v>
      </c>
      <c r="F93" s="283">
        <v>101470980.26000001</v>
      </c>
      <c r="G93" s="283">
        <v>120390060.287</v>
      </c>
      <c r="H93" s="166">
        <f t="shared" ref="H93" si="44">IF(F93=0, "    ---- ", IF(ABS(ROUND(100/F93*G93-100,1))&lt;999,ROUND(100/F93*G93-100,1),IF(ROUND(100/F93*G93-100,1)&gt;999,999,-999)))</f>
        <v>18.600000000000001</v>
      </c>
      <c r="I93" s="27">
        <f>IFERROR(100/'Skjema total MA'!F93*G93,0)</f>
        <v>32.576934788953857</v>
      </c>
      <c r="J93" s="289">
        <f t="shared" ref="J93" si="45">SUM(B93,F93)</f>
        <v>101519356.97</v>
      </c>
      <c r="K93" s="44">
        <f t="shared" ref="K93" si="46">SUM(C93,G93)</f>
        <v>120438111.794</v>
      </c>
      <c r="L93" s="257">
        <f t="shared" ref="L93" si="47">IF(J93=0, "    ---- ", IF(ABS(ROUND(100/J93*K93-100,1))&lt;999,ROUND(100/J93*K93-100,1),IF(ROUND(100/J93*K93-100,1)&gt;999,999,-999)))</f>
        <v>18.600000000000001</v>
      </c>
      <c r="M93" s="27">
        <f>IFERROR(100/'Skjema total MA'!I93*K93,0)</f>
        <v>32.322980135188097</v>
      </c>
    </row>
    <row r="94" spans="1:13" x14ac:dyDescent="0.2">
      <c r="A94" s="298" t="s">
        <v>12</v>
      </c>
      <c r="B94" s="235"/>
      <c r="C94" s="291"/>
      <c r="D94" s="166"/>
      <c r="E94" s="418"/>
      <c r="F94" s="283"/>
      <c r="G94" s="283"/>
      <c r="H94" s="166"/>
      <c r="I94" s="27"/>
      <c r="J94" s="292"/>
      <c r="K94" s="292"/>
      <c r="L94" s="166"/>
      <c r="M94" s="23"/>
    </row>
    <row r="95" spans="1:13" x14ac:dyDescent="0.2">
      <c r="A95" s="298" t="s">
        <v>13</v>
      </c>
      <c r="B95" s="235"/>
      <c r="C95" s="291"/>
      <c r="D95" s="166"/>
      <c r="E95" s="418"/>
      <c r="F95" s="283">
        <v>101470980.26000001</v>
      </c>
      <c r="G95" s="283">
        <v>120390060.287</v>
      </c>
      <c r="H95" s="166">
        <f t="shared" ref="H95" si="48">IF(F95=0, "    ---- ", IF(ABS(ROUND(100/F95*G95-100,1))&lt;999,ROUND(100/F95*G95-100,1),IF(ROUND(100/F95*G95-100,1)&gt;999,999,-999)))</f>
        <v>18.600000000000001</v>
      </c>
      <c r="I95" s="27">
        <f>IFERROR(100/'Skjema total MA'!F95*G95,0)</f>
        <v>32.651354119556153</v>
      </c>
      <c r="J95" s="289">
        <f t="shared" ref="J95" si="49">SUM(B95,F95)</f>
        <v>101470980.26000001</v>
      </c>
      <c r="K95" s="44">
        <f t="shared" ref="K95" si="50">SUM(C95,G95)</f>
        <v>120390060.287</v>
      </c>
      <c r="L95" s="257">
        <f t="shared" ref="L95" si="51">IF(J95=0, "    ---- ", IF(ABS(ROUND(100/J95*K95-100,1))&lt;999,ROUND(100/J95*K95-100,1),IF(ROUND(100/J95*K95-100,1)&gt;999,999,-999)))</f>
        <v>18.600000000000001</v>
      </c>
      <c r="M95" s="27">
        <f>IFERROR(100/'Skjema total MA'!I95*K95,0)</f>
        <v>32.651354119556153</v>
      </c>
    </row>
    <row r="96" spans="1:13" x14ac:dyDescent="0.2">
      <c r="A96" s="21" t="s">
        <v>344</v>
      </c>
      <c r="B96" s="234">
        <v>249030.15599999999</v>
      </c>
      <c r="C96" s="145">
        <v>432975.29100000003</v>
      </c>
      <c r="D96" s="166">
        <f t="shared" si="18"/>
        <v>73.900000000000006</v>
      </c>
      <c r="E96" s="27">
        <f>IFERROR(100/'Skjema total MA'!C96*C96,0)</f>
        <v>21.656247948339164</v>
      </c>
      <c r="F96" s="234">
        <v>613771.87300000002</v>
      </c>
      <c r="G96" s="145">
        <v>1843328.341</v>
      </c>
      <c r="H96" s="166">
        <f t="shared" si="19"/>
        <v>200.3</v>
      </c>
      <c r="I96" s="27">
        <f>IFERROR(100/'Skjema total MA'!F96*G96,0)</f>
        <v>58.853337511846135</v>
      </c>
      <c r="J96" s="289">
        <f t="shared" si="42"/>
        <v>862802.02899999998</v>
      </c>
      <c r="K96" s="44">
        <f t="shared" si="42"/>
        <v>2276303.6320000002</v>
      </c>
      <c r="L96" s="257">
        <f t="shared" si="21"/>
        <v>163.80000000000001</v>
      </c>
      <c r="M96" s="27">
        <f>IFERROR(100/'Skjema total MA'!I96*K96,0)</f>
        <v>44.36045783841243</v>
      </c>
    </row>
    <row r="97" spans="1:13" x14ac:dyDescent="0.2">
      <c r="A97" s="21" t="s">
        <v>343</v>
      </c>
      <c r="B97" s="234">
        <v>4441174.2989999996</v>
      </c>
      <c r="C97" s="145">
        <v>5615438.5180000002</v>
      </c>
      <c r="D97" s="166">
        <f t="shared" ref="D97" si="52">IF(B97=0, "    ---- ", IF(ABS(ROUND(100/B97*C97-100,1))&lt;999,ROUND(100/B97*C97-100,1),IF(ROUND(100/B97*C97-100,1)&gt;999,999,-999)))</f>
        <v>26.4</v>
      </c>
      <c r="E97" s="27">
        <f>IFERROR(100/'Skjema total MA'!C98*C97,0)</f>
        <v>1.470187347523491</v>
      </c>
      <c r="F97" s="234"/>
      <c r="G97" s="145"/>
      <c r="H97" s="166"/>
      <c r="I97" s="27"/>
      <c r="J97" s="289">
        <f t="shared" ref="J97" si="53">SUM(B97,F97)</f>
        <v>4441174.2989999996</v>
      </c>
      <c r="K97" s="44">
        <f t="shared" ref="K97" si="54">SUM(C97,G97)</f>
        <v>5615438.5180000002</v>
      </c>
      <c r="L97" s="257">
        <f t="shared" ref="L97" si="55">IF(J97=0, "    ---- ", IF(ABS(ROUND(100/J97*K97-100,1))&lt;999,ROUND(100/J97*K97-100,1),IF(ROUND(100/J97*K97-100,1)&gt;999,999,-999)))</f>
        <v>26.4</v>
      </c>
      <c r="M97" s="27">
        <f>IFERROR(100/'Skjema total MA'!I98*K97,0)</f>
        <v>0.74813064651198702</v>
      </c>
    </row>
    <row r="98" spans="1:13" ht="15.75" x14ac:dyDescent="0.2">
      <c r="A98" s="21" t="s">
        <v>461</v>
      </c>
      <c r="B98" s="234">
        <v>156335085.30400002</v>
      </c>
      <c r="C98" s="234">
        <v>157613976.09900001</v>
      </c>
      <c r="D98" s="166">
        <f t="shared" si="18"/>
        <v>0.8</v>
      </c>
      <c r="E98" s="27">
        <f>IFERROR(100/'Skjema total MA'!C98*C98,0)</f>
        <v>41.26517861621074</v>
      </c>
      <c r="F98" s="294">
        <v>101470980.26000001</v>
      </c>
      <c r="G98" s="294">
        <v>120390060.287</v>
      </c>
      <c r="H98" s="166">
        <f t="shared" si="19"/>
        <v>18.600000000000001</v>
      </c>
      <c r="I98" s="27">
        <f>IFERROR(100/'Skjema total MA'!F98*G98,0)</f>
        <v>32.657713820118303</v>
      </c>
      <c r="J98" s="289">
        <f t="shared" si="42"/>
        <v>257806065.56400001</v>
      </c>
      <c r="K98" s="44">
        <f t="shared" si="42"/>
        <v>278004036.38600004</v>
      </c>
      <c r="L98" s="257">
        <f t="shared" si="21"/>
        <v>7.8</v>
      </c>
      <c r="M98" s="27">
        <f>IFERROR(100/'Skjema total MA'!I98*K98,0)</f>
        <v>37.037773418357311</v>
      </c>
    </row>
    <row r="99" spans="1:13" x14ac:dyDescent="0.2">
      <c r="A99" s="21" t="s">
        <v>9</v>
      </c>
      <c r="B99" s="294">
        <v>156286708.59400001</v>
      </c>
      <c r="C99" s="295">
        <v>157565924.59200001</v>
      </c>
      <c r="D99" s="166">
        <f t="shared" si="18"/>
        <v>0.8</v>
      </c>
      <c r="E99" s="27">
        <f>IFERROR(100/'Skjema total MA'!C99*C99,0)</f>
        <v>41.584901930186604</v>
      </c>
      <c r="F99" s="234"/>
      <c r="G99" s="145"/>
      <c r="H99" s="166"/>
      <c r="I99" s="27"/>
      <c r="J99" s="289">
        <f t="shared" si="42"/>
        <v>156286708.59400001</v>
      </c>
      <c r="K99" s="44">
        <f t="shared" si="42"/>
        <v>157565924.59200001</v>
      </c>
      <c r="L99" s="257">
        <f t="shared" si="21"/>
        <v>0.8</v>
      </c>
      <c r="M99" s="27">
        <f>IFERROR(100/'Skjema total MA'!I99*K99,0)</f>
        <v>41.584901930186604</v>
      </c>
    </row>
    <row r="100" spans="1:13" x14ac:dyDescent="0.2">
      <c r="A100" s="21" t="s">
        <v>10</v>
      </c>
      <c r="B100" s="294">
        <v>48376.71</v>
      </c>
      <c r="C100" s="295">
        <v>48051.506999999998</v>
      </c>
      <c r="D100" s="166">
        <f t="shared" si="18"/>
        <v>-0.7</v>
      </c>
      <c r="E100" s="27">
        <f>IFERROR(100/'Skjema total MA'!C100*C100,0)</f>
        <v>1.5743324385186919</v>
      </c>
      <c r="F100" s="234">
        <v>101470980.26000001</v>
      </c>
      <c r="G100" s="234">
        <v>120390060.287</v>
      </c>
      <c r="H100" s="166">
        <f t="shared" si="19"/>
        <v>18.600000000000001</v>
      </c>
      <c r="I100" s="27">
        <f>IFERROR(100/'Skjema total MA'!F100*G100,0)</f>
        <v>32.657713820118303</v>
      </c>
      <c r="J100" s="289">
        <f t="shared" si="42"/>
        <v>101519356.97</v>
      </c>
      <c r="K100" s="44">
        <f t="shared" si="42"/>
        <v>120438111.794</v>
      </c>
      <c r="L100" s="257">
        <f t="shared" si="21"/>
        <v>18.600000000000001</v>
      </c>
      <c r="M100" s="27">
        <f>IFERROR(100/'Skjema total MA'!I100*K100,0)</f>
        <v>32.402471301002194</v>
      </c>
    </row>
    <row r="101" spans="1:13" ht="15.75" x14ac:dyDescent="0.2">
      <c r="A101" s="298" t="s">
        <v>459</v>
      </c>
      <c r="B101" s="283"/>
      <c r="C101" s="283"/>
      <c r="D101" s="166"/>
      <c r="E101" s="418"/>
      <c r="F101" s="283"/>
      <c r="G101" s="283"/>
      <c r="H101" s="166"/>
      <c r="I101" s="418"/>
      <c r="J101" s="292"/>
      <c r="K101" s="292"/>
      <c r="L101" s="166"/>
      <c r="M101" s="23"/>
    </row>
    <row r="102" spans="1:13" x14ac:dyDescent="0.2">
      <c r="A102" s="298" t="s">
        <v>12</v>
      </c>
      <c r="B102" s="235"/>
      <c r="C102" s="291"/>
      <c r="D102" s="166"/>
      <c r="E102" s="418"/>
      <c r="F102" s="283"/>
      <c r="G102" s="283"/>
      <c r="H102" s="166"/>
      <c r="I102" s="418"/>
      <c r="J102" s="292"/>
      <c r="K102" s="292"/>
      <c r="L102" s="166"/>
      <c r="M102" s="23"/>
    </row>
    <row r="103" spans="1:13" x14ac:dyDescent="0.2">
      <c r="A103" s="298" t="s">
        <v>13</v>
      </c>
      <c r="B103" s="235"/>
      <c r="C103" s="291"/>
      <c r="D103" s="166"/>
      <c r="E103" s="418"/>
      <c r="F103" s="283"/>
      <c r="G103" s="283"/>
      <c r="H103" s="166"/>
      <c r="I103" s="418"/>
      <c r="J103" s="292"/>
      <c r="K103" s="292"/>
      <c r="L103" s="166"/>
      <c r="M103" s="23"/>
    </row>
    <row r="104" spans="1:13" ht="15.75" x14ac:dyDescent="0.2">
      <c r="A104" s="298" t="s">
        <v>460</v>
      </c>
      <c r="B104" s="283">
        <v>48376.71</v>
      </c>
      <c r="C104" s="283">
        <v>48051.506999999998</v>
      </c>
      <c r="D104" s="166">
        <f t="shared" ref="D104" si="56">IF(B104=0, "    ---- ", IF(ABS(ROUND(100/B104*C104-100,1))&lt;999,ROUND(100/B104*C104-100,1),IF(ROUND(100/B104*C104-100,1)&gt;999,999,-999)))</f>
        <v>-0.7</v>
      </c>
      <c r="E104" s="27">
        <f>IFERROR(100/'Skjema total MA'!C104*C104,0)</f>
        <v>1.5743324385186919</v>
      </c>
      <c r="F104" s="283">
        <v>101470980.26000001</v>
      </c>
      <c r="G104" s="283">
        <v>120390060.287</v>
      </c>
      <c r="H104" s="166">
        <f t="shared" ref="H104" si="57">IF(F104=0, "    ---- ", IF(ABS(ROUND(100/F104*G104-100,1))&lt;999,ROUND(100/F104*G104-100,1),IF(ROUND(100/F104*G104-100,1)&gt;999,999,-999)))</f>
        <v>18.600000000000001</v>
      </c>
      <c r="I104" s="27">
        <f>IFERROR(100/'Skjema total MA'!F104*G104,0)</f>
        <v>32.657713820118303</v>
      </c>
      <c r="J104" s="289">
        <f t="shared" ref="J104" si="58">SUM(B104,F104)</f>
        <v>101519356.97</v>
      </c>
      <c r="K104" s="44">
        <f t="shared" ref="K104" si="59">SUM(C104,G104)</f>
        <v>120438111.794</v>
      </c>
      <c r="L104" s="257">
        <f t="shared" ref="L104" si="60">IF(J104=0, "    ---- ", IF(ABS(ROUND(100/J104*K104-100,1))&lt;999,ROUND(100/J104*K104-100,1),IF(ROUND(100/J104*K104-100,1)&gt;999,999,-999)))</f>
        <v>18.600000000000001</v>
      </c>
      <c r="M104" s="27">
        <f>IFERROR(100/'Skjema total MA'!I104*K104,0)</f>
        <v>32.402471301002194</v>
      </c>
    </row>
    <row r="105" spans="1:13" x14ac:dyDescent="0.2">
      <c r="A105" s="298" t="s">
        <v>12</v>
      </c>
      <c r="B105" s="235"/>
      <c r="C105" s="291"/>
      <c r="D105" s="166"/>
      <c r="E105" s="418"/>
      <c r="F105" s="283"/>
      <c r="G105" s="283"/>
      <c r="H105" s="166"/>
      <c r="I105" s="418"/>
      <c r="J105" s="292"/>
      <c r="K105" s="292"/>
      <c r="L105" s="166"/>
      <c r="M105" s="23"/>
    </row>
    <row r="106" spans="1:13" x14ac:dyDescent="0.2">
      <c r="A106" s="298" t="s">
        <v>13</v>
      </c>
      <c r="B106" s="235"/>
      <c r="C106" s="291"/>
      <c r="D106" s="166"/>
      <c r="E106" s="418"/>
      <c r="F106" s="283">
        <v>101470980.26000001</v>
      </c>
      <c r="G106" s="283">
        <v>120390060.287</v>
      </c>
      <c r="H106" s="166">
        <f t="shared" ref="H106" si="61">IF(F106=0, "    ---- ", IF(ABS(ROUND(100/F106*G106-100,1))&lt;999,ROUND(100/F106*G106-100,1),IF(ROUND(100/F106*G106-100,1)&gt;999,999,-999)))</f>
        <v>18.600000000000001</v>
      </c>
      <c r="I106" s="27">
        <f>IFERROR(100/'Skjema total MA'!F106*G106,0)</f>
        <v>32.65873413415455</v>
      </c>
      <c r="J106" s="289">
        <f t="shared" ref="J106" si="62">SUM(B106,F106)</f>
        <v>101470980.26000001</v>
      </c>
      <c r="K106" s="44">
        <f t="shared" ref="K106" si="63">SUM(C106,G106)</f>
        <v>120390060.287</v>
      </c>
      <c r="L106" s="257">
        <f t="shared" ref="L106" si="64">IF(J106=0, "    ---- ", IF(ABS(ROUND(100/J106*K106-100,1))&lt;999,ROUND(100/J106*K106-100,1),IF(ROUND(100/J106*K106-100,1)&gt;999,999,-999)))</f>
        <v>18.600000000000001</v>
      </c>
      <c r="M106" s="27">
        <f>IFERROR(100/'Skjema total MA'!I106*K106,0)</f>
        <v>32.65873413415455</v>
      </c>
    </row>
    <row r="107" spans="1:13" ht="15.75" x14ac:dyDescent="0.2">
      <c r="A107" s="21" t="s">
        <v>462</v>
      </c>
      <c r="B107" s="234">
        <v>3274156.4449999998</v>
      </c>
      <c r="C107" s="145">
        <v>3254293.3969999999</v>
      </c>
      <c r="D107" s="166">
        <f t="shared" si="18"/>
        <v>-0.6</v>
      </c>
      <c r="E107" s="27">
        <f>IFERROR(100/'Skjema total MA'!C107*C107,0)</f>
        <v>73.19253520011263</v>
      </c>
      <c r="F107" s="234"/>
      <c r="G107" s="145"/>
      <c r="H107" s="166"/>
      <c r="I107" s="27"/>
      <c r="J107" s="289">
        <f t="shared" si="42"/>
        <v>3274156.4449999998</v>
      </c>
      <c r="K107" s="44">
        <f t="shared" si="42"/>
        <v>3254293.3969999999</v>
      </c>
      <c r="L107" s="257">
        <f t="shared" si="21"/>
        <v>-0.6</v>
      </c>
      <c r="M107" s="27">
        <f>IFERROR(100/'Skjema total MA'!I107*K107,0)</f>
        <v>59.431979226459049</v>
      </c>
    </row>
    <row r="108" spans="1:13" ht="15.75" x14ac:dyDescent="0.2">
      <c r="A108" s="21" t="s">
        <v>463</v>
      </c>
      <c r="B108" s="234">
        <v>133217316.215</v>
      </c>
      <c r="C108" s="234">
        <v>138964539.947</v>
      </c>
      <c r="D108" s="166">
        <f t="shared" si="18"/>
        <v>4.3</v>
      </c>
      <c r="E108" s="27">
        <f>IFERROR(100/'Skjema total MA'!C108*C108,0)</f>
        <v>42.53201145735666</v>
      </c>
      <c r="F108" s="234">
        <v>16424165.877</v>
      </c>
      <c r="G108" s="234">
        <v>17760843.967999998</v>
      </c>
      <c r="H108" s="166">
        <f t="shared" si="19"/>
        <v>8.1</v>
      </c>
      <c r="I108" s="27">
        <f>IFERROR(100/'Skjema total MA'!F108*G108,0)</f>
        <v>95.198512228975872</v>
      </c>
      <c r="J108" s="289">
        <f t="shared" si="42"/>
        <v>149641482.09200001</v>
      </c>
      <c r="K108" s="44">
        <f t="shared" si="42"/>
        <v>156725383.91499999</v>
      </c>
      <c r="L108" s="257">
        <f t="shared" si="21"/>
        <v>4.7</v>
      </c>
      <c r="M108" s="27">
        <f>IFERROR(100/'Skjema total MA'!I108*K108,0)</f>
        <v>45.376886905546151</v>
      </c>
    </row>
    <row r="109" spans="1:13" ht="15.75" x14ac:dyDescent="0.2">
      <c r="A109" s="21" t="s">
        <v>464</v>
      </c>
      <c r="B109" s="234"/>
      <c r="C109" s="234"/>
      <c r="D109" s="166"/>
      <c r="E109" s="27"/>
      <c r="F109" s="234">
        <v>31419033.914999999</v>
      </c>
      <c r="G109" s="234">
        <v>38135318.649999999</v>
      </c>
      <c r="H109" s="166">
        <f t="shared" si="19"/>
        <v>21.4</v>
      </c>
      <c r="I109" s="27">
        <f>IFERROR(100/'Skjema total MA'!F109*G109,0)</f>
        <v>29.325095573897798</v>
      </c>
      <c r="J109" s="289">
        <f t="shared" si="42"/>
        <v>31419033.914999999</v>
      </c>
      <c r="K109" s="44">
        <f t="shared" si="42"/>
        <v>38135318.649999999</v>
      </c>
      <c r="L109" s="257">
        <f t="shared" si="21"/>
        <v>21.4</v>
      </c>
      <c r="M109" s="27">
        <f>IFERROR(100/'Skjema total MA'!I109*K109,0)</f>
        <v>29.082933800102793</v>
      </c>
    </row>
    <row r="110" spans="1:13" ht="15.75" x14ac:dyDescent="0.2">
      <c r="A110" s="21" t="s">
        <v>465</v>
      </c>
      <c r="B110" s="234">
        <v>87904.527000000002</v>
      </c>
      <c r="C110" s="234">
        <v>149870.61300000001</v>
      </c>
      <c r="D110" s="166">
        <f t="shared" si="18"/>
        <v>70.5</v>
      </c>
      <c r="E110" s="27">
        <f>IFERROR(100/'Skjema total MA'!C110*C110,0)</f>
        <v>31.683001313571928</v>
      </c>
      <c r="F110" s="234"/>
      <c r="G110" s="234"/>
      <c r="H110" s="166"/>
      <c r="I110" s="27"/>
      <c r="J110" s="289">
        <f t="shared" si="42"/>
        <v>87904.527000000002</v>
      </c>
      <c r="K110" s="44">
        <f t="shared" si="42"/>
        <v>149870.61300000001</v>
      </c>
      <c r="L110" s="257">
        <f t="shared" si="21"/>
        <v>70.5</v>
      </c>
      <c r="M110" s="27">
        <f>IFERROR(100/'Skjema total MA'!I110*K110,0)</f>
        <v>31.683001313571928</v>
      </c>
    </row>
    <row r="111" spans="1:13" ht="15.75" x14ac:dyDescent="0.2">
      <c r="A111" s="13" t="s">
        <v>445</v>
      </c>
      <c r="B111" s="310">
        <v>104900.482</v>
      </c>
      <c r="C111" s="159">
        <v>433394.37200000003</v>
      </c>
      <c r="D111" s="171">
        <f t="shared" si="18"/>
        <v>313.10000000000002</v>
      </c>
      <c r="E111" s="11">
        <f>IFERROR(100/'Skjema total MA'!C111*C111,0)</f>
        <v>47.019848830541996</v>
      </c>
      <c r="F111" s="310">
        <v>3024073.477</v>
      </c>
      <c r="G111" s="159">
        <v>5249196.7450000001</v>
      </c>
      <c r="H111" s="171">
        <f t="shared" si="19"/>
        <v>73.599999999999994</v>
      </c>
      <c r="I111" s="11">
        <f>IFERROR(100/'Skjema total MA'!F111*G111,0)</f>
        <v>23.637135517843948</v>
      </c>
      <c r="J111" s="311">
        <f t="shared" si="42"/>
        <v>3128973.9589999998</v>
      </c>
      <c r="K111" s="236">
        <f t="shared" si="42"/>
        <v>5682591.1170000006</v>
      </c>
      <c r="L111" s="429">
        <f t="shared" si="21"/>
        <v>81.599999999999994</v>
      </c>
      <c r="M111" s="11">
        <f>IFERROR(100/'Skjema total MA'!I111*K111,0)</f>
        <v>24.568967119403478</v>
      </c>
    </row>
    <row r="112" spans="1:13" x14ac:dyDescent="0.2">
      <c r="A112" s="21" t="s">
        <v>9</v>
      </c>
      <c r="B112" s="234">
        <v>14997.737999999999</v>
      </c>
      <c r="C112" s="145">
        <v>10049.135</v>
      </c>
      <c r="D112" s="166">
        <f t="shared" ref="D112:D125" si="65">IF(B112=0, "    ---- ", IF(ABS(ROUND(100/B112*C112-100,1))&lt;999,ROUND(100/B112*C112-100,1),IF(ROUND(100/B112*C112-100,1)&gt;999,999,-999)))</f>
        <v>-33</v>
      </c>
      <c r="E112" s="27">
        <f>IFERROR(100/'Skjema total MA'!C112*C112,0)</f>
        <v>2.0934930764415549</v>
      </c>
      <c r="F112" s="234">
        <v>5989.8890000000001</v>
      </c>
      <c r="G112" s="145">
        <v>19099.904999999999</v>
      </c>
      <c r="H112" s="166">
        <f t="shared" ref="H112:H125" si="66">IF(F112=0, "    ---- ", IF(ABS(ROUND(100/F112*G112-100,1))&lt;999,ROUND(100/F112*G112-100,1),IF(ROUND(100/F112*G112-100,1)&gt;999,999,-999)))</f>
        <v>218.9</v>
      </c>
      <c r="I112" s="27">
        <f>IFERROR(100/'Skjema total MA'!F112*G112,0)</f>
        <v>100</v>
      </c>
      <c r="J112" s="289">
        <f t="shared" ref="J112:K125" si="67">SUM(B112,F112)</f>
        <v>20987.627</v>
      </c>
      <c r="K112" s="44">
        <f t="shared" si="67"/>
        <v>29149.040000000001</v>
      </c>
      <c r="L112" s="257">
        <f t="shared" ref="L112:L125" si="68">IF(J112=0, "    ---- ", IF(ABS(ROUND(100/J112*K112-100,1))&lt;999,ROUND(100/J112*K112-100,1),IF(ROUND(100/J112*K112-100,1)&gt;999,999,-999)))</f>
        <v>38.9</v>
      </c>
      <c r="M112" s="27">
        <f>IFERROR(100/'Skjema total MA'!I112*K112,0)</f>
        <v>5.8401158698026974</v>
      </c>
    </row>
    <row r="113" spans="1:14" x14ac:dyDescent="0.2">
      <c r="A113" s="21" t="s">
        <v>10</v>
      </c>
      <c r="B113" s="234"/>
      <c r="C113" s="145"/>
      <c r="D113" s="166"/>
      <c r="E113" s="27"/>
      <c r="F113" s="234">
        <v>3016283.7779999999</v>
      </c>
      <c r="G113" s="145">
        <v>5161327.7549999999</v>
      </c>
      <c r="H113" s="166">
        <f t="shared" si="66"/>
        <v>71.099999999999994</v>
      </c>
      <c r="I113" s="27">
        <f>IFERROR(100/'Skjema total MA'!F113*G113,0)</f>
        <v>23.333975046650675</v>
      </c>
      <c r="J113" s="289">
        <f t="shared" si="67"/>
        <v>3016283.7779999999</v>
      </c>
      <c r="K113" s="44">
        <f t="shared" si="67"/>
        <v>5161327.7549999999</v>
      </c>
      <c r="L113" s="257">
        <f t="shared" si="68"/>
        <v>71.099999999999994</v>
      </c>
      <c r="M113" s="27">
        <f>IFERROR(100/'Skjema total MA'!I113*K113,0)</f>
        <v>23.328600870071586</v>
      </c>
    </row>
    <row r="114" spans="1:14" x14ac:dyDescent="0.2">
      <c r="A114" s="21" t="s">
        <v>26</v>
      </c>
      <c r="B114" s="234">
        <v>89902.744000000006</v>
      </c>
      <c r="C114" s="145">
        <v>423345.23700000002</v>
      </c>
      <c r="D114" s="166">
        <f t="shared" si="65"/>
        <v>370.9</v>
      </c>
      <c r="E114" s="27">
        <f>IFERROR(100/'Skjema total MA'!C114*C114,0)</f>
        <v>96.961156660443649</v>
      </c>
      <c r="F114" s="234">
        <v>1799.81</v>
      </c>
      <c r="G114" s="145">
        <v>68769.085000000006</v>
      </c>
      <c r="H114" s="166">
        <f t="shared" si="66"/>
        <v>999</v>
      </c>
      <c r="I114" s="27">
        <f>IFERROR(100/'Skjema total MA'!F114*G114,0)</f>
        <v>99.741683442429633</v>
      </c>
      <c r="J114" s="289">
        <f t="shared" si="67"/>
        <v>91702.554000000004</v>
      </c>
      <c r="K114" s="44">
        <f t="shared" si="67"/>
        <v>492114.32200000004</v>
      </c>
      <c r="L114" s="257">
        <f t="shared" si="68"/>
        <v>436.6</v>
      </c>
      <c r="M114" s="27">
        <f>IFERROR(100/'Skjema total MA'!I114*K114,0)</f>
        <v>97.340358619136396</v>
      </c>
    </row>
    <row r="115" spans="1:14" x14ac:dyDescent="0.2">
      <c r="A115" s="298" t="s">
        <v>15</v>
      </c>
      <c r="B115" s="283"/>
      <c r="C115" s="283"/>
      <c r="D115" s="166"/>
      <c r="E115" s="418"/>
      <c r="F115" s="283"/>
      <c r="G115" s="283"/>
      <c r="H115" s="166"/>
      <c r="I115" s="418"/>
      <c r="J115" s="292"/>
      <c r="K115" s="292"/>
      <c r="L115" s="166"/>
      <c r="M115" s="23"/>
    </row>
    <row r="116" spans="1:14" ht="15.75" x14ac:dyDescent="0.2">
      <c r="A116" s="21" t="s">
        <v>466</v>
      </c>
      <c r="B116" s="234">
        <v>13047.608</v>
      </c>
      <c r="C116" s="234">
        <v>2632.0619999999999</v>
      </c>
      <c r="D116" s="166">
        <f t="shared" si="65"/>
        <v>-79.8</v>
      </c>
      <c r="E116" s="27">
        <f>IFERROR(100/'Skjema total MA'!C116*C116,0)</f>
        <v>3.1752919092513388</v>
      </c>
      <c r="F116" s="234">
        <v>5989.8890000000001</v>
      </c>
      <c r="G116" s="234">
        <v>19099.904999999999</v>
      </c>
      <c r="H116" s="166">
        <f t="shared" si="66"/>
        <v>218.9</v>
      </c>
      <c r="I116" s="27">
        <f>IFERROR(100/'Skjema total MA'!F116*G116,0)</f>
        <v>100</v>
      </c>
      <c r="J116" s="289">
        <f t="shared" si="67"/>
        <v>19037.496999999999</v>
      </c>
      <c r="K116" s="44">
        <f t="shared" si="67"/>
        <v>21731.966999999997</v>
      </c>
      <c r="L116" s="257">
        <f t="shared" si="68"/>
        <v>14.2</v>
      </c>
      <c r="M116" s="27">
        <f>IFERROR(100/'Skjema total MA'!I116*K116,0)</f>
        <v>21.30754740309461</v>
      </c>
    </row>
    <row r="117" spans="1:14" ht="15.75" x14ac:dyDescent="0.2">
      <c r="A117" s="21" t="s">
        <v>467</v>
      </c>
      <c r="B117" s="234"/>
      <c r="C117" s="234"/>
      <c r="D117" s="166"/>
      <c r="E117" s="27"/>
      <c r="F117" s="234">
        <v>1118278.9720000001</v>
      </c>
      <c r="G117" s="234">
        <v>745820.152</v>
      </c>
      <c r="H117" s="166">
        <f t="shared" si="66"/>
        <v>-33.299999999999997</v>
      </c>
      <c r="I117" s="27">
        <f>IFERROR(100/'Skjema total MA'!F117*G117,0)</f>
        <v>15.23849110503175</v>
      </c>
      <c r="J117" s="289">
        <f t="shared" si="67"/>
        <v>1118278.9720000001</v>
      </c>
      <c r="K117" s="44">
        <f t="shared" si="67"/>
        <v>745820.152</v>
      </c>
      <c r="L117" s="257">
        <f t="shared" si="68"/>
        <v>-33.299999999999997</v>
      </c>
      <c r="M117" s="27">
        <f>IFERROR(100/'Skjema total MA'!I117*K117,0)</f>
        <v>15.23849110503175</v>
      </c>
    </row>
    <row r="118" spans="1:14" ht="15.75" x14ac:dyDescent="0.2">
      <c r="A118" s="21" t="s">
        <v>465</v>
      </c>
      <c r="B118" s="234"/>
      <c r="C118" s="234"/>
      <c r="D118" s="166"/>
      <c r="E118" s="27"/>
      <c r="F118" s="234"/>
      <c r="G118" s="234"/>
      <c r="H118" s="166"/>
      <c r="I118" s="27"/>
      <c r="J118" s="289"/>
      <c r="K118" s="44"/>
      <c r="L118" s="257"/>
      <c r="M118" s="27"/>
    </row>
    <row r="119" spans="1:14" ht="15.75" x14ac:dyDescent="0.2">
      <c r="A119" s="13" t="s">
        <v>446</v>
      </c>
      <c r="B119" s="310">
        <v>203205.72500000001</v>
      </c>
      <c r="C119" s="159">
        <v>229877.73699999999</v>
      </c>
      <c r="D119" s="171">
        <f t="shared" si="65"/>
        <v>13.1</v>
      </c>
      <c r="E119" s="11">
        <f>IFERROR(100/'Skjema total MA'!C119*C119,0)</f>
        <v>26.991281058258142</v>
      </c>
      <c r="F119" s="310">
        <v>4227474.6780000003</v>
      </c>
      <c r="G119" s="159">
        <v>4724183.7779999999</v>
      </c>
      <c r="H119" s="171">
        <f t="shared" si="66"/>
        <v>11.7</v>
      </c>
      <c r="I119" s="11">
        <f>IFERROR(100/'Skjema total MA'!F119*G119,0)</f>
        <v>21.054832101595078</v>
      </c>
      <c r="J119" s="311">
        <f t="shared" si="67"/>
        <v>4430680.4029999999</v>
      </c>
      <c r="K119" s="236">
        <f t="shared" si="67"/>
        <v>4954061.5149999997</v>
      </c>
      <c r="L119" s="429">
        <f t="shared" si="68"/>
        <v>11.8</v>
      </c>
      <c r="M119" s="11">
        <f>IFERROR(100/'Skjema total MA'!I119*K119,0)</f>
        <v>21.271924967072003</v>
      </c>
    </row>
    <row r="120" spans="1:14" x14ac:dyDescent="0.2">
      <c r="A120" s="21" t="s">
        <v>9</v>
      </c>
      <c r="B120" s="234">
        <v>44550.133000000002</v>
      </c>
      <c r="C120" s="145">
        <v>35408.815999999999</v>
      </c>
      <c r="D120" s="166">
        <f t="shared" si="65"/>
        <v>-20.5</v>
      </c>
      <c r="E120" s="27">
        <f>IFERROR(100/'Skjema total MA'!C120*C120,0)</f>
        <v>5.7559119516357971</v>
      </c>
      <c r="F120" s="234"/>
      <c r="G120" s="145"/>
      <c r="H120" s="166"/>
      <c r="I120" s="27"/>
      <c r="J120" s="289">
        <f t="shared" si="67"/>
        <v>44550.133000000002</v>
      </c>
      <c r="K120" s="44">
        <f t="shared" si="67"/>
        <v>35408.815999999999</v>
      </c>
      <c r="L120" s="257">
        <f t="shared" si="68"/>
        <v>-20.5</v>
      </c>
      <c r="M120" s="27">
        <f>IFERROR(100/'Skjema total MA'!I120*K120,0)</f>
        <v>5.7559119516357971</v>
      </c>
    </row>
    <row r="121" spans="1:14" x14ac:dyDescent="0.2">
      <c r="A121" s="21" t="s">
        <v>10</v>
      </c>
      <c r="B121" s="234"/>
      <c r="C121" s="145"/>
      <c r="D121" s="166"/>
      <c r="E121" s="27"/>
      <c r="F121" s="234">
        <v>4227474.6780000003</v>
      </c>
      <c r="G121" s="145">
        <v>4724183.7779999999</v>
      </c>
      <c r="H121" s="166">
        <f t="shared" si="66"/>
        <v>11.7</v>
      </c>
      <c r="I121" s="27">
        <f>IFERROR(100/'Skjema total MA'!F121*G121,0)</f>
        <v>21.054832101595078</v>
      </c>
      <c r="J121" s="289">
        <f t="shared" si="67"/>
        <v>4227474.6780000003</v>
      </c>
      <c r="K121" s="44">
        <f t="shared" si="67"/>
        <v>4724183.7779999999</v>
      </c>
      <c r="L121" s="257">
        <f t="shared" si="68"/>
        <v>11.7</v>
      </c>
      <c r="M121" s="27">
        <f>IFERROR(100/'Skjema total MA'!I121*K121,0)</f>
        <v>21.031585856734665</v>
      </c>
    </row>
    <row r="122" spans="1:14" x14ac:dyDescent="0.2">
      <c r="A122" s="21" t="s">
        <v>26</v>
      </c>
      <c r="B122" s="234">
        <v>158655.592</v>
      </c>
      <c r="C122" s="145">
        <v>194468.921</v>
      </c>
      <c r="D122" s="166">
        <f t="shared" si="65"/>
        <v>22.6</v>
      </c>
      <c r="E122" s="27">
        <f>IFERROR(100/'Skjema total MA'!C122*C122,0)</f>
        <v>91.860258229153274</v>
      </c>
      <c r="F122" s="234"/>
      <c r="G122" s="145"/>
      <c r="H122" s="166"/>
      <c r="I122" s="27"/>
      <c r="J122" s="289">
        <f t="shared" si="67"/>
        <v>158655.592</v>
      </c>
      <c r="K122" s="44">
        <f t="shared" si="67"/>
        <v>194468.921</v>
      </c>
      <c r="L122" s="257">
        <f t="shared" si="68"/>
        <v>22.6</v>
      </c>
      <c r="M122" s="27">
        <f>IFERROR(100/'Skjema total MA'!I122*K122,0)</f>
        <v>91.860258229153274</v>
      </c>
    </row>
    <row r="123" spans="1:14" x14ac:dyDescent="0.2">
      <c r="A123" s="298" t="s">
        <v>14</v>
      </c>
      <c r="B123" s="283"/>
      <c r="C123" s="283"/>
      <c r="D123" s="166"/>
      <c r="E123" s="418"/>
      <c r="F123" s="283"/>
      <c r="G123" s="283"/>
      <c r="H123" s="166"/>
      <c r="I123" s="418"/>
      <c r="J123" s="292"/>
      <c r="K123" s="292"/>
      <c r="L123" s="166"/>
      <c r="M123" s="23"/>
    </row>
    <row r="124" spans="1:14" ht="15.75" x14ac:dyDescent="0.2">
      <c r="A124" s="21" t="s">
        <v>472</v>
      </c>
      <c r="B124" s="234">
        <v>5872.2460000000001</v>
      </c>
      <c r="C124" s="234">
        <v>5561.1589999999997</v>
      </c>
      <c r="D124" s="166">
        <f t="shared" si="65"/>
        <v>-5.3</v>
      </c>
      <c r="E124" s="27">
        <f>IFERROR(100/'Skjema total MA'!C124*C124,0)</f>
        <v>9.0246949716781817</v>
      </c>
      <c r="F124" s="234">
        <v>27241.109</v>
      </c>
      <c r="G124" s="234">
        <v>26139.314999999999</v>
      </c>
      <c r="H124" s="166">
        <f t="shared" si="66"/>
        <v>-4</v>
      </c>
      <c r="I124" s="27">
        <f>IFERROR(100/'Skjema total MA'!F124*G124,0)</f>
        <v>86.684543694399721</v>
      </c>
      <c r="J124" s="289">
        <f t="shared" si="67"/>
        <v>33113.355000000003</v>
      </c>
      <c r="K124" s="44">
        <f t="shared" si="67"/>
        <v>31700.473999999998</v>
      </c>
      <c r="L124" s="257">
        <f t="shared" si="68"/>
        <v>-4.3</v>
      </c>
      <c r="M124" s="27">
        <f>IFERROR(100/'Skjema total MA'!I124*K124,0)</f>
        <v>34.5410991037852</v>
      </c>
    </row>
    <row r="125" spans="1:14" ht="15.75" x14ac:dyDescent="0.2">
      <c r="A125" s="21" t="s">
        <v>464</v>
      </c>
      <c r="B125" s="234">
        <v>6.27</v>
      </c>
      <c r="C125" s="234">
        <v>277.54899999999998</v>
      </c>
      <c r="D125" s="166">
        <f t="shared" si="65"/>
        <v>999</v>
      </c>
      <c r="E125" s="27">
        <f>IFERROR(100/'Skjema total MA'!C125*C125,0)</f>
        <v>10.770899138457295</v>
      </c>
      <c r="F125" s="234">
        <v>679088.72100000002</v>
      </c>
      <c r="G125" s="234">
        <v>852685.28799999994</v>
      </c>
      <c r="H125" s="166">
        <f t="shared" si="66"/>
        <v>25.6</v>
      </c>
      <c r="I125" s="27">
        <f>IFERROR(100/'Skjema total MA'!F125*G125,0)</f>
        <v>23.745434867341888</v>
      </c>
      <c r="J125" s="289">
        <f t="shared" si="67"/>
        <v>679094.99100000004</v>
      </c>
      <c r="K125" s="44">
        <f t="shared" si="67"/>
        <v>852962.83699999994</v>
      </c>
      <c r="L125" s="257">
        <f t="shared" si="68"/>
        <v>25.6</v>
      </c>
      <c r="M125" s="27">
        <f>IFERROR(100/'Skjema total MA'!I125*K125,0)</f>
        <v>23.736131088970961</v>
      </c>
    </row>
    <row r="126" spans="1:14" ht="15.75" x14ac:dyDescent="0.2">
      <c r="A126" s="10" t="s">
        <v>465</v>
      </c>
      <c r="B126" s="45"/>
      <c r="C126" s="45"/>
      <c r="D126" s="167"/>
      <c r="E126" s="419"/>
      <c r="F126" s="45"/>
      <c r="G126" s="45"/>
      <c r="H126" s="167"/>
      <c r="I126" s="22"/>
      <c r="J126" s="290"/>
      <c r="K126" s="45"/>
      <c r="L126" s="258"/>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1022"/>
      <c r="C130" s="1022"/>
      <c r="D130" s="1022"/>
      <c r="E130" s="301"/>
      <c r="F130" s="1022"/>
      <c r="G130" s="1022"/>
      <c r="H130" s="1022"/>
      <c r="I130" s="301"/>
      <c r="J130" s="1022"/>
      <c r="K130" s="1022"/>
      <c r="L130" s="1022"/>
      <c r="M130" s="301"/>
    </row>
    <row r="131" spans="1:14" s="3" customFormat="1" x14ac:dyDescent="0.2">
      <c r="A131" s="144"/>
      <c r="B131" s="1023" t="s">
        <v>0</v>
      </c>
      <c r="C131" s="1024"/>
      <c r="D131" s="1024"/>
      <c r="E131" s="303"/>
      <c r="F131" s="1023" t="s">
        <v>1</v>
      </c>
      <c r="G131" s="1024"/>
      <c r="H131" s="1024"/>
      <c r="I131" s="306"/>
      <c r="J131" s="1023" t="s">
        <v>2</v>
      </c>
      <c r="K131" s="1024"/>
      <c r="L131" s="1024"/>
      <c r="M131" s="306"/>
      <c r="N131" s="148"/>
    </row>
    <row r="132" spans="1:14" s="3" customFormat="1" x14ac:dyDescent="0.2">
      <c r="A132" s="140"/>
      <c r="B132" s="152" t="s">
        <v>502</v>
      </c>
      <c r="C132" s="152" t="s">
        <v>503</v>
      </c>
      <c r="D132" s="245" t="s">
        <v>3</v>
      </c>
      <c r="E132" s="307" t="s">
        <v>29</v>
      </c>
      <c r="F132" s="152" t="s">
        <v>502</v>
      </c>
      <c r="G132" s="152" t="s">
        <v>503</v>
      </c>
      <c r="H132" s="206" t="s">
        <v>3</v>
      </c>
      <c r="I132" s="162" t="s">
        <v>29</v>
      </c>
      <c r="J132" s="152" t="s">
        <v>502</v>
      </c>
      <c r="K132" s="152" t="s">
        <v>503</v>
      </c>
      <c r="L132" s="246" t="s">
        <v>3</v>
      </c>
      <c r="M132" s="162" t="s">
        <v>29</v>
      </c>
      <c r="N132" s="148"/>
    </row>
    <row r="133" spans="1:14" s="3" customFormat="1" x14ac:dyDescent="0.2">
      <c r="A133" s="990"/>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468</v>
      </c>
      <c r="B134" s="236">
        <v>243340.84299999999</v>
      </c>
      <c r="C134" s="311">
        <v>278792.22499999998</v>
      </c>
      <c r="D134" s="351">
        <f t="shared" ref="D134:D136" si="69">IF(B134=0, "    ---- ", IF(ABS(ROUND(100/B134*C134-100,1))&lt;999,ROUND(100/B134*C134-100,1),IF(ROUND(100/B134*C134-100,1)&gt;999,999,-999)))</f>
        <v>14.6</v>
      </c>
      <c r="E134" s="11">
        <f>IFERROR(100/'Skjema total MA'!C134*C134,0)</f>
        <v>0.72528991269997012</v>
      </c>
      <c r="F134" s="318"/>
      <c r="G134" s="319"/>
      <c r="H134" s="432"/>
      <c r="I134" s="24"/>
      <c r="J134" s="320">
        <f t="shared" ref="J134:K136" si="70">SUM(B134,F134)</f>
        <v>243340.84299999999</v>
      </c>
      <c r="K134" s="320">
        <f t="shared" si="70"/>
        <v>278792.22499999998</v>
      </c>
      <c r="L134" s="428">
        <f t="shared" ref="L134:L136" si="71">IF(J134=0, "    ---- ", IF(ABS(ROUND(100/J134*K134-100,1))&lt;999,ROUND(100/J134*K134-100,1),IF(ROUND(100/J134*K134-100,1)&gt;999,999,-999)))</f>
        <v>14.6</v>
      </c>
      <c r="M134" s="11">
        <f>IFERROR(100/'Skjema total MA'!I134*K134,0)</f>
        <v>0.7238905072166838</v>
      </c>
      <c r="N134" s="148"/>
    </row>
    <row r="135" spans="1:14" s="3" customFormat="1" ht="15.75" x14ac:dyDescent="0.2">
      <c r="A135" s="13" t="s">
        <v>473</v>
      </c>
      <c r="B135" s="236">
        <v>2879767.605</v>
      </c>
      <c r="C135" s="311">
        <v>3367149.673</v>
      </c>
      <c r="D135" s="171">
        <f t="shared" si="69"/>
        <v>16.899999999999999</v>
      </c>
      <c r="E135" s="11">
        <f>IFERROR(100/'Skjema total MA'!C135*C135,0)</f>
        <v>0.54050557216347417</v>
      </c>
      <c r="F135" s="236"/>
      <c r="G135" s="311"/>
      <c r="H135" s="433"/>
      <c r="I135" s="24"/>
      <c r="J135" s="310">
        <f t="shared" si="70"/>
        <v>2879767.605</v>
      </c>
      <c r="K135" s="310">
        <f t="shared" si="70"/>
        <v>3367149.673</v>
      </c>
      <c r="L135" s="429">
        <f t="shared" si="71"/>
        <v>16.899999999999999</v>
      </c>
      <c r="M135" s="11">
        <f>IFERROR(100/'Skjema total MA'!I135*K135,0)</f>
        <v>0.53876399646272555</v>
      </c>
      <c r="N135" s="148"/>
    </row>
    <row r="136" spans="1:14" s="3" customFormat="1" ht="15.75" x14ac:dyDescent="0.2">
      <c r="A136" s="13" t="s">
        <v>470</v>
      </c>
      <c r="B136" s="236">
        <v>0</v>
      </c>
      <c r="C136" s="311">
        <v>362837.80699999997</v>
      </c>
      <c r="D136" s="171" t="str">
        <f t="shared" si="69"/>
        <v xml:space="preserve">    ---- </v>
      </c>
      <c r="E136" s="11">
        <f>IFERROR(100/'Skjema total MA'!C136*C136,0)</f>
        <v>9.7526456927433411</v>
      </c>
      <c r="F136" s="236"/>
      <c r="G136" s="311"/>
      <c r="H136" s="433"/>
      <c r="I136" s="24"/>
      <c r="J136" s="310">
        <f t="shared" si="70"/>
        <v>0</v>
      </c>
      <c r="K136" s="310">
        <f t="shared" si="70"/>
        <v>362837.80699999997</v>
      </c>
      <c r="L136" s="429" t="str">
        <f t="shared" si="71"/>
        <v xml:space="preserve">    ---- </v>
      </c>
      <c r="M136" s="11">
        <f>IFERROR(100/'Skjema total MA'!I136*K136,0)</f>
        <v>11.293019942437803</v>
      </c>
      <c r="N136" s="148"/>
    </row>
    <row r="137" spans="1:14" s="3" customFormat="1" ht="15.75" x14ac:dyDescent="0.2">
      <c r="A137" s="41" t="s">
        <v>471</v>
      </c>
      <c r="B137" s="278"/>
      <c r="C137" s="317"/>
      <c r="D137" s="169"/>
      <c r="E137" s="9"/>
      <c r="F137" s="278"/>
      <c r="G137" s="317"/>
      <c r="H137" s="434"/>
      <c r="I137" s="36"/>
      <c r="J137" s="316"/>
      <c r="K137" s="316"/>
      <c r="L137" s="430"/>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152" priority="132">
      <formula>kvartal &lt; 4</formula>
    </cfRule>
  </conditionalFormatting>
  <conditionalFormatting sqref="B69">
    <cfRule type="expression" dxfId="1151" priority="100">
      <formula>kvartal &lt; 4</formula>
    </cfRule>
  </conditionalFormatting>
  <conditionalFormatting sqref="C69">
    <cfRule type="expression" dxfId="1150" priority="99">
      <formula>kvartal &lt; 4</formula>
    </cfRule>
  </conditionalFormatting>
  <conditionalFormatting sqref="B72">
    <cfRule type="expression" dxfId="1149" priority="98">
      <formula>kvartal &lt; 4</formula>
    </cfRule>
  </conditionalFormatting>
  <conditionalFormatting sqref="C72">
    <cfRule type="expression" dxfId="1148" priority="97">
      <formula>kvartal &lt; 4</formula>
    </cfRule>
  </conditionalFormatting>
  <conditionalFormatting sqref="B80">
    <cfRule type="expression" dxfId="1147" priority="96">
      <formula>kvartal &lt; 4</formula>
    </cfRule>
  </conditionalFormatting>
  <conditionalFormatting sqref="C80">
    <cfRule type="expression" dxfId="1146" priority="95">
      <formula>kvartal &lt; 4</formula>
    </cfRule>
  </conditionalFormatting>
  <conditionalFormatting sqref="B83">
    <cfRule type="expression" dxfId="1145" priority="94">
      <formula>kvartal &lt; 4</formula>
    </cfRule>
  </conditionalFormatting>
  <conditionalFormatting sqref="C83">
    <cfRule type="expression" dxfId="1144" priority="93">
      <formula>kvartal &lt; 4</formula>
    </cfRule>
  </conditionalFormatting>
  <conditionalFormatting sqref="B90">
    <cfRule type="expression" dxfId="1143" priority="84">
      <formula>kvartal &lt; 4</formula>
    </cfRule>
  </conditionalFormatting>
  <conditionalFormatting sqref="C90">
    <cfRule type="expression" dxfId="1142" priority="83">
      <formula>kvartal &lt; 4</formula>
    </cfRule>
  </conditionalFormatting>
  <conditionalFormatting sqref="B93">
    <cfRule type="expression" dxfId="1141" priority="82">
      <formula>kvartal &lt; 4</formula>
    </cfRule>
  </conditionalFormatting>
  <conditionalFormatting sqref="C93">
    <cfRule type="expression" dxfId="1140" priority="81">
      <formula>kvartal &lt; 4</formula>
    </cfRule>
  </conditionalFormatting>
  <conditionalFormatting sqref="B101">
    <cfRule type="expression" dxfId="1139" priority="80">
      <formula>kvartal &lt; 4</formula>
    </cfRule>
  </conditionalFormatting>
  <conditionalFormatting sqref="C101">
    <cfRule type="expression" dxfId="1138" priority="79">
      <formula>kvartal &lt; 4</formula>
    </cfRule>
  </conditionalFormatting>
  <conditionalFormatting sqref="B104">
    <cfRule type="expression" dxfId="1137" priority="78">
      <formula>kvartal &lt; 4</formula>
    </cfRule>
  </conditionalFormatting>
  <conditionalFormatting sqref="C104">
    <cfRule type="expression" dxfId="1136" priority="77">
      <formula>kvartal &lt; 4</formula>
    </cfRule>
  </conditionalFormatting>
  <conditionalFormatting sqref="B115">
    <cfRule type="expression" dxfId="1135" priority="76">
      <formula>kvartal &lt; 4</formula>
    </cfRule>
  </conditionalFormatting>
  <conditionalFormatting sqref="C115">
    <cfRule type="expression" dxfId="1134" priority="75">
      <formula>kvartal &lt; 4</formula>
    </cfRule>
  </conditionalFormatting>
  <conditionalFormatting sqref="B123">
    <cfRule type="expression" dxfId="1133" priority="74">
      <formula>kvartal &lt; 4</formula>
    </cfRule>
  </conditionalFormatting>
  <conditionalFormatting sqref="C123">
    <cfRule type="expression" dxfId="1132" priority="73">
      <formula>kvartal &lt; 4</formula>
    </cfRule>
  </conditionalFormatting>
  <conditionalFormatting sqref="F70">
    <cfRule type="expression" dxfId="1131" priority="72">
      <formula>kvartal &lt; 4</formula>
    </cfRule>
  </conditionalFormatting>
  <conditionalFormatting sqref="G70">
    <cfRule type="expression" dxfId="1130" priority="71">
      <formula>kvartal &lt; 4</formula>
    </cfRule>
  </conditionalFormatting>
  <conditionalFormatting sqref="F71:G71">
    <cfRule type="expression" dxfId="1129" priority="70">
      <formula>kvartal &lt; 4</formula>
    </cfRule>
  </conditionalFormatting>
  <conditionalFormatting sqref="F73:G74">
    <cfRule type="expression" dxfId="1128" priority="69">
      <formula>kvartal &lt; 4</formula>
    </cfRule>
  </conditionalFormatting>
  <conditionalFormatting sqref="F81:G82">
    <cfRule type="expression" dxfId="1127" priority="68">
      <formula>kvartal &lt; 4</formula>
    </cfRule>
  </conditionalFormatting>
  <conditionalFormatting sqref="F84:G85">
    <cfRule type="expression" dxfId="1126" priority="67">
      <formula>kvartal &lt; 4</formula>
    </cfRule>
  </conditionalFormatting>
  <conditionalFormatting sqref="F91:G92">
    <cfRule type="expression" dxfId="1125" priority="62">
      <formula>kvartal &lt; 4</formula>
    </cfRule>
  </conditionalFormatting>
  <conditionalFormatting sqref="F94:G95">
    <cfRule type="expression" dxfId="1124" priority="61">
      <formula>kvartal &lt; 4</formula>
    </cfRule>
  </conditionalFormatting>
  <conditionalFormatting sqref="F102:G103">
    <cfRule type="expression" dxfId="1123" priority="60">
      <formula>kvartal &lt; 4</formula>
    </cfRule>
  </conditionalFormatting>
  <conditionalFormatting sqref="F105:G106">
    <cfRule type="expression" dxfId="1122" priority="59">
      <formula>kvartal &lt; 4</formula>
    </cfRule>
  </conditionalFormatting>
  <conditionalFormatting sqref="F115">
    <cfRule type="expression" dxfId="1121" priority="58">
      <formula>kvartal &lt; 4</formula>
    </cfRule>
  </conditionalFormatting>
  <conditionalFormatting sqref="G115">
    <cfRule type="expression" dxfId="1120" priority="57">
      <formula>kvartal &lt; 4</formula>
    </cfRule>
  </conditionalFormatting>
  <conditionalFormatting sqref="F123:G123">
    <cfRule type="expression" dxfId="1119" priority="56">
      <formula>kvartal &lt; 4</formula>
    </cfRule>
  </conditionalFormatting>
  <conditionalFormatting sqref="F69:G69">
    <cfRule type="expression" dxfId="1118" priority="55">
      <formula>kvartal &lt; 4</formula>
    </cfRule>
  </conditionalFormatting>
  <conditionalFormatting sqref="F72:G72">
    <cfRule type="expression" dxfId="1117" priority="54">
      <formula>kvartal &lt; 4</formula>
    </cfRule>
  </conditionalFormatting>
  <conditionalFormatting sqref="F80:G80">
    <cfRule type="expression" dxfId="1116" priority="53">
      <formula>kvartal &lt; 4</formula>
    </cfRule>
  </conditionalFormatting>
  <conditionalFormatting sqref="F83:G83">
    <cfRule type="expression" dxfId="1115" priority="52">
      <formula>kvartal &lt; 4</formula>
    </cfRule>
  </conditionalFormatting>
  <conditionalFormatting sqref="F90:G90">
    <cfRule type="expression" dxfId="1114" priority="46">
      <formula>kvartal &lt; 4</formula>
    </cfRule>
  </conditionalFormatting>
  <conditionalFormatting sqref="F93">
    <cfRule type="expression" dxfId="1113" priority="45">
      <formula>kvartal &lt; 4</formula>
    </cfRule>
  </conditionalFormatting>
  <conditionalFormatting sqref="G93">
    <cfRule type="expression" dxfId="1112" priority="44">
      <formula>kvartal &lt; 4</formula>
    </cfRule>
  </conditionalFormatting>
  <conditionalFormatting sqref="F101">
    <cfRule type="expression" dxfId="1111" priority="43">
      <formula>kvartal &lt; 4</formula>
    </cfRule>
  </conditionalFormatting>
  <conditionalFormatting sqref="G101">
    <cfRule type="expression" dxfId="1110" priority="42">
      <formula>kvartal &lt; 4</formula>
    </cfRule>
  </conditionalFormatting>
  <conditionalFormatting sqref="G104">
    <cfRule type="expression" dxfId="1109" priority="41">
      <formula>kvartal &lt; 4</formula>
    </cfRule>
  </conditionalFormatting>
  <conditionalFormatting sqref="F104">
    <cfRule type="expression" dxfId="1108" priority="40">
      <formula>kvartal &lt; 4</formula>
    </cfRule>
  </conditionalFormatting>
  <conditionalFormatting sqref="J69:K71 J73:K73">
    <cfRule type="expression" dxfId="1107" priority="39">
      <formula>kvartal &lt; 4</formula>
    </cfRule>
  </conditionalFormatting>
  <conditionalFormatting sqref="J80:K82 J84:K84">
    <cfRule type="expression" dxfId="1106" priority="37">
      <formula>kvartal &lt; 4</formula>
    </cfRule>
  </conditionalFormatting>
  <conditionalFormatting sqref="J90:K92 J94:K94">
    <cfRule type="expression" dxfId="1105" priority="34">
      <formula>kvartal &lt; 4</formula>
    </cfRule>
  </conditionalFormatting>
  <conditionalFormatting sqref="J101:K103 J105:K105">
    <cfRule type="expression" dxfId="1104" priority="33">
      <formula>kvartal &lt; 4</formula>
    </cfRule>
  </conditionalFormatting>
  <conditionalFormatting sqref="J115:K115">
    <cfRule type="expression" dxfId="1103" priority="32">
      <formula>kvartal &lt; 4</formula>
    </cfRule>
  </conditionalFormatting>
  <conditionalFormatting sqref="J123:K123">
    <cfRule type="expression" dxfId="1102" priority="31">
      <formula>kvartal &lt; 4</formula>
    </cfRule>
  </conditionalFormatting>
  <conditionalFormatting sqref="A50:A52">
    <cfRule type="expression" dxfId="1101" priority="12">
      <formula>kvartal &lt; 4</formula>
    </cfRule>
  </conditionalFormatting>
  <conditionalFormatting sqref="A69:A74">
    <cfRule type="expression" dxfId="1100" priority="10">
      <formula>kvartal &lt; 4</formula>
    </cfRule>
  </conditionalFormatting>
  <conditionalFormatting sqref="A80:A85">
    <cfRule type="expression" dxfId="1099" priority="9">
      <formula>kvartal &lt; 4</formula>
    </cfRule>
  </conditionalFormatting>
  <conditionalFormatting sqref="A90:A95">
    <cfRule type="expression" dxfId="1098" priority="6">
      <formula>kvartal &lt; 4</formula>
    </cfRule>
  </conditionalFormatting>
  <conditionalFormatting sqref="A101:A106">
    <cfRule type="expression" dxfId="1097" priority="5">
      <formula>kvartal &lt; 4</formula>
    </cfRule>
  </conditionalFormatting>
  <conditionalFormatting sqref="A115">
    <cfRule type="expression" dxfId="1096" priority="4">
      <formula>kvartal &lt; 4</formula>
    </cfRule>
  </conditionalFormatting>
  <conditionalFormatting sqref="A123">
    <cfRule type="expression" dxfId="1095" priority="3">
      <formula>kvartal &lt; 4</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31"/>
  <dimension ref="A1:N144"/>
  <sheetViews>
    <sheetView showGridLines="0" zoomScale="120" zoomScaleNormal="120" workbookViewId="0"/>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133</v>
      </c>
      <c r="B1" s="988"/>
      <c r="C1" s="248" t="s">
        <v>129</v>
      </c>
      <c r="D1" s="26"/>
      <c r="E1" s="26"/>
      <c r="F1" s="26"/>
      <c r="G1" s="26"/>
      <c r="H1" s="26"/>
      <c r="I1" s="26"/>
      <c r="J1" s="26"/>
      <c r="K1" s="26"/>
      <c r="L1" s="26"/>
      <c r="M1" s="26"/>
    </row>
    <row r="2" spans="1:14" ht="15.75" x14ac:dyDescent="0.25">
      <c r="A2" s="165" t="s">
        <v>28</v>
      </c>
      <c r="B2" s="1027"/>
      <c r="C2" s="1027"/>
      <c r="D2" s="1027"/>
      <c r="E2" s="301"/>
      <c r="F2" s="1027"/>
      <c r="G2" s="1027"/>
      <c r="H2" s="1027"/>
      <c r="I2" s="301"/>
      <c r="J2" s="1027"/>
      <c r="K2" s="1027"/>
      <c r="L2" s="1027"/>
      <c r="M2" s="301"/>
    </row>
    <row r="3" spans="1:14" ht="15.75" x14ac:dyDescent="0.25">
      <c r="A3" s="163"/>
      <c r="B3" s="301"/>
      <c r="C3" s="301"/>
      <c r="D3" s="301"/>
      <c r="E3" s="301"/>
      <c r="F3" s="301"/>
      <c r="G3" s="301"/>
      <c r="H3" s="301"/>
      <c r="I3" s="301"/>
      <c r="J3" s="301"/>
      <c r="K3" s="301"/>
      <c r="L3" s="301"/>
      <c r="M3" s="301"/>
    </row>
    <row r="4" spans="1:14" x14ac:dyDescent="0.2">
      <c r="A4" s="144"/>
      <c r="B4" s="1023" t="s">
        <v>0</v>
      </c>
      <c r="C4" s="1024"/>
      <c r="D4" s="1024"/>
      <c r="E4" s="303"/>
      <c r="F4" s="1023" t="s">
        <v>1</v>
      </c>
      <c r="G4" s="1024"/>
      <c r="H4" s="1024"/>
      <c r="I4" s="306"/>
      <c r="J4" s="1023" t="s">
        <v>2</v>
      </c>
      <c r="K4" s="1024"/>
      <c r="L4" s="1024"/>
      <c r="M4" s="306"/>
    </row>
    <row r="5" spans="1:14" x14ac:dyDescent="0.2">
      <c r="A5" s="158"/>
      <c r="B5" s="152" t="s">
        <v>502</v>
      </c>
      <c r="C5" s="152" t="s">
        <v>503</v>
      </c>
      <c r="D5" s="245" t="s">
        <v>3</v>
      </c>
      <c r="E5" s="307" t="s">
        <v>29</v>
      </c>
      <c r="F5" s="152" t="s">
        <v>502</v>
      </c>
      <c r="G5" s="152" t="s">
        <v>503</v>
      </c>
      <c r="H5" s="245" t="s">
        <v>3</v>
      </c>
      <c r="I5" s="162" t="s">
        <v>29</v>
      </c>
      <c r="J5" s="152" t="s">
        <v>502</v>
      </c>
      <c r="K5" s="152" t="s">
        <v>503</v>
      </c>
      <c r="L5" s="245" t="s">
        <v>3</v>
      </c>
      <c r="M5" s="162" t="s">
        <v>29</v>
      </c>
    </row>
    <row r="6" spans="1:14" x14ac:dyDescent="0.2">
      <c r="A6" s="989"/>
      <c r="B6" s="156"/>
      <c r="C6" s="156"/>
      <c r="D6" s="246" t="s">
        <v>4</v>
      </c>
      <c r="E6" s="156" t="s">
        <v>30</v>
      </c>
      <c r="F6" s="161"/>
      <c r="G6" s="161"/>
      <c r="H6" s="245" t="s">
        <v>4</v>
      </c>
      <c r="I6" s="156" t="s">
        <v>30</v>
      </c>
      <c r="J6" s="161"/>
      <c r="K6" s="161"/>
      <c r="L6" s="245" t="s">
        <v>4</v>
      </c>
      <c r="M6" s="156" t="s">
        <v>30</v>
      </c>
    </row>
    <row r="7" spans="1:14" ht="15.75" x14ac:dyDescent="0.2">
      <c r="A7" s="14" t="s">
        <v>23</v>
      </c>
      <c r="B7" s="308"/>
      <c r="C7" s="309"/>
      <c r="D7" s="351"/>
      <c r="E7" s="11"/>
      <c r="F7" s="308"/>
      <c r="G7" s="309"/>
      <c r="H7" s="351"/>
      <c r="I7" s="160"/>
      <c r="J7" s="310"/>
      <c r="K7" s="311"/>
      <c r="L7" s="428"/>
      <c r="M7" s="11"/>
    </row>
    <row r="8" spans="1:14" ht="15.75" x14ac:dyDescent="0.2">
      <c r="A8" s="21" t="s">
        <v>25</v>
      </c>
      <c r="B8" s="283"/>
      <c r="C8" s="284"/>
      <c r="D8" s="166"/>
      <c r="E8" s="27"/>
      <c r="F8" s="287"/>
      <c r="G8" s="288"/>
      <c r="H8" s="166"/>
      <c r="I8" s="175"/>
      <c r="J8" s="234"/>
      <c r="K8" s="289"/>
      <c r="L8" s="429"/>
      <c r="M8" s="27"/>
    </row>
    <row r="9" spans="1:14" ht="15.75" x14ac:dyDescent="0.2">
      <c r="A9" s="21" t="s">
        <v>24</v>
      </c>
      <c r="B9" s="283"/>
      <c r="C9" s="284"/>
      <c r="D9" s="166"/>
      <c r="E9" s="27"/>
      <c r="F9" s="287"/>
      <c r="G9" s="288"/>
      <c r="H9" s="166"/>
      <c r="I9" s="175"/>
      <c r="J9" s="234"/>
      <c r="K9" s="289"/>
      <c r="L9" s="429"/>
      <c r="M9" s="27"/>
    </row>
    <row r="10" spans="1:14" ht="15.75" x14ac:dyDescent="0.2">
      <c r="A10" s="13" t="s">
        <v>444</v>
      </c>
      <c r="B10" s="312"/>
      <c r="C10" s="313"/>
      <c r="D10" s="171"/>
      <c r="E10" s="11"/>
      <c r="F10" s="312"/>
      <c r="G10" s="313"/>
      <c r="H10" s="171"/>
      <c r="I10" s="160"/>
      <c r="J10" s="310"/>
      <c r="K10" s="311"/>
      <c r="L10" s="429"/>
      <c r="M10" s="11"/>
    </row>
    <row r="11" spans="1:14" s="43" customFormat="1" ht="15.75" x14ac:dyDescent="0.2">
      <c r="A11" s="13" t="s">
        <v>445</v>
      </c>
      <c r="B11" s="312"/>
      <c r="C11" s="313"/>
      <c r="D11" s="171"/>
      <c r="E11" s="11"/>
      <c r="F11" s="312"/>
      <c r="G11" s="313"/>
      <c r="H11" s="171"/>
      <c r="I11" s="160"/>
      <c r="J11" s="310"/>
      <c r="K11" s="311"/>
      <c r="L11" s="429"/>
      <c r="M11" s="11"/>
      <c r="N11" s="143"/>
    </row>
    <row r="12" spans="1:14" s="43" customFormat="1" ht="15.75" x14ac:dyDescent="0.2">
      <c r="A12" s="41" t="s">
        <v>446</v>
      </c>
      <c r="B12" s="314"/>
      <c r="C12" s="315"/>
      <c r="D12" s="169"/>
      <c r="E12" s="36"/>
      <c r="F12" s="314"/>
      <c r="G12" s="315"/>
      <c r="H12" s="169"/>
      <c r="I12" s="169"/>
      <c r="J12" s="316"/>
      <c r="K12" s="317"/>
      <c r="L12" s="430"/>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1022"/>
      <c r="C18" s="1022"/>
      <c r="D18" s="1022"/>
      <c r="E18" s="301"/>
      <c r="F18" s="1022"/>
      <c r="G18" s="1022"/>
      <c r="H18" s="1022"/>
      <c r="I18" s="301"/>
      <c r="J18" s="1022"/>
      <c r="K18" s="1022"/>
      <c r="L18" s="1022"/>
      <c r="M18" s="301"/>
    </row>
    <row r="19" spans="1:14" x14ac:dyDescent="0.2">
      <c r="A19" s="144"/>
      <c r="B19" s="1023" t="s">
        <v>0</v>
      </c>
      <c r="C19" s="1024"/>
      <c r="D19" s="1024"/>
      <c r="E19" s="303"/>
      <c r="F19" s="1023" t="s">
        <v>1</v>
      </c>
      <c r="G19" s="1024"/>
      <c r="H19" s="1024"/>
      <c r="I19" s="306"/>
      <c r="J19" s="1023" t="s">
        <v>2</v>
      </c>
      <c r="K19" s="1024"/>
      <c r="L19" s="1024"/>
      <c r="M19" s="306"/>
    </row>
    <row r="20" spans="1:14" x14ac:dyDescent="0.2">
      <c r="A20" s="140" t="s">
        <v>5</v>
      </c>
      <c r="B20" s="152" t="s">
        <v>502</v>
      </c>
      <c r="C20" s="152" t="s">
        <v>503</v>
      </c>
      <c r="D20" s="162" t="s">
        <v>3</v>
      </c>
      <c r="E20" s="307" t="s">
        <v>29</v>
      </c>
      <c r="F20" s="152" t="s">
        <v>502</v>
      </c>
      <c r="G20" s="152" t="s">
        <v>503</v>
      </c>
      <c r="H20" s="162" t="s">
        <v>3</v>
      </c>
      <c r="I20" s="162" t="s">
        <v>29</v>
      </c>
      <c r="J20" s="152" t="s">
        <v>502</v>
      </c>
      <c r="K20" s="152" t="s">
        <v>503</v>
      </c>
      <c r="L20" s="162" t="s">
        <v>3</v>
      </c>
      <c r="M20" s="162" t="s">
        <v>29</v>
      </c>
    </row>
    <row r="21" spans="1:14" x14ac:dyDescent="0.2">
      <c r="A21" s="990"/>
      <c r="B21" s="156"/>
      <c r="C21" s="156"/>
      <c r="D21" s="246" t="s">
        <v>4</v>
      </c>
      <c r="E21" s="156" t="s">
        <v>30</v>
      </c>
      <c r="F21" s="161"/>
      <c r="G21" s="161"/>
      <c r="H21" s="245" t="s">
        <v>4</v>
      </c>
      <c r="I21" s="156" t="s">
        <v>30</v>
      </c>
      <c r="J21" s="161"/>
      <c r="K21" s="161"/>
      <c r="L21" s="156" t="s">
        <v>4</v>
      </c>
      <c r="M21" s="156" t="s">
        <v>30</v>
      </c>
    </row>
    <row r="22" spans="1:14" ht="15.75" x14ac:dyDescent="0.2">
      <c r="A22" s="14" t="s">
        <v>23</v>
      </c>
      <c r="B22" s="312"/>
      <c r="C22" s="312"/>
      <c r="D22" s="351"/>
      <c r="E22" s="11"/>
      <c r="F22" s="320"/>
      <c r="G22" s="320"/>
      <c r="H22" s="351"/>
      <c r="I22" s="11"/>
      <c r="J22" s="318"/>
      <c r="K22" s="318"/>
      <c r="L22" s="428"/>
      <c r="M22" s="24"/>
    </row>
    <row r="23" spans="1:14" ht="15.75" x14ac:dyDescent="0.2">
      <c r="A23" s="811" t="s">
        <v>447</v>
      </c>
      <c r="B23" s="283"/>
      <c r="C23" s="283"/>
      <c r="D23" s="166"/>
      <c r="E23" s="11"/>
      <c r="F23" s="292"/>
      <c r="G23" s="292"/>
      <c r="H23" s="166"/>
      <c r="I23" s="418"/>
      <c r="J23" s="292"/>
      <c r="K23" s="292"/>
      <c r="L23" s="166"/>
      <c r="M23" s="23"/>
    </row>
    <row r="24" spans="1:14" ht="15.75" x14ac:dyDescent="0.2">
      <c r="A24" s="811" t="s">
        <v>448</v>
      </c>
      <c r="B24" s="283"/>
      <c r="C24" s="283"/>
      <c r="D24" s="166"/>
      <c r="E24" s="11"/>
      <c r="F24" s="292"/>
      <c r="G24" s="292"/>
      <c r="H24" s="166"/>
      <c r="I24" s="418"/>
      <c r="J24" s="292"/>
      <c r="K24" s="292"/>
      <c r="L24" s="166"/>
      <c r="M24" s="23"/>
    </row>
    <row r="25" spans="1:14" ht="15.75" x14ac:dyDescent="0.2">
      <c r="A25" s="811" t="s">
        <v>449</v>
      </c>
      <c r="B25" s="283"/>
      <c r="C25" s="283"/>
      <c r="D25" s="166"/>
      <c r="E25" s="11"/>
      <c r="F25" s="292"/>
      <c r="G25" s="292"/>
      <c r="H25" s="166"/>
      <c r="I25" s="418"/>
      <c r="J25" s="292"/>
      <c r="K25" s="292"/>
      <c r="L25" s="166"/>
      <c r="M25" s="23"/>
    </row>
    <row r="26" spans="1:14" ht="15.75" x14ac:dyDescent="0.2">
      <c r="A26" s="811" t="s">
        <v>450</v>
      </c>
      <c r="B26" s="283"/>
      <c r="C26" s="283"/>
      <c r="D26" s="166"/>
      <c r="E26" s="11"/>
      <c r="F26" s="292"/>
      <c r="G26" s="292"/>
      <c r="H26" s="166"/>
      <c r="I26" s="418"/>
      <c r="J26" s="292"/>
      <c r="K26" s="292"/>
      <c r="L26" s="166"/>
      <c r="M26" s="23"/>
    </row>
    <row r="27" spans="1:14" x14ac:dyDescent="0.2">
      <c r="A27" s="811" t="s">
        <v>11</v>
      </c>
      <c r="B27" s="283"/>
      <c r="C27" s="283"/>
      <c r="D27" s="166"/>
      <c r="E27" s="11"/>
      <c r="F27" s="292"/>
      <c r="G27" s="292"/>
      <c r="H27" s="166"/>
      <c r="I27" s="418"/>
      <c r="J27" s="292"/>
      <c r="K27" s="292"/>
      <c r="L27" s="166"/>
      <c r="M27" s="23"/>
    </row>
    <row r="28" spans="1:14" ht="15.75" x14ac:dyDescent="0.2">
      <c r="A28" s="49" t="s">
        <v>272</v>
      </c>
      <c r="B28" s="44"/>
      <c r="C28" s="289"/>
      <c r="D28" s="166"/>
      <c r="E28" s="11"/>
      <c r="F28" s="234"/>
      <c r="G28" s="289"/>
      <c r="H28" s="166"/>
      <c r="I28" s="27"/>
      <c r="J28" s="44"/>
      <c r="K28" s="44"/>
      <c r="L28" s="257"/>
      <c r="M28" s="23"/>
    </row>
    <row r="29" spans="1:14" s="3" customFormat="1" ht="15.75" x14ac:dyDescent="0.2">
      <c r="A29" s="13" t="s">
        <v>444</v>
      </c>
      <c r="B29" s="236"/>
      <c r="C29" s="236"/>
      <c r="D29" s="171"/>
      <c r="E29" s="11"/>
      <c r="F29" s="310"/>
      <c r="G29" s="310"/>
      <c r="H29" s="171"/>
      <c r="I29" s="11"/>
      <c r="J29" s="236"/>
      <c r="K29" s="236"/>
      <c r="L29" s="429"/>
      <c r="M29" s="24"/>
      <c r="N29" s="148"/>
    </row>
    <row r="30" spans="1:14" s="3" customFormat="1" ht="15.75" x14ac:dyDescent="0.2">
      <c r="A30" s="811" t="s">
        <v>447</v>
      </c>
      <c r="B30" s="283"/>
      <c r="C30" s="283"/>
      <c r="D30" s="166"/>
      <c r="E30" s="11"/>
      <c r="F30" s="292"/>
      <c r="G30" s="292"/>
      <c r="H30" s="166"/>
      <c r="I30" s="418"/>
      <c r="J30" s="292"/>
      <c r="K30" s="292"/>
      <c r="L30" s="166"/>
      <c r="M30" s="23"/>
      <c r="N30" s="148"/>
    </row>
    <row r="31" spans="1:14" s="3" customFormat="1" ht="15.75" x14ac:dyDescent="0.2">
      <c r="A31" s="811" t="s">
        <v>448</v>
      </c>
      <c r="B31" s="283"/>
      <c r="C31" s="283"/>
      <c r="D31" s="166"/>
      <c r="E31" s="11"/>
      <c r="F31" s="292"/>
      <c r="G31" s="292"/>
      <c r="H31" s="166"/>
      <c r="I31" s="418"/>
      <c r="J31" s="292"/>
      <c r="K31" s="292"/>
      <c r="L31" s="166"/>
      <c r="M31" s="23"/>
      <c r="N31" s="148"/>
    </row>
    <row r="32" spans="1:14" ht="15.75" x14ac:dyDescent="0.2">
      <c r="A32" s="811" t="s">
        <v>449</v>
      </c>
      <c r="B32" s="283"/>
      <c r="C32" s="283"/>
      <c r="D32" s="166"/>
      <c r="E32" s="11"/>
      <c r="F32" s="292"/>
      <c r="G32" s="292"/>
      <c r="H32" s="166"/>
      <c r="I32" s="418"/>
      <c r="J32" s="292"/>
      <c r="K32" s="292"/>
      <c r="L32" s="166"/>
      <c r="M32" s="23"/>
    </row>
    <row r="33" spans="1:14" ht="15.75" x14ac:dyDescent="0.2">
      <c r="A33" s="811" t="s">
        <v>450</v>
      </c>
      <c r="B33" s="283"/>
      <c r="C33" s="283"/>
      <c r="D33" s="166"/>
      <c r="E33" s="11"/>
      <c r="F33" s="292"/>
      <c r="G33" s="292"/>
      <c r="H33" s="166"/>
      <c r="I33" s="418"/>
      <c r="J33" s="292"/>
      <c r="K33" s="292"/>
      <c r="L33" s="166"/>
      <c r="M33" s="23"/>
    </row>
    <row r="34" spans="1:14" ht="15.75" x14ac:dyDescent="0.2">
      <c r="A34" s="13" t="s">
        <v>445</v>
      </c>
      <c r="B34" s="236"/>
      <c r="C34" s="311"/>
      <c r="D34" s="171"/>
      <c r="E34" s="11"/>
      <c r="F34" s="310"/>
      <c r="G34" s="311"/>
      <c r="H34" s="171"/>
      <c r="I34" s="11"/>
      <c r="J34" s="236"/>
      <c r="K34" s="236"/>
      <c r="L34" s="429"/>
      <c r="M34" s="24"/>
    </row>
    <row r="35" spans="1:14" ht="15.75" x14ac:dyDescent="0.2">
      <c r="A35" s="13" t="s">
        <v>446</v>
      </c>
      <c r="B35" s="236"/>
      <c r="C35" s="311"/>
      <c r="D35" s="171"/>
      <c r="E35" s="11"/>
      <c r="F35" s="310"/>
      <c r="G35" s="311"/>
      <c r="H35" s="171"/>
      <c r="I35" s="11"/>
      <c r="J35" s="236"/>
      <c r="K35" s="236"/>
      <c r="L35" s="429"/>
      <c r="M35" s="24"/>
    </row>
    <row r="36" spans="1:14" ht="15.75" x14ac:dyDescent="0.2">
      <c r="A36" s="12" t="s">
        <v>280</v>
      </c>
      <c r="B36" s="236"/>
      <c r="C36" s="311"/>
      <c r="D36" s="171"/>
      <c r="E36" s="11"/>
      <c r="F36" s="321"/>
      <c r="G36" s="322"/>
      <c r="H36" s="171"/>
      <c r="I36" s="435"/>
      <c r="J36" s="236"/>
      <c r="K36" s="236"/>
      <c r="L36" s="429"/>
      <c r="M36" s="24"/>
    </row>
    <row r="37" spans="1:14" ht="15.75" x14ac:dyDescent="0.2">
      <c r="A37" s="12" t="s">
        <v>452</v>
      </c>
      <c r="B37" s="236"/>
      <c r="C37" s="311"/>
      <c r="D37" s="171"/>
      <c r="E37" s="11"/>
      <c r="F37" s="321"/>
      <c r="G37" s="323"/>
      <c r="H37" s="171"/>
      <c r="I37" s="435"/>
      <c r="J37" s="236"/>
      <c r="K37" s="236"/>
      <c r="L37" s="429"/>
      <c r="M37" s="24"/>
    </row>
    <row r="38" spans="1:14" ht="15.75" x14ac:dyDescent="0.2">
      <c r="A38" s="12" t="s">
        <v>453</v>
      </c>
      <c r="B38" s="236"/>
      <c r="C38" s="311"/>
      <c r="D38" s="171"/>
      <c r="E38" s="24"/>
      <c r="F38" s="321"/>
      <c r="G38" s="322"/>
      <c r="H38" s="171"/>
      <c r="I38" s="435"/>
      <c r="J38" s="236"/>
      <c r="K38" s="236"/>
      <c r="L38" s="429"/>
      <c r="M38" s="24"/>
    </row>
    <row r="39" spans="1:14" ht="15.75" x14ac:dyDescent="0.2">
      <c r="A39" s="18" t="s">
        <v>454</v>
      </c>
      <c r="B39" s="278"/>
      <c r="C39" s="317"/>
      <c r="D39" s="169"/>
      <c r="E39" s="36"/>
      <c r="F39" s="324"/>
      <c r="G39" s="325"/>
      <c r="H39" s="169"/>
      <c r="I39" s="36"/>
      <c r="J39" s="236"/>
      <c r="K39" s="236"/>
      <c r="L39" s="430"/>
      <c r="M39" s="36"/>
    </row>
    <row r="40" spans="1:14" ht="15.75" x14ac:dyDescent="0.25">
      <c r="A40" s="47"/>
      <c r="B40" s="256"/>
      <c r="C40" s="256"/>
      <c r="D40" s="1026"/>
      <c r="E40" s="1026"/>
      <c r="F40" s="1026"/>
      <c r="G40" s="1026"/>
      <c r="H40" s="1026"/>
      <c r="I40" s="1026"/>
      <c r="J40" s="1026"/>
      <c r="K40" s="1026"/>
      <c r="L40" s="1026"/>
      <c r="M40" s="304"/>
    </row>
    <row r="41" spans="1:14" x14ac:dyDescent="0.2">
      <c r="A41" s="155"/>
    </row>
    <row r="42" spans="1:14" ht="15.75" x14ac:dyDescent="0.25">
      <c r="A42" s="147" t="s">
        <v>269</v>
      </c>
      <c r="B42" s="1027"/>
      <c r="C42" s="1027"/>
      <c r="D42" s="1027"/>
      <c r="E42" s="301"/>
      <c r="F42" s="1028"/>
      <c r="G42" s="1028"/>
      <c r="H42" s="1028"/>
      <c r="I42" s="304"/>
      <c r="J42" s="1028"/>
      <c r="K42" s="1028"/>
      <c r="L42" s="1028"/>
      <c r="M42" s="304"/>
    </row>
    <row r="43" spans="1:14" ht="15.75" x14ac:dyDescent="0.25">
      <c r="A43" s="163"/>
      <c r="B43" s="305"/>
      <c r="C43" s="305"/>
      <c r="D43" s="305"/>
      <c r="E43" s="305"/>
      <c r="F43" s="304"/>
      <c r="G43" s="304"/>
      <c r="H43" s="304"/>
      <c r="I43" s="304"/>
      <c r="J43" s="304"/>
      <c r="K43" s="304"/>
      <c r="L43" s="304"/>
      <c r="M43" s="304"/>
    </row>
    <row r="44" spans="1:14" ht="15.75" x14ac:dyDescent="0.25">
      <c r="A44" s="247"/>
      <c r="B44" s="1023" t="s">
        <v>0</v>
      </c>
      <c r="C44" s="1024"/>
      <c r="D44" s="1024"/>
      <c r="E44" s="243"/>
      <c r="F44" s="304"/>
      <c r="G44" s="304"/>
      <c r="H44" s="304"/>
      <c r="I44" s="304"/>
      <c r="J44" s="304"/>
      <c r="K44" s="304"/>
      <c r="L44" s="304"/>
      <c r="M44" s="304"/>
    </row>
    <row r="45" spans="1:14" s="3" customFormat="1" x14ac:dyDescent="0.2">
      <c r="A45" s="140"/>
      <c r="B45" s="152" t="s">
        <v>502</v>
      </c>
      <c r="C45" s="152" t="s">
        <v>503</v>
      </c>
      <c r="D45" s="162" t="s">
        <v>3</v>
      </c>
      <c r="E45" s="162" t="s">
        <v>29</v>
      </c>
      <c r="F45" s="174"/>
      <c r="G45" s="174"/>
      <c r="H45" s="173"/>
      <c r="I45" s="173"/>
      <c r="J45" s="174"/>
      <c r="K45" s="174"/>
      <c r="L45" s="173"/>
      <c r="M45" s="173"/>
      <c r="N45" s="148"/>
    </row>
    <row r="46" spans="1:14" s="3" customFormat="1" x14ac:dyDescent="0.2">
      <c r="A46" s="990"/>
      <c r="B46" s="244"/>
      <c r="C46" s="244"/>
      <c r="D46" s="245" t="s">
        <v>4</v>
      </c>
      <c r="E46" s="156" t="s">
        <v>30</v>
      </c>
      <c r="F46" s="173"/>
      <c r="G46" s="173"/>
      <c r="H46" s="173"/>
      <c r="I46" s="173"/>
      <c r="J46" s="173"/>
      <c r="K46" s="173"/>
      <c r="L46" s="173"/>
      <c r="M46" s="173"/>
      <c r="N46" s="148"/>
    </row>
    <row r="47" spans="1:14" s="3" customFormat="1" ht="15.75" x14ac:dyDescent="0.2">
      <c r="A47" s="14" t="s">
        <v>23</v>
      </c>
      <c r="B47" s="312">
        <v>1989</v>
      </c>
      <c r="C47" s="313">
        <v>1726</v>
      </c>
      <c r="D47" s="428">
        <f t="shared" ref="D47:D48" si="0">IF(B47=0, "    ---- ", IF(ABS(ROUND(100/B47*C47-100,1))&lt;999,ROUND(100/B47*C47-100,1),IF(ROUND(100/B47*C47-100,1)&gt;999,999,-999)))</f>
        <v>-13.2</v>
      </c>
      <c r="E47" s="11">
        <f>IFERROR(100/'Skjema total MA'!C47*C47,0)</f>
        <v>3.6130889105406794E-2</v>
      </c>
      <c r="F47" s="145"/>
      <c r="G47" s="33"/>
      <c r="H47" s="159"/>
      <c r="I47" s="159"/>
      <c r="J47" s="37"/>
      <c r="K47" s="37"/>
      <c r="L47" s="159"/>
      <c r="M47" s="159"/>
      <c r="N47" s="148"/>
    </row>
    <row r="48" spans="1:14" s="3" customFormat="1" ht="15.75" x14ac:dyDescent="0.2">
      <c r="A48" s="38" t="s">
        <v>455</v>
      </c>
      <c r="B48" s="283">
        <v>1989</v>
      </c>
      <c r="C48" s="284">
        <v>1726</v>
      </c>
      <c r="D48" s="257">
        <f t="shared" si="0"/>
        <v>-13.2</v>
      </c>
      <c r="E48" s="27">
        <f>IFERROR(100/'Skjema total MA'!C48*C48,0)</f>
        <v>6.4780640080518273E-2</v>
      </c>
      <c r="F48" s="145"/>
      <c r="G48" s="33"/>
      <c r="H48" s="145"/>
      <c r="I48" s="145"/>
      <c r="J48" s="33"/>
      <c r="K48" s="33"/>
      <c r="L48" s="159"/>
      <c r="M48" s="159"/>
      <c r="N48" s="148"/>
    </row>
    <row r="49" spans="1:14" s="3" customFormat="1" ht="15.75" x14ac:dyDescent="0.2">
      <c r="A49" s="38" t="s">
        <v>456</v>
      </c>
      <c r="B49" s="44"/>
      <c r="C49" s="289"/>
      <c r="D49" s="257"/>
      <c r="E49" s="27"/>
      <c r="F49" s="145"/>
      <c r="G49" s="33"/>
      <c r="H49" s="145"/>
      <c r="I49" s="145"/>
      <c r="J49" s="37"/>
      <c r="K49" s="37"/>
      <c r="L49" s="159"/>
      <c r="M49" s="159"/>
      <c r="N49" s="148"/>
    </row>
    <row r="50" spans="1:14" s="3" customFormat="1" x14ac:dyDescent="0.2">
      <c r="A50" s="298" t="s">
        <v>6</v>
      </c>
      <c r="B50" s="292"/>
      <c r="C50" s="293"/>
      <c r="D50" s="257"/>
      <c r="E50" s="23"/>
      <c r="F50" s="145"/>
      <c r="G50" s="33"/>
      <c r="H50" s="145"/>
      <c r="I50" s="145"/>
      <c r="J50" s="33"/>
      <c r="K50" s="33"/>
      <c r="L50" s="159"/>
      <c r="M50" s="159"/>
      <c r="N50" s="148"/>
    </row>
    <row r="51" spans="1:14" s="3" customFormat="1" x14ac:dyDescent="0.2">
      <c r="A51" s="298" t="s">
        <v>7</v>
      </c>
      <c r="B51" s="292"/>
      <c r="C51" s="293"/>
      <c r="D51" s="257"/>
      <c r="E51" s="23"/>
      <c r="F51" s="145"/>
      <c r="G51" s="33"/>
      <c r="H51" s="145"/>
      <c r="I51" s="145"/>
      <c r="J51" s="33"/>
      <c r="K51" s="33"/>
      <c r="L51" s="159"/>
      <c r="M51" s="159"/>
      <c r="N51" s="148"/>
    </row>
    <row r="52" spans="1:14" s="3" customFormat="1" x14ac:dyDescent="0.2">
      <c r="A52" s="298" t="s">
        <v>8</v>
      </c>
      <c r="B52" s="292"/>
      <c r="C52" s="293"/>
      <c r="D52" s="257"/>
      <c r="E52" s="23"/>
      <c r="F52" s="145"/>
      <c r="G52" s="33"/>
      <c r="H52" s="145"/>
      <c r="I52" s="145"/>
      <c r="J52" s="33"/>
      <c r="K52" s="33"/>
      <c r="L52" s="159"/>
      <c r="M52" s="159"/>
      <c r="N52" s="148"/>
    </row>
    <row r="53" spans="1:14" s="3" customFormat="1" ht="15.75" x14ac:dyDescent="0.2">
      <c r="A53" s="39" t="s">
        <v>457</v>
      </c>
      <c r="B53" s="312"/>
      <c r="C53" s="313"/>
      <c r="D53" s="429"/>
      <c r="E53" s="11"/>
      <c r="F53" s="145"/>
      <c r="G53" s="33"/>
      <c r="H53" s="145"/>
      <c r="I53" s="145"/>
      <c r="J53" s="33"/>
      <c r="K53" s="33"/>
      <c r="L53" s="159"/>
      <c r="M53" s="159"/>
      <c r="N53" s="148"/>
    </row>
    <row r="54" spans="1:14" s="3" customFormat="1" ht="15.75" x14ac:dyDescent="0.2">
      <c r="A54" s="38" t="s">
        <v>455</v>
      </c>
      <c r="B54" s="283"/>
      <c r="C54" s="284"/>
      <c r="D54" s="257"/>
      <c r="E54" s="27"/>
      <c r="F54" s="145"/>
      <c r="G54" s="33"/>
      <c r="H54" s="145"/>
      <c r="I54" s="145"/>
      <c r="J54" s="33"/>
      <c r="K54" s="33"/>
      <c r="L54" s="159"/>
      <c r="M54" s="159"/>
      <c r="N54" s="148"/>
    </row>
    <row r="55" spans="1:14" s="3" customFormat="1" ht="15.75" x14ac:dyDescent="0.2">
      <c r="A55" s="38" t="s">
        <v>456</v>
      </c>
      <c r="B55" s="283"/>
      <c r="C55" s="284"/>
      <c r="D55" s="257"/>
      <c r="E55" s="27"/>
      <c r="F55" s="145"/>
      <c r="G55" s="33"/>
      <c r="H55" s="145"/>
      <c r="I55" s="145"/>
      <c r="J55" s="33"/>
      <c r="K55" s="33"/>
      <c r="L55" s="159"/>
      <c r="M55" s="159"/>
      <c r="N55" s="148"/>
    </row>
    <row r="56" spans="1:14" s="3" customFormat="1" ht="15.75" x14ac:dyDescent="0.2">
      <c r="A56" s="39" t="s">
        <v>458</v>
      </c>
      <c r="B56" s="312"/>
      <c r="C56" s="313"/>
      <c r="D56" s="429"/>
      <c r="E56" s="11"/>
      <c r="F56" s="145"/>
      <c r="G56" s="33"/>
      <c r="H56" s="145"/>
      <c r="I56" s="145"/>
      <c r="J56" s="33"/>
      <c r="K56" s="33"/>
      <c r="L56" s="159"/>
      <c r="M56" s="159"/>
      <c r="N56" s="148"/>
    </row>
    <row r="57" spans="1:14" s="3" customFormat="1" ht="15.75" x14ac:dyDescent="0.2">
      <c r="A57" s="38" t="s">
        <v>455</v>
      </c>
      <c r="B57" s="283"/>
      <c r="C57" s="284"/>
      <c r="D57" s="257"/>
      <c r="E57" s="27"/>
      <c r="F57" s="145"/>
      <c r="G57" s="33"/>
      <c r="H57" s="145"/>
      <c r="I57" s="145"/>
      <c r="J57" s="33"/>
      <c r="K57" s="33"/>
      <c r="L57" s="159"/>
      <c r="M57" s="159"/>
      <c r="N57" s="148"/>
    </row>
    <row r="58" spans="1:14" s="3" customFormat="1" ht="15.75" x14ac:dyDescent="0.2">
      <c r="A58" s="46" t="s">
        <v>456</v>
      </c>
      <c r="B58" s="285"/>
      <c r="C58" s="286"/>
      <c r="D58" s="258"/>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1022"/>
      <c r="C62" s="1022"/>
      <c r="D62" s="1022"/>
      <c r="E62" s="301"/>
      <c r="F62" s="1022"/>
      <c r="G62" s="1022"/>
      <c r="H62" s="1022"/>
      <c r="I62" s="301"/>
      <c r="J62" s="1022"/>
      <c r="K62" s="1022"/>
      <c r="L62" s="1022"/>
      <c r="M62" s="301"/>
    </row>
    <row r="63" spans="1:14" x14ac:dyDescent="0.2">
      <c r="A63" s="144"/>
      <c r="B63" s="1023" t="s">
        <v>0</v>
      </c>
      <c r="C63" s="1024"/>
      <c r="D63" s="1025"/>
      <c r="E63" s="302"/>
      <c r="F63" s="1024" t="s">
        <v>1</v>
      </c>
      <c r="G63" s="1024"/>
      <c r="H63" s="1024"/>
      <c r="I63" s="306"/>
      <c r="J63" s="1023" t="s">
        <v>2</v>
      </c>
      <c r="K63" s="1024"/>
      <c r="L63" s="1024"/>
      <c r="M63" s="306"/>
    </row>
    <row r="64" spans="1:14" x14ac:dyDescent="0.2">
      <c r="A64" s="140"/>
      <c r="B64" s="152" t="s">
        <v>502</v>
      </c>
      <c r="C64" s="152" t="s">
        <v>503</v>
      </c>
      <c r="D64" s="245" t="s">
        <v>3</v>
      </c>
      <c r="E64" s="307" t="s">
        <v>29</v>
      </c>
      <c r="F64" s="152" t="s">
        <v>502</v>
      </c>
      <c r="G64" s="152" t="s">
        <v>503</v>
      </c>
      <c r="H64" s="245" t="s">
        <v>3</v>
      </c>
      <c r="I64" s="307" t="s">
        <v>29</v>
      </c>
      <c r="J64" s="152" t="s">
        <v>502</v>
      </c>
      <c r="K64" s="152" t="s">
        <v>503</v>
      </c>
      <c r="L64" s="245" t="s">
        <v>3</v>
      </c>
      <c r="M64" s="162" t="s">
        <v>29</v>
      </c>
    </row>
    <row r="65" spans="1:14" x14ac:dyDescent="0.2">
      <c r="A65" s="990"/>
      <c r="B65" s="156"/>
      <c r="C65" s="156"/>
      <c r="D65" s="246" t="s">
        <v>4</v>
      </c>
      <c r="E65" s="156" t="s">
        <v>30</v>
      </c>
      <c r="F65" s="161"/>
      <c r="G65" s="161"/>
      <c r="H65" s="245"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9"/>
      <c r="M66" s="11"/>
    </row>
    <row r="67" spans="1:14" x14ac:dyDescent="0.2">
      <c r="A67" s="420" t="s">
        <v>9</v>
      </c>
      <c r="B67" s="44"/>
      <c r="C67" s="145"/>
      <c r="D67" s="166"/>
      <c r="E67" s="27"/>
      <c r="F67" s="234"/>
      <c r="G67" s="145"/>
      <c r="H67" s="166"/>
      <c r="I67" s="27"/>
      <c r="J67" s="289"/>
      <c r="K67" s="44"/>
      <c r="L67" s="257"/>
      <c r="M67" s="27"/>
    </row>
    <row r="68" spans="1:14" x14ac:dyDescent="0.2">
      <c r="A68" s="21" t="s">
        <v>10</v>
      </c>
      <c r="B68" s="294"/>
      <c r="C68" s="295"/>
      <c r="D68" s="166"/>
      <c r="E68" s="27"/>
      <c r="F68" s="294"/>
      <c r="G68" s="295"/>
      <c r="H68" s="166"/>
      <c r="I68" s="27"/>
      <c r="J68" s="289"/>
      <c r="K68" s="44"/>
      <c r="L68" s="257"/>
      <c r="M68" s="27"/>
    </row>
    <row r="69" spans="1:14" ht="15.75" x14ac:dyDescent="0.2">
      <c r="A69" s="298" t="s">
        <v>459</v>
      </c>
      <c r="B69" s="283"/>
      <c r="C69" s="283"/>
      <c r="D69" s="166"/>
      <c r="E69" s="418"/>
      <c r="F69" s="283"/>
      <c r="G69" s="283"/>
      <c r="H69" s="166"/>
      <c r="I69" s="418"/>
      <c r="J69" s="292"/>
      <c r="K69" s="292"/>
      <c r="L69" s="166"/>
      <c r="M69" s="23"/>
    </row>
    <row r="70" spans="1:14" x14ac:dyDescent="0.2">
      <c r="A70" s="298" t="s">
        <v>12</v>
      </c>
      <c r="B70" s="296"/>
      <c r="C70" s="297"/>
      <c r="D70" s="166"/>
      <c r="E70" s="418"/>
      <c r="F70" s="283"/>
      <c r="G70" s="283"/>
      <c r="H70" s="166"/>
      <c r="I70" s="418"/>
      <c r="J70" s="292"/>
      <c r="K70" s="292"/>
      <c r="L70" s="166"/>
      <c r="M70" s="23"/>
    </row>
    <row r="71" spans="1:14" x14ac:dyDescent="0.2">
      <c r="A71" s="298" t="s">
        <v>13</v>
      </c>
      <c r="B71" s="235"/>
      <c r="C71" s="291"/>
      <c r="D71" s="166"/>
      <c r="E71" s="418"/>
      <c r="F71" s="283"/>
      <c r="G71" s="283"/>
      <c r="H71" s="166"/>
      <c r="I71" s="418"/>
      <c r="J71" s="292"/>
      <c r="K71" s="292"/>
      <c r="L71" s="166"/>
      <c r="M71" s="23"/>
    </row>
    <row r="72" spans="1:14" ht="15.75" x14ac:dyDescent="0.2">
      <c r="A72" s="298" t="s">
        <v>460</v>
      </c>
      <c r="B72" s="283"/>
      <c r="C72" s="283"/>
      <c r="D72" s="166"/>
      <c r="E72" s="418"/>
      <c r="F72" s="283"/>
      <c r="G72" s="283"/>
      <c r="H72" s="166"/>
      <c r="I72" s="418"/>
      <c r="J72" s="292"/>
      <c r="K72" s="292"/>
      <c r="L72" s="166"/>
      <c r="M72" s="23"/>
    </row>
    <row r="73" spans="1:14" x14ac:dyDescent="0.2">
      <c r="A73" s="298" t="s">
        <v>12</v>
      </c>
      <c r="B73" s="235"/>
      <c r="C73" s="291"/>
      <c r="D73" s="166"/>
      <c r="E73" s="418"/>
      <c r="F73" s="283"/>
      <c r="G73" s="283"/>
      <c r="H73" s="166"/>
      <c r="I73" s="418"/>
      <c r="J73" s="292"/>
      <c r="K73" s="292"/>
      <c r="L73" s="166"/>
      <c r="M73" s="23"/>
    </row>
    <row r="74" spans="1:14" s="3" customFormat="1" x14ac:dyDescent="0.2">
      <c r="A74" s="298" t="s">
        <v>13</v>
      </c>
      <c r="B74" s="235"/>
      <c r="C74" s="291"/>
      <c r="D74" s="166"/>
      <c r="E74" s="418"/>
      <c r="F74" s="283"/>
      <c r="G74" s="283"/>
      <c r="H74" s="166"/>
      <c r="I74" s="418"/>
      <c r="J74" s="292"/>
      <c r="K74" s="292"/>
      <c r="L74" s="166"/>
      <c r="M74" s="23"/>
      <c r="N74" s="148"/>
    </row>
    <row r="75" spans="1:14" s="3" customFormat="1" x14ac:dyDescent="0.2">
      <c r="A75" s="21" t="s">
        <v>346</v>
      </c>
      <c r="B75" s="234"/>
      <c r="C75" s="145"/>
      <c r="D75" s="166"/>
      <c r="E75" s="27"/>
      <c r="F75" s="234"/>
      <c r="G75" s="145"/>
      <c r="H75" s="166"/>
      <c r="I75" s="27"/>
      <c r="J75" s="289"/>
      <c r="K75" s="44"/>
      <c r="L75" s="257"/>
      <c r="M75" s="27"/>
      <c r="N75" s="148"/>
    </row>
    <row r="76" spans="1:14" s="3" customFormat="1" x14ac:dyDescent="0.2">
      <c r="A76" s="21" t="s">
        <v>345</v>
      </c>
      <c r="B76" s="234"/>
      <c r="C76" s="145"/>
      <c r="D76" s="166"/>
      <c r="E76" s="27"/>
      <c r="F76" s="234"/>
      <c r="G76" s="145"/>
      <c r="H76" s="166"/>
      <c r="I76" s="27"/>
      <c r="J76" s="289"/>
      <c r="K76" s="44"/>
      <c r="L76" s="257"/>
      <c r="M76" s="27"/>
      <c r="N76" s="148"/>
    </row>
    <row r="77" spans="1:14" ht="15.75" x14ac:dyDescent="0.2">
      <c r="A77" s="21" t="s">
        <v>461</v>
      </c>
      <c r="B77" s="234"/>
      <c r="C77" s="234"/>
      <c r="D77" s="166"/>
      <c r="E77" s="27"/>
      <c r="F77" s="234"/>
      <c r="G77" s="145"/>
      <c r="H77" s="166"/>
      <c r="I77" s="27"/>
      <c r="J77" s="289"/>
      <c r="K77" s="44"/>
      <c r="L77" s="257"/>
      <c r="M77" s="27"/>
    </row>
    <row r="78" spans="1:14" x14ac:dyDescent="0.2">
      <c r="A78" s="21" t="s">
        <v>9</v>
      </c>
      <c r="B78" s="234"/>
      <c r="C78" s="145"/>
      <c r="D78" s="166"/>
      <c r="E78" s="27"/>
      <c r="F78" s="234"/>
      <c r="G78" s="145"/>
      <c r="H78" s="166"/>
      <c r="I78" s="27"/>
      <c r="J78" s="289"/>
      <c r="K78" s="44"/>
      <c r="L78" s="257"/>
      <c r="M78" s="27"/>
    </row>
    <row r="79" spans="1:14" x14ac:dyDescent="0.2">
      <c r="A79" s="21" t="s">
        <v>10</v>
      </c>
      <c r="B79" s="294"/>
      <c r="C79" s="295"/>
      <c r="D79" s="166"/>
      <c r="E79" s="27"/>
      <c r="F79" s="294"/>
      <c r="G79" s="295"/>
      <c r="H79" s="166"/>
      <c r="I79" s="27"/>
      <c r="J79" s="289"/>
      <c r="K79" s="44"/>
      <c r="L79" s="257"/>
      <c r="M79" s="27"/>
    </row>
    <row r="80" spans="1:14" ht="15.75" x14ac:dyDescent="0.2">
      <c r="A80" s="298" t="s">
        <v>459</v>
      </c>
      <c r="B80" s="283"/>
      <c r="C80" s="283"/>
      <c r="D80" s="166"/>
      <c r="E80" s="418"/>
      <c r="F80" s="283"/>
      <c r="G80" s="283"/>
      <c r="H80" s="166"/>
      <c r="I80" s="418"/>
      <c r="J80" s="292"/>
      <c r="K80" s="292"/>
      <c r="L80" s="166"/>
      <c r="M80" s="23"/>
    </row>
    <row r="81" spans="1:13" x14ac:dyDescent="0.2">
      <c r="A81" s="298" t="s">
        <v>12</v>
      </c>
      <c r="B81" s="235"/>
      <c r="C81" s="291"/>
      <c r="D81" s="166"/>
      <c r="E81" s="418"/>
      <c r="F81" s="283"/>
      <c r="G81" s="283"/>
      <c r="H81" s="166"/>
      <c r="I81" s="418"/>
      <c r="J81" s="292"/>
      <c r="K81" s="292"/>
      <c r="L81" s="166"/>
      <c r="M81" s="23"/>
    </row>
    <row r="82" spans="1:13" x14ac:dyDescent="0.2">
      <c r="A82" s="298" t="s">
        <v>13</v>
      </c>
      <c r="B82" s="235"/>
      <c r="C82" s="291"/>
      <c r="D82" s="166"/>
      <c r="E82" s="418"/>
      <c r="F82" s="283"/>
      <c r="G82" s="283"/>
      <c r="H82" s="166"/>
      <c r="I82" s="418"/>
      <c r="J82" s="292"/>
      <c r="K82" s="292"/>
      <c r="L82" s="166"/>
      <c r="M82" s="23"/>
    </row>
    <row r="83" spans="1:13" ht="15.75" x14ac:dyDescent="0.2">
      <c r="A83" s="298" t="s">
        <v>460</v>
      </c>
      <c r="B83" s="283"/>
      <c r="C83" s="283"/>
      <c r="D83" s="166"/>
      <c r="E83" s="418"/>
      <c r="F83" s="283"/>
      <c r="G83" s="283"/>
      <c r="H83" s="166"/>
      <c r="I83" s="418"/>
      <c r="J83" s="292"/>
      <c r="K83" s="292"/>
      <c r="L83" s="166"/>
      <c r="M83" s="23"/>
    </row>
    <row r="84" spans="1:13" x14ac:dyDescent="0.2">
      <c r="A84" s="298" t="s">
        <v>12</v>
      </c>
      <c r="B84" s="235"/>
      <c r="C84" s="291"/>
      <c r="D84" s="166"/>
      <c r="E84" s="418"/>
      <c r="F84" s="283"/>
      <c r="G84" s="283"/>
      <c r="H84" s="166"/>
      <c r="I84" s="418"/>
      <c r="J84" s="292"/>
      <c r="K84" s="292"/>
      <c r="L84" s="166"/>
      <c r="M84" s="23"/>
    </row>
    <row r="85" spans="1:13" x14ac:dyDescent="0.2">
      <c r="A85" s="298" t="s">
        <v>13</v>
      </c>
      <c r="B85" s="235"/>
      <c r="C85" s="291"/>
      <c r="D85" s="166"/>
      <c r="E85" s="418"/>
      <c r="F85" s="283"/>
      <c r="G85" s="283"/>
      <c r="H85" s="166"/>
      <c r="I85" s="418"/>
      <c r="J85" s="292"/>
      <c r="K85" s="292"/>
      <c r="L85" s="166"/>
      <c r="M85" s="23"/>
    </row>
    <row r="86" spans="1:13" ht="15.75" x14ac:dyDescent="0.2">
      <c r="A86" s="21" t="s">
        <v>462</v>
      </c>
      <c r="B86" s="234"/>
      <c r="C86" s="145"/>
      <c r="D86" s="166"/>
      <c r="E86" s="27"/>
      <c r="F86" s="234"/>
      <c r="G86" s="145"/>
      <c r="H86" s="166"/>
      <c r="I86" s="27"/>
      <c r="J86" s="289"/>
      <c r="K86" s="44"/>
      <c r="L86" s="257"/>
      <c r="M86" s="27"/>
    </row>
    <row r="87" spans="1:13" ht="15.75" x14ac:dyDescent="0.2">
      <c r="A87" s="13" t="s">
        <v>444</v>
      </c>
      <c r="B87" s="354"/>
      <c r="C87" s="354"/>
      <c r="D87" s="171"/>
      <c r="E87" s="11"/>
      <c r="F87" s="353"/>
      <c r="G87" s="353"/>
      <c r="H87" s="171"/>
      <c r="I87" s="11"/>
      <c r="J87" s="311"/>
      <c r="K87" s="236"/>
      <c r="L87" s="429"/>
      <c r="M87" s="11"/>
    </row>
    <row r="88" spans="1:13" x14ac:dyDescent="0.2">
      <c r="A88" s="21" t="s">
        <v>9</v>
      </c>
      <c r="B88" s="234"/>
      <c r="C88" s="145"/>
      <c r="D88" s="166"/>
      <c r="E88" s="27"/>
      <c r="F88" s="234"/>
      <c r="G88" s="145"/>
      <c r="H88" s="166"/>
      <c r="I88" s="27"/>
      <c r="J88" s="289"/>
      <c r="K88" s="44"/>
      <c r="L88" s="257"/>
      <c r="M88" s="27"/>
    </row>
    <row r="89" spans="1:13" x14ac:dyDescent="0.2">
      <c r="A89" s="21" t="s">
        <v>10</v>
      </c>
      <c r="B89" s="234"/>
      <c r="C89" s="145"/>
      <c r="D89" s="166"/>
      <c r="E89" s="27"/>
      <c r="F89" s="234"/>
      <c r="G89" s="145"/>
      <c r="H89" s="166"/>
      <c r="I89" s="27"/>
      <c r="J89" s="289"/>
      <c r="K89" s="44"/>
      <c r="L89" s="257"/>
      <c r="M89" s="27"/>
    </row>
    <row r="90" spans="1:13" ht="15.75" x14ac:dyDescent="0.2">
      <c r="A90" s="298" t="s">
        <v>459</v>
      </c>
      <c r="B90" s="283"/>
      <c r="C90" s="283"/>
      <c r="D90" s="166"/>
      <c r="E90" s="418"/>
      <c r="F90" s="283"/>
      <c r="G90" s="283"/>
      <c r="H90" s="166"/>
      <c r="I90" s="418"/>
      <c r="J90" s="292"/>
      <c r="K90" s="292"/>
      <c r="L90" s="166"/>
      <c r="M90" s="23"/>
    </row>
    <row r="91" spans="1:13" x14ac:dyDescent="0.2">
      <c r="A91" s="298" t="s">
        <v>12</v>
      </c>
      <c r="B91" s="235"/>
      <c r="C91" s="291"/>
      <c r="D91" s="166"/>
      <c r="E91" s="418"/>
      <c r="F91" s="283"/>
      <c r="G91" s="283"/>
      <c r="H91" s="166"/>
      <c r="I91" s="418"/>
      <c r="J91" s="292"/>
      <c r="K91" s="292"/>
      <c r="L91" s="166"/>
      <c r="M91" s="23"/>
    </row>
    <row r="92" spans="1:13" x14ac:dyDescent="0.2">
      <c r="A92" s="298" t="s">
        <v>13</v>
      </c>
      <c r="B92" s="235"/>
      <c r="C92" s="291"/>
      <c r="D92" s="166"/>
      <c r="E92" s="418"/>
      <c r="F92" s="283"/>
      <c r="G92" s="283"/>
      <c r="H92" s="166"/>
      <c r="I92" s="418"/>
      <c r="J92" s="292"/>
      <c r="K92" s="292"/>
      <c r="L92" s="166"/>
      <c r="M92" s="23"/>
    </row>
    <row r="93" spans="1:13" ht="15.75" x14ac:dyDescent="0.2">
      <c r="A93" s="298" t="s">
        <v>460</v>
      </c>
      <c r="B93" s="283"/>
      <c r="C93" s="283"/>
      <c r="D93" s="166"/>
      <c r="E93" s="418"/>
      <c r="F93" s="283"/>
      <c r="G93" s="283"/>
      <c r="H93" s="166"/>
      <c r="I93" s="418"/>
      <c r="J93" s="292"/>
      <c r="K93" s="292"/>
      <c r="L93" s="166"/>
      <c r="M93" s="23"/>
    </row>
    <row r="94" spans="1:13" x14ac:dyDescent="0.2">
      <c r="A94" s="298" t="s">
        <v>12</v>
      </c>
      <c r="B94" s="235"/>
      <c r="C94" s="291"/>
      <c r="D94" s="166"/>
      <c r="E94" s="418"/>
      <c r="F94" s="283"/>
      <c r="G94" s="283"/>
      <c r="H94" s="166"/>
      <c r="I94" s="418"/>
      <c r="J94" s="292"/>
      <c r="K94" s="292"/>
      <c r="L94" s="166"/>
      <c r="M94" s="23"/>
    </row>
    <row r="95" spans="1:13" x14ac:dyDescent="0.2">
      <c r="A95" s="298" t="s">
        <v>13</v>
      </c>
      <c r="B95" s="235"/>
      <c r="C95" s="291"/>
      <c r="D95" s="166"/>
      <c r="E95" s="418"/>
      <c r="F95" s="283"/>
      <c r="G95" s="283"/>
      <c r="H95" s="166"/>
      <c r="I95" s="418"/>
      <c r="J95" s="292"/>
      <c r="K95" s="292"/>
      <c r="L95" s="166"/>
      <c r="M95" s="23"/>
    </row>
    <row r="96" spans="1:13" x14ac:dyDescent="0.2">
      <c r="A96" s="21" t="s">
        <v>344</v>
      </c>
      <c r="B96" s="234"/>
      <c r="C96" s="145"/>
      <c r="D96" s="166"/>
      <c r="E96" s="27"/>
      <c r="F96" s="234"/>
      <c r="G96" s="145"/>
      <c r="H96" s="166"/>
      <c r="I96" s="27"/>
      <c r="J96" s="289"/>
      <c r="K96" s="44"/>
      <c r="L96" s="257"/>
      <c r="M96" s="27"/>
    </row>
    <row r="97" spans="1:13" x14ac:dyDescent="0.2">
      <c r="A97" s="21" t="s">
        <v>343</v>
      </c>
      <c r="B97" s="234"/>
      <c r="C97" s="145"/>
      <c r="D97" s="166"/>
      <c r="E97" s="27"/>
      <c r="F97" s="234"/>
      <c r="G97" s="145"/>
      <c r="H97" s="166"/>
      <c r="I97" s="27"/>
      <c r="J97" s="289"/>
      <c r="K97" s="44"/>
      <c r="L97" s="257"/>
      <c r="M97" s="27"/>
    </row>
    <row r="98" spans="1:13" ht="15.75" x14ac:dyDescent="0.2">
      <c r="A98" s="21" t="s">
        <v>461</v>
      </c>
      <c r="B98" s="234"/>
      <c r="C98" s="234"/>
      <c r="D98" s="166"/>
      <c r="E98" s="27"/>
      <c r="F98" s="294"/>
      <c r="G98" s="294"/>
      <c r="H98" s="166"/>
      <c r="I98" s="27"/>
      <c r="J98" s="289"/>
      <c r="K98" s="44"/>
      <c r="L98" s="257"/>
      <c r="M98" s="27"/>
    </row>
    <row r="99" spans="1:13" x14ac:dyDescent="0.2">
      <c r="A99" s="21" t="s">
        <v>9</v>
      </c>
      <c r="B99" s="294"/>
      <c r="C99" s="295"/>
      <c r="D99" s="166"/>
      <c r="E99" s="27"/>
      <c r="F99" s="234"/>
      <c r="G99" s="145"/>
      <c r="H99" s="166"/>
      <c r="I99" s="27"/>
      <c r="J99" s="289"/>
      <c r="K99" s="44"/>
      <c r="L99" s="257"/>
      <c r="M99" s="27"/>
    </row>
    <row r="100" spans="1:13" x14ac:dyDescent="0.2">
      <c r="A100" s="21" t="s">
        <v>10</v>
      </c>
      <c r="B100" s="294"/>
      <c r="C100" s="295"/>
      <c r="D100" s="166"/>
      <c r="E100" s="27"/>
      <c r="F100" s="234"/>
      <c r="G100" s="234"/>
      <c r="H100" s="166"/>
      <c r="I100" s="27"/>
      <c r="J100" s="289"/>
      <c r="K100" s="44"/>
      <c r="L100" s="257"/>
      <c r="M100" s="27"/>
    </row>
    <row r="101" spans="1:13" ht="15.75" x14ac:dyDescent="0.2">
      <c r="A101" s="298" t="s">
        <v>459</v>
      </c>
      <c r="B101" s="283"/>
      <c r="C101" s="283"/>
      <c r="D101" s="166"/>
      <c r="E101" s="418"/>
      <c r="F101" s="283"/>
      <c r="G101" s="283"/>
      <c r="H101" s="166"/>
      <c r="I101" s="418"/>
      <c r="J101" s="292"/>
      <c r="K101" s="292"/>
      <c r="L101" s="166"/>
      <c r="M101" s="23"/>
    </row>
    <row r="102" spans="1:13" x14ac:dyDescent="0.2">
      <c r="A102" s="298" t="s">
        <v>12</v>
      </c>
      <c r="B102" s="235"/>
      <c r="C102" s="291"/>
      <c r="D102" s="166"/>
      <c r="E102" s="418"/>
      <c r="F102" s="283"/>
      <c r="G102" s="283"/>
      <c r="H102" s="166"/>
      <c r="I102" s="418"/>
      <c r="J102" s="292"/>
      <c r="K102" s="292"/>
      <c r="L102" s="166"/>
      <c r="M102" s="23"/>
    </row>
    <row r="103" spans="1:13" x14ac:dyDescent="0.2">
      <c r="A103" s="298" t="s">
        <v>13</v>
      </c>
      <c r="B103" s="235"/>
      <c r="C103" s="291"/>
      <c r="D103" s="166"/>
      <c r="E103" s="418"/>
      <c r="F103" s="283"/>
      <c r="G103" s="283"/>
      <c r="H103" s="166"/>
      <c r="I103" s="418"/>
      <c r="J103" s="292"/>
      <c r="K103" s="292"/>
      <c r="L103" s="166"/>
      <c r="M103" s="23"/>
    </row>
    <row r="104" spans="1:13" ht="15.75" x14ac:dyDescent="0.2">
      <c r="A104" s="298" t="s">
        <v>460</v>
      </c>
      <c r="B104" s="283"/>
      <c r="C104" s="283"/>
      <c r="D104" s="166"/>
      <c r="E104" s="418"/>
      <c r="F104" s="283"/>
      <c r="G104" s="283"/>
      <c r="H104" s="166"/>
      <c r="I104" s="418"/>
      <c r="J104" s="292"/>
      <c r="K104" s="292"/>
      <c r="L104" s="166"/>
      <c r="M104" s="23"/>
    </row>
    <row r="105" spans="1:13" x14ac:dyDescent="0.2">
      <c r="A105" s="298" t="s">
        <v>12</v>
      </c>
      <c r="B105" s="235"/>
      <c r="C105" s="291"/>
      <c r="D105" s="166"/>
      <c r="E105" s="418"/>
      <c r="F105" s="283"/>
      <c r="G105" s="283"/>
      <c r="H105" s="166"/>
      <c r="I105" s="418"/>
      <c r="J105" s="292"/>
      <c r="K105" s="292"/>
      <c r="L105" s="166"/>
      <c r="M105" s="23"/>
    </row>
    <row r="106" spans="1:13" x14ac:dyDescent="0.2">
      <c r="A106" s="298" t="s">
        <v>13</v>
      </c>
      <c r="B106" s="235"/>
      <c r="C106" s="291"/>
      <c r="D106" s="166"/>
      <c r="E106" s="418"/>
      <c r="F106" s="283"/>
      <c r="G106" s="283"/>
      <c r="H106" s="166"/>
      <c r="I106" s="418"/>
      <c r="J106" s="292"/>
      <c r="K106" s="292"/>
      <c r="L106" s="166"/>
      <c r="M106" s="23"/>
    </row>
    <row r="107" spans="1:13" ht="15.75" x14ac:dyDescent="0.2">
      <c r="A107" s="21" t="s">
        <v>462</v>
      </c>
      <c r="B107" s="234"/>
      <c r="C107" s="145"/>
      <c r="D107" s="166"/>
      <c r="E107" s="27"/>
      <c r="F107" s="234"/>
      <c r="G107" s="145"/>
      <c r="H107" s="166"/>
      <c r="I107" s="27"/>
      <c r="J107" s="289"/>
      <c r="K107" s="44"/>
      <c r="L107" s="257"/>
      <c r="M107" s="27"/>
    </row>
    <row r="108" spans="1:13" ht="15.75" x14ac:dyDescent="0.2">
      <c r="A108" s="21" t="s">
        <v>463</v>
      </c>
      <c r="B108" s="234"/>
      <c r="C108" s="234"/>
      <c r="D108" s="166"/>
      <c r="E108" s="27"/>
      <c r="F108" s="234"/>
      <c r="G108" s="234"/>
      <c r="H108" s="166"/>
      <c r="I108" s="27"/>
      <c r="J108" s="289"/>
      <c r="K108" s="44"/>
      <c r="L108" s="257"/>
      <c r="M108" s="27"/>
    </row>
    <row r="109" spans="1:13" ht="15.75" x14ac:dyDescent="0.2">
      <c r="A109" s="21" t="s">
        <v>464</v>
      </c>
      <c r="B109" s="234"/>
      <c r="C109" s="234"/>
      <c r="D109" s="166"/>
      <c r="E109" s="27"/>
      <c r="F109" s="234"/>
      <c r="G109" s="234"/>
      <c r="H109" s="166"/>
      <c r="I109" s="27"/>
      <c r="J109" s="289"/>
      <c r="K109" s="44"/>
      <c r="L109" s="257"/>
      <c r="M109" s="27"/>
    </row>
    <row r="110" spans="1:13" ht="15.75" x14ac:dyDescent="0.2">
      <c r="A110" s="21" t="s">
        <v>465</v>
      </c>
      <c r="B110" s="234"/>
      <c r="C110" s="234"/>
      <c r="D110" s="166"/>
      <c r="E110" s="27"/>
      <c r="F110" s="234"/>
      <c r="G110" s="234"/>
      <c r="H110" s="166"/>
      <c r="I110" s="27"/>
      <c r="J110" s="289"/>
      <c r="K110" s="44"/>
      <c r="L110" s="257"/>
      <c r="M110" s="27"/>
    </row>
    <row r="111" spans="1:13" ht="15.75" x14ac:dyDescent="0.2">
      <c r="A111" s="13" t="s">
        <v>445</v>
      </c>
      <c r="B111" s="310"/>
      <c r="C111" s="159"/>
      <c r="D111" s="171"/>
      <c r="E111" s="11"/>
      <c r="F111" s="310"/>
      <c r="G111" s="159"/>
      <c r="H111" s="171"/>
      <c r="I111" s="11"/>
      <c r="J111" s="311"/>
      <c r="K111" s="236"/>
      <c r="L111" s="429"/>
      <c r="M111" s="11"/>
    </row>
    <row r="112" spans="1:13" x14ac:dyDescent="0.2">
      <c r="A112" s="21" t="s">
        <v>9</v>
      </c>
      <c r="B112" s="234"/>
      <c r="C112" s="145"/>
      <c r="D112" s="166"/>
      <c r="E112" s="27"/>
      <c r="F112" s="234"/>
      <c r="G112" s="145"/>
      <c r="H112" s="166"/>
      <c r="I112" s="27"/>
      <c r="J112" s="289"/>
      <c r="K112" s="44"/>
      <c r="L112" s="257"/>
      <c r="M112" s="27"/>
    </row>
    <row r="113" spans="1:14" x14ac:dyDescent="0.2">
      <c r="A113" s="21" t="s">
        <v>10</v>
      </c>
      <c r="B113" s="234"/>
      <c r="C113" s="145"/>
      <c r="D113" s="166"/>
      <c r="E113" s="27"/>
      <c r="F113" s="234"/>
      <c r="G113" s="145"/>
      <c r="H113" s="166"/>
      <c r="I113" s="27"/>
      <c r="J113" s="289"/>
      <c r="K113" s="44"/>
      <c r="L113" s="257"/>
      <c r="M113" s="27"/>
    </row>
    <row r="114" spans="1:14" x14ac:dyDescent="0.2">
      <c r="A114" s="21" t="s">
        <v>26</v>
      </c>
      <c r="B114" s="234"/>
      <c r="C114" s="145"/>
      <c r="D114" s="166"/>
      <c r="E114" s="27"/>
      <c r="F114" s="234"/>
      <c r="G114" s="145"/>
      <c r="H114" s="166"/>
      <c r="I114" s="27"/>
      <c r="J114" s="289"/>
      <c r="K114" s="44"/>
      <c r="L114" s="257"/>
      <c r="M114" s="27"/>
    </row>
    <row r="115" spans="1:14" x14ac:dyDescent="0.2">
      <c r="A115" s="298" t="s">
        <v>15</v>
      </c>
      <c r="B115" s="283"/>
      <c r="C115" s="283"/>
      <c r="D115" s="166"/>
      <c r="E115" s="418"/>
      <c r="F115" s="283"/>
      <c r="G115" s="283"/>
      <c r="H115" s="166"/>
      <c r="I115" s="418"/>
      <c r="J115" s="292"/>
      <c r="K115" s="292"/>
      <c r="L115" s="166"/>
      <c r="M115" s="23"/>
    </row>
    <row r="116" spans="1:14" ht="15.75" x14ac:dyDescent="0.2">
      <c r="A116" s="21" t="s">
        <v>466</v>
      </c>
      <c r="B116" s="234"/>
      <c r="C116" s="234"/>
      <c r="D116" s="166"/>
      <c r="E116" s="27"/>
      <c r="F116" s="234"/>
      <c r="G116" s="234"/>
      <c r="H116" s="166"/>
      <c r="I116" s="27"/>
      <c r="J116" s="289"/>
      <c r="K116" s="44"/>
      <c r="L116" s="257"/>
      <c r="M116" s="27"/>
    </row>
    <row r="117" spans="1:14" ht="15.75" x14ac:dyDescent="0.2">
      <c r="A117" s="21" t="s">
        <v>467</v>
      </c>
      <c r="B117" s="234"/>
      <c r="C117" s="234"/>
      <c r="D117" s="166"/>
      <c r="E117" s="27"/>
      <c r="F117" s="234"/>
      <c r="G117" s="234"/>
      <c r="H117" s="166"/>
      <c r="I117" s="27"/>
      <c r="J117" s="289"/>
      <c r="K117" s="44"/>
      <c r="L117" s="257"/>
      <c r="M117" s="27"/>
    </row>
    <row r="118" spans="1:14" ht="15.75" x14ac:dyDescent="0.2">
      <c r="A118" s="21" t="s">
        <v>465</v>
      </c>
      <c r="B118" s="234"/>
      <c r="C118" s="234"/>
      <c r="D118" s="166"/>
      <c r="E118" s="27"/>
      <c r="F118" s="234"/>
      <c r="G118" s="234"/>
      <c r="H118" s="166"/>
      <c r="I118" s="27"/>
      <c r="J118" s="289"/>
      <c r="K118" s="44"/>
      <c r="L118" s="257"/>
      <c r="M118" s="27"/>
    </row>
    <row r="119" spans="1:14" ht="15.75" x14ac:dyDescent="0.2">
      <c r="A119" s="13" t="s">
        <v>446</v>
      </c>
      <c r="B119" s="310"/>
      <c r="C119" s="159"/>
      <c r="D119" s="171"/>
      <c r="E119" s="11"/>
      <c r="F119" s="310"/>
      <c r="G119" s="159"/>
      <c r="H119" s="171"/>
      <c r="I119" s="11"/>
      <c r="J119" s="311"/>
      <c r="K119" s="236"/>
      <c r="L119" s="429"/>
      <c r="M119" s="11"/>
    </row>
    <row r="120" spans="1:14" x14ac:dyDescent="0.2">
      <c r="A120" s="21" t="s">
        <v>9</v>
      </c>
      <c r="B120" s="234"/>
      <c r="C120" s="145"/>
      <c r="D120" s="166"/>
      <c r="E120" s="27"/>
      <c r="F120" s="234"/>
      <c r="G120" s="145"/>
      <c r="H120" s="166"/>
      <c r="I120" s="27"/>
      <c r="J120" s="289"/>
      <c r="K120" s="44"/>
      <c r="L120" s="257"/>
      <c r="M120" s="27"/>
    </row>
    <row r="121" spans="1:14" x14ac:dyDescent="0.2">
      <c r="A121" s="21" t="s">
        <v>10</v>
      </c>
      <c r="B121" s="234"/>
      <c r="C121" s="145"/>
      <c r="D121" s="166"/>
      <c r="E121" s="27"/>
      <c r="F121" s="234"/>
      <c r="G121" s="145"/>
      <c r="H121" s="166"/>
      <c r="I121" s="27"/>
      <c r="J121" s="289"/>
      <c r="K121" s="44"/>
      <c r="L121" s="257"/>
      <c r="M121" s="27"/>
    </row>
    <row r="122" spans="1:14" x14ac:dyDescent="0.2">
      <c r="A122" s="21" t="s">
        <v>26</v>
      </c>
      <c r="B122" s="234"/>
      <c r="C122" s="145"/>
      <c r="D122" s="166"/>
      <c r="E122" s="27"/>
      <c r="F122" s="234"/>
      <c r="G122" s="145"/>
      <c r="H122" s="166"/>
      <c r="I122" s="27"/>
      <c r="J122" s="289"/>
      <c r="K122" s="44"/>
      <c r="L122" s="257"/>
      <c r="M122" s="27"/>
    </row>
    <row r="123" spans="1:14" x14ac:dyDescent="0.2">
      <c r="A123" s="298" t="s">
        <v>14</v>
      </c>
      <c r="B123" s="283"/>
      <c r="C123" s="283"/>
      <c r="D123" s="166"/>
      <c r="E123" s="418"/>
      <c r="F123" s="283"/>
      <c r="G123" s="283"/>
      <c r="H123" s="166"/>
      <c r="I123" s="418"/>
      <c r="J123" s="292"/>
      <c r="K123" s="292"/>
      <c r="L123" s="166"/>
      <c r="M123" s="23"/>
    </row>
    <row r="124" spans="1:14" ht="15.75" x14ac:dyDescent="0.2">
      <c r="A124" s="21" t="s">
        <v>472</v>
      </c>
      <c r="B124" s="234"/>
      <c r="C124" s="234"/>
      <c r="D124" s="166"/>
      <c r="E124" s="27"/>
      <c r="F124" s="234"/>
      <c r="G124" s="234"/>
      <c r="H124" s="166"/>
      <c r="I124" s="27"/>
      <c r="J124" s="289"/>
      <c r="K124" s="44"/>
      <c r="L124" s="257"/>
      <c r="M124" s="27"/>
    </row>
    <row r="125" spans="1:14" ht="15.75" x14ac:dyDescent="0.2">
      <c r="A125" s="21" t="s">
        <v>464</v>
      </c>
      <c r="B125" s="234"/>
      <c r="C125" s="234"/>
      <c r="D125" s="166"/>
      <c r="E125" s="27"/>
      <c r="F125" s="234"/>
      <c r="G125" s="234"/>
      <c r="H125" s="166"/>
      <c r="I125" s="27"/>
      <c r="J125" s="289"/>
      <c r="K125" s="44"/>
      <c r="L125" s="257"/>
      <c r="M125" s="27"/>
    </row>
    <row r="126" spans="1:14" ht="15.75" x14ac:dyDescent="0.2">
      <c r="A126" s="10" t="s">
        <v>465</v>
      </c>
      <c r="B126" s="45"/>
      <c r="C126" s="45"/>
      <c r="D126" s="167"/>
      <c r="E126" s="419"/>
      <c r="F126" s="45"/>
      <c r="G126" s="45"/>
      <c r="H126" s="167"/>
      <c r="I126" s="22"/>
      <c r="J126" s="290"/>
      <c r="K126" s="45"/>
      <c r="L126" s="258"/>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1022"/>
      <c r="C130" s="1022"/>
      <c r="D130" s="1022"/>
      <c r="E130" s="301"/>
      <c r="F130" s="1022"/>
      <c r="G130" s="1022"/>
      <c r="H130" s="1022"/>
      <c r="I130" s="301"/>
      <c r="J130" s="1022"/>
      <c r="K130" s="1022"/>
      <c r="L130" s="1022"/>
      <c r="M130" s="301"/>
    </row>
    <row r="131" spans="1:14" s="3" customFormat="1" x14ac:dyDescent="0.2">
      <c r="A131" s="144"/>
      <c r="B131" s="1023" t="s">
        <v>0</v>
      </c>
      <c r="C131" s="1024"/>
      <c r="D131" s="1024"/>
      <c r="E131" s="303"/>
      <c r="F131" s="1023" t="s">
        <v>1</v>
      </c>
      <c r="G131" s="1024"/>
      <c r="H131" s="1024"/>
      <c r="I131" s="306"/>
      <c r="J131" s="1023" t="s">
        <v>2</v>
      </c>
      <c r="K131" s="1024"/>
      <c r="L131" s="1024"/>
      <c r="M131" s="306"/>
      <c r="N131" s="148"/>
    </row>
    <row r="132" spans="1:14" s="3" customFormat="1" x14ac:dyDescent="0.2">
      <c r="A132" s="140"/>
      <c r="B132" s="152" t="s">
        <v>502</v>
      </c>
      <c r="C132" s="152" t="s">
        <v>503</v>
      </c>
      <c r="D132" s="245" t="s">
        <v>3</v>
      </c>
      <c r="E132" s="307" t="s">
        <v>29</v>
      </c>
      <c r="F132" s="152" t="s">
        <v>502</v>
      </c>
      <c r="G132" s="152" t="s">
        <v>503</v>
      </c>
      <c r="H132" s="206" t="s">
        <v>3</v>
      </c>
      <c r="I132" s="162" t="s">
        <v>29</v>
      </c>
      <c r="J132" s="152" t="s">
        <v>502</v>
      </c>
      <c r="K132" s="152" t="s">
        <v>503</v>
      </c>
      <c r="L132" s="246" t="s">
        <v>3</v>
      </c>
      <c r="M132" s="162" t="s">
        <v>29</v>
      </c>
      <c r="N132" s="148"/>
    </row>
    <row r="133" spans="1:14" s="3" customFormat="1" x14ac:dyDescent="0.2">
      <c r="A133" s="990"/>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468</v>
      </c>
      <c r="B134" s="236"/>
      <c r="C134" s="311"/>
      <c r="D134" s="351"/>
      <c r="E134" s="11"/>
      <c r="F134" s="318"/>
      <c r="G134" s="319"/>
      <c r="H134" s="432"/>
      <c r="I134" s="24"/>
      <c r="J134" s="320"/>
      <c r="K134" s="320"/>
      <c r="L134" s="428"/>
      <c r="M134" s="11"/>
      <c r="N134" s="148"/>
    </row>
    <row r="135" spans="1:14" s="3" customFormat="1" ht="15.75" x14ac:dyDescent="0.2">
      <c r="A135" s="13" t="s">
        <v>473</v>
      </c>
      <c r="B135" s="236"/>
      <c r="C135" s="311"/>
      <c r="D135" s="171"/>
      <c r="E135" s="11"/>
      <c r="F135" s="236"/>
      <c r="G135" s="311"/>
      <c r="H135" s="433"/>
      <c r="I135" s="24"/>
      <c r="J135" s="310"/>
      <c r="K135" s="310"/>
      <c r="L135" s="429"/>
      <c r="M135" s="11"/>
      <c r="N135" s="148"/>
    </row>
    <row r="136" spans="1:14" s="3" customFormat="1" ht="15.75" x14ac:dyDescent="0.2">
      <c r="A136" s="13" t="s">
        <v>470</v>
      </c>
      <c r="B136" s="236"/>
      <c r="C136" s="311"/>
      <c r="D136" s="171"/>
      <c r="E136" s="11"/>
      <c r="F136" s="236"/>
      <c r="G136" s="311"/>
      <c r="H136" s="433"/>
      <c r="I136" s="24"/>
      <c r="J136" s="310"/>
      <c r="K136" s="310"/>
      <c r="L136" s="429"/>
      <c r="M136" s="11"/>
      <c r="N136" s="148"/>
    </row>
    <row r="137" spans="1:14" s="3" customFormat="1" ht="15.75" x14ac:dyDescent="0.2">
      <c r="A137" s="41" t="s">
        <v>471</v>
      </c>
      <c r="B137" s="278"/>
      <c r="C137" s="317"/>
      <c r="D137" s="169"/>
      <c r="E137" s="9"/>
      <c r="F137" s="278"/>
      <c r="G137" s="317"/>
      <c r="H137" s="434"/>
      <c r="I137" s="36"/>
      <c r="J137" s="316"/>
      <c r="K137" s="316"/>
      <c r="L137" s="430"/>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094" priority="132">
      <formula>kvartal &lt; 4</formula>
    </cfRule>
  </conditionalFormatting>
  <conditionalFormatting sqref="B69">
    <cfRule type="expression" dxfId="1093" priority="100">
      <formula>kvartal &lt; 4</formula>
    </cfRule>
  </conditionalFormatting>
  <conditionalFormatting sqref="C69">
    <cfRule type="expression" dxfId="1092" priority="99">
      <formula>kvartal &lt; 4</formula>
    </cfRule>
  </conditionalFormatting>
  <conditionalFormatting sqref="B72">
    <cfRule type="expression" dxfId="1091" priority="98">
      <formula>kvartal &lt; 4</formula>
    </cfRule>
  </conditionalFormatting>
  <conditionalFormatting sqref="C72">
    <cfRule type="expression" dxfId="1090" priority="97">
      <formula>kvartal &lt; 4</formula>
    </cfRule>
  </conditionalFormatting>
  <conditionalFormatting sqref="B80">
    <cfRule type="expression" dxfId="1089" priority="96">
      <formula>kvartal &lt; 4</formula>
    </cfRule>
  </conditionalFormatting>
  <conditionalFormatting sqref="C80">
    <cfRule type="expression" dxfId="1088" priority="95">
      <formula>kvartal &lt; 4</formula>
    </cfRule>
  </conditionalFormatting>
  <conditionalFormatting sqref="B83">
    <cfRule type="expression" dxfId="1087" priority="94">
      <formula>kvartal &lt; 4</formula>
    </cfRule>
  </conditionalFormatting>
  <conditionalFormatting sqref="C83">
    <cfRule type="expression" dxfId="1086" priority="93">
      <formula>kvartal &lt; 4</formula>
    </cfRule>
  </conditionalFormatting>
  <conditionalFormatting sqref="B90">
    <cfRule type="expression" dxfId="1085" priority="84">
      <formula>kvartal &lt; 4</formula>
    </cfRule>
  </conditionalFormatting>
  <conditionalFormatting sqref="C90">
    <cfRule type="expression" dxfId="1084" priority="83">
      <formula>kvartal &lt; 4</formula>
    </cfRule>
  </conditionalFormatting>
  <conditionalFormatting sqref="B93">
    <cfRule type="expression" dxfId="1083" priority="82">
      <formula>kvartal &lt; 4</formula>
    </cfRule>
  </conditionalFormatting>
  <conditionalFormatting sqref="C93">
    <cfRule type="expression" dxfId="1082" priority="81">
      <formula>kvartal &lt; 4</formula>
    </cfRule>
  </conditionalFormatting>
  <conditionalFormatting sqref="B101">
    <cfRule type="expression" dxfId="1081" priority="80">
      <formula>kvartal &lt; 4</formula>
    </cfRule>
  </conditionalFormatting>
  <conditionalFormatting sqref="C101">
    <cfRule type="expression" dxfId="1080" priority="79">
      <formula>kvartal &lt; 4</formula>
    </cfRule>
  </conditionalFormatting>
  <conditionalFormatting sqref="B104">
    <cfRule type="expression" dxfId="1079" priority="78">
      <formula>kvartal &lt; 4</formula>
    </cfRule>
  </conditionalFormatting>
  <conditionalFormatting sqref="C104">
    <cfRule type="expression" dxfId="1078" priority="77">
      <formula>kvartal &lt; 4</formula>
    </cfRule>
  </conditionalFormatting>
  <conditionalFormatting sqref="B115">
    <cfRule type="expression" dxfId="1077" priority="76">
      <formula>kvartal &lt; 4</formula>
    </cfRule>
  </conditionalFormatting>
  <conditionalFormatting sqref="C115">
    <cfRule type="expression" dxfId="1076" priority="75">
      <formula>kvartal &lt; 4</formula>
    </cfRule>
  </conditionalFormatting>
  <conditionalFormatting sqref="B123">
    <cfRule type="expression" dxfId="1075" priority="74">
      <formula>kvartal &lt; 4</formula>
    </cfRule>
  </conditionalFormatting>
  <conditionalFormatting sqref="C123">
    <cfRule type="expression" dxfId="1074" priority="73">
      <formula>kvartal &lt; 4</formula>
    </cfRule>
  </conditionalFormatting>
  <conditionalFormatting sqref="F70">
    <cfRule type="expression" dxfId="1073" priority="72">
      <formula>kvartal &lt; 4</formula>
    </cfRule>
  </conditionalFormatting>
  <conditionalFormatting sqref="G70">
    <cfRule type="expression" dxfId="1072" priority="71">
      <formula>kvartal &lt; 4</formula>
    </cfRule>
  </conditionalFormatting>
  <conditionalFormatting sqref="F71:G71">
    <cfRule type="expression" dxfId="1071" priority="70">
      <formula>kvartal &lt; 4</formula>
    </cfRule>
  </conditionalFormatting>
  <conditionalFormatting sqref="F73:G74">
    <cfRule type="expression" dxfId="1070" priority="69">
      <formula>kvartal &lt; 4</formula>
    </cfRule>
  </conditionalFormatting>
  <conditionalFormatting sqref="F81:G82">
    <cfRule type="expression" dxfId="1069" priority="68">
      <formula>kvartal &lt; 4</formula>
    </cfRule>
  </conditionalFormatting>
  <conditionalFormatting sqref="F84:G85">
    <cfRule type="expression" dxfId="1068" priority="67">
      <formula>kvartal &lt; 4</formula>
    </cfRule>
  </conditionalFormatting>
  <conditionalFormatting sqref="F91:G92">
    <cfRule type="expression" dxfId="1067" priority="62">
      <formula>kvartal &lt; 4</formula>
    </cfRule>
  </conditionalFormatting>
  <conditionalFormatting sqref="F94:G95">
    <cfRule type="expression" dxfId="1066" priority="61">
      <formula>kvartal &lt; 4</formula>
    </cfRule>
  </conditionalFormatting>
  <conditionalFormatting sqref="F102:G103">
    <cfRule type="expression" dxfId="1065" priority="60">
      <formula>kvartal &lt; 4</formula>
    </cfRule>
  </conditionalFormatting>
  <conditionalFormatting sqref="F105:G106">
    <cfRule type="expression" dxfId="1064" priority="59">
      <formula>kvartal &lt; 4</formula>
    </cfRule>
  </conditionalFormatting>
  <conditionalFormatting sqref="F115">
    <cfRule type="expression" dxfId="1063" priority="58">
      <formula>kvartal &lt; 4</formula>
    </cfRule>
  </conditionalFormatting>
  <conditionalFormatting sqref="G115">
    <cfRule type="expression" dxfId="1062" priority="57">
      <formula>kvartal &lt; 4</formula>
    </cfRule>
  </conditionalFormatting>
  <conditionalFormatting sqref="F123:G123">
    <cfRule type="expression" dxfId="1061" priority="56">
      <formula>kvartal &lt; 4</formula>
    </cfRule>
  </conditionalFormatting>
  <conditionalFormatting sqref="F69:G69">
    <cfRule type="expression" dxfId="1060" priority="55">
      <formula>kvartal &lt; 4</formula>
    </cfRule>
  </conditionalFormatting>
  <conditionalFormatting sqref="F72:G72">
    <cfRule type="expression" dxfId="1059" priority="54">
      <formula>kvartal &lt; 4</formula>
    </cfRule>
  </conditionalFormatting>
  <conditionalFormatting sqref="F80:G80">
    <cfRule type="expression" dxfId="1058" priority="53">
      <formula>kvartal &lt; 4</formula>
    </cfRule>
  </conditionalFormatting>
  <conditionalFormatting sqref="F83:G83">
    <cfRule type="expression" dxfId="1057" priority="52">
      <formula>kvartal &lt; 4</formula>
    </cfRule>
  </conditionalFormatting>
  <conditionalFormatting sqref="F90:G90">
    <cfRule type="expression" dxfId="1056" priority="46">
      <formula>kvartal &lt; 4</formula>
    </cfRule>
  </conditionalFormatting>
  <conditionalFormatting sqref="F93">
    <cfRule type="expression" dxfId="1055" priority="45">
      <formula>kvartal &lt; 4</formula>
    </cfRule>
  </conditionalFormatting>
  <conditionalFormatting sqref="G93">
    <cfRule type="expression" dxfId="1054" priority="44">
      <formula>kvartal &lt; 4</formula>
    </cfRule>
  </conditionalFormatting>
  <conditionalFormatting sqref="F101">
    <cfRule type="expression" dxfId="1053" priority="43">
      <formula>kvartal &lt; 4</formula>
    </cfRule>
  </conditionalFormatting>
  <conditionalFormatting sqref="G101">
    <cfRule type="expression" dxfId="1052" priority="42">
      <formula>kvartal &lt; 4</formula>
    </cfRule>
  </conditionalFormatting>
  <conditionalFormatting sqref="G104">
    <cfRule type="expression" dxfId="1051" priority="41">
      <formula>kvartal &lt; 4</formula>
    </cfRule>
  </conditionalFormatting>
  <conditionalFormatting sqref="F104">
    <cfRule type="expression" dxfId="1050" priority="40">
      <formula>kvartal &lt; 4</formula>
    </cfRule>
  </conditionalFormatting>
  <conditionalFormatting sqref="J69:K73">
    <cfRule type="expression" dxfId="1049" priority="39">
      <formula>kvartal &lt; 4</formula>
    </cfRule>
  </conditionalFormatting>
  <conditionalFormatting sqref="J74:K74">
    <cfRule type="expression" dxfId="1048" priority="38">
      <formula>kvartal &lt; 4</formula>
    </cfRule>
  </conditionalFormatting>
  <conditionalFormatting sqref="J80:K85">
    <cfRule type="expression" dxfId="1047" priority="37">
      <formula>kvartal &lt; 4</formula>
    </cfRule>
  </conditionalFormatting>
  <conditionalFormatting sqref="J90:K95">
    <cfRule type="expression" dxfId="1046" priority="34">
      <formula>kvartal &lt; 4</formula>
    </cfRule>
  </conditionalFormatting>
  <conditionalFormatting sqref="J101:K106">
    <cfRule type="expression" dxfId="1045" priority="33">
      <formula>kvartal &lt; 4</formula>
    </cfRule>
  </conditionalFormatting>
  <conditionalFormatting sqref="J115:K115">
    <cfRule type="expression" dxfId="1044" priority="32">
      <formula>kvartal &lt; 4</formula>
    </cfRule>
  </conditionalFormatting>
  <conditionalFormatting sqref="J123:K123">
    <cfRule type="expression" dxfId="1043" priority="31">
      <formula>kvartal &lt; 4</formula>
    </cfRule>
  </conditionalFormatting>
  <conditionalFormatting sqref="A50:A52">
    <cfRule type="expression" dxfId="1042" priority="12">
      <formula>kvartal &lt; 4</formula>
    </cfRule>
  </conditionalFormatting>
  <conditionalFormatting sqref="A69:A74">
    <cfRule type="expression" dxfId="1041" priority="10">
      <formula>kvartal &lt; 4</formula>
    </cfRule>
  </conditionalFormatting>
  <conditionalFormatting sqref="A80:A85">
    <cfRule type="expression" dxfId="1040" priority="9">
      <formula>kvartal &lt; 4</formula>
    </cfRule>
  </conditionalFormatting>
  <conditionalFormatting sqref="A90:A95">
    <cfRule type="expression" dxfId="1039" priority="6">
      <formula>kvartal &lt; 4</formula>
    </cfRule>
  </conditionalFormatting>
  <conditionalFormatting sqref="A101:A106">
    <cfRule type="expression" dxfId="1038" priority="5">
      <formula>kvartal &lt; 4</formula>
    </cfRule>
  </conditionalFormatting>
  <conditionalFormatting sqref="A115">
    <cfRule type="expression" dxfId="1037" priority="4">
      <formula>kvartal &lt; 4</formula>
    </cfRule>
  </conditionalFormatting>
  <conditionalFormatting sqref="A123">
    <cfRule type="expression" dxfId="1036" priority="3">
      <formula>kvartal &lt; 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Q176"/>
  <sheetViews>
    <sheetView showGridLines="0" showZeros="0" zoomScale="90" zoomScaleNormal="90" workbookViewId="0">
      <selection activeCell="A3" sqref="A3"/>
    </sheetView>
  </sheetViews>
  <sheetFormatPr baseColWidth="10" defaultColWidth="11.42578125" defaultRowHeight="18.75" x14ac:dyDescent="0.3"/>
  <cols>
    <col min="10" max="11" width="16.7109375" customWidth="1"/>
    <col min="12" max="12" width="20.7109375" style="74" customWidth="1"/>
    <col min="13" max="14" width="15.7109375" style="74" bestFit="1" customWidth="1"/>
    <col min="15" max="15" width="22.7109375" customWidth="1"/>
    <col min="16" max="16" width="13.42578125" customWidth="1"/>
    <col min="17" max="17" width="13.7109375" customWidth="1"/>
  </cols>
  <sheetData>
    <row r="1" spans="1:15" x14ac:dyDescent="0.3">
      <c r="A1" s="73" t="s">
        <v>52</v>
      </c>
    </row>
    <row r="2" spans="1:15" x14ac:dyDescent="0.3">
      <c r="A2" s="75"/>
      <c r="B2" s="74"/>
      <c r="C2" s="74"/>
      <c r="D2" s="74"/>
      <c r="E2" s="74"/>
      <c r="F2" s="74"/>
      <c r="G2" s="74"/>
      <c r="H2" s="74"/>
      <c r="I2" s="74"/>
      <c r="J2" s="74"/>
      <c r="K2" s="74"/>
      <c r="O2" s="74"/>
    </row>
    <row r="3" spans="1:15" x14ac:dyDescent="0.3">
      <c r="A3" s="75" t="s">
        <v>32</v>
      </c>
      <c r="B3" s="74"/>
      <c r="C3" s="74"/>
      <c r="D3" s="74"/>
      <c r="E3" s="74"/>
      <c r="F3" s="74"/>
      <c r="G3" s="74"/>
      <c r="H3" s="74"/>
      <c r="I3" s="74"/>
      <c r="J3" s="74"/>
      <c r="K3" s="74"/>
      <c r="O3" s="74"/>
    </row>
    <row r="4" spans="1:15" x14ac:dyDescent="0.3">
      <c r="A4" s="74"/>
      <c r="B4" s="74"/>
      <c r="C4" s="74"/>
      <c r="D4" s="74"/>
      <c r="E4" s="74"/>
      <c r="F4" s="74"/>
      <c r="G4" s="74"/>
      <c r="H4" s="74"/>
      <c r="I4" s="74"/>
      <c r="J4" s="74"/>
      <c r="K4" s="74"/>
      <c r="L4" s="76"/>
      <c r="O4" s="74"/>
    </row>
    <row r="5" spans="1:15" x14ac:dyDescent="0.3">
      <c r="A5" s="75" t="s">
        <v>358</v>
      </c>
      <c r="B5" s="74"/>
      <c r="C5" s="74"/>
      <c r="D5" s="74"/>
      <c r="E5" s="74"/>
      <c r="F5" s="74"/>
      <c r="G5" s="74"/>
      <c r="H5" s="74"/>
      <c r="I5" s="79"/>
      <c r="J5" s="74"/>
      <c r="K5" s="74"/>
      <c r="O5" s="74"/>
    </row>
    <row r="6" spans="1:15" x14ac:dyDescent="0.3">
      <c r="A6" s="74"/>
      <c r="B6" s="74"/>
      <c r="C6" s="74"/>
      <c r="D6" s="74"/>
      <c r="E6" s="74"/>
      <c r="F6" s="74"/>
      <c r="G6" s="74"/>
      <c r="H6" s="74"/>
      <c r="I6" s="74"/>
      <c r="J6" s="74"/>
      <c r="K6" s="74"/>
      <c r="L6" s="74" t="s">
        <v>53</v>
      </c>
      <c r="O6" s="74"/>
    </row>
    <row r="7" spans="1:15" x14ac:dyDescent="0.3">
      <c r="A7" s="74"/>
      <c r="B7" s="74"/>
      <c r="C7" s="74"/>
      <c r="D7" s="74"/>
      <c r="E7" s="74"/>
      <c r="F7" s="74"/>
      <c r="G7" s="74"/>
      <c r="H7" s="74"/>
      <c r="I7" s="74"/>
      <c r="J7" s="74"/>
      <c r="K7" s="74"/>
      <c r="L7" s="74" t="s">
        <v>0</v>
      </c>
      <c r="O7" s="74"/>
    </row>
    <row r="8" spans="1:15" x14ac:dyDescent="0.3">
      <c r="A8" s="74"/>
      <c r="B8" s="74"/>
      <c r="C8" s="74"/>
      <c r="D8" s="74"/>
      <c r="E8" s="74"/>
      <c r="F8" s="74"/>
      <c r="G8" s="74"/>
      <c r="H8" s="74"/>
      <c r="I8" s="74"/>
      <c r="J8" s="74"/>
      <c r="K8" s="74"/>
      <c r="M8" s="74">
        <v>2019</v>
      </c>
      <c r="N8" s="74">
        <v>2020</v>
      </c>
      <c r="O8" s="74"/>
    </row>
    <row r="9" spans="1:15" x14ac:dyDescent="0.3">
      <c r="A9" s="74"/>
      <c r="B9" s="74"/>
      <c r="C9" s="74"/>
      <c r="D9" s="74"/>
      <c r="E9" s="74"/>
      <c r="F9" s="74"/>
      <c r="G9" s="74"/>
      <c r="H9" s="74"/>
      <c r="I9" s="74"/>
      <c r="J9" s="74"/>
      <c r="K9" s="74"/>
      <c r="L9" s="74" t="s">
        <v>54</v>
      </c>
      <c r="M9" s="77">
        <f>'Tabel 1.1'!B9</f>
        <v>421442.94600000005</v>
      </c>
      <c r="N9" s="77">
        <f>'Tabel 1.1'!C9</f>
        <v>430556.18900000001</v>
      </c>
      <c r="O9" s="74"/>
    </row>
    <row r="10" spans="1:15" x14ac:dyDescent="0.3">
      <c r="A10" s="74"/>
      <c r="B10" s="74"/>
      <c r="C10" s="74"/>
      <c r="D10" s="74"/>
      <c r="E10" s="74"/>
      <c r="F10" s="74"/>
      <c r="G10" s="74"/>
      <c r="H10" s="74"/>
      <c r="I10" s="74"/>
      <c r="J10" s="74"/>
      <c r="K10" s="74"/>
      <c r="L10" s="74" t="s">
        <v>496</v>
      </c>
      <c r="M10" s="77">
        <f>'Tabel 1.1'!B10</f>
        <v>96824</v>
      </c>
      <c r="N10" s="77">
        <f>'Tabel 1.1'!C10</f>
        <v>98726</v>
      </c>
      <c r="O10" s="74"/>
    </row>
    <row r="11" spans="1:15" x14ac:dyDescent="0.3">
      <c r="A11" s="74"/>
      <c r="B11" s="74"/>
      <c r="C11" s="74"/>
      <c r="D11" s="74"/>
      <c r="E11" s="74"/>
      <c r="F11" s="74"/>
      <c r="G11" s="74"/>
      <c r="H11" s="74"/>
      <c r="I11" s="74"/>
      <c r="J11" s="74"/>
      <c r="K11" s="74"/>
      <c r="L11" s="74" t="s">
        <v>55</v>
      </c>
      <c r="M11" s="77">
        <f>'Tabel 1.1'!B11</f>
        <v>4578461</v>
      </c>
      <c r="N11" s="77">
        <f>'Tabel 1.1'!C11</f>
        <v>3463853.92227</v>
      </c>
      <c r="O11" s="74"/>
    </row>
    <row r="12" spans="1:15" x14ac:dyDescent="0.3">
      <c r="A12" s="74"/>
      <c r="B12" s="74"/>
      <c r="C12" s="74"/>
      <c r="D12" s="74"/>
      <c r="E12" s="74"/>
      <c r="F12" s="74"/>
      <c r="G12" s="74"/>
      <c r="H12" s="74"/>
      <c r="I12" s="74"/>
      <c r="J12" s="74"/>
      <c r="K12" s="74"/>
      <c r="L12" s="74" t="s">
        <v>56</v>
      </c>
      <c r="M12" s="77">
        <f>'Tabel 1.1'!B12</f>
        <v>323640</v>
      </c>
      <c r="N12" s="77">
        <f>'Tabel 1.1'!C12</f>
        <v>335372</v>
      </c>
      <c r="O12" s="74"/>
    </row>
    <row r="13" spans="1:15" x14ac:dyDescent="0.3">
      <c r="A13" s="74"/>
      <c r="B13" s="74"/>
      <c r="C13" s="74"/>
      <c r="D13" s="74"/>
      <c r="E13" s="74"/>
      <c r="F13" s="74"/>
      <c r="G13" s="74"/>
      <c r="H13" s="74"/>
      <c r="I13" s="74"/>
      <c r="J13" s="74"/>
      <c r="K13" s="74"/>
      <c r="L13" s="74" t="s">
        <v>488</v>
      </c>
      <c r="M13" s="77">
        <f>'Tabel 1.1'!B13</f>
        <v>0</v>
      </c>
      <c r="N13" s="77">
        <f>'Tabel 1.1'!C13</f>
        <v>2912282.94184</v>
      </c>
      <c r="O13" s="74"/>
    </row>
    <row r="14" spans="1:15" x14ac:dyDescent="0.3">
      <c r="A14" s="74"/>
      <c r="B14" s="74"/>
      <c r="C14" s="74"/>
      <c r="D14" s="74"/>
      <c r="E14" s="74"/>
      <c r="F14" s="74"/>
      <c r="G14" s="74"/>
      <c r="H14" s="74"/>
      <c r="I14" s="74"/>
      <c r="J14" s="74"/>
      <c r="K14" s="74"/>
      <c r="L14" s="74" t="s">
        <v>57</v>
      </c>
      <c r="M14" s="77">
        <f>'Tabel 1.1'!B14</f>
        <v>490047</v>
      </c>
      <c r="N14" s="77">
        <f>'Tabel 1.1'!C14</f>
        <v>496774</v>
      </c>
      <c r="O14" s="74"/>
    </row>
    <row r="15" spans="1:15" x14ac:dyDescent="0.3">
      <c r="A15" s="74"/>
      <c r="B15" s="74"/>
      <c r="C15" s="74"/>
      <c r="D15" s="74"/>
      <c r="E15" s="74"/>
      <c r="F15" s="74"/>
      <c r="G15" s="74"/>
      <c r="H15" s="74"/>
      <c r="I15" s="74"/>
      <c r="J15" s="74"/>
      <c r="K15" s="74"/>
      <c r="L15" s="74" t="s">
        <v>58</v>
      </c>
      <c r="M15" s="77">
        <f>'Tabel 1.1'!B15</f>
        <v>8197</v>
      </c>
      <c r="N15" s="77">
        <f>'Tabel 1.1'!C15</f>
        <v>6351.5640000000003</v>
      </c>
      <c r="O15" s="74"/>
    </row>
    <row r="16" spans="1:15" x14ac:dyDescent="0.3">
      <c r="A16" s="74"/>
      <c r="B16" s="74"/>
      <c r="C16" s="74"/>
      <c r="D16" s="74"/>
      <c r="E16" s="74"/>
      <c r="F16" s="74"/>
      <c r="G16" s="74"/>
      <c r="H16" s="74"/>
      <c r="I16" s="74"/>
      <c r="J16" s="74"/>
      <c r="K16" s="74"/>
      <c r="L16" s="74" t="s">
        <v>59</v>
      </c>
      <c r="M16" s="77">
        <f>'Tabel 1.1'!B16</f>
        <v>1559670</v>
      </c>
      <c r="N16" s="77">
        <f>'Tabel 1.1'!C16</f>
        <v>1666418</v>
      </c>
      <c r="O16" s="74"/>
    </row>
    <row r="17" spans="1:15" x14ac:dyDescent="0.3">
      <c r="A17" s="74"/>
      <c r="B17" s="74"/>
      <c r="C17" s="74"/>
      <c r="D17" s="74"/>
      <c r="E17" s="74"/>
      <c r="F17" s="74"/>
      <c r="G17" s="74"/>
      <c r="H17" s="74"/>
      <c r="I17" s="74"/>
      <c r="J17" s="74"/>
      <c r="K17" s="74"/>
      <c r="L17" s="74" t="s">
        <v>60</v>
      </c>
      <c r="M17" s="77">
        <f>'Tabel 1.1'!B17</f>
        <v>648034</v>
      </c>
      <c r="N17" s="77">
        <f>'Tabel 1.1'!C17</f>
        <v>662338</v>
      </c>
      <c r="O17" s="74"/>
    </row>
    <row r="18" spans="1:15" x14ac:dyDescent="0.3">
      <c r="A18" s="74"/>
      <c r="B18" s="74"/>
      <c r="C18" s="74"/>
      <c r="D18" s="74"/>
      <c r="E18" s="74"/>
      <c r="F18" s="74"/>
      <c r="G18" s="74"/>
      <c r="H18" s="74"/>
      <c r="I18" s="74"/>
      <c r="J18" s="74"/>
      <c r="K18" s="74"/>
      <c r="L18" s="74" t="s">
        <v>61</v>
      </c>
      <c r="M18" s="77">
        <f>'Tabel 1.1'!B18</f>
        <v>35020.773110000002</v>
      </c>
      <c r="N18" s="77">
        <f>'Tabel 1.1'!C18</f>
        <v>34452.757850000002</v>
      </c>
      <c r="O18" s="74"/>
    </row>
    <row r="19" spans="1:15" x14ac:dyDescent="0.3">
      <c r="A19" s="74"/>
      <c r="B19" s="74"/>
      <c r="C19" s="74"/>
      <c r="D19" s="74"/>
      <c r="E19" s="74"/>
      <c r="F19" s="74"/>
      <c r="G19" s="74"/>
      <c r="H19" s="74"/>
      <c r="I19" s="74"/>
      <c r="J19" s="74"/>
      <c r="K19" s="74"/>
      <c r="L19" s="74" t="s">
        <v>62</v>
      </c>
      <c r="M19" s="77">
        <f>'Tabel 1.1'!B19</f>
        <v>472830.55865999998</v>
      </c>
      <c r="N19" s="77">
        <f>'Tabel 1.1'!C19</f>
        <v>508488.73802438495</v>
      </c>
      <c r="O19" s="74"/>
    </row>
    <row r="20" spans="1:15" x14ac:dyDescent="0.3">
      <c r="A20" s="74"/>
      <c r="B20" s="74"/>
      <c r="C20" s="74"/>
      <c r="D20" s="74"/>
      <c r="E20" s="74"/>
      <c r="F20" s="74"/>
      <c r="G20" s="74"/>
      <c r="H20" s="74"/>
      <c r="I20" s="74"/>
      <c r="J20" s="74"/>
      <c r="K20" s="74"/>
      <c r="L20" s="74" t="s">
        <v>63</v>
      </c>
      <c r="M20" s="77">
        <f>'Tabel 1.1'!B21</f>
        <v>40071235.120510004</v>
      </c>
      <c r="N20" s="77">
        <f>'Tabel 1.1'!C21</f>
        <v>34177241.879859999</v>
      </c>
      <c r="O20" s="74"/>
    </row>
    <row r="21" spans="1:15" x14ac:dyDescent="0.3">
      <c r="A21" s="74"/>
      <c r="B21" s="74"/>
      <c r="C21" s="74"/>
      <c r="D21" s="74"/>
      <c r="E21" s="74"/>
      <c r="F21" s="74"/>
      <c r="G21" s="74"/>
      <c r="H21" s="74"/>
      <c r="I21" s="74"/>
      <c r="J21" s="74"/>
      <c r="K21" s="74"/>
      <c r="L21" s="74" t="s">
        <v>64</v>
      </c>
      <c r="M21" s="77">
        <f>'Tabel 1.1'!B22</f>
        <v>175357</v>
      </c>
      <c r="N21" s="77">
        <f>'Tabel 1.1'!C22</f>
        <v>194718</v>
      </c>
      <c r="O21" s="74"/>
    </row>
    <row r="22" spans="1:15" x14ac:dyDescent="0.3">
      <c r="A22" s="74"/>
      <c r="B22" s="74"/>
      <c r="C22" s="74"/>
      <c r="D22" s="74"/>
      <c r="E22" s="74"/>
      <c r="F22" s="74"/>
      <c r="G22" s="74"/>
      <c r="H22" s="74"/>
      <c r="I22" s="74"/>
      <c r="J22" s="74"/>
      <c r="K22" s="74"/>
      <c r="L22" s="74" t="s">
        <v>489</v>
      </c>
      <c r="M22" s="77">
        <f>'Tabel 1.1'!B23</f>
        <v>83630</v>
      </c>
      <c r="N22" s="77">
        <f>'Tabel 1.1'!C23</f>
        <v>98068</v>
      </c>
      <c r="O22" s="74"/>
    </row>
    <row r="23" spans="1:15" x14ac:dyDescent="0.3">
      <c r="A23" s="74"/>
      <c r="B23" s="74"/>
      <c r="C23" s="74"/>
      <c r="D23" s="74"/>
      <c r="E23" s="74"/>
      <c r="F23" s="74"/>
      <c r="G23" s="74"/>
      <c r="H23" s="74"/>
      <c r="I23" s="74"/>
      <c r="J23" s="74"/>
      <c r="K23" s="74"/>
      <c r="L23" s="74" t="s">
        <v>490</v>
      </c>
      <c r="M23" s="77">
        <f>'Tabel 1.1'!B20</f>
        <v>17501.08816890161</v>
      </c>
      <c r="N23" s="77">
        <f>'Tabel 1.1'!C20</f>
        <v>14663</v>
      </c>
      <c r="O23" s="74"/>
    </row>
    <row r="24" spans="1:15" x14ac:dyDescent="0.3">
      <c r="A24" s="74"/>
      <c r="B24" s="74"/>
      <c r="C24" s="74"/>
      <c r="D24" s="74"/>
      <c r="E24" s="74"/>
      <c r="F24" s="74"/>
      <c r="G24" s="74"/>
      <c r="H24" s="74"/>
      <c r="I24" s="74"/>
      <c r="J24" s="74"/>
      <c r="K24" s="74"/>
      <c r="L24" s="74" t="s">
        <v>65</v>
      </c>
      <c r="M24" s="77">
        <f>'Tabel 1.1'!B24</f>
        <v>1547946.082636805</v>
      </c>
      <c r="N24" s="77">
        <f>'Tabel 1.1'!C24</f>
        <v>1464010.08</v>
      </c>
      <c r="O24" s="74"/>
    </row>
    <row r="25" spans="1:15" x14ac:dyDescent="0.3">
      <c r="A25" s="74"/>
      <c r="B25" s="74"/>
      <c r="C25" s="74"/>
      <c r="D25" s="74"/>
      <c r="E25" s="74"/>
      <c r="F25" s="74"/>
      <c r="G25" s="74"/>
      <c r="H25" s="74"/>
      <c r="I25" s="74"/>
      <c r="J25" s="74"/>
      <c r="K25" s="74"/>
      <c r="L25" s="74" t="s">
        <v>66</v>
      </c>
      <c r="M25" s="77">
        <f>'Tabel 1.1'!B25</f>
        <v>5181000</v>
      </c>
      <c r="N25" s="77">
        <f>'Tabel 1.1'!C25</f>
        <v>4017000</v>
      </c>
      <c r="O25" s="74"/>
    </row>
    <row r="26" spans="1:15" s="141" customFormat="1" x14ac:dyDescent="0.3">
      <c r="A26" s="74"/>
      <c r="B26" s="74"/>
      <c r="C26" s="74"/>
      <c r="D26" s="74"/>
      <c r="E26" s="74"/>
      <c r="F26" s="74"/>
      <c r="G26" s="74"/>
      <c r="H26" s="74"/>
      <c r="I26" s="74"/>
      <c r="J26" s="74"/>
      <c r="K26" s="74"/>
      <c r="L26" s="74" t="s">
        <v>475</v>
      </c>
      <c r="M26" s="77">
        <f>'Tabel 1.1'!B26</f>
        <v>312787.17492590938</v>
      </c>
      <c r="N26" s="77">
        <f>'Tabel 1.1'!C26</f>
        <v>307752.03923018795</v>
      </c>
      <c r="O26" s="74"/>
    </row>
    <row r="27" spans="1:15" x14ac:dyDescent="0.3">
      <c r="A27" s="74"/>
      <c r="B27" s="74"/>
      <c r="C27" s="74"/>
      <c r="D27" s="74"/>
      <c r="E27" s="74"/>
      <c r="F27" s="74"/>
      <c r="G27" s="74"/>
      <c r="H27" s="74"/>
      <c r="I27" s="74"/>
      <c r="J27" s="74"/>
      <c r="K27" s="74"/>
      <c r="L27" s="74" t="s">
        <v>67</v>
      </c>
      <c r="M27" s="77">
        <f>'Tabel 1.1'!B27</f>
        <v>2988164.1674600001</v>
      </c>
      <c r="N27" s="77">
        <f>'Tabel 1.1'!C27</f>
        <v>735170.28865</v>
      </c>
      <c r="O27" s="74"/>
    </row>
    <row r="28" spans="1:15" x14ac:dyDescent="0.3">
      <c r="A28" s="74"/>
      <c r="B28" s="74"/>
      <c r="C28" s="74"/>
      <c r="D28" s="74"/>
      <c r="E28" s="74"/>
      <c r="F28" s="74"/>
      <c r="G28" s="74"/>
      <c r="H28" s="74"/>
      <c r="I28" s="74"/>
      <c r="J28" s="74"/>
      <c r="K28" s="74"/>
      <c r="L28" s="74" t="s">
        <v>68</v>
      </c>
      <c r="M28" s="77">
        <f>'Tabel 1.1'!B28</f>
        <v>5485806.5</v>
      </c>
      <c r="N28" s="77">
        <f>'Tabel 1.1'!C28</f>
        <v>4956525.3760000002</v>
      </c>
    </row>
    <row r="29" spans="1:15" x14ac:dyDescent="0.3">
      <c r="A29" s="74"/>
      <c r="B29" s="74"/>
      <c r="C29" s="74"/>
      <c r="D29" s="74"/>
      <c r="E29" s="74"/>
      <c r="F29" s="74"/>
      <c r="G29" s="74"/>
      <c r="H29" s="74"/>
      <c r="I29" s="74"/>
      <c r="J29" s="74"/>
      <c r="K29" s="74"/>
      <c r="L29" s="74" t="s">
        <v>69</v>
      </c>
      <c r="M29" s="77">
        <f>'Tabel 1.1'!B29</f>
        <v>1989</v>
      </c>
      <c r="N29" s="77">
        <f>'Tabel 1.1'!C29</f>
        <v>1726</v>
      </c>
    </row>
    <row r="30" spans="1:15" x14ac:dyDescent="0.3">
      <c r="A30" s="74"/>
      <c r="B30" s="74"/>
      <c r="C30" s="74"/>
      <c r="D30" s="74"/>
      <c r="E30" s="74"/>
      <c r="F30" s="74"/>
      <c r="G30" s="74"/>
      <c r="H30" s="74"/>
      <c r="I30" s="74"/>
      <c r="J30" s="74"/>
      <c r="K30" s="74"/>
      <c r="L30" s="74" t="s">
        <v>70</v>
      </c>
      <c r="M30" s="77">
        <f>'Tabel 1.1'!B30</f>
        <v>601419.67099999997</v>
      </c>
      <c r="N30" s="77">
        <f>'Tabel 1.1'!C30</f>
        <v>598971.11495999992</v>
      </c>
    </row>
    <row r="31" spans="1:15" x14ac:dyDescent="0.3">
      <c r="A31" s="75" t="s">
        <v>359</v>
      </c>
      <c r="B31" s="74"/>
      <c r="C31" s="74"/>
      <c r="D31" s="74"/>
      <c r="E31" s="74"/>
      <c r="F31" s="74"/>
      <c r="G31" s="74"/>
      <c r="H31" s="74"/>
      <c r="I31" s="79"/>
      <c r="J31" s="74"/>
      <c r="K31" s="74"/>
      <c r="L31" s="74" t="s">
        <v>492</v>
      </c>
      <c r="M31" s="77">
        <f>'Tabel 1.1'!B31</f>
        <v>0</v>
      </c>
      <c r="N31" s="77">
        <f>'Tabel 1.1'!C31</f>
        <v>1278</v>
      </c>
    </row>
    <row r="32" spans="1:15" x14ac:dyDescent="0.3">
      <c r="B32" s="74"/>
      <c r="C32" s="74"/>
      <c r="D32" s="74"/>
      <c r="E32" s="74"/>
      <c r="F32" s="74"/>
      <c r="G32" s="74"/>
      <c r="H32" s="74"/>
      <c r="I32" s="74"/>
      <c r="J32" s="74"/>
      <c r="K32" s="74"/>
    </row>
    <row r="33" spans="1:15" x14ac:dyDescent="0.3">
      <c r="B33" s="74"/>
      <c r="C33" s="74"/>
      <c r="D33" s="74"/>
      <c r="E33" s="74"/>
      <c r="F33" s="74"/>
      <c r="G33" s="74"/>
      <c r="H33" s="74"/>
      <c r="I33" s="74"/>
      <c r="J33" s="74"/>
      <c r="K33" s="74"/>
    </row>
    <row r="34" spans="1:15" x14ac:dyDescent="0.3">
      <c r="A34" s="74"/>
      <c r="B34" s="74"/>
      <c r="C34" s="74"/>
      <c r="D34" s="74"/>
      <c r="E34" s="74"/>
      <c r="F34" s="74"/>
      <c r="G34" s="74"/>
      <c r="H34" s="74"/>
      <c r="I34" s="74"/>
      <c r="J34" s="74"/>
      <c r="K34" s="74"/>
    </row>
    <row r="35" spans="1:15" x14ac:dyDescent="0.3">
      <c r="A35" s="74"/>
      <c r="B35" s="74"/>
      <c r="C35" s="74"/>
      <c r="D35" s="74"/>
      <c r="E35" s="74"/>
      <c r="F35" s="74"/>
      <c r="G35" s="74"/>
      <c r="H35" s="74"/>
      <c r="I35" s="74"/>
      <c r="J35" s="74"/>
      <c r="K35" s="74"/>
      <c r="L35" s="74" t="s">
        <v>53</v>
      </c>
    </row>
    <row r="36" spans="1:15" x14ac:dyDescent="0.3">
      <c r="A36" s="74"/>
      <c r="B36" s="74"/>
      <c r="C36" s="74"/>
      <c r="D36" s="74"/>
      <c r="E36" s="74"/>
      <c r="F36" s="74"/>
      <c r="G36" s="74"/>
      <c r="H36" s="74"/>
      <c r="I36" s="74"/>
      <c r="J36" s="74"/>
      <c r="K36" s="74"/>
      <c r="L36" s="74" t="s">
        <v>1</v>
      </c>
    </row>
    <row r="37" spans="1:15" x14ac:dyDescent="0.3">
      <c r="A37" s="74"/>
      <c r="B37" s="74"/>
      <c r="C37" s="74"/>
      <c r="D37" s="74"/>
      <c r="E37" s="74"/>
      <c r="F37" s="74"/>
      <c r="G37" s="74"/>
      <c r="H37" s="74"/>
      <c r="I37" s="74"/>
      <c r="J37" s="74"/>
      <c r="K37" s="74"/>
      <c r="M37" s="74">
        <f>M8</f>
        <v>2019</v>
      </c>
      <c r="N37" s="74">
        <f>N8</f>
        <v>2020</v>
      </c>
    </row>
    <row r="38" spans="1:15" x14ac:dyDescent="0.3">
      <c r="A38" s="74"/>
      <c r="B38" s="74"/>
      <c r="C38" s="74"/>
      <c r="D38" s="74"/>
      <c r="E38" s="74"/>
      <c r="F38" s="74"/>
      <c r="G38" s="74"/>
      <c r="H38" s="74"/>
      <c r="I38" s="74"/>
      <c r="J38" s="74"/>
      <c r="K38" s="74"/>
      <c r="L38" s="79" t="s">
        <v>54</v>
      </c>
      <c r="M38" s="78">
        <f>'Tabel 1.1'!B35</f>
        <v>1996554.923</v>
      </c>
      <c r="N38" s="78">
        <f>'Tabel 1.1'!C35</f>
        <v>2098292.548</v>
      </c>
    </row>
    <row r="39" spans="1:15" x14ac:dyDescent="0.3">
      <c r="A39" s="74"/>
      <c r="B39" s="74"/>
      <c r="C39" s="74"/>
      <c r="D39" s="74"/>
      <c r="E39" s="74"/>
      <c r="F39" s="74"/>
      <c r="G39" s="74"/>
      <c r="H39" s="74"/>
      <c r="I39" s="74"/>
      <c r="J39" s="74"/>
      <c r="K39" s="74"/>
      <c r="L39" s="79" t="s">
        <v>496</v>
      </c>
      <c r="M39" s="78">
        <f>'Tabel 1.1'!B36</f>
        <v>542528</v>
      </c>
      <c r="N39" s="78">
        <f>'Tabel 1.1'!C36</f>
        <v>601762</v>
      </c>
    </row>
    <row r="40" spans="1:15" x14ac:dyDescent="0.3">
      <c r="A40" s="74"/>
      <c r="B40" s="74"/>
      <c r="C40" s="74"/>
      <c r="D40" s="74"/>
      <c r="E40" s="74"/>
      <c r="F40" s="74"/>
      <c r="G40" s="74"/>
      <c r="H40" s="74"/>
      <c r="I40" s="74"/>
      <c r="J40" s="74"/>
      <c r="K40" s="74"/>
      <c r="L40" s="74" t="s">
        <v>55</v>
      </c>
      <c r="M40" s="78">
        <f>'Tabel 1.1'!B37</f>
        <v>9947581.5</v>
      </c>
      <c r="N40" s="78">
        <f>'Tabel 1.1'!C37</f>
        <v>10110496</v>
      </c>
    </row>
    <row r="41" spans="1:15" x14ac:dyDescent="0.3">
      <c r="A41" s="74"/>
      <c r="B41" s="74"/>
      <c r="C41" s="74"/>
      <c r="D41" s="74"/>
      <c r="E41" s="74"/>
      <c r="F41" s="74"/>
      <c r="G41" s="74"/>
      <c r="H41" s="74"/>
      <c r="I41" s="74"/>
      <c r="J41" s="74"/>
      <c r="K41" s="74"/>
      <c r="L41" s="74" t="s">
        <v>57</v>
      </c>
      <c r="M41" s="78">
        <f>'Tabel 1.1'!B38</f>
        <v>423019</v>
      </c>
      <c r="N41" s="78">
        <f>'Tabel 1.1'!C38</f>
        <v>366321.7</v>
      </c>
      <c r="O41" s="74"/>
    </row>
    <row r="42" spans="1:15" x14ac:dyDescent="0.3">
      <c r="A42" s="74"/>
      <c r="B42" s="74"/>
      <c r="C42" s="74"/>
      <c r="D42" s="74"/>
      <c r="E42" s="74"/>
      <c r="F42" s="74"/>
      <c r="G42" s="74"/>
      <c r="H42" s="74"/>
      <c r="I42" s="74"/>
      <c r="J42" s="74"/>
      <c r="K42" s="74"/>
      <c r="L42" s="79" t="s">
        <v>60</v>
      </c>
      <c r="M42" s="78">
        <f>'Tabel 1.1'!B39</f>
        <v>3290851</v>
      </c>
      <c r="N42" s="78">
        <f>'Tabel 1.1'!C39</f>
        <v>3251091</v>
      </c>
      <c r="O42" s="74"/>
    </row>
    <row r="43" spans="1:15" x14ac:dyDescent="0.3">
      <c r="A43" s="74"/>
      <c r="B43" s="74"/>
      <c r="C43" s="74"/>
      <c r="D43" s="74"/>
      <c r="E43" s="74"/>
      <c r="F43" s="74"/>
      <c r="G43" s="74"/>
      <c r="H43" s="74"/>
      <c r="I43" s="74"/>
      <c r="J43" s="74"/>
      <c r="K43" s="74"/>
      <c r="L43" s="74" t="s">
        <v>63</v>
      </c>
      <c r="M43" s="78">
        <f>'Tabel 1.1'!B40</f>
        <v>152808.77100000001</v>
      </c>
      <c r="N43" s="78">
        <f>'Tabel 1.1'!C40</f>
        <v>74308.707999999999</v>
      </c>
      <c r="O43" s="74"/>
    </row>
    <row r="44" spans="1:15" x14ac:dyDescent="0.3">
      <c r="A44" s="74"/>
      <c r="B44" s="74"/>
      <c r="C44" s="74"/>
      <c r="D44" s="74"/>
      <c r="E44" s="74"/>
      <c r="F44" s="74"/>
      <c r="G44" s="74"/>
      <c r="H44" s="74"/>
      <c r="I44" s="74"/>
      <c r="J44" s="74"/>
      <c r="K44" s="74"/>
      <c r="L44" s="79" t="s">
        <v>65</v>
      </c>
      <c r="M44" s="78">
        <f>'Tabel 1.1'!B41</f>
        <v>12142064.528580001</v>
      </c>
      <c r="N44" s="78">
        <f>'Tabel 1.1'!C41</f>
        <v>12668233</v>
      </c>
      <c r="O44" s="74"/>
    </row>
    <row r="45" spans="1:15" x14ac:dyDescent="0.3">
      <c r="A45" s="74"/>
      <c r="B45" s="74"/>
      <c r="C45" s="74"/>
      <c r="D45" s="74"/>
      <c r="E45" s="74"/>
      <c r="F45" s="74"/>
      <c r="G45" s="74"/>
      <c r="H45" s="74"/>
      <c r="I45" s="74"/>
      <c r="J45" s="74"/>
      <c r="K45" s="74"/>
      <c r="L45" s="79" t="s">
        <v>71</v>
      </c>
      <c r="M45" s="78">
        <f>'Tabel 1.1'!B42</f>
        <v>145834.70800000001</v>
      </c>
      <c r="N45" s="78">
        <f>'Tabel 1.1'!C42</f>
        <v>146915.30192</v>
      </c>
      <c r="O45" s="74"/>
    </row>
    <row r="46" spans="1:15" x14ac:dyDescent="0.3">
      <c r="A46" s="74"/>
      <c r="B46" s="74"/>
      <c r="C46" s="74"/>
      <c r="D46" s="74"/>
      <c r="E46" s="74"/>
      <c r="F46" s="74"/>
      <c r="G46" s="74"/>
      <c r="H46" s="74"/>
      <c r="I46" s="74"/>
      <c r="J46" s="74"/>
      <c r="K46" s="74"/>
      <c r="L46" s="79" t="s">
        <v>67</v>
      </c>
      <c r="M46" s="78">
        <f>'Tabel 1.1'!B43</f>
        <v>4457595.7985100001</v>
      </c>
      <c r="N46" s="78">
        <f>'Tabel 1.1'!C43</f>
        <v>4778935.5708499998</v>
      </c>
      <c r="O46" s="74"/>
    </row>
    <row r="47" spans="1:15" x14ac:dyDescent="0.3">
      <c r="A47" s="74"/>
      <c r="B47" s="74"/>
      <c r="C47" s="74"/>
      <c r="D47" s="74"/>
      <c r="E47" s="74"/>
      <c r="F47" s="74"/>
      <c r="G47" s="74"/>
      <c r="H47" s="74"/>
      <c r="I47" s="74"/>
      <c r="J47" s="74"/>
      <c r="K47" s="74"/>
      <c r="L47" s="79" t="s">
        <v>72</v>
      </c>
      <c r="M47" s="78">
        <f>'Tabel 1.1'!B44</f>
        <v>11112376.757999998</v>
      </c>
      <c r="N47" s="78">
        <f>'Tabel 1.1'!C44</f>
        <v>12778507.596999999</v>
      </c>
      <c r="O47" s="74"/>
    </row>
    <row r="48" spans="1:15" x14ac:dyDescent="0.3">
      <c r="A48" s="74"/>
      <c r="B48" s="74"/>
      <c r="C48" s="74"/>
      <c r="D48" s="74"/>
      <c r="E48" s="74"/>
      <c r="F48" s="74"/>
      <c r="G48" s="74"/>
      <c r="H48" s="74"/>
      <c r="I48" s="74"/>
      <c r="J48" s="74"/>
      <c r="K48" s="74"/>
      <c r="L48" s="79"/>
      <c r="M48" s="78"/>
      <c r="N48" s="78"/>
      <c r="O48" s="74"/>
    </row>
    <row r="49" spans="1:15" x14ac:dyDescent="0.3">
      <c r="A49" s="74"/>
      <c r="B49" s="74"/>
      <c r="C49" s="74"/>
      <c r="D49" s="74"/>
      <c r="E49" s="74"/>
      <c r="F49" s="74"/>
      <c r="G49" s="74"/>
      <c r="H49" s="74"/>
      <c r="I49" s="74"/>
      <c r="J49" s="74"/>
      <c r="K49" s="74"/>
      <c r="M49" s="77"/>
      <c r="N49" s="77"/>
      <c r="O49" s="74"/>
    </row>
    <row r="50" spans="1:15" x14ac:dyDescent="0.3">
      <c r="A50" s="74"/>
      <c r="B50" s="74"/>
      <c r="C50" s="74"/>
      <c r="D50" s="74"/>
      <c r="E50" s="74"/>
      <c r="F50" s="74"/>
      <c r="G50" s="74"/>
      <c r="H50" s="74"/>
      <c r="I50" s="74"/>
      <c r="J50" s="74"/>
      <c r="K50" s="74"/>
      <c r="M50" s="77"/>
      <c r="N50" s="77"/>
      <c r="O50" s="74"/>
    </row>
    <row r="51" spans="1:15" x14ac:dyDescent="0.3">
      <c r="A51" s="74"/>
      <c r="B51" s="74"/>
      <c r="C51" s="74"/>
      <c r="D51" s="74"/>
      <c r="E51" s="74"/>
      <c r="F51" s="74"/>
      <c r="G51" s="74"/>
      <c r="H51" s="74"/>
      <c r="I51" s="74"/>
      <c r="J51" s="74"/>
      <c r="K51" s="74"/>
      <c r="M51" s="77"/>
      <c r="N51" s="77"/>
      <c r="O51" s="74"/>
    </row>
    <row r="52" spans="1:15" x14ac:dyDescent="0.3">
      <c r="A52" s="74"/>
      <c r="B52" s="74"/>
      <c r="C52" s="74"/>
      <c r="D52" s="74"/>
      <c r="E52" s="74"/>
      <c r="F52" s="74"/>
      <c r="G52" s="74"/>
      <c r="H52" s="74"/>
      <c r="I52" s="74"/>
      <c r="J52" s="74"/>
      <c r="K52" s="74"/>
      <c r="M52" s="77"/>
      <c r="N52" s="77"/>
      <c r="O52" s="74"/>
    </row>
    <row r="53" spans="1:15" x14ac:dyDescent="0.3">
      <c r="A53" s="74"/>
      <c r="B53" s="74"/>
      <c r="C53" s="74"/>
      <c r="D53" s="74"/>
      <c r="E53" s="74"/>
      <c r="F53" s="74"/>
      <c r="G53" s="74"/>
      <c r="H53" s="74"/>
      <c r="I53" s="74"/>
      <c r="J53" s="74"/>
      <c r="K53" s="74"/>
      <c r="O53" s="74"/>
    </row>
    <row r="54" spans="1:15" x14ac:dyDescent="0.3">
      <c r="A54" s="74"/>
      <c r="B54" s="74"/>
      <c r="C54" s="74"/>
      <c r="D54" s="74"/>
      <c r="E54" s="74"/>
      <c r="F54" s="74"/>
      <c r="G54" s="74"/>
      <c r="H54" s="74"/>
      <c r="I54" s="74"/>
      <c r="J54" s="74"/>
      <c r="K54" s="74"/>
      <c r="O54" s="74"/>
    </row>
    <row r="55" spans="1:15" x14ac:dyDescent="0.3">
      <c r="A55" s="74"/>
      <c r="B55" s="74"/>
      <c r="C55" s="74"/>
      <c r="D55" s="74"/>
      <c r="E55" s="74"/>
      <c r="F55" s="74"/>
      <c r="G55" s="74"/>
      <c r="H55" s="74"/>
      <c r="I55" s="74"/>
      <c r="J55" s="74"/>
      <c r="K55" s="74"/>
      <c r="O55" s="74"/>
    </row>
    <row r="56" spans="1:15" x14ac:dyDescent="0.3">
      <c r="A56" s="75" t="s">
        <v>476</v>
      </c>
      <c r="B56" s="74"/>
      <c r="C56" s="74"/>
      <c r="D56" s="74"/>
      <c r="E56" s="74"/>
      <c r="F56" s="74"/>
      <c r="G56" s="74"/>
      <c r="H56" s="74"/>
      <c r="I56" s="79"/>
      <c r="J56" s="74"/>
      <c r="K56" s="74"/>
      <c r="L56" s="74" t="s">
        <v>73</v>
      </c>
      <c r="O56" s="74"/>
    </row>
    <row r="57" spans="1:15" x14ac:dyDescent="0.3">
      <c r="A57" s="74"/>
      <c r="B57" s="74"/>
      <c r="C57" s="74"/>
      <c r="D57" s="74"/>
      <c r="E57" s="74"/>
      <c r="F57" s="74"/>
      <c r="G57" s="74"/>
      <c r="H57" s="74"/>
      <c r="I57" s="74"/>
      <c r="J57" s="74"/>
      <c r="K57" s="74"/>
      <c r="L57" s="74" t="s">
        <v>0</v>
      </c>
      <c r="O57" s="74"/>
    </row>
    <row r="58" spans="1:15" x14ac:dyDescent="0.3">
      <c r="A58" s="74"/>
      <c r="B58" s="74"/>
      <c r="C58" s="74"/>
      <c r="D58" s="74"/>
      <c r="E58" s="74"/>
      <c r="F58" s="74"/>
      <c r="G58" s="74"/>
      <c r="H58" s="74"/>
      <c r="I58" s="74"/>
      <c r="J58" s="74"/>
      <c r="K58" s="74"/>
      <c r="M58" s="74">
        <f>M8</f>
        <v>2019</v>
      </c>
      <c r="N58" s="74">
        <f>N8</f>
        <v>2020</v>
      </c>
      <c r="O58" s="74"/>
    </row>
    <row r="59" spans="1:15" x14ac:dyDescent="0.3">
      <c r="A59" s="74"/>
      <c r="B59" s="74"/>
      <c r="C59" s="74"/>
      <c r="D59" s="74"/>
      <c r="E59" s="74"/>
      <c r="F59" s="74"/>
      <c r="G59" s="74"/>
      <c r="H59" s="74"/>
      <c r="I59" s="74"/>
      <c r="J59" s="74"/>
      <c r="K59" s="74"/>
      <c r="L59" s="74" t="s">
        <v>54</v>
      </c>
      <c r="M59" s="77">
        <f>'Tabel 1.1'!G9</f>
        <v>1179127.2880000002</v>
      </c>
      <c r="N59" s="77">
        <f>'Tabel 1.1'!H9</f>
        <v>1320149.652</v>
      </c>
      <c r="O59" s="74"/>
    </row>
    <row r="60" spans="1:15" x14ac:dyDescent="0.3">
      <c r="A60" s="74"/>
      <c r="B60" s="74"/>
      <c r="C60" s="74"/>
      <c r="D60" s="74"/>
      <c r="E60" s="74"/>
      <c r="F60" s="74"/>
      <c r="G60" s="74"/>
      <c r="H60" s="74"/>
      <c r="I60" s="74"/>
      <c r="J60" s="74"/>
      <c r="K60" s="74"/>
      <c r="L60" s="74" t="s">
        <v>496</v>
      </c>
      <c r="M60" s="77">
        <f>'Tabel 1.1'!G10</f>
        <v>1723587</v>
      </c>
      <c r="N60" s="77">
        <f>'Tabel 1.1'!H10</f>
        <v>1799572</v>
      </c>
      <c r="O60" s="74"/>
    </row>
    <row r="61" spans="1:15" x14ac:dyDescent="0.3">
      <c r="A61" s="74"/>
      <c r="B61" s="74"/>
      <c r="C61" s="74"/>
      <c r="D61" s="74"/>
      <c r="E61" s="74"/>
      <c r="F61" s="74"/>
      <c r="G61" s="74"/>
      <c r="H61" s="74"/>
      <c r="I61" s="74"/>
      <c r="J61" s="74"/>
      <c r="K61" s="74"/>
      <c r="L61" s="74" t="s">
        <v>55</v>
      </c>
      <c r="M61" s="77">
        <f>'Tabel 1.1'!G11</f>
        <v>198525277</v>
      </c>
      <c r="N61" s="77">
        <f>'Tabel 1.1'!H11</f>
        <v>193584584.22384</v>
      </c>
      <c r="O61" s="74"/>
    </row>
    <row r="62" spans="1:15" x14ac:dyDescent="0.3">
      <c r="A62" s="74"/>
      <c r="B62" s="74"/>
      <c r="C62" s="74"/>
      <c r="D62" s="74"/>
      <c r="E62" s="74"/>
      <c r="F62" s="74"/>
      <c r="G62" s="74"/>
      <c r="H62" s="74"/>
      <c r="I62" s="74"/>
      <c r="J62" s="74"/>
      <c r="K62" s="74"/>
      <c r="L62" s="74" t="s">
        <v>56</v>
      </c>
      <c r="M62" s="77">
        <f>'Tabel 1.1'!G12</f>
        <v>503320</v>
      </c>
      <c r="N62" s="77">
        <f>'Tabel 1.1'!H12</f>
        <v>543598</v>
      </c>
      <c r="O62" s="74"/>
    </row>
    <row r="63" spans="1:15" x14ac:dyDescent="0.3">
      <c r="A63" s="74"/>
      <c r="B63" s="74"/>
      <c r="C63" s="74"/>
      <c r="D63" s="74"/>
      <c r="E63" s="74"/>
      <c r="F63" s="74"/>
      <c r="G63" s="74"/>
      <c r="H63" s="74"/>
      <c r="I63" s="74"/>
      <c r="J63" s="74"/>
      <c r="K63" s="74"/>
      <c r="L63" s="74" t="s">
        <v>488</v>
      </c>
      <c r="M63" s="77">
        <f>'Tabel 1.1'!G13</f>
        <v>0</v>
      </c>
      <c r="N63" s="77">
        <f>'Tabel 1.1'!H13</f>
        <v>3822716.1325900001</v>
      </c>
      <c r="O63" s="74"/>
    </row>
    <row r="64" spans="1:15" x14ac:dyDescent="0.3">
      <c r="A64" s="74"/>
      <c r="B64" s="74"/>
      <c r="C64" s="74"/>
      <c r="D64" s="74"/>
      <c r="E64" s="74"/>
      <c r="F64" s="74"/>
      <c r="G64" s="74"/>
      <c r="H64" s="74"/>
      <c r="I64" s="74"/>
      <c r="J64" s="74"/>
      <c r="K64" s="74"/>
      <c r="L64" s="74" t="s">
        <v>57</v>
      </c>
      <c r="M64" s="77">
        <f>'Tabel 1.1'!G14</f>
        <v>848727</v>
      </c>
      <c r="N64" s="77">
        <f>'Tabel 1.1'!H14</f>
        <v>790605</v>
      </c>
      <c r="O64" s="74"/>
    </row>
    <row r="65" spans="1:15" x14ac:dyDescent="0.3">
      <c r="A65" s="74"/>
      <c r="B65" s="74"/>
      <c r="C65" s="74"/>
      <c r="D65" s="74"/>
      <c r="E65" s="74"/>
      <c r="F65" s="74"/>
      <c r="G65" s="74"/>
      <c r="H65" s="74"/>
      <c r="I65" s="74"/>
      <c r="J65" s="74"/>
      <c r="K65" s="74"/>
      <c r="L65" s="74" t="s">
        <v>505</v>
      </c>
      <c r="M65" s="77">
        <f>'Tabel 1.1'!G15</f>
        <v>0</v>
      </c>
      <c r="N65" s="77">
        <f>'Tabel 1.1'!H15</f>
        <v>0</v>
      </c>
      <c r="O65" s="74"/>
    </row>
    <row r="66" spans="1:15" x14ac:dyDescent="0.3">
      <c r="A66" s="74"/>
      <c r="B66" s="74"/>
      <c r="C66" s="74"/>
      <c r="D66" s="74"/>
      <c r="E66" s="74"/>
      <c r="F66" s="74"/>
      <c r="G66" s="74"/>
      <c r="H66" s="74"/>
      <c r="I66" s="74"/>
      <c r="J66" s="74"/>
      <c r="K66" s="74"/>
      <c r="L66" s="74" t="s">
        <v>59</v>
      </c>
      <c r="M66" s="77">
        <f>'Tabel 1.1'!G16</f>
        <v>1122791</v>
      </c>
      <c r="N66" s="77">
        <f>'Tabel 1.1'!H16</f>
        <v>1127127</v>
      </c>
      <c r="O66" s="74"/>
    </row>
    <row r="67" spans="1:15" x14ac:dyDescent="0.3">
      <c r="A67" s="74"/>
      <c r="B67" s="74"/>
      <c r="C67" s="74"/>
      <c r="D67" s="74"/>
      <c r="E67" s="74"/>
      <c r="F67" s="74"/>
      <c r="G67" s="74"/>
      <c r="H67" s="74"/>
      <c r="I67" s="74"/>
      <c r="J67" s="74"/>
      <c r="K67" s="74"/>
      <c r="L67" s="74" t="s">
        <v>60</v>
      </c>
      <c r="M67" s="77">
        <f>'Tabel 1.1'!G17</f>
        <v>7183029</v>
      </c>
      <c r="N67" s="77">
        <f>'Tabel 1.1'!H17</f>
        <v>7662525</v>
      </c>
      <c r="O67" s="74"/>
    </row>
    <row r="68" spans="1:15" x14ac:dyDescent="0.3">
      <c r="A68" s="74"/>
      <c r="B68" s="74"/>
      <c r="C68" s="74"/>
      <c r="D68" s="74"/>
      <c r="E68" s="74"/>
      <c r="F68" s="74"/>
      <c r="G68" s="74"/>
      <c r="H68" s="74"/>
      <c r="I68" s="74"/>
      <c r="J68" s="74"/>
      <c r="K68" s="74"/>
      <c r="L68" s="74" t="s">
        <v>61</v>
      </c>
      <c r="M68" s="77">
        <f>'Tabel 1.1'!G18</f>
        <v>27038.08164</v>
      </c>
      <c r="N68" s="77">
        <f>'Tabel 1.1'!H18</f>
        <v>22414.323470655629</v>
      </c>
      <c r="O68" s="74"/>
    </row>
    <row r="69" spans="1:15" x14ac:dyDescent="0.3">
      <c r="A69" s="74"/>
      <c r="B69" s="74"/>
      <c r="C69" s="74"/>
      <c r="D69" s="74"/>
      <c r="E69" s="74"/>
      <c r="F69" s="74"/>
      <c r="G69" s="74"/>
      <c r="H69" s="74"/>
      <c r="I69" s="74"/>
      <c r="J69" s="74"/>
      <c r="K69" s="74"/>
      <c r="L69" s="74" t="s">
        <v>62</v>
      </c>
      <c r="M69" s="77">
        <f>'Tabel 1.1'!G19</f>
        <v>512717.34090000001</v>
      </c>
      <c r="N69" s="77">
        <f>'Tabel 1.1'!H19</f>
        <v>513146.81849719601</v>
      </c>
      <c r="O69" s="74"/>
    </row>
    <row r="70" spans="1:15" x14ac:dyDescent="0.3">
      <c r="A70" s="74"/>
      <c r="B70" s="74"/>
      <c r="C70" s="74"/>
      <c r="D70" s="74"/>
      <c r="E70" s="74"/>
      <c r="F70" s="74"/>
      <c r="G70" s="74"/>
      <c r="H70" s="74"/>
      <c r="I70" s="74"/>
      <c r="J70" s="74"/>
      <c r="K70" s="74"/>
      <c r="L70" s="74" t="s">
        <v>490</v>
      </c>
      <c r="M70" s="77">
        <f>'Tabel 1.1'!G20</f>
        <v>6599.8879075415198</v>
      </c>
      <c r="N70" s="77">
        <f>'Tabel 1.1'!H20</f>
        <v>2056</v>
      </c>
      <c r="O70" s="74"/>
    </row>
    <row r="71" spans="1:15" x14ac:dyDescent="0.3">
      <c r="A71" s="74"/>
      <c r="B71" s="74"/>
      <c r="C71" s="74"/>
      <c r="D71" s="74"/>
      <c r="E71" s="74"/>
      <c r="F71" s="74"/>
      <c r="G71" s="74"/>
      <c r="H71" s="74"/>
      <c r="I71" s="74"/>
      <c r="J71" s="74"/>
      <c r="K71" s="74"/>
      <c r="L71" s="74" t="s">
        <v>63</v>
      </c>
      <c r="M71" s="77">
        <f>'Tabel 1.1'!G21</f>
        <v>507748922.5025</v>
      </c>
      <c r="N71" s="77">
        <f>'Tabel 1.1'!H21</f>
        <v>537548840.24074996</v>
      </c>
      <c r="O71" s="74"/>
    </row>
    <row r="72" spans="1:15" x14ac:dyDescent="0.3">
      <c r="A72" s="74"/>
      <c r="B72" s="74"/>
      <c r="C72" s="74"/>
      <c r="D72" s="74"/>
      <c r="E72" s="74"/>
      <c r="F72" s="74"/>
      <c r="G72" s="74"/>
      <c r="H72" s="74"/>
      <c r="I72" s="74"/>
      <c r="J72" s="74"/>
      <c r="K72" s="74"/>
      <c r="L72" s="74" t="s">
        <v>64</v>
      </c>
      <c r="M72" s="77">
        <f>'Tabel 1.1'!G22</f>
        <v>40612</v>
      </c>
      <c r="N72" s="77">
        <f>'Tabel 1.1'!H22</f>
        <v>52996</v>
      </c>
      <c r="O72" s="74"/>
    </row>
    <row r="73" spans="1:15" x14ac:dyDescent="0.3">
      <c r="A73" s="74"/>
      <c r="B73" s="74"/>
      <c r="C73" s="74"/>
      <c r="D73" s="74"/>
      <c r="E73" s="74"/>
      <c r="F73" s="74"/>
      <c r="G73" s="74"/>
      <c r="H73" s="74"/>
      <c r="I73" s="74"/>
      <c r="J73" s="74"/>
      <c r="K73" s="74"/>
      <c r="L73" s="74" t="s">
        <v>497</v>
      </c>
      <c r="M73" s="77">
        <f>'Tabel 1.1'!G23</f>
        <v>0</v>
      </c>
      <c r="N73" s="77">
        <f>'Tabel 1.1'!H23</f>
        <v>0</v>
      </c>
      <c r="O73" s="74"/>
    </row>
    <row r="74" spans="1:15" x14ac:dyDescent="0.3">
      <c r="A74" s="74"/>
      <c r="B74" s="74"/>
      <c r="C74" s="74"/>
      <c r="D74" s="74"/>
      <c r="E74" s="74"/>
      <c r="F74" s="74"/>
      <c r="G74" s="74"/>
      <c r="H74" s="74"/>
      <c r="I74" s="74"/>
      <c r="J74" s="74"/>
      <c r="K74" s="74"/>
      <c r="L74" s="74" t="s">
        <v>65</v>
      </c>
      <c r="M74" s="77">
        <f>'Tabel 1.1'!G24</f>
        <v>51672210.116469145</v>
      </c>
      <c r="N74" s="77">
        <f>'Tabel 1.1'!H24</f>
        <v>53026780</v>
      </c>
      <c r="O74" s="74"/>
    </row>
    <row r="75" spans="1:15" x14ac:dyDescent="0.3">
      <c r="A75" s="74"/>
      <c r="B75" s="74"/>
      <c r="C75" s="74"/>
      <c r="D75" s="74"/>
      <c r="E75" s="74"/>
      <c r="F75" s="74"/>
      <c r="G75" s="74"/>
      <c r="H75" s="74"/>
      <c r="I75" s="74"/>
      <c r="J75" s="74"/>
      <c r="K75" s="74"/>
      <c r="L75" s="74" t="s">
        <v>66</v>
      </c>
      <c r="M75" s="77">
        <f>'Tabel 1.1'!G25</f>
        <v>76067254.04129</v>
      </c>
      <c r="N75" s="77">
        <f>'Tabel 1.1'!H25</f>
        <v>82047000</v>
      </c>
      <c r="O75" s="74"/>
    </row>
    <row r="76" spans="1:15" x14ac:dyDescent="0.3">
      <c r="A76" s="74"/>
      <c r="B76" s="74"/>
      <c r="C76" s="74"/>
      <c r="D76" s="74"/>
      <c r="E76" s="74"/>
      <c r="F76" s="74"/>
      <c r="G76" s="74"/>
      <c r="H76" s="74"/>
      <c r="I76" s="74"/>
      <c r="J76" s="74"/>
      <c r="K76" s="74"/>
      <c r="L76" s="74" t="s">
        <v>475</v>
      </c>
      <c r="M76" s="77">
        <f>'Tabel 1.1'!G26</f>
        <v>0</v>
      </c>
      <c r="N76" s="77">
        <f>'Tabel 1.1'!H26</f>
        <v>4585.8069906000001</v>
      </c>
      <c r="O76" s="74"/>
    </row>
    <row r="77" spans="1:15" x14ac:dyDescent="0.3">
      <c r="A77" s="74"/>
      <c r="B77" s="74"/>
      <c r="C77" s="74"/>
      <c r="D77" s="74"/>
      <c r="E77" s="74"/>
      <c r="F77" s="74"/>
      <c r="G77" s="74"/>
      <c r="H77" s="74"/>
      <c r="I77" s="74"/>
      <c r="J77" s="74"/>
      <c r="K77" s="74"/>
      <c r="L77" s="74" t="s">
        <v>67</v>
      </c>
      <c r="M77" s="77">
        <f>'Tabel 1.1'!G27</f>
        <v>21982930.468389999</v>
      </c>
      <c r="N77" s="77">
        <f>'Tabel 1.1'!H27</f>
        <v>19298850.99636</v>
      </c>
      <c r="O77" s="74"/>
    </row>
    <row r="78" spans="1:15" x14ac:dyDescent="0.3">
      <c r="A78" s="74"/>
      <c r="B78" s="74"/>
      <c r="C78" s="74"/>
      <c r="D78" s="74"/>
      <c r="E78" s="74"/>
      <c r="F78" s="74"/>
      <c r="G78" s="74"/>
      <c r="H78" s="74"/>
      <c r="I78" s="74"/>
      <c r="J78" s="74"/>
      <c r="K78" s="74"/>
      <c r="L78" s="74" t="s">
        <v>68</v>
      </c>
      <c r="M78" s="77">
        <f>'Tabel 1.1'!G28</f>
        <v>181279490.90799999</v>
      </c>
      <c r="N78" s="77">
        <f>'Tabel 1.1'!H28</f>
        <v>183812146.52500001</v>
      </c>
      <c r="O78" s="74"/>
    </row>
    <row r="79" spans="1:15" x14ac:dyDescent="0.3">
      <c r="A79" s="74"/>
      <c r="B79" s="74"/>
      <c r="C79" s="74"/>
      <c r="D79" s="74"/>
      <c r="E79" s="74"/>
      <c r="F79" s="74"/>
      <c r="G79" s="74"/>
      <c r="H79" s="74"/>
      <c r="I79" s="74"/>
      <c r="J79" s="74"/>
      <c r="K79" s="74"/>
      <c r="L79" s="74" t="s">
        <v>95</v>
      </c>
      <c r="M79" s="77">
        <f>'Tabel 1.1'!G29</f>
        <v>0</v>
      </c>
      <c r="N79" s="77">
        <f>'Tabel 1.1'!H29</f>
        <v>0</v>
      </c>
      <c r="O79" s="74"/>
    </row>
    <row r="80" spans="1:15" x14ac:dyDescent="0.3">
      <c r="A80" s="75" t="s">
        <v>477</v>
      </c>
      <c r="B80" s="74"/>
      <c r="C80" s="74"/>
      <c r="D80" s="74"/>
      <c r="E80" s="74"/>
      <c r="F80" s="74"/>
      <c r="G80" s="74"/>
      <c r="H80" s="74"/>
      <c r="I80" s="79"/>
      <c r="J80" s="74"/>
      <c r="K80" s="74"/>
      <c r="L80" s="74" t="s">
        <v>96</v>
      </c>
      <c r="M80" s="77">
        <f>'Tabel 1.1'!G30</f>
        <v>0</v>
      </c>
      <c r="N80" s="77">
        <f>'Tabel 1.1'!H30</f>
        <v>0</v>
      </c>
      <c r="O80" s="74"/>
    </row>
    <row r="81" spans="1:15" x14ac:dyDescent="0.3">
      <c r="B81" s="74"/>
      <c r="C81" s="74"/>
      <c r="D81" s="74"/>
      <c r="E81" s="74"/>
      <c r="F81" s="74"/>
      <c r="G81" s="74"/>
      <c r="H81" s="74"/>
      <c r="I81" s="74"/>
      <c r="J81" s="74"/>
      <c r="K81" s="74"/>
      <c r="L81" s="74" t="s">
        <v>493</v>
      </c>
      <c r="M81" s="77">
        <f>'Tabel 1.1'!G31</f>
        <v>0</v>
      </c>
      <c r="N81" s="77">
        <f>'Tabel 1.1'!H31</f>
        <v>0</v>
      </c>
      <c r="O81" s="74"/>
    </row>
    <row r="82" spans="1:15" x14ac:dyDescent="0.3">
      <c r="A82" s="74"/>
      <c r="B82" s="74"/>
      <c r="C82" s="74"/>
      <c r="D82" s="74"/>
      <c r="E82" s="74"/>
      <c r="F82" s="74"/>
      <c r="G82" s="74"/>
      <c r="H82" s="74"/>
      <c r="I82" s="74"/>
      <c r="J82" s="74"/>
      <c r="K82" s="74"/>
      <c r="O82" s="74"/>
    </row>
    <row r="83" spans="1:15" x14ac:dyDescent="0.3">
      <c r="A83" s="74"/>
      <c r="B83" s="74"/>
      <c r="C83" s="74"/>
      <c r="D83" s="74"/>
      <c r="E83" s="74"/>
      <c r="F83" s="74"/>
      <c r="G83" s="74"/>
      <c r="H83" s="74"/>
      <c r="I83" s="74"/>
      <c r="J83" s="74"/>
      <c r="K83" s="74"/>
      <c r="O83" s="74"/>
    </row>
    <row r="84" spans="1:15" x14ac:dyDescent="0.3">
      <c r="A84" s="74"/>
      <c r="B84" s="74"/>
      <c r="C84" s="74"/>
      <c r="D84" s="74"/>
      <c r="E84" s="74"/>
      <c r="F84" s="74"/>
      <c r="G84" s="74"/>
      <c r="H84" s="74"/>
      <c r="I84" s="74"/>
      <c r="J84" s="74"/>
      <c r="K84" s="74"/>
      <c r="L84" s="74" t="s">
        <v>73</v>
      </c>
      <c r="O84" s="74"/>
    </row>
    <row r="85" spans="1:15" x14ac:dyDescent="0.3">
      <c r="B85" s="74"/>
      <c r="C85" s="74"/>
      <c r="D85" s="74"/>
      <c r="E85" s="74"/>
      <c r="F85" s="74"/>
      <c r="G85" s="74"/>
      <c r="H85" s="74"/>
      <c r="I85" s="74"/>
      <c r="J85" s="74"/>
      <c r="K85" s="74"/>
      <c r="L85" s="74" t="s">
        <v>1</v>
      </c>
      <c r="O85" s="74"/>
    </row>
    <row r="86" spans="1:15" x14ac:dyDescent="0.3">
      <c r="B86" s="74"/>
      <c r="C86" s="74"/>
      <c r="D86" s="74"/>
      <c r="E86" s="74"/>
      <c r="F86" s="74"/>
      <c r="G86" s="74"/>
      <c r="H86" s="74"/>
      <c r="I86" s="74"/>
      <c r="J86" s="74"/>
      <c r="K86" s="74"/>
      <c r="M86" s="74">
        <f>M8</f>
        <v>2019</v>
      </c>
      <c r="N86" s="74">
        <f>N8</f>
        <v>2020</v>
      </c>
      <c r="O86" s="74"/>
    </row>
    <row r="87" spans="1:15" x14ac:dyDescent="0.3">
      <c r="B87" s="74"/>
      <c r="C87" s="74"/>
      <c r="D87" s="74"/>
      <c r="E87" s="74"/>
      <c r="F87" s="74"/>
      <c r="G87" s="74"/>
      <c r="H87" s="74"/>
      <c r="I87" s="74"/>
      <c r="J87" s="74"/>
      <c r="K87" s="74"/>
      <c r="L87" s="74" t="s">
        <v>54</v>
      </c>
      <c r="M87" s="77">
        <f>'Tabel 1.1'!G35</f>
        <v>20732864.511</v>
      </c>
      <c r="N87" s="77">
        <f>'Tabel 1.1'!H35</f>
        <v>24084123.675000001</v>
      </c>
      <c r="O87" s="74"/>
    </row>
    <row r="88" spans="1:15" x14ac:dyDescent="0.3">
      <c r="B88" s="74"/>
      <c r="C88" s="74"/>
      <c r="D88" s="74"/>
      <c r="E88" s="74"/>
      <c r="F88" s="74"/>
      <c r="G88" s="74"/>
      <c r="H88" s="74"/>
      <c r="I88" s="74"/>
      <c r="J88" s="74"/>
      <c r="K88" s="74"/>
      <c r="L88" s="74" t="s">
        <v>496</v>
      </c>
      <c r="M88" s="77">
        <f>'Tabel 1.1'!G36</f>
        <v>4891857</v>
      </c>
      <c r="N88" s="77">
        <f>'Tabel 1.1'!H36</f>
        <v>5959168</v>
      </c>
      <c r="O88" s="74"/>
    </row>
    <row r="89" spans="1:15" x14ac:dyDescent="0.3">
      <c r="B89" s="74"/>
      <c r="C89" s="74"/>
      <c r="D89" s="74"/>
      <c r="E89" s="74"/>
      <c r="F89" s="74"/>
      <c r="G89" s="74"/>
      <c r="H89" s="74"/>
      <c r="I89" s="74"/>
      <c r="J89" s="74"/>
      <c r="K89" s="74"/>
      <c r="L89" s="74" t="s">
        <v>55</v>
      </c>
      <c r="M89" s="77">
        <f>'Tabel 1.1'!G37</f>
        <v>98943003.869000003</v>
      </c>
      <c r="N89" s="77">
        <f>'Tabel 1.1'!H37</f>
        <v>110860381.59099999</v>
      </c>
      <c r="O89" s="74"/>
    </row>
    <row r="90" spans="1:15" x14ac:dyDescent="0.3">
      <c r="B90" s="74"/>
      <c r="C90" s="74"/>
      <c r="D90" s="74"/>
      <c r="E90" s="74"/>
      <c r="F90" s="74"/>
      <c r="G90" s="74"/>
      <c r="H90" s="74"/>
      <c r="I90" s="74"/>
      <c r="J90" s="74"/>
      <c r="K90" s="74"/>
      <c r="L90" s="74" t="s">
        <v>57</v>
      </c>
      <c r="M90" s="77">
        <f>'Tabel 1.1'!G38</f>
        <v>4266127</v>
      </c>
      <c r="N90" s="77">
        <f>'Tabel 1.1'!H38</f>
        <v>0</v>
      </c>
      <c r="O90" s="74"/>
    </row>
    <row r="91" spans="1:15" x14ac:dyDescent="0.3">
      <c r="A91" s="74"/>
      <c r="B91" s="74"/>
      <c r="C91" s="74"/>
      <c r="D91" s="74"/>
      <c r="E91" s="74"/>
      <c r="F91" s="74"/>
      <c r="G91" s="74"/>
      <c r="H91" s="74"/>
      <c r="I91" s="74"/>
      <c r="J91" s="74"/>
      <c r="K91" s="74"/>
      <c r="L91" s="79" t="s">
        <v>60</v>
      </c>
      <c r="M91" s="77">
        <f>'Tabel 1.1'!G39</f>
        <v>30130866</v>
      </c>
      <c r="N91" s="77">
        <f>'Tabel 1.1'!H39</f>
        <v>34697528</v>
      </c>
      <c r="O91" s="74"/>
    </row>
    <row r="92" spans="1:15" ht="18.75" customHeight="1" x14ac:dyDescent="0.3">
      <c r="A92" s="74"/>
      <c r="B92" s="74"/>
      <c r="C92" s="74"/>
      <c r="D92" s="74"/>
      <c r="E92" s="74"/>
      <c r="F92" s="74"/>
      <c r="G92" s="74"/>
      <c r="H92" s="74"/>
      <c r="I92" s="74"/>
      <c r="J92" s="74"/>
      <c r="K92" s="74"/>
      <c r="L92" s="74" t="s">
        <v>63</v>
      </c>
      <c r="M92" s="77">
        <f>'Tabel 1.1'!G40</f>
        <v>2703759.0266499999</v>
      </c>
      <c r="N92" s="77">
        <f>'Tabel 1.1'!H40</f>
        <v>2013752.24184</v>
      </c>
      <c r="O92" s="74"/>
    </row>
    <row r="93" spans="1:15" ht="18.75" customHeight="1" x14ac:dyDescent="0.3">
      <c r="A93" s="74"/>
      <c r="B93" s="74"/>
      <c r="C93" s="74"/>
      <c r="D93" s="74"/>
      <c r="E93" s="74"/>
      <c r="F93" s="74"/>
      <c r="G93" s="74"/>
      <c r="H93" s="74"/>
      <c r="I93" s="74"/>
      <c r="J93" s="74"/>
      <c r="K93" s="74"/>
      <c r="L93" s="74" t="s">
        <v>65</v>
      </c>
      <c r="M93" s="77">
        <f>'Tabel 1.1'!G41</f>
        <v>77977130</v>
      </c>
      <c r="N93" s="77">
        <f>'Tabel 1.1'!H41</f>
        <v>98862690</v>
      </c>
      <c r="O93" s="74"/>
    </row>
    <row r="94" spans="1:15" ht="18.75" customHeight="1" x14ac:dyDescent="0.3">
      <c r="A94" s="74"/>
      <c r="B94" s="74"/>
      <c r="C94" s="74"/>
      <c r="D94" s="74"/>
      <c r="E94" s="74"/>
      <c r="F94" s="74"/>
      <c r="G94" s="74"/>
      <c r="H94" s="74"/>
      <c r="I94" s="74"/>
      <c r="J94" s="74"/>
      <c r="K94" s="74"/>
      <c r="L94" s="74" t="s">
        <v>71</v>
      </c>
      <c r="M94" s="77">
        <f>'Tabel 1.1'!G42</f>
        <v>2541186</v>
      </c>
      <c r="N94" s="77">
        <f>'Tabel 1.1'!H42</f>
        <v>2931716.44123</v>
      </c>
      <c r="O94" s="74"/>
    </row>
    <row r="95" spans="1:15" ht="18.75" customHeight="1" x14ac:dyDescent="0.3">
      <c r="A95" s="74"/>
      <c r="B95" s="74"/>
      <c r="C95" s="74"/>
      <c r="D95" s="74"/>
      <c r="E95" s="74"/>
      <c r="F95" s="74"/>
      <c r="G95" s="74"/>
      <c r="H95" s="74"/>
      <c r="I95" s="74"/>
      <c r="J95" s="74"/>
      <c r="K95" s="74"/>
      <c r="L95" s="74" t="s">
        <v>67</v>
      </c>
      <c r="M95" s="77">
        <f>'Tabel 1.1'!G43</f>
        <v>35920709.854330003</v>
      </c>
      <c r="N95" s="77">
        <f>'Tabel 1.1'!H43</f>
        <v>43584932.280090004</v>
      </c>
      <c r="O95" s="74"/>
    </row>
    <row r="96" spans="1:15" ht="18.75" customHeight="1" x14ac:dyDescent="0.3">
      <c r="A96" s="74"/>
      <c r="B96" s="74"/>
      <c r="C96" s="74"/>
      <c r="D96" s="74"/>
      <c r="E96" s="74"/>
      <c r="F96" s="74"/>
      <c r="G96" s="74"/>
      <c r="H96" s="74"/>
      <c r="I96" s="74"/>
      <c r="J96" s="74"/>
      <c r="K96" s="74"/>
      <c r="L96" s="74" t="s">
        <v>72</v>
      </c>
      <c r="M96" s="77">
        <f>'Tabel 1.1'!G44</f>
        <v>114501651.811</v>
      </c>
      <c r="N96" s="77">
        <f>'Tabel 1.1'!H44</f>
        <v>137052793.507</v>
      </c>
      <c r="O96" s="74"/>
    </row>
    <row r="97" spans="1:17" ht="18.75" customHeight="1" x14ac:dyDescent="0.3">
      <c r="A97" s="74"/>
      <c r="B97" s="74"/>
      <c r="C97" s="74"/>
      <c r="D97" s="74"/>
      <c r="E97" s="74"/>
      <c r="F97" s="74"/>
      <c r="G97" s="74"/>
      <c r="H97" s="74"/>
      <c r="I97" s="74"/>
      <c r="J97" s="74"/>
      <c r="K97" s="74"/>
      <c r="M97" s="77"/>
      <c r="O97" s="74"/>
      <c r="Q97" s="74"/>
    </row>
    <row r="98" spans="1:17" ht="18.75" customHeight="1" x14ac:dyDescent="0.3">
      <c r="A98" s="74"/>
      <c r="B98" s="74"/>
      <c r="C98" s="74"/>
      <c r="D98" s="74"/>
      <c r="E98" s="74"/>
      <c r="F98" s="74"/>
      <c r="G98" s="74"/>
      <c r="H98" s="74"/>
      <c r="I98" s="74"/>
      <c r="J98" s="74"/>
      <c r="K98" s="74"/>
      <c r="O98" s="74"/>
      <c r="Q98" s="74"/>
    </row>
    <row r="99" spans="1:17" ht="18.75" customHeight="1" x14ac:dyDescent="0.3">
      <c r="A99" s="74"/>
      <c r="B99" s="74"/>
      <c r="C99" s="74"/>
      <c r="D99" s="74"/>
      <c r="E99" s="74"/>
      <c r="F99" s="74"/>
      <c r="G99" s="74"/>
      <c r="H99" s="74"/>
      <c r="I99" s="74"/>
      <c r="J99" s="74"/>
      <c r="K99" s="74"/>
      <c r="O99" s="74"/>
      <c r="Q99" s="74"/>
    </row>
    <row r="100" spans="1:17" ht="18.75" customHeight="1" x14ac:dyDescent="0.3">
      <c r="A100" s="74"/>
      <c r="B100" s="74"/>
      <c r="C100" s="74"/>
      <c r="D100" s="74"/>
      <c r="E100" s="74"/>
      <c r="F100" s="74"/>
      <c r="G100" s="74"/>
      <c r="H100" s="74"/>
      <c r="I100" s="74"/>
      <c r="J100" s="74"/>
      <c r="K100" s="74"/>
      <c r="O100" s="74"/>
      <c r="Q100" s="74"/>
    </row>
    <row r="101" spans="1:17" ht="18.75" customHeight="1" x14ac:dyDescent="0.3">
      <c r="A101" s="74"/>
      <c r="B101" s="74"/>
      <c r="C101" s="74"/>
      <c r="D101" s="74"/>
      <c r="E101" s="74"/>
      <c r="F101" s="74"/>
      <c r="G101" s="74"/>
      <c r="H101" s="74"/>
      <c r="I101" s="74"/>
      <c r="J101" s="74"/>
      <c r="K101" s="74"/>
      <c r="O101" s="74"/>
      <c r="Q101" s="74"/>
    </row>
    <row r="102" spans="1:17" ht="18.75" customHeight="1" x14ac:dyDescent="0.3">
      <c r="A102" s="74"/>
      <c r="B102" s="74"/>
      <c r="C102" s="74"/>
      <c r="D102" s="74"/>
      <c r="E102" s="74"/>
      <c r="F102" s="74"/>
      <c r="G102" s="74"/>
      <c r="H102" s="74"/>
      <c r="I102" s="74"/>
      <c r="J102" s="74"/>
      <c r="K102" s="74"/>
      <c r="O102" s="74"/>
      <c r="Q102" s="74"/>
    </row>
    <row r="103" spans="1:17" ht="18.75" customHeight="1" x14ac:dyDescent="0.3">
      <c r="A103" s="74"/>
      <c r="B103" s="74"/>
      <c r="C103" s="74"/>
      <c r="D103" s="74"/>
      <c r="E103" s="74"/>
      <c r="F103" s="74"/>
      <c r="G103" s="74"/>
      <c r="H103" s="74"/>
      <c r="I103" s="74"/>
      <c r="J103" s="74"/>
      <c r="K103" s="74"/>
      <c r="O103" s="74"/>
      <c r="Q103" s="74"/>
    </row>
    <row r="104" spans="1:17" ht="18.75" customHeight="1" x14ac:dyDescent="0.3">
      <c r="A104" s="74"/>
      <c r="B104" s="74"/>
      <c r="C104" s="74"/>
      <c r="D104" s="74"/>
      <c r="E104" s="74"/>
      <c r="F104" s="74"/>
      <c r="G104" s="74"/>
      <c r="H104" s="74"/>
      <c r="I104" s="74"/>
      <c r="J104" s="74"/>
      <c r="K104" s="74"/>
      <c r="O104" s="74"/>
      <c r="Q104" s="74"/>
    </row>
    <row r="105" spans="1:17" ht="18.75" customHeight="1" x14ac:dyDescent="0.3">
      <c r="A105" s="74"/>
      <c r="B105" s="74"/>
      <c r="C105" s="74"/>
      <c r="D105" s="74"/>
      <c r="E105" s="74"/>
      <c r="F105" s="74"/>
      <c r="G105" s="74"/>
      <c r="H105" s="74"/>
      <c r="I105" s="74"/>
      <c r="J105" s="74"/>
      <c r="K105" s="74"/>
      <c r="O105" s="74"/>
      <c r="Q105" s="74"/>
    </row>
    <row r="106" spans="1:17" ht="18.75" customHeight="1" x14ac:dyDescent="0.3">
      <c r="A106" s="75" t="s">
        <v>478</v>
      </c>
      <c r="B106" s="74"/>
      <c r="C106" s="74"/>
      <c r="D106" s="74"/>
      <c r="E106" s="74"/>
      <c r="F106" s="74"/>
      <c r="G106" s="74"/>
      <c r="H106" s="79"/>
      <c r="I106" s="74"/>
      <c r="J106" s="74"/>
      <c r="K106" s="74"/>
      <c r="O106" s="74"/>
      <c r="Q106" s="74"/>
    </row>
    <row r="107" spans="1:17" ht="18.75" customHeight="1" x14ac:dyDescent="0.3">
      <c r="A107" s="74"/>
      <c r="B107" s="74"/>
      <c r="C107" s="74"/>
      <c r="D107" s="74"/>
      <c r="E107" s="74"/>
      <c r="F107" s="74"/>
      <c r="G107" s="74"/>
      <c r="H107" s="74"/>
      <c r="I107" s="74"/>
      <c r="J107" s="74"/>
      <c r="K107" s="74"/>
      <c r="O107" s="74"/>
      <c r="Q107" s="74"/>
    </row>
    <row r="108" spans="1:17" ht="18.75" customHeight="1" x14ac:dyDescent="0.3">
      <c r="A108" s="74"/>
      <c r="B108" s="74"/>
      <c r="C108" s="74"/>
      <c r="D108" s="74"/>
      <c r="E108" s="74"/>
      <c r="F108" s="74"/>
      <c r="G108" s="74"/>
      <c r="H108" s="74"/>
      <c r="I108" s="74"/>
      <c r="J108" s="74"/>
      <c r="K108" s="74"/>
      <c r="O108" s="74"/>
      <c r="Q108" s="74"/>
    </row>
    <row r="109" spans="1:17" ht="18.75" customHeight="1" x14ac:dyDescent="0.3">
      <c r="A109" s="74"/>
      <c r="B109" s="74"/>
      <c r="C109" s="74"/>
      <c r="D109" s="74"/>
      <c r="E109" s="74"/>
      <c r="F109" s="74"/>
      <c r="G109" s="74"/>
      <c r="H109" s="74"/>
      <c r="I109" s="74"/>
      <c r="J109" s="74"/>
      <c r="K109" s="74"/>
      <c r="O109" s="74"/>
      <c r="Q109" s="74"/>
    </row>
    <row r="110" spans="1:17" ht="18.75" customHeight="1" x14ac:dyDescent="0.3">
      <c r="A110" s="74"/>
      <c r="B110" s="74"/>
      <c r="C110" s="74"/>
      <c r="D110" s="74"/>
      <c r="E110" s="74"/>
      <c r="F110" s="74"/>
      <c r="G110" s="74"/>
      <c r="H110" s="74"/>
      <c r="I110" s="74"/>
      <c r="J110" s="74"/>
      <c r="K110" s="74"/>
      <c r="L110" s="79" t="s">
        <v>74</v>
      </c>
      <c r="O110" s="74"/>
      <c r="Q110" s="74"/>
    </row>
    <row r="111" spans="1:17" ht="18.75" customHeight="1" x14ac:dyDescent="0.3">
      <c r="A111" s="74"/>
      <c r="B111" s="74"/>
      <c r="C111" s="74"/>
      <c r="D111" s="74"/>
      <c r="E111" s="74"/>
      <c r="F111" s="74"/>
      <c r="G111" s="74"/>
      <c r="H111" s="74"/>
      <c r="I111" s="74"/>
      <c r="J111" s="74"/>
      <c r="K111" s="74"/>
      <c r="L111" s="74" t="s">
        <v>0</v>
      </c>
      <c r="O111" s="74"/>
      <c r="Q111" s="74"/>
    </row>
    <row r="112" spans="1:17" ht="18.75" customHeight="1" x14ac:dyDescent="0.3">
      <c r="A112" s="74"/>
      <c r="B112" s="74"/>
      <c r="C112" s="74"/>
      <c r="D112" s="74"/>
      <c r="E112" s="74"/>
      <c r="F112" s="74"/>
      <c r="G112" s="74"/>
      <c r="H112" s="74"/>
      <c r="I112" s="74"/>
      <c r="J112" s="74"/>
      <c r="K112" s="74"/>
      <c r="M112" s="74">
        <f>M8</f>
        <v>2019</v>
      </c>
      <c r="N112" s="74">
        <f>N8</f>
        <v>2020</v>
      </c>
      <c r="O112" s="74"/>
      <c r="Q112" s="74"/>
    </row>
    <row r="113" spans="1:17" ht="18.75" customHeight="1" x14ac:dyDescent="0.3">
      <c r="A113" s="74"/>
      <c r="B113" s="74"/>
      <c r="C113" s="74"/>
      <c r="D113" s="74"/>
      <c r="E113" s="74"/>
      <c r="F113" s="74"/>
      <c r="G113" s="74"/>
      <c r="H113" s="74"/>
      <c r="I113" s="74"/>
      <c r="J113" s="74"/>
      <c r="K113" s="74"/>
      <c r="L113" s="74" t="s">
        <v>54</v>
      </c>
      <c r="M113" s="77">
        <f>'Danica Pensjonsforsikring'!B11-'Danica Pensjonsforsikring'!B12+'Danica Pensjonsforsikring'!B34-'Danica Pensjonsforsikring'!B35+'Danica Pensjonsforsikring'!B38-'Danica Pensjonsforsikring'!B39+'Danica Pensjonsforsikring'!B111-'Danica Pensjonsforsikring'!B119+'Danica Pensjonsforsikring'!B136-'Danica Pensjonsforsikring'!B137</f>
        <v>12101.764999999998</v>
      </c>
      <c r="N113" s="77">
        <f>'Danica Pensjonsforsikring'!C11-'Danica Pensjonsforsikring'!C12+'Danica Pensjonsforsikring'!C34-'Danica Pensjonsforsikring'!C35+'Danica Pensjonsforsikring'!C38-'Danica Pensjonsforsikring'!C39+'Danica Pensjonsforsikring'!C111-'Danica Pensjonsforsikring'!C119+'Danica Pensjonsforsikring'!C136-'Danica Pensjonsforsikring'!C137</f>
        <v>36499.558999999994</v>
      </c>
      <c r="O113" s="74"/>
      <c r="Q113" s="74"/>
    </row>
    <row r="114" spans="1:17" ht="18.75" customHeight="1" x14ac:dyDescent="0.3">
      <c r="A114" s="74"/>
      <c r="B114" s="74"/>
      <c r="C114" s="74"/>
      <c r="D114" s="74"/>
      <c r="E114" s="74"/>
      <c r="F114" s="74"/>
      <c r="G114" s="74"/>
      <c r="H114" s="74"/>
      <c r="I114" s="74"/>
      <c r="J114" s="74"/>
      <c r="K114" s="74"/>
      <c r="L114" s="79" t="s">
        <v>496</v>
      </c>
      <c r="M114" s="77">
        <f>'DNB Bedriftspensjon'!B11-'DNB Bedriftspensjon'!B12+'DNB Bedriftspensjon'!B34-'DNB Bedriftspensjon'!B35+'DNB Bedriftspensjon'!B38-'DNB Bedriftspensjon'!B39+'DNB Bedriftspensjon'!B111-'DNB Bedriftspensjon'!B119+'DNB Bedriftspensjon'!B136-'DNB Bedriftspensjon'!B137</f>
        <v>517</v>
      </c>
      <c r="N114" s="77">
        <f>'DNB Bedriftspensjon'!C11-'DNB Bedriftspensjon'!C12+'DNB Bedriftspensjon'!C34-'DNB Bedriftspensjon'!C35+'DNB Bedriftspensjon'!C38-'DNB Bedriftspensjon'!C39+'DNB Bedriftspensjon'!C111-'DNB Bedriftspensjon'!C119+'DNB Bedriftspensjon'!C136-'DNB Bedriftspensjon'!C137</f>
        <v>7508</v>
      </c>
      <c r="O114" s="74"/>
      <c r="Q114" s="74"/>
    </row>
    <row r="115" spans="1:17" ht="18.75" customHeight="1" x14ac:dyDescent="0.3">
      <c r="A115" s="74"/>
      <c r="B115" s="74"/>
      <c r="C115" s="74"/>
      <c r="D115" s="74"/>
      <c r="E115" s="74"/>
      <c r="F115" s="74"/>
      <c r="G115" s="74"/>
      <c r="H115" s="74"/>
      <c r="I115" s="74"/>
      <c r="J115" s="74"/>
      <c r="K115" s="74"/>
      <c r="L115" s="74" t="s">
        <v>55</v>
      </c>
      <c r="M115" s="77">
        <f>'DNB Livsforsikring'!B11-'DNB Livsforsikring'!B12+'DNB Livsforsikring'!B34-'DNB Livsforsikring'!B35+'DNB Livsforsikring'!B38-'DNB Livsforsikring'!B39+'DNB Livsforsikring'!B111-'DNB Livsforsikring'!B119+'DNB Livsforsikring'!B136-'DNB Livsforsikring'!B137</f>
        <v>177031</v>
      </c>
      <c r="N115" s="77">
        <f>'DNB Livsforsikring'!C11-'DNB Livsforsikring'!C12+'DNB Livsforsikring'!C34-'DNB Livsforsikring'!C35+'DNB Livsforsikring'!C38-'DNB Livsforsikring'!C39+'DNB Livsforsikring'!C111-'DNB Livsforsikring'!C119+'DNB Livsforsikring'!C136-'DNB Livsforsikring'!C137</f>
        <v>13951.68644000002</v>
      </c>
      <c r="O115" s="74"/>
      <c r="Q115" s="74"/>
    </row>
    <row r="116" spans="1:17" ht="18.75" customHeight="1" x14ac:dyDescent="0.3">
      <c r="A116" s="74"/>
      <c r="B116" s="74"/>
      <c r="C116" s="74"/>
      <c r="D116" s="74"/>
      <c r="E116" s="74"/>
      <c r="F116" s="74"/>
      <c r="G116" s="74"/>
      <c r="H116" s="74"/>
      <c r="I116" s="74"/>
      <c r="J116" s="74"/>
      <c r="K116" s="74"/>
      <c r="L116" s="79" t="s">
        <v>60</v>
      </c>
      <c r="M116" s="77">
        <f>'Gjensidige Pensjon'!B11-'Gjensidige Pensjon'!B12+'Gjensidige Pensjon'!B34-'Gjensidige Pensjon'!B35+'Gjensidige Pensjon'!B38-'Gjensidige Pensjon'!B39+'Gjensidige Pensjon'!B111-'Gjensidige Pensjon'!B119+'Gjensidige Pensjon'!B136-'Gjensidige Pensjon'!B137</f>
        <v>40284</v>
      </c>
      <c r="N116" s="77">
        <f>'Gjensidige Pensjon'!C11-'Gjensidige Pensjon'!C12+'Gjensidige Pensjon'!C34-'Gjensidige Pensjon'!C35+'Gjensidige Pensjon'!C38-'Gjensidige Pensjon'!C39+'Gjensidige Pensjon'!C111-'Gjensidige Pensjon'!C119+'Gjensidige Pensjon'!C136-'Gjensidige Pensjon'!C137</f>
        <v>-55290</v>
      </c>
      <c r="O116" s="74"/>
      <c r="Q116" s="74"/>
    </row>
    <row r="117" spans="1:17" ht="18.75" customHeight="1" x14ac:dyDescent="0.3">
      <c r="A117" s="74"/>
      <c r="B117" s="74"/>
      <c r="C117" s="74"/>
      <c r="D117" s="74"/>
      <c r="E117" s="74"/>
      <c r="F117" s="74"/>
      <c r="G117" s="74"/>
      <c r="H117" s="74"/>
      <c r="I117" s="74"/>
      <c r="J117" s="74"/>
      <c r="K117" s="74"/>
      <c r="L117" s="79" t="s">
        <v>63</v>
      </c>
      <c r="M117" s="77">
        <f>KLP!B11-KLP!B12+KLP!B34-KLP!B35+KLP!B38-KLP!B39+KLP!B111-KLP!B119+KLP!B136-KLP!B137</f>
        <v>-311467.57200000004</v>
      </c>
      <c r="N117" s="77">
        <f>KLP!C11-KLP!C12+KLP!C34-KLP!C35+KLP!C38-KLP!C39+KLP!C111-KLP!C119+KLP!C136-KLP!C137</f>
        <v>-4298472.7489999998</v>
      </c>
      <c r="O117" s="74"/>
    </row>
    <row r="118" spans="1:17" ht="18.75" customHeight="1" x14ac:dyDescent="0.3">
      <c r="A118" s="74"/>
      <c r="B118" s="74"/>
      <c r="C118" s="74"/>
      <c r="D118" s="74"/>
      <c r="E118" s="74"/>
      <c r="F118" s="74"/>
      <c r="G118" s="74"/>
      <c r="H118" s="74"/>
      <c r="I118" s="74"/>
      <c r="J118" s="74"/>
      <c r="K118" s="74"/>
      <c r="L118" s="74" t="s">
        <v>65</v>
      </c>
      <c r="M118" s="77">
        <f>'Nordea Liv'!B11-'Nordea Liv'!B12+'Nordea Liv'!B34-'Nordea Liv'!B35+'Nordea Liv'!B38-'Nordea Liv'!B39+'Nordea Liv'!B111-'Nordea Liv'!B119+'Nordea Liv'!B136-'Nordea Liv'!B137</f>
        <v>-21770</v>
      </c>
      <c r="N118" s="77">
        <f>'Nordea Liv'!C11-'Nordea Liv'!C12+'Nordea Liv'!C34-'Nordea Liv'!C35+'Nordea Liv'!C38-'Nordea Liv'!C39+'Nordea Liv'!C111-'Nordea Liv'!C119+'Nordea Liv'!C136-'Nordea Liv'!C137</f>
        <v>62384</v>
      </c>
      <c r="O118" s="74"/>
    </row>
    <row r="119" spans="1:17" ht="18.75" customHeight="1" x14ac:dyDescent="0.3">
      <c r="A119" s="74"/>
      <c r="B119" s="74"/>
      <c r="C119" s="74"/>
      <c r="D119" s="74"/>
      <c r="E119" s="74"/>
      <c r="F119" s="74"/>
      <c r="G119" s="74"/>
      <c r="H119" s="74"/>
      <c r="I119" s="74"/>
      <c r="J119" s="74"/>
      <c r="K119" s="74"/>
      <c r="L119" s="74" t="s">
        <v>67</v>
      </c>
      <c r="M119" s="77">
        <f>'Sparebank 1'!B11-'Sparebank 1'!B12+'Sparebank 1'!B34-'Sparebank 1'!B35+'Sparebank 1'!B38-'Sparebank 1'!B39+'Sparebank 1'!B111-'Sparebank 1'!B119+'Sparebank 1'!B136-'Sparebank 1'!B137</f>
        <v>-26898.822909999995</v>
      </c>
      <c r="N119" s="77">
        <f>'Sparebank 1'!C11-'Sparebank 1'!C12+'Sparebank 1'!C34-'Sparebank 1'!C35+'Sparebank 1'!C38-'Sparebank 1'!C39+'Sparebank 1'!C111-'Sparebank 1'!C119+'Sparebank 1'!C136-'Sparebank 1'!C137</f>
        <v>-14340.871080000004</v>
      </c>
      <c r="O119" s="74"/>
    </row>
    <row r="120" spans="1:17" ht="18.75" customHeight="1" x14ac:dyDescent="0.3">
      <c r="A120" s="74"/>
      <c r="B120" s="74"/>
      <c r="C120" s="74"/>
      <c r="D120" s="74"/>
      <c r="E120" s="74"/>
      <c r="F120" s="74"/>
      <c r="G120" s="74"/>
      <c r="H120" s="74"/>
      <c r="I120" s="74"/>
      <c r="J120" s="74"/>
      <c r="K120" s="74"/>
      <c r="L120" s="74" t="s">
        <v>68</v>
      </c>
      <c r="M120" s="77">
        <f>'Storebrand Livsforsikring'!B11-'Storebrand Livsforsikring'!B12+'Storebrand Livsforsikring'!B34-'Storebrand Livsforsikring'!B35+'Storebrand Livsforsikring'!B38-'Storebrand Livsforsikring'!B39+'Storebrand Livsforsikring'!B111-'Storebrand Livsforsikring'!B119+'Storebrand Livsforsikring'!B136-'Storebrand Livsforsikring'!B137</f>
        <v>-92858.755000000005</v>
      </c>
      <c r="N120" s="77">
        <f>'Storebrand Livsforsikring'!C11-'Storebrand Livsforsikring'!C12+'Storebrand Livsforsikring'!C34-'Storebrand Livsforsikring'!C35+'Storebrand Livsforsikring'!C38-'Storebrand Livsforsikring'!C39+'Storebrand Livsforsikring'!C111-'Storebrand Livsforsikring'!C119+'Storebrand Livsforsikring'!C136-'Storebrand Livsforsikring'!C137</f>
        <v>572543.80900000001</v>
      </c>
      <c r="O120" s="74"/>
    </row>
    <row r="121" spans="1:17" ht="18.75" customHeight="1" x14ac:dyDescent="0.3">
      <c r="A121" s="74"/>
      <c r="B121" s="74"/>
      <c r="C121" s="74"/>
      <c r="D121" s="74"/>
      <c r="E121" s="74"/>
      <c r="F121" s="74"/>
      <c r="G121" s="74"/>
      <c r="H121" s="74"/>
      <c r="I121" s="74"/>
      <c r="J121" s="74"/>
      <c r="K121" s="74"/>
      <c r="M121" s="77"/>
      <c r="N121" s="77"/>
      <c r="O121" s="74"/>
    </row>
    <row r="122" spans="1:17" ht="18.75" customHeight="1" x14ac:dyDescent="0.3">
      <c r="A122" s="74"/>
      <c r="B122" s="74"/>
      <c r="C122" s="74"/>
      <c r="D122" s="74"/>
      <c r="E122" s="74"/>
      <c r="F122" s="74"/>
      <c r="G122" s="74"/>
      <c r="H122" s="74"/>
      <c r="I122" s="74"/>
      <c r="J122" s="74"/>
      <c r="K122" s="74"/>
      <c r="M122" s="77"/>
      <c r="N122" s="77"/>
      <c r="O122" s="74"/>
    </row>
    <row r="123" spans="1:17" x14ac:dyDescent="0.3">
      <c r="A123" s="74"/>
      <c r="B123" s="74"/>
      <c r="C123" s="74"/>
      <c r="D123" s="74"/>
      <c r="E123" s="74"/>
      <c r="F123" s="74"/>
      <c r="G123" s="74"/>
      <c r="H123" s="74"/>
      <c r="I123" s="74"/>
      <c r="J123" s="74"/>
      <c r="K123" s="74"/>
      <c r="M123" s="77"/>
      <c r="N123" s="77"/>
      <c r="O123" s="74"/>
    </row>
    <row r="124" spans="1:17" x14ac:dyDescent="0.3">
      <c r="A124" s="74"/>
      <c r="B124" s="74"/>
      <c r="C124" s="74"/>
      <c r="D124" s="74"/>
      <c r="E124" s="74"/>
      <c r="F124" s="74"/>
      <c r="G124" s="74"/>
      <c r="H124" s="74"/>
      <c r="I124" s="74"/>
      <c r="J124" s="74"/>
      <c r="K124" s="74"/>
      <c r="M124" s="77"/>
      <c r="N124" s="77"/>
      <c r="O124" s="74"/>
    </row>
    <row r="125" spans="1:17" x14ac:dyDescent="0.3">
      <c r="A125" s="74"/>
      <c r="B125" s="74"/>
      <c r="C125" s="74"/>
      <c r="D125" s="74"/>
      <c r="E125" s="74"/>
      <c r="F125" s="74"/>
      <c r="G125" s="74"/>
      <c r="H125" s="74"/>
      <c r="I125" s="74"/>
      <c r="J125" s="74"/>
      <c r="K125" s="74"/>
      <c r="M125" s="77"/>
      <c r="N125" s="77"/>
      <c r="O125" s="74"/>
    </row>
    <row r="126" spans="1:17" x14ac:dyDescent="0.3">
      <c r="A126" s="74"/>
      <c r="B126" s="74"/>
      <c r="C126" s="74"/>
      <c r="D126" s="74"/>
      <c r="E126" s="74"/>
      <c r="F126" s="74"/>
      <c r="G126" s="74"/>
      <c r="H126" s="74"/>
      <c r="I126" s="74"/>
      <c r="J126" s="74"/>
      <c r="K126" s="74"/>
      <c r="M126" s="77"/>
      <c r="N126" s="77"/>
      <c r="O126" s="74"/>
    </row>
    <row r="127" spans="1:17" x14ac:dyDescent="0.3">
      <c r="A127" s="74"/>
      <c r="B127" s="74"/>
      <c r="C127" s="74"/>
      <c r="D127" s="74"/>
      <c r="E127" s="74"/>
      <c r="F127" s="74"/>
      <c r="G127" s="74"/>
      <c r="H127" s="74"/>
      <c r="I127" s="74"/>
      <c r="J127" s="74"/>
      <c r="K127" s="74"/>
      <c r="M127" s="77"/>
      <c r="N127" s="77"/>
      <c r="O127" s="74"/>
    </row>
    <row r="128" spans="1:17" x14ac:dyDescent="0.3">
      <c r="A128" s="74"/>
      <c r="B128" s="74"/>
      <c r="C128" s="74"/>
      <c r="D128" s="74"/>
      <c r="E128" s="74"/>
      <c r="F128" s="74"/>
      <c r="G128" s="74"/>
      <c r="H128" s="74"/>
      <c r="I128" s="74"/>
      <c r="J128" s="74"/>
      <c r="K128" s="74"/>
      <c r="O128" s="74"/>
    </row>
    <row r="129" spans="1:15" x14ac:dyDescent="0.3">
      <c r="A129" s="74"/>
      <c r="B129" s="74"/>
      <c r="C129" s="74"/>
      <c r="D129" s="74"/>
      <c r="E129" s="74"/>
      <c r="F129" s="74"/>
      <c r="G129" s="74"/>
      <c r="H129" s="74"/>
      <c r="I129" s="74"/>
      <c r="J129" s="74"/>
      <c r="K129" s="74"/>
      <c r="O129" s="74"/>
    </row>
    <row r="130" spans="1:15" x14ac:dyDescent="0.3">
      <c r="A130" s="75" t="s">
        <v>479</v>
      </c>
      <c r="B130" s="74"/>
      <c r="C130" s="74"/>
      <c r="D130" s="74"/>
      <c r="E130" s="74"/>
      <c r="F130" s="74"/>
      <c r="G130" s="74"/>
      <c r="H130" s="79"/>
      <c r="I130" s="74"/>
      <c r="J130" s="74"/>
      <c r="K130" s="74"/>
      <c r="O130" s="74"/>
    </row>
    <row r="131" spans="1:15" x14ac:dyDescent="0.3">
      <c r="B131" s="74"/>
      <c r="C131" s="74"/>
      <c r="D131" s="74"/>
      <c r="E131" s="74"/>
      <c r="F131" s="74"/>
      <c r="G131" s="74"/>
      <c r="H131" s="74"/>
      <c r="I131" s="74"/>
      <c r="J131" s="74"/>
      <c r="K131" s="74"/>
      <c r="O131" s="74"/>
    </row>
    <row r="132" spans="1:15" x14ac:dyDescent="0.3">
      <c r="A132" s="74"/>
      <c r="B132" s="74"/>
      <c r="C132" s="74"/>
      <c r="D132" s="74"/>
      <c r="E132" s="74"/>
      <c r="F132" s="74"/>
      <c r="G132" s="74"/>
      <c r="H132" s="74"/>
      <c r="I132" s="74"/>
      <c r="J132" s="74"/>
      <c r="K132" s="74"/>
      <c r="O132" s="74"/>
    </row>
    <row r="133" spans="1:15" x14ac:dyDescent="0.3">
      <c r="A133" s="74"/>
      <c r="B133" s="74"/>
      <c r="C133" s="74"/>
      <c r="D133" s="74"/>
      <c r="E133" s="74"/>
      <c r="F133" s="74"/>
      <c r="G133" s="74"/>
      <c r="H133" s="74"/>
      <c r="I133" s="74"/>
      <c r="J133" s="74"/>
      <c r="K133" s="74"/>
      <c r="O133" s="74"/>
    </row>
    <row r="134" spans="1:15" x14ac:dyDescent="0.3">
      <c r="A134" s="74"/>
      <c r="B134" s="74"/>
      <c r="C134" s="74"/>
      <c r="D134" s="74"/>
      <c r="E134" s="74"/>
      <c r="F134" s="74"/>
      <c r="G134" s="74"/>
      <c r="H134" s="74"/>
      <c r="I134" s="74"/>
      <c r="J134" s="74"/>
      <c r="K134" s="74"/>
      <c r="L134" s="79" t="s">
        <v>75</v>
      </c>
      <c r="O134" s="74"/>
    </row>
    <row r="135" spans="1:15" x14ac:dyDescent="0.3">
      <c r="A135" s="74"/>
      <c r="B135" s="74"/>
      <c r="C135" s="74"/>
      <c r="D135" s="74"/>
      <c r="E135" s="74"/>
      <c r="F135" s="74"/>
      <c r="G135" s="74"/>
      <c r="H135" s="74"/>
      <c r="I135" s="74"/>
      <c r="J135" s="74"/>
      <c r="K135" s="74"/>
      <c r="L135" s="74" t="s">
        <v>1</v>
      </c>
      <c r="O135" s="74"/>
    </row>
    <row r="136" spans="1:15" x14ac:dyDescent="0.3">
      <c r="A136" s="74"/>
      <c r="B136" s="74"/>
      <c r="C136" s="74"/>
      <c r="D136" s="74"/>
      <c r="E136" s="74"/>
      <c r="F136" s="74"/>
      <c r="G136" s="74"/>
      <c r="H136" s="74"/>
      <c r="I136" s="74"/>
      <c r="J136" s="74"/>
      <c r="K136" s="74"/>
      <c r="M136" s="74">
        <f>M8</f>
        <v>2019</v>
      </c>
      <c r="N136" s="74">
        <f>N8</f>
        <v>2020</v>
      </c>
      <c r="O136" s="74"/>
    </row>
    <row r="137" spans="1:15" x14ac:dyDescent="0.3">
      <c r="A137" s="74"/>
      <c r="B137" s="74"/>
      <c r="C137" s="74"/>
      <c r="D137" s="74"/>
      <c r="E137" s="74"/>
      <c r="F137" s="74"/>
      <c r="G137" s="74"/>
      <c r="H137" s="74"/>
      <c r="I137" s="74"/>
      <c r="J137" s="74"/>
      <c r="K137" s="74"/>
      <c r="L137" s="74" t="s">
        <v>54</v>
      </c>
      <c r="M137" s="77">
        <f>'Danica Pensjonsforsikring'!F11-'Danica Pensjonsforsikring'!F12+'Danica Pensjonsforsikring'!F34-'Danica Pensjonsforsikring'!F35+'Danica Pensjonsforsikring'!F38-'Danica Pensjonsforsikring'!F39+'Danica Pensjonsforsikring'!F111-'Danica Pensjonsforsikring'!F119+'Danica Pensjonsforsikring'!F136-'Danica Pensjonsforsikring'!F137</f>
        <v>252935.32400000002</v>
      </c>
      <c r="N137" s="77">
        <f>'Danica Pensjonsforsikring'!G11-'Danica Pensjonsforsikring'!G12+'Danica Pensjonsforsikring'!G34-'Danica Pensjonsforsikring'!G35+'Danica Pensjonsforsikring'!G38-'Danica Pensjonsforsikring'!G39+'Danica Pensjonsforsikring'!G111-'Danica Pensjonsforsikring'!G119+'Danica Pensjonsforsikring'!G136-'Danica Pensjonsforsikring'!G137</f>
        <v>119419.5</v>
      </c>
      <c r="O137" s="74"/>
    </row>
    <row r="138" spans="1:15" x14ac:dyDescent="0.3">
      <c r="A138" s="74"/>
      <c r="B138" s="74"/>
      <c r="C138" s="74"/>
      <c r="D138" s="74"/>
      <c r="E138" s="74"/>
      <c r="F138" s="74"/>
      <c r="G138" s="74"/>
      <c r="H138" s="74"/>
      <c r="I138" s="74"/>
      <c r="J138" s="74"/>
      <c r="K138" s="74"/>
      <c r="L138" s="74" t="s">
        <v>496</v>
      </c>
      <c r="M138" s="77">
        <f>'DNB Bedriftspensjon'!F11-'DNB Bedriftspensjon'!F12+'DNB Bedriftspensjon'!F34-'DNB Bedriftspensjon'!F35+'DNB Bedriftspensjon'!F38-'DNB Bedriftspensjon'!F39+'DNB Bedriftspensjon'!F111-'DNB Bedriftspensjon'!F119+'DNB Bedriftspensjon'!F136-'DNB Bedriftspensjon'!F137</f>
        <v>385283</v>
      </c>
      <c r="N138" s="77">
        <f>'DNB Bedriftspensjon'!G11-'DNB Bedriftspensjon'!G12+'DNB Bedriftspensjon'!G34-'DNB Bedriftspensjon'!G35+'DNB Bedriftspensjon'!G38-'DNB Bedriftspensjon'!G39+'DNB Bedriftspensjon'!G111-'DNB Bedriftspensjon'!G119+'DNB Bedriftspensjon'!G136-'DNB Bedriftspensjon'!G137</f>
        <v>143940</v>
      </c>
      <c r="O138" s="74"/>
    </row>
    <row r="139" spans="1:15" x14ac:dyDescent="0.3">
      <c r="A139" s="74"/>
      <c r="B139" s="74"/>
      <c r="C139" s="74"/>
      <c r="D139" s="74"/>
      <c r="E139" s="74"/>
      <c r="F139" s="74"/>
      <c r="G139" s="74"/>
      <c r="H139" s="74"/>
      <c r="I139" s="74"/>
      <c r="J139" s="74"/>
      <c r="K139" s="74"/>
      <c r="L139" s="74" t="s">
        <v>55</v>
      </c>
      <c r="M139" s="77">
        <f>'DNB Livsforsikring'!F11-'DNB Livsforsikring'!F12+'DNB Livsforsikring'!F34-'DNB Livsforsikring'!F35+'DNB Livsforsikring'!F38-'DNB Livsforsikring'!F39+'DNB Livsforsikring'!F111-'DNB Livsforsikring'!F119+'DNB Livsforsikring'!F136-'DNB Livsforsikring'!F137</f>
        <v>-747449</v>
      </c>
      <c r="N139" s="77">
        <f>'DNB Livsforsikring'!G11-'DNB Livsforsikring'!G12+'DNB Livsforsikring'!G34-'DNB Livsforsikring'!G35+'DNB Livsforsikring'!G38-'DNB Livsforsikring'!G39+'DNB Livsforsikring'!G111-'DNB Livsforsikring'!G119+'DNB Livsforsikring'!G136-'DNB Livsforsikring'!G137</f>
        <v>-3431819</v>
      </c>
      <c r="O139" s="74"/>
    </row>
    <row r="140" spans="1:15" x14ac:dyDescent="0.3">
      <c r="A140" s="74"/>
      <c r="B140" s="74"/>
      <c r="C140" s="74"/>
      <c r="D140" s="74"/>
      <c r="E140" s="74"/>
      <c r="F140" s="74"/>
      <c r="G140" s="74"/>
      <c r="H140" s="74"/>
      <c r="I140" s="74"/>
      <c r="J140" s="74"/>
      <c r="K140" s="74"/>
      <c r="L140" s="74" t="s">
        <v>57</v>
      </c>
      <c r="M140" s="77">
        <f>'Frende Livsforsikring'!F11-'Frende Livsforsikring'!F12+'Frende Livsforsikring'!F34-'Frende Livsforsikring'!F35+'Frende Livsforsikring'!F38-'Frende Livsforsikring'!F39+'Frende Livsforsikring'!F111-'Frende Livsforsikring'!F119+'Frende Livsforsikring'!F136-'Frende Livsforsikring'!F137</f>
        <v>52602</v>
      </c>
      <c r="N140" s="77">
        <f>'Frende Livsforsikring'!G11-'Frende Livsforsikring'!G12+'Frende Livsforsikring'!G34-'Frende Livsforsikring'!G35+'Frende Livsforsikring'!G38-'Frende Livsforsikring'!G39+'Frende Livsforsikring'!G111-'Frende Livsforsikring'!G119+'Frende Livsforsikring'!G136-'Frende Livsforsikring'!G137</f>
        <v>-4640062</v>
      </c>
      <c r="O140" s="74"/>
    </row>
    <row r="141" spans="1:15" x14ac:dyDescent="0.3">
      <c r="A141" s="74"/>
      <c r="B141" s="74"/>
      <c r="C141" s="74"/>
      <c r="D141" s="74"/>
      <c r="E141" s="74"/>
      <c r="F141" s="74"/>
      <c r="G141" s="74"/>
      <c r="H141" s="74"/>
      <c r="I141" s="74"/>
      <c r="J141" s="74"/>
      <c r="K141" s="74"/>
      <c r="L141" s="79" t="s">
        <v>60</v>
      </c>
      <c r="M141" s="77">
        <f>'Gjensidige Pensjon'!F11-'Gjensidige Pensjon'!F12+'Gjensidige Pensjon'!F34-'Gjensidige Pensjon'!F35+'Gjensidige Pensjon'!F38-'Gjensidige Pensjon'!F39+'Gjensidige Pensjon'!F111-'Gjensidige Pensjon'!F119+'Gjensidige Pensjon'!F136-'Gjensidige Pensjon'!F137</f>
        <v>-475395</v>
      </c>
      <c r="N141" s="77">
        <f>'Gjensidige Pensjon'!G11-'Gjensidige Pensjon'!G12+'Gjensidige Pensjon'!G34-'Gjensidige Pensjon'!G35+'Gjensidige Pensjon'!G38-'Gjensidige Pensjon'!G39+'Gjensidige Pensjon'!G111-'Gjensidige Pensjon'!G119+'Gjensidige Pensjon'!G136-'Gjensidige Pensjon'!G137</f>
        <v>-914343</v>
      </c>
      <c r="O141" s="74"/>
    </row>
    <row r="142" spans="1:15" x14ac:dyDescent="0.3">
      <c r="A142" s="74"/>
      <c r="B142" s="74"/>
      <c r="C142" s="74"/>
      <c r="D142" s="74"/>
      <c r="E142" s="74"/>
      <c r="F142" s="74"/>
      <c r="G142" s="74"/>
      <c r="H142" s="74"/>
      <c r="I142" s="74"/>
      <c r="J142" s="74"/>
      <c r="K142" s="74"/>
      <c r="L142" s="74" t="s">
        <v>63</v>
      </c>
      <c r="M142" s="77">
        <f>KLP!F11-KLP!F12+KLP!F34-KLP!F35+KLP!F38-KLP!F39+KLP!F111-KLP!F119+KLP!F136-KLP!F137</f>
        <v>31148.103999999999</v>
      </c>
      <c r="N142" s="77">
        <f>KLP!G11-KLP!G12+KLP!G34-KLP!G35+KLP!G38-KLP!G39+KLP!G111-KLP!G119+KLP!G136-KLP!G137</f>
        <v>-507465.17200000002</v>
      </c>
      <c r="O142" s="74"/>
    </row>
    <row r="143" spans="1:15" x14ac:dyDescent="0.3">
      <c r="A143" s="74"/>
      <c r="B143" s="74"/>
      <c r="C143" s="74"/>
      <c r="D143" s="74"/>
      <c r="E143" s="74"/>
      <c r="F143" s="74"/>
      <c r="G143" s="74"/>
      <c r="H143" s="74"/>
      <c r="I143" s="74"/>
      <c r="J143" s="74"/>
      <c r="K143" s="74"/>
      <c r="L143" s="74" t="s">
        <v>65</v>
      </c>
      <c r="M143" s="77">
        <f>'Nordea Liv'!F11-'Nordea Liv'!F12+'Nordea Liv'!F34-'Nordea Liv'!F35+'Nordea Liv'!F38-'Nordea Liv'!F39+'Nordea Liv'!F111-'Nordea Liv'!F119+'Nordea Liv'!F136-'Nordea Liv'!F137</f>
        <v>1232764.5948499998</v>
      </c>
      <c r="N143" s="77">
        <f>'Nordea Liv'!G11-'Nordea Liv'!G12+'Nordea Liv'!G34-'Nordea Liv'!G35+'Nordea Liv'!G38-'Nordea Liv'!G39+'Nordea Liv'!G111-'Nordea Liv'!G119+'Nordea Liv'!G136-'Nordea Liv'!G137</f>
        <v>8176088.129999999</v>
      </c>
      <c r="O143" s="74"/>
    </row>
    <row r="144" spans="1:15" x14ac:dyDescent="0.3">
      <c r="A144" s="74"/>
      <c r="B144" s="74"/>
      <c r="C144" s="74"/>
      <c r="D144" s="74"/>
      <c r="E144" s="74"/>
      <c r="F144" s="74"/>
      <c r="G144" s="74"/>
      <c r="H144" s="74"/>
      <c r="I144" s="74"/>
      <c r="J144" s="74"/>
      <c r="K144" s="74"/>
      <c r="L144" s="74" t="s">
        <v>71</v>
      </c>
      <c r="M144" s="77">
        <f>'SHB Liv'!F11-'SHB Liv'!F12+'SHB Liv'!F34-'SHB Liv'!F35+'SHB Liv'!F38-'SHB Liv'!F39+'SHB Liv'!F111-'SHB Liv'!F119+'SHB Liv'!F136-'SHB Liv'!F137</f>
        <v>108424.59321000001</v>
      </c>
      <c r="N144" s="77">
        <f>'SHB Liv'!G11-'SHB Liv'!G12+'SHB Liv'!G34-'SHB Liv'!G35+'SHB Liv'!G38-'SHB Liv'!G39+'SHB Liv'!G111-'SHB Liv'!G119+'SHB Liv'!G136-'SHB Liv'!G137</f>
        <v>82451.075599999996</v>
      </c>
      <c r="O144" s="74"/>
    </row>
    <row r="145" spans="1:15" x14ac:dyDescent="0.3">
      <c r="A145" s="74"/>
      <c r="B145" s="74"/>
      <c r="C145" s="74"/>
      <c r="D145" s="74"/>
      <c r="E145" s="74"/>
      <c r="F145" s="74"/>
      <c r="G145" s="74"/>
      <c r="H145" s="74"/>
      <c r="I145" s="74"/>
      <c r="J145" s="74"/>
      <c r="K145" s="74"/>
      <c r="L145" s="74" t="s">
        <v>67</v>
      </c>
      <c r="M145" s="77">
        <f>'Sparebank 1'!F11-'Sparebank 1'!F12+'Sparebank 1'!F34-'Sparebank 1'!F35+'Sparebank 1'!F38-'Sparebank 1'!F39+'Sparebank 1'!F111-'Sparebank 1'!F119+'Sparebank 1'!F136-'Sparebank 1'!F137</f>
        <v>143228.91882000002</v>
      </c>
      <c r="N145" s="77">
        <f>'Sparebank 1'!G11-'Sparebank 1'!G12+'Sparebank 1'!G34-'Sparebank 1'!G35+'Sparebank 1'!G38-'Sparebank 1'!G39+'Sparebank 1'!G111-'Sparebank 1'!G119+'Sparebank 1'!G136-'Sparebank 1'!G137</f>
        <v>-162317.0085</v>
      </c>
      <c r="O145" s="74"/>
    </row>
    <row r="146" spans="1:15" x14ac:dyDescent="0.3">
      <c r="A146" s="74"/>
      <c r="B146" s="74"/>
      <c r="C146" s="74"/>
      <c r="D146" s="74"/>
      <c r="E146" s="74"/>
      <c r="F146" s="74"/>
      <c r="G146" s="74"/>
      <c r="H146" s="74"/>
      <c r="I146" s="74"/>
      <c r="J146" s="74"/>
      <c r="K146" s="74"/>
      <c r="L146" s="74" t="s">
        <v>72</v>
      </c>
      <c r="M146" s="77">
        <f>'Storebrand Livsforsikring'!F11-'Storebrand Livsforsikring'!F12+'Storebrand Livsforsikring'!F34-'Storebrand Livsforsikring'!F35+'Storebrand Livsforsikring'!F38-'Storebrand Livsforsikring'!F39+'Storebrand Livsforsikring'!F111-'Storebrand Livsforsikring'!F119+'Storebrand Livsforsikring'!F136-'Storebrand Livsforsikring'!F137</f>
        <v>-1250440.1450000005</v>
      </c>
      <c r="N146" s="77">
        <f>'Storebrand Livsforsikring'!G11-'Storebrand Livsforsikring'!G12+'Storebrand Livsforsikring'!G34-'Storebrand Livsforsikring'!G35+'Storebrand Livsforsikring'!G38-'Storebrand Livsforsikring'!G39+'Storebrand Livsforsikring'!G111-'Storebrand Livsforsikring'!G119+'Storebrand Livsforsikring'!G136-'Storebrand Livsforsikring'!G137</f>
        <v>507642.65799999982</v>
      </c>
      <c r="O146" s="74"/>
    </row>
    <row r="147" spans="1:15" x14ac:dyDescent="0.3">
      <c r="A147" s="74"/>
      <c r="B147" s="74"/>
      <c r="C147" s="74"/>
      <c r="D147" s="74"/>
      <c r="E147" s="74"/>
      <c r="F147" s="74"/>
      <c r="G147" s="74"/>
      <c r="H147" s="74"/>
      <c r="I147" s="74"/>
      <c r="J147" s="74"/>
      <c r="K147" s="74"/>
      <c r="O147" s="74"/>
    </row>
    <row r="148" spans="1:15" x14ac:dyDescent="0.3">
      <c r="A148" s="74"/>
      <c r="B148" s="74"/>
      <c r="C148" s="74"/>
      <c r="D148" s="74"/>
      <c r="E148" s="74"/>
      <c r="F148" s="74"/>
      <c r="G148" s="74"/>
      <c r="H148" s="74"/>
      <c r="I148" s="74"/>
      <c r="J148" s="74"/>
      <c r="K148" s="74"/>
      <c r="O148" s="74"/>
    </row>
    <row r="149" spans="1:15" x14ac:dyDescent="0.3">
      <c r="A149" s="74"/>
      <c r="B149" s="74"/>
      <c r="C149" s="74"/>
      <c r="D149" s="74"/>
      <c r="E149" s="74"/>
      <c r="F149" s="74"/>
      <c r="G149" s="74"/>
      <c r="H149" s="74"/>
      <c r="I149" s="74"/>
      <c r="J149" s="74"/>
      <c r="K149" s="74"/>
      <c r="O149" s="74"/>
    </row>
    <row r="150" spans="1:15" x14ac:dyDescent="0.3">
      <c r="A150" s="74"/>
      <c r="B150" s="74"/>
      <c r="C150" s="74"/>
      <c r="D150" s="74"/>
      <c r="E150" s="74"/>
      <c r="F150" s="74"/>
      <c r="G150" s="74"/>
      <c r="H150" s="74"/>
      <c r="I150" s="74"/>
      <c r="J150" s="74"/>
      <c r="K150" s="74"/>
      <c r="O150" s="74"/>
    </row>
    <row r="151" spans="1:15" x14ac:dyDescent="0.3">
      <c r="A151" s="74"/>
      <c r="B151" s="74"/>
      <c r="C151" s="74"/>
      <c r="D151" s="74"/>
      <c r="E151" s="74"/>
      <c r="F151" s="74"/>
      <c r="G151" s="74"/>
      <c r="H151" s="74"/>
      <c r="I151" s="74"/>
      <c r="J151" s="74"/>
      <c r="K151" s="74"/>
      <c r="O151" s="74"/>
    </row>
    <row r="152" spans="1:15" x14ac:dyDescent="0.3">
      <c r="A152" s="74"/>
      <c r="B152" s="74"/>
      <c r="C152" s="74"/>
      <c r="D152" s="74"/>
      <c r="E152" s="74"/>
      <c r="F152" s="74"/>
      <c r="G152" s="74"/>
      <c r="H152" s="74"/>
      <c r="I152" s="74"/>
      <c r="J152" s="74"/>
      <c r="K152" s="74"/>
      <c r="O152" s="74"/>
    </row>
    <row r="153" spans="1:15" x14ac:dyDescent="0.3">
      <c r="A153" s="74"/>
      <c r="B153" s="74"/>
      <c r="C153" s="74"/>
      <c r="D153" s="74"/>
      <c r="E153" s="74"/>
      <c r="F153" s="74"/>
      <c r="G153" s="74"/>
      <c r="H153" s="74"/>
      <c r="I153" s="74"/>
      <c r="J153" s="74"/>
      <c r="K153" s="74"/>
      <c r="O153" s="74"/>
    </row>
    <row r="154" spans="1:15" x14ac:dyDescent="0.3">
      <c r="O154" s="74"/>
    </row>
    <row r="155" spans="1:15" x14ac:dyDescent="0.3">
      <c r="O155" s="74"/>
    </row>
    <row r="156" spans="1:15" x14ac:dyDescent="0.3">
      <c r="O156" s="74"/>
    </row>
    <row r="157" spans="1:15" x14ac:dyDescent="0.3">
      <c r="O157" s="74"/>
    </row>
    <row r="158" spans="1:15" x14ac:dyDescent="0.3">
      <c r="O158" s="74"/>
    </row>
    <row r="159" spans="1:15" x14ac:dyDescent="0.3">
      <c r="O159" s="74"/>
    </row>
    <row r="160" spans="1:15" x14ac:dyDescent="0.3">
      <c r="O160" s="74"/>
    </row>
    <row r="161" spans="1:15" x14ac:dyDescent="0.3">
      <c r="O161" s="74"/>
    </row>
    <row r="162" spans="1:15" x14ac:dyDescent="0.3">
      <c r="O162" s="74"/>
    </row>
    <row r="163" spans="1:15" x14ac:dyDescent="0.3">
      <c r="O163" s="74"/>
    </row>
    <row r="164" spans="1:15" x14ac:dyDescent="0.3">
      <c r="O164" s="74"/>
    </row>
    <row r="165" spans="1:15" x14ac:dyDescent="0.3">
      <c r="O165" s="74"/>
    </row>
    <row r="166" spans="1:15" x14ac:dyDescent="0.3">
      <c r="O166" s="74"/>
    </row>
    <row r="167" spans="1:15" x14ac:dyDescent="0.3">
      <c r="O167" s="74"/>
    </row>
    <row r="168" spans="1:15" x14ac:dyDescent="0.3">
      <c r="O168" s="74"/>
    </row>
    <row r="169" spans="1:15" x14ac:dyDescent="0.3">
      <c r="O169" s="74"/>
    </row>
    <row r="170" spans="1:15" x14ac:dyDescent="0.3">
      <c r="A170" s="74"/>
      <c r="B170" s="74"/>
      <c r="C170" s="74"/>
      <c r="D170" s="74"/>
      <c r="E170" s="74"/>
      <c r="F170" s="74"/>
      <c r="G170" s="74"/>
      <c r="H170" s="74"/>
      <c r="I170" s="74"/>
      <c r="J170" s="74"/>
      <c r="K170" s="74"/>
      <c r="O170" s="74"/>
    </row>
    <row r="171" spans="1:15" x14ac:dyDescent="0.3">
      <c r="A171" s="74"/>
      <c r="B171" s="74"/>
      <c r="C171" s="74"/>
      <c r="D171" s="74"/>
      <c r="E171" s="74"/>
      <c r="F171" s="74"/>
      <c r="G171" s="74"/>
      <c r="H171" s="74"/>
      <c r="I171" s="74"/>
      <c r="J171" s="74"/>
      <c r="K171" s="74"/>
      <c r="O171" s="74"/>
    </row>
    <row r="172" spans="1:15" x14ac:dyDescent="0.3">
      <c r="A172" s="74"/>
      <c r="B172" s="74"/>
      <c r="C172" s="74"/>
      <c r="D172" s="74"/>
      <c r="E172" s="74"/>
      <c r="F172" s="74"/>
      <c r="G172" s="74"/>
      <c r="H172" s="74"/>
      <c r="I172" s="74"/>
      <c r="J172" s="74"/>
      <c r="K172" s="74"/>
      <c r="O172" s="74"/>
    </row>
    <row r="173" spans="1:15" x14ac:dyDescent="0.3">
      <c r="A173" s="74"/>
      <c r="B173" s="74"/>
      <c r="C173" s="74"/>
      <c r="D173" s="74"/>
      <c r="E173" s="74"/>
      <c r="F173" s="74"/>
      <c r="G173" s="74"/>
      <c r="H173" s="74"/>
      <c r="I173" s="74"/>
      <c r="J173" s="74"/>
      <c r="K173" s="74"/>
      <c r="O173" s="74"/>
    </row>
    <row r="174" spans="1:15" x14ac:dyDescent="0.3">
      <c r="A174" s="74"/>
      <c r="B174" s="74"/>
      <c r="C174" s="74"/>
      <c r="D174" s="74"/>
      <c r="E174" s="74"/>
      <c r="F174" s="74"/>
      <c r="G174" s="74"/>
      <c r="H174" s="74"/>
      <c r="I174" s="74"/>
      <c r="J174" s="74"/>
      <c r="K174" s="74"/>
      <c r="O174" s="74"/>
    </row>
    <row r="175" spans="1:15" x14ac:dyDescent="0.3">
      <c r="A175" s="74"/>
      <c r="B175" s="74"/>
      <c r="C175" s="74"/>
      <c r="D175" s="74"/>
      <c r="E175" s="74"/>
      <c r="F175" s="74"/>
      <c r="G175" s="74"/>
      <c r="H175" s="74"/>
      <c r="I175" s="74"/>
      <c r="J175" s="74"/>
      <c r="K175" s="74"/>
      <c r="O175" s="74"/>
    </row>
    <row r="176" spans="1:15" x14ac:dyDescent="0.3">
      <c r="A176" s="74"/>
      <c r="B176" s="74"/>
      <c r="C176" s="74"/>
      <c r="D176" s="74"/>
      <c r="E176" s="74"/>
      <c r="F176" s="74"/>
      <c r="G176" s="74"/>
      <c r="H176" s="74"/>
      <c r="I176" s="74"/>
      <c r="J176" s="74"/>
      <c r="K176" s="74"/>
      <c r="O176" s="74"/>
    </row>
  </sheetData>
  <hyperlinks>
    <hyperlink ref="A1" location="Innhold!A1" display="Tilbake" xr:uid="{00000000-0004-0000-0200-000000000000}"/>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32"/>
  <dimension ref="A1:N144"/>
  <sheetViews>
    <sheetView showGridLines="0" zoomScale="120" zoomScaleNormal="120" workbookViewId="0"/>
  </sheetViews>
  <sheetFormatPr baseColWidth="10" defaultColWidth="11.42578125" defaultRowHeight="12.75" x14ac:dyDescent="0.2"/>
  <cols>
    <col min="1" max="1" width="43"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133</v>
      </c>
      <c r="B1" s="988"/>
      <c r="C1" s="248" t="s">
        <v>96</v>
      </c>
      <c r="D1" s="26"/>
      <c r="E1" s="26"/>
      <c r="F1" s="26"/>
      <c r="G1" s="26"/>
      <c r="H1" s="26"/>
      <c r="I1" s="26"/>
      <c r="J1" s="26"/>
      <c r="K1" s="26"/>
      <c r="L1" s="26"/>
      <c r="M1" s="26"/>
    </row>
    <row r="2" spans="1:14" ht="15.75" x14ac:dyDescent="0.25">
      <c r="A2" s="165" t="s">
        <v>28</v>
      </c>
      <c r="B2" s="1027"/>
      <c r="C2" s="1027"/>
      <c r="D2" s="1027"/>
      <c r="E2" s="301"/>
      <c r="F2" s="1027"/>
      <c r="G2" s="1027"/>
      <c r="H2" s="1027"/>
      <c r="I2" s="301"/>
      <c r="J2" s="1027"/>
      <c r="K2" s="1027"/>
      <c r="L2" s="1027"/>
      <c r="M2" s="301"/>
    </row>
    <row r="3" spans="1:14" ht="15.75" x14ac:dyDescent="0.25">
      <c r="A3" s="163"/>
      <c r="B3" s="301"/>
      <c r="C3" s="301"/>
      <c r="D3" s="301"/>
      <c r="E3" s="301"/>
      <c r="F3" s="301"/>
      <c r="G3" s="301"/>
      <c r="H3" s="301"/>
      <c r="I3" s="301"/>
      <c r="J3" s="301"/>
      <c r="K3" s="301"/>
      <c r="L3" s="301"/>
      <c r="M3" s="301"/>
    </row>
    <row r="4" spans="1:14" x14ac:dyDescent="0.2">
      <c r="A4" s="144"/>
      <c r="B4" s="1023" t="s">
        <v>0</v>
      </c>
      <c r="C4" s="1024"/>
      <c r="D4" s="1024"/>
      <c r="E4" s="303"/>
      <c r="F4" s="1023" t="s">
        <v>1</v>
      </c>
      <c r="G4" s="1024"/>
      <c r="H4" s="1024"/>
      <c r="I4" s="306"/>
      <c r="J4" s="1023" t="s">
        <v>2</v>
      </c>
      <c r="K4" s="1024"/>
      <c r="L4" s="1024"/>
      <c r="M4" s="306"/>
    </row>
    <row r="5" spans="1:14" x14ac:dyDescent="0.2">
      <c r="A5" s="158"/>
      <c r="B5" s="152" t="s">
        <v>502</v>
      </c>
      <c r="C5" s="152" t="s">
        <v>503</v>
      </c>
      <c r="D5" s="245" t="s">
        <v>3</v>
      </c>
      <c r="E5" s="307" t="s">
        <v>29</v>
      </c>
      <c r="F5" s="152" t="s">
        <v>502</v>
      </c>
      <c r="G5" s="152" t="s">
        <v>503</v>
      </c>
      <c r="H5" s="245" t="s">
        <v>3</v>
      </c>
      <c r="I5" s="162" t="s">
        <v>29</v>
      </c>
      <c r="J5" s="152" t="s">
        <v>502</v>
      </c>
      <c r="K5" s="152" t="s">
        <v>503</v>
      </c>
      <c r="L5" s="245" t="s">
        <v>3</v>
      </c>
      <c r="M5" s="162" t="s">
        <v>29</v>
      </c>
    </row>
    <row r="6" spans="1:14" x14ac:dyDescent="0.2">
      <c r="A6" s="989"/>
      <c r="B6" s="156"/>
      <c r="C6" s="156"/>
      <c r="D6" s="246" t="s">
        <v>4</v>
      </c>
      <c r="E6" s="156" t="s">
        <v>30</v>
      </c>
      <c r="F6" s="161"/>
      <c r="G6" s="161"/>
      <c r="H6" s="245" t="s">
        <v>4</v>
      </c>
      <c r="I6" s="156" t="s">
        <v>30</v>
      </c>
      <c r="J6" s="161"/>
      <c r="K6" s="161"/>
      <c r="L6" s="245" t="s">
        <v>4</v>
      </c>
      <c r="M6" s="156" t="s">
        <v>30</v>
      </c>
    </row>
    <row r="7" spans="1:14" ht="15.75" x14ac:dyDescent="0.2">
      <c r="A7" s="14" t="s">
        <v>23</v>
      </c>
      <c r="B7" s="308"/>
      <c r="C7" s="309"/>
      <c r="D7" s="351"/>
      <c r="E7" s="11"/>
      <c r="F7" s="308"/>
      <c r="G7" s="309"/>
      <c r="H7" s="351"/>
      <c r="I7" s="160"/>
      <c r="J7" s="310"/>
      <c r="K7" s="311"/>
      <c r="L7" s="428"/>
      <c r="M7" s="11"/>
    </row>
    <row r="8" spans="1:14" ht="15.75" x14ac:dyDescent="0.2">
      <c r="A8" s="21" t="s">
        <v>25</v>
      </c>
      <c r="B8" s="283"/>
      <c r="C8" s="284"/>
      <c r="D8" s="166"/>
      <c r="E8" s="27"/>
      <c r="F8" s="287"/>
      <c r="G8" s="288"/>
      <c r="H8" s="166"/>
      <c r="I8" s="175"/>
      <c r="J8" s="234"/>
      <c r="K8" s="289"/>
      <c r="L8" s="257"/>
      <c r="M8" s="27"/>
    </row>
    <row r="9" spans="1:14" ht="15.75" x14ac:dyDescent="0.2">
      <c r="A9" s="21" t="s">
        <v>24</v>
      </c>
      <c r="B9" s="283"/>
      <c r="C9" s="284"/>
      <c r="D9" s="166"/>
      <c r="E9" s="27"/>
      <c r="F9" s="287"/>
      <c r="G9" s="288"/>
      <c r="H9" s="166"/>
      <c r="I9" s="175"/>
      <c r="J9" s="234"/>
      <c r="K9" s="289"/>
      <c r="L9" s="257"/>
      <c r="M9" s="27"/>
    </row>
    <row r="10" spans="1:14" ht="15.75" x14ac:dyDescent="0.2">
      <c r="A10" s="13" t="s">
        <v>444</v>
      </c>
      <c r="B10" s="312"/>
      <c r="C10" s="313"/>
      <c r="D10" s="171"/>
      <c r="E10" s="11"/>
      <c r="F10" s="312"/>
      <c r="G10" s="313"/>
      <c r="H10" s="171"/>
      <c r="I10" s="160"/>
      <c r="J10" s="310"/>
      <c r="K10" s="311"/>
      <c r="L10" s="429"/>
      <c r="M10" s="11"/>
    </row>
    <row r="11" spans="1:14" s="43" customFormat="1" ht="15.75" x14ac:dyDescent="0.2">
      <c r="A11" s="13" t="s">
        <v>445</v>
      </c>
      <c r="B11" s="312"/>
      <c r="C11" s="313"/>
      <c r="D11" s="171"/>
      <c r="E11" s="11"/>
      <c r="F11" s="312"/>
      <c r="G11" s="313"/>
      <c r="H11" s="171"/>
      <c r="I11" s="160"/>
      <c r="J11" s="310"/>
      <c r="K11" s="311"/>
      <c r="L11" s="429"/>
      <c r="M11" s="11"/>
      <c r="N11" s="143"/>
    </row>
    <row r="12" spans="1:14" s="43" customFormat="1" ht="15.75" x14ac:dyDescent="0.2">
      <c r="A12" s="41" t="s">
        <v>446</v>
      </c>
      <c r="B12" s="314"/>
      <c r="C12" s="315"/>
      <c r="D12" s="169"/>
      <c r="E12" s="36"/>
      <c r="F12" s="314"/>
      <c r="G12" s="315"/>
      <c r="H12" s="169"/>
      <c r="I12" s="169"/>
      <c r="J12" s="316"/>
      <c r="K12" s="317"/>
      <c r="L12" s="430"/>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1022"/>
      <c r="C18" s="1022"/>
      <c r="D18" s="1022"/>
      <c r="E18" s="301"/>
      <c r="F18" s="1022"/>
      <c r="G18" s="1022"/>
      <c r="H18" s="1022"/>
      <c r="I18" s="301"/>
      <c r="J18" s="1022"/>
      <c r="K18" s="1022"/>
      <c r="L18" s="1022"/>
      <c r="M18" s="301"/>
    </row>
    <row r="19" spans="1:14" x14ac:dyDescent="0.2">
      <c r="A19" s="144"/>
      <c r="B19" s="1023" t="s">
        <v>0</v>
      </c>
      <c r="C19" s="1024"/>
      <c r="D19" s="1024"/>
      <c r="E19" s="303"/>
      <c r="F19" s="1023" t="s">
        <v>1</v>
      </c>
      <c r="G19" s="1024"/>
      <c r="H19" s="1024"/>
      <c r="I19" s="306"/>
      <c r="J19" s="1023" t="s">
        <v>2</v>
      </c>
      <c r="K19" s="1024"/>
      <c r="L19" s="1024"/>
      <c r="M19" s="306"/>
    </row>
    <row r="20" spans="1:14" x14ac:dyDescent="0.2">
      <c r="A20" s="140" t="s">
        <v>5</v>
      </c>
      <c r="B20" s="152" t="s">
        <v>502</v>
      </c>
      <c r="C20" s="152" t="s">
        <v>503</v>
      </c>
      <c r="D20" s="162" t="s">
        <v>3</v>
      </c>
      <c r="E20" s="307" t="s">
        <v>29</v>
      </c>
      <c r="F20" s="152" t="s">
        <v>502</v>
      </c>
      <c r="G20" s="152" t="s">
        <v>503</v>
      </c>
      <c r="H20" s="162" t="s">
        <v>3</v>
      </c>
      <c r="I20" s="162" t="s">
        <v>29</v>
      </c>
      <c r="J20" s="152" t="s">
        <v>502</v>
      </c>
      <c r="K20" s="152" t="s">
        <v>503</v>
      </c>
      <c r="L20" s="162" t="s">
        <v>3</v>
      </c>
      <c r="M20" s="162" t="s">
        <v>29</v>
      </c>
    </row>
    <row r="21" spans="1:14" x14ac:dyDescent="0.2">
      <c r="A21" s="990"/>
      <c r="B21" s="156"/>
      <c r="C21" s="156"/>
      <c r="D21" s="246" t="s">
        <v>4</v>
      </c>
      <c r="E21" s="156" t="s">
        <v>30</v>
      </c>
      <c r="F21" s="161"/>
      <c r="G21" s="161"/>
      <c r="H21" s="245" t="s">
        <v>4</v>
      </c>
      <c r="I21" s="156" t="s">
        <v>30</v>
      </c>
      <c r="J21" s="161"/>
      <c r="K21" s="161"/>
      <c r="L21" s="156" t="s">
        <v>4</v>
      </c>
      <c r="M21" s="156" t="s">
        <v>30</v>
      </c>
    </row>
    <row r="22" spans="1:14" ht="15.75" x14ac:dyDescent="0.2">
      <c r="A22" s="14" t="s">
        <v>23</v>
      </c>
      <c r="B22" s="312"/>
      <c r="C22" s="312"/>
      <c r="D22" s="351"/>
      <c r="E22" s="11"/>
      <c r="F22" s="320"/>
      <c r="G22" s="320"/>
      <c r="H22" s="351"/>
      <c r="I22" s="11"/>
      <c r="J22" s="318"/>
      <c r="K22" s="318"/>
      <c r="L22" s="428"/>
      <c r="M22" s="24"/>
    </row>
    <row r="23" spans="1:14" ht="15.75" x14ac:dyDescent="0.2">
      <c r="A23" s="811" t="s">
        <v>447</v>
      </c>
      <c r="B23" s="283"/>
      <c r="C23" s="283"/>
      <c r="D23" s="166"/>
      <c r="E23" s="11"/>
      <c r="F23" s="292"/>
      <c r="G23" s="292"/>
      <c r="H23" s="166"/>
      <c r="I23" s="418"/>
      <c r="J23" s="292"/>
      <c r="K23" s="292"/>
      <c r="L23" s="166"/>
      <c r="M23" s="23"/>
    </row>
    <row r="24" spans="1:14" ht="15.75" x14ac:dyDescent="0.2">
      <c r="A24" s="811" t="s">
        <v>448</v>
      </c>
      <c r="B24" s="283"/>
      <c r="C24" s="283"/>
      <c r="D24" s="166"/>
      <c r="E24" s="11"/>
      <c r="F24" s="292"/>
      <c r="G24" s="292"/>
      <c r="H24" s="166"/>
      <c r="I24" s="418"/>
      <c r="J24" s="292"/>
      <c r="K24" s="292"/>
      <c r="L24" s="166"/>
      <c r="M24" s="23"/>
    </row>
    <row r="25" spans="1:14" ht="15.75" x14ac:dyDescent="0.2">
      <c r="A25" s="811" t="s">
        <v>449</v>
      </c>
      <c r="B25" s="283"/>
      <c r="C25" s="283"/>
      <c r="D25" s="166"/>
      <c r="E25" s="11"/>
      <c r="F25" s="292"/>
      <c r="G25" s="292"/>
      <c r="H25" s="166"/>
      <c r="I25" s="418"/>
      <c r="J25" s="292"/>
      <c r="K25" s="292"/>
      <c r="L25" s="166"/>
      <c r="M25" s="23"/>
    </row>
    <row r="26" spans="1:14" ht="15.75" x14ac:dyDescent="0.2">
      <c r="A26" s="811" t="s">
        <v>450</v>
      </c>
      <c r="B26" s="283"/>
      <c r="C26" s="283"/>
      <c r="D26" s="166"/>
      <c r="E26" s="11"/>
      <c r="F26" s="292"/>
      <c r="G26" s="292"/>
      <c r="H26" s="166"/>
      <c r="I26" s="418"/>
      <c r="J26" s="292"/>
      <c r="K26" s="292"/>
      <c r="L26" s="166"/>
      <c r="M26" s="23"/>
    </row>
    <row r="27" spans="1:14" x14ac:dyDescent="0.2">
      <c r="A27" s="811" t="s">
        <v>11</v>
      </c>
      <c r="B27" s="283"/>
      <c r="C27" s="283"/>
      <c r="D27" s="166"/>
      <c r="E27" s="11"/>
      <c r="F27" s="292"/>
      <c r="G27" s="292"/>
      <c r="H27" s="166"/>
      <c r="I27" s="418"/>
      <c r="J27" s="292"/>
      <c r="K27" s="292"/>
      <c r="L27" s="166"/>
      <c r="M27" s="23"/>
    </row>
    <row r="28" spans="1:14" ht="15.75" x14ac:dyDescent="0.2">
      <c r="A28" s="49" t="s">
        <v>272</v>
      </c>
      <c r="B28" s="44"/>
      <c r="C28" s="289"/>
      <c r="D28" s="166"/>
      <c r="E28" s="11"/>
      <c r="F28" s="234"/>
      <c r="G28" s="289"/>
      <c r="H28" s="166"/>
      <c r="I28" s="27"/>
      <c r="J28" s="44"/>
      <c r="K28" s="44"/>
      <c r="L28" s="257"/>
      <c r="M28" s="23"/>
    </row>
    <row r="29" spans="1:14" s="3" customFormat="1" ht="15.75" x14ac:dyDescent="0.2">
      <c r="A29" s="13" t="s">
        <v>444</v>
      </c>
      <c r="B29" s="236"/>
      <c r="C29" s="236"/>
      <c r="D29" s="171"/>
      <c r="E29" s="11"/>
      <c r="F29" s="310"/>
      <c r="G29" s="310"/>
      <c r="H29" s="171"/>
      <c r="I29" s="11"/>
      <c r="J29" s="236"/>
      <c r="K29" s="236"/>
      <c r="L29" s="429"/>
      <c r="M29" s="24"/>
      <c r="N29" s="148"/>
    </row>
    <row r="30" spans="1:14" s="3" customFormat="1" ht="15.75" x14ac:dyDescent="0.2">
      <c r="A30" s="811" t="s">
        <v>447</v>
      </c>
      <c r="B30" s="283"/>
      <c r="C30" s="283"/>
      <c r="D30" s="166"/>
      <c r="E30" s="11"/>
      <c r="F30" s="292"/>
      <c r="G30" s="292"/>
      <c r="H30" s="166"/>
      <c r="I30" s="418"/>
      <c r="J30" s="292"/>
      <c r="K30" s="292"/>
      <c r="L30" s="166"/>
      <c r="M30" s="23"/>
      <c r="N30" s="148"/>
    </row>
    <row r="31" spans="1:14" s="3" customFormat="1" ht="15.75" x14ac:dyDescent="0.2">
      <c r="A31" s="811" t="s">
        <v>448</v>
      </c>
      <c r="B31" s="283"/>
      <c r="C31" s="283"/>
      <c r="D31" s="166"/>
      <c r="E31" s="11"/>
      <c r="F31" s="292"/>
      <c r="G31" s="292"/>
      <c r="H31" s="166"/>
      <c r="I31" s="418"/>
      <c r="J31" s="292"/>
      <c r="K31" s="292"/>
      <c r="L31" s="166"/>
      <c r="M31" s="23"/>
      <c r="N31" s="148"/>
    </row>
    <row r="32" spans="1:14" ht="15.75" x14ac:dyDescent="0.2">
      <c r="A32" s="811" t="s">
        <v>449</v>
      </c>
      <c r="B32" s="283"/>
      <c r="C32" s="283"/>
      <c r="D32" s="166"/>
      <c r="E32" s="11"/>
      <c r="F32" s="292"/>
      <c r="G32" s="292"/>
      <c r="H32" s="166"/>
      <c r="I32" s="418"/>
      <c r="J32" s="292"/>
      <c r="K32" s="292"/>
      <c r="L32" s="166"/>
      <c r="M32" s="23"/>
    </row>
    <row r="33" spans="1:14" ht="15.75" x14ac:dyDescent="0.2">
      <c r="A33" s="811" t="s">
        <v>450</v>
      </c>
      <c r="B33" s="283"/>
      <c r="C33" s="283"/>
      <c r="D33" s="166"/>
      <c r="E33" s="11"/>
      <c r="F33" s="292"/>
      <c r="G33" s="292"/>
      <c r="H33" s="166"/>
      <c r="I33" s="418"/>
      <c r="J33" s="292"/>
      <c r="K33" s="292"/>
      <c r="L33" s="166"/>
      <c r="M33" s="23"/>
    </row>
    <row r="34" spans="1:14" ht="15.75" x14ac:dyDescent="0.2">
      <c r="A34" s="13" t="s">
        <v>445</v>
      </c>
      <c r="B34" s="236"/>
      <c r="C34" s="311"/>
      <c r="D34" s="171"/>
      <c r="E34" s="11"/>
      <c r="F34" s="310"/>
      <c r="G34" s="311"/>
      <c r="H34" s="171"/>
      <c r="I34" s="11"/>
      <c r="J34" s="236"/>
      <c r="K34" s="236"/>
      <c r="L34" s="429"/>
      <c r="M34" s="24"/>
    </row>
    <row r="35" spans="1:14" ht="15.75" x14ac:dyDescent="0.2">
      <c r="A35" s="13" t="s">
        <v>446</v>
      </c>
      <c r="B35" s="236"/>
      <c r="C35" s="311"/>
      <c r="D35" s="171"/>
      <c r="E35" s="11"/>
      <c r="F35" s="310"/>
      <c r="G35" s="311"/>
      <c r="H35" s="171"/>
      <c r="I35" s="11"/>
      <c r="J35" s="236"/>
      <c r="K35" s="236"/>
      <c r="L35" s="429"/>
      <c r="M35" s="24"/>
    </row>
    <row r="36" spans="1:14" ht="15.75" x14ac:dyDescent="0.2">
      <c r="A36" s="12" t="s">
        <v>280</v>
      </c>
      <c r="B36" s="236"/>
      <c r="C36" s="311"/>
      <c r="D36" s="171"/>
      <c r="E36" s="11"/>
      <c r="F36" s="321"/>
      <c r="G36" s="322"/>
      <c r="H36" s="171"/>
      <c r="I36" s="435"/>
      <c r="J36" s="236"/>
      <c r="K36" s="236"/>
      <c r="L36" s="429"/>
      <c r="M36" s="24"/>
    </row>
    <row r="37" spans="1:14" ht="15.75" x14ac:dyDescent="0.2">
      <c r="A37" s="12" t="s">
        <v>452</v>
      </c>
      <c r="B37" s="236"/>
      <c r="C37" s="311"/>
      <c r="D37" s="171"/>
      <c r="E37" s="11"/>
      <c r="F37" s="321"/>
      <c r="G37" s="323"/>
      <c r="H37" s="171"/>
      <c r="I37" s="435"/>
      <c r="J37" s="236"/>
      <c r="K37" s="236"/>
      <c r="L37" s="429"/>
      <c r="M37" s="24"/>
    </row>
    <row r="38" spans="1:14" ht="15.75" x14ac:dyDescent="0.2">
      <c r="A38" s="12" t="s">
        <v>453</v>
      </c>
      <c r="B38" s="236"/>
      <c r="C38" s="311"/>
      <c r="D38" s="433"/>
      <c r="E38" s="24"/>
      <c r="F38" s="321"/>
      <c r="G38" s="322"/>
      <c r="H38" s="171"/>
      <c r="I38" s="435"/>
      <c r="J38" s="236"/>
      <c r="K38" s="236"/>
      <c r="L38" s="429"/>
      <c r="M38" s="24"/>
    </row>
    <row r="39" spans="1:14" ht="15.75" x14ac:dyDescent="0.2">
      <c r="A39" s="18" t="s">
        <v>454</v>
      </c>
      <c r="B39" s="278"/>
      <c r="C39" s="317"/>
      <c r="D39" s="434"/>
      <c r="E39" s="36"/>
      <c r="F39" s="324"/>
      <c r="G39" s="325"/>
      <c r="H39" s="169"/>
      <c r="I39" s="36"/>
      <c r="J39" s="236"/>
      <c r="K39" s="236"/>
      <c r="L39" s="430"/>
      <c r="M39" s="36"/>
    </row>
    <row r="40" spans="1:14" ht="15.75" x14ac:dyDescent="0.25">
      <c r="A40" s="47"/>
      <c r="B40" s="256"/>
      <c r="C40" s="256"/>
      <c r="D40" s="1026"/>
      <c r="E40" s="1028"/>
      <c r="F40" s="1026"/>
      <c r="G40" s="1026"/>
      <c r="H40" s="1026"/>
      <c r="I40" s="1026"/>
      <c r="J40" s="1026"/>
      <c r="K40" s="1026"/>
      <c r="L40" s="1026"/>
      <c r="M40" s="304"/>
    </row>
    <row r="41" spans="1:14" x14ac:dyDescent="0.2">
      <c r="A41" s="155"/>
    </row>
    <row r="42" spans="1:14" ht="15.75" x14ac:dyDescent="0.25">
      <c r="A42" s="147" t="s">
        <v>269</v>
      </c>
      <c r="B42" s="1027"/>
      <c r="C42" s="1027"/>
      <c r="D42" s="1027"/>
      <c r="E42" s="301"/>
      <c r="F42" s="1028"/>
      <c r="G42" s="1028"/>
      <c r="H42" s="1028"/>
      <c r="I42" s="304"/>
      <c r="J42" s="1028"/>
      <c r="K42" s="1028"/>
      <c r="L42" s="1028"/>
      <c r="M42" s="304"/>
    </row>
    <row r="43" spans="1:14" ht="15.75" x14ac:dyDescent="0.25">
      <c r="A43" s="163"/>
      <c r="B43" s="305"/>
      <c r="C43" s="305"/>
      <c r="D43" s="305"/>
      <c r="E43" s="305"/>
      <c r="F43" s="304"/>
      <c r="G43" s="304"/>
      <c r="H43" s="304"/>
      <c r="I43" s="304"/>
      <c r="J43" s="304"/>
      <c r="K43" s="304"/>
      <c r="L43" s="304"/>
      <c r="M43" s="304"/>
    </row>
    <row r="44" spans="1:14" ht="15.75" x14ac:dyDescent="0.25">
      <c r="A44" s="247"/>
      <c r="B44" s="1023" t="s">
        <v>0</v>
      </c>
      <c r="C44" s="1024"/>
      <c r="D44" s="1024"/>
      <c r="E44" s="243"/>
      <c r="F44" s="304"/>
      <c r="G44" s="304"/>
      <c r="H44" s="304"/>
      <c r="I44" s="304"/>
      <c r="J44" s="304"/>
      <c r="K44" s="304"/>
      <c r="L44" s="304"/>
      <c r="M44" s="304"/>
    </row>
    <row r="45" spans="1:14" s="3" customFormat="1" x14ac:dyDescent="0.2">
      <c r="A45" s="140"/>
      <c r="B45" s="152" t="s">
        <v>502</v>
      </c>
      <c r="C45" s="152" t="s">
        <v>503</v>
      </c>
      <c r="D45" s="162" t="s">
        <v>3</v>
      </c>
      <c r="E45" s="162" t="s">
        <v>29</v>
      </c>
      <c r="F45" s="174"/>
      <c r="G45" s="174"/>
      <c r="H45" s="173"/>
      <c r="I45" s="173"/>
      <c r="J45" s="174"/>
      <c r="K45" s="174"/>
      <c r="L45" s="173"/>
      <c r="M45" s="173"/>
      <c r="N45" s="148"/>
    </row>
    <row r="46" spans="1:14" s="3" customFormat="1" x14ac:dyDescent="0.2">
      <c r="A46" s="990"/>
      <c r="B46" s="244"/>
      <c r="C46" s="244"/>
      <c r="D46" s="245" t="s">
        <v>4</v>
      </c>
      <c r="E46" s="156" t="s">
        <v>30</v>
      </c>
      <c r="F46" s="173"/>
      <c r="G46" s="173"/>
      <c r="H46" s="173"/>
      <c r="I46" s="173"/>
      <c r="J46" s="173"/>
      <c r="K46" s="173"/>
      <c r="L46" s="173"/>
      <c r="M46" s="173"/>
      <c r="N46" s="148"/>
    </row>
    <row r="47" spans="1:14" s="3" customFormat="1" ht="15.75" x14ac:dyDescent="0.2">
      <c r="A47" s="14" t="s">
        <v>23</v>
      </c>
      <c r="B47" s="312">
        <v>601419.67099999997</v>
      </c>
      <c r="C47" s="313">
        <v>598971.11495999992</v>
      </c>
      <c r="D47" s="428">
        <f t="shared" ref="D47:D58" si="0">IF(B47=0, "    ---- ", IF(ABS(ROUND(100/B47*C47-100,1))&lt;999,ROUND(100/B47*C47-100,1),IF(ROUND(100/B47*C47-100,1)&gt;999,999,-999)))</f>
        <v>-0.4</v>
      </c>
      <c r="E47" s="11">
        <f>IFERROR(100/'Skjema total MA'!C47*C47,0)</f>
        <v>12.538446658146942</v>
      </c>
      <c r="F47" s="145"/>
      <c r="G47" s="33"/>
      <c r="H47" s="159"/>
      <c r="I47" s="159"/>
      <c r="J47" s="37"/>
      <c r="K47" s="37"/>
      <c r="L47" s="159"/>
      <c r="M47" s="159"/>
      <c r="N47" s="148"/>
    </row>
    <row r="48" spans="1:14" s="3" customFormat="1" ht="15.75" x14ac:dyDescent="0.2">
      <c r="A48" s="38" t="s">
        <v>455</v>
      </c>
      <c r="B48" s="283">
        <v>213960.06299999999</v>
      </c>
      <c r="C48" s="284">
        <v>170408.52695999999</v>
      </c>
      <c r="D48" s="257">
        <f t="shared" si="0"/>
        <v>-20.399999999999999</v>
      </c>
      <c r="E48" s="27">
        <f>IFERROR(100/'Skjema total MA'!C48*C48,0)</f>
        <v>6.3958131237816076</v>
      </c>
      <c r="F48" s="145"/>
      <c r="G48" s="33"/>
      <c r="H48" s="145"/>
      <c r="I48" s="145"/>
      <c r="J48" s="33"/>
      <c r="K48" s="33"/>
      <c r="L48" s="159"/>
      <c r="M48" s="159"/>
      <c r="N48" s="148"/>
    </row>
    <row r="49" spans="1:14" s="3" customFormat="1" ht="15.75" x14ac:dyDescent="0.2">
      <c r="A49" s="38" t="s">
        <v>456</v>
      </c>
      <c r="B49" s="44">
        <v>387459.60800000001</v>
      </c>
      <c r="C49" s="289">
        <v>428562.58799999999</v>
      </c>
      <c r="D49" s="257">
        <f>IF(B49=0, "    ---- ", IF(ABS(ROUND(100/B49*C49-100,1))&lt;999,ROUND(100/B49*C49-100,1),IF(ROUND(100/B49*C49-100,1)&gt;999,999,-999)))</f>
        <v>10.6</v>
      </c>
      <c r="E49" s="27">
        <f>IFERROR(100/'Skjema total MA'!C49*C49,0)</f>
        <v>20.285069350892471</v>
      </c>
      <c r="F49" s="145"/>
      <c r="G49" s="33"/>
      <c r="H49" s="145"/>
      <c r="I49" s="145"/>
      <c r="J49" s="37"/>
      <c r="K49" s="37"/>
      <c r="L49" s="159"/>
      <c r="M49" s="159"/>
      <c r="N49" s="148"/>
    </row>
    <row r="50" spans="1:14" s="3" customFormat="1" x14ac:dyDescent="0.2">
      <c r="A50" s="298" t="s">
        <v>6</v>
      </c>
      <c r="B50" s="292"/>
      <c r="C50" s="293"/>
      <c r="D50" s="257"/>
      <c r="E50" s="23"/>
      <c r="F50" s="145"/>
      <c r="G50" s="33"/>
      <c r="H50" s="145"/>
      <c r="I50" s="145"/>
      <c r="J50" s="33"/>
      <c r="K50" s="33"/>
      <c r="L50" s="159"/>
      <c r="M50" s="159"/>
      <c r="N50" s="148"/>
    </row>
    <row r="51" spans="1:14" s="3" customFormat="1" x14ac:dyDescent="0.2">
      <c r="A51" s="298" t="s">
        <v>7</v>
      </c>
      <c r="B51" s="292">
        <v>374952.07</v>
      </c>
      <c r="C51" s="293">
        <v>416065.64899999998</v>
      </c>
      <c r="D51" s="257">
        <f t="shared" ref="D51:D52" si="1">IF(B51=0, "    ---- ", IF(ABS(ROUND(100/B51*C51-100,1))&lt;999,ROUND(100/B51*C51-100,1),IF(ROUND(100/B51*C51-100,1)&gt;999,999,-999)))</f>
        <v>11</v>
      </c>
      <c r="E51" s="27">
        <f>IFERROR(100/'Skjema total MA'!C51*C51,0)</f>
        <v>20.410693183017813</v>
      </c>
      <c r="F51" s="145"/>
      <c r="G51" s="33"/>
      <c r="H51" s="145"/>
      <c r="I51" s="145"/>
      <c r="J51" s="33"/>
      <c r="K51" s="33"/>
      <c r="L51" s="159"/>
      <c r="M51" s="159"/>
      <c r="N51" s="148"/>
    </row>
    <row r="52" spans="1:14" s="3" customFormat="1" x14ac:dyDescent="0.2">
      <c r="A52" s="298" t="s">
        <v>8</v>
      </c>
      <c r="B52" s="292">
        <v>12507.538</v>
      </c>
      <c r="C52" s="293">
        <v>12496.939</v>
      </c>
      <c r="D52" s="257">
        <f t="shared" si="1"/>
        <v>-0.1</v>
      </c>
      <c r="E52" s="27">
        <f>IFERROR(100/'Skjema total MA'!C52*C52,0)</f>
        <v>17.188070487576674</v>
      </c>
      <c r="F52" s="145"/>
      <c r="G52" s="33"/>
      <c r="H52" s="145"/>
      <c r="I52" s="145"/>
      <c r="J52" s="33"/>
      <c r="K52" s="33"/>
      <c r="L52" s="159"/>
      <c r="M52" s="159"/>
      <c r="N52" s="148"/>
    </row>
    <row r="53" spans="1:14" s="3" customFormat="1" ht="15.75" x14ac:dyDescent="0.2">
      <c r="A53" s="39" t="s">
        <v>457</v>
      </c>
      <c r="B53" s="312">
        <v>100435.719</v>
      </c>
      <c r="C53" s="313">
        <v>7424</v>
      </c>
      <c r="D53" s="429">
        <f t="shared" si="0"/>
        <v>-92.6</v>
      </c>
      <c r="E53" s="11">
        <f>IFERROR(100/'Skjema total MA'!C53*C53,0)</f>
        <v>4.5366210703808001</v>
      </c>
      <c r="F53" s="145"/>
      <c r="G53" s="33"/>
      <c r="H53" s="145"/>
      <c r="I53" s="145"/>
      <c r="J53" s="33"/>
      <c r="K53" s="33"/>
      <c r="L53" s="159"/>
      <c r="M53" s="159"/>
      <c r="N53" s="148"/>
    </row>
    <row r="54" spans="1:14" s="3" customFormat="1" ht="15.75" x14ac:dyDescent="0.2">
      <c r="A54" s="38" t="s">
        <v>455</v>
      </c>
      <c r="B54" s="283">
        <v>5875.232</v>
      </c>
      <c r="C54" s="284">
        <v>7424</v>
      </c>
      <c r="D54" s="257">
        <f t="shared" si="0"/>
        <v>26.4</v>
      </c>
      <c r="E54" s="27">
        <f>IFERROR(100/'Skjema total MA'!C54*C54,0)</f>
        <v>4.5366210703808001</v>
      </c>
      <c r="F54" s="145"/>
      <c r="G54" s="33"/>
      <c r="H54" s="145"/>
      <c r="I54" s="145"/>
      <c r="J54" s="33"/>
      <c r="K54" s="33"/>
      <c r="L54" s="159"/>
      <c r="M54" s="159"/>
      <c r="N54" s="148"/>
    </row>
    <row r="55" spans="1:14" s="3" customFormat="1" ht="15.75" x14ac:dyDescent="0.2">
      <c r="A55" s="38" t="s">
        <v>456</v>
      </c>
      <c r="B55" s="283">
        <v>94560.486999999994</v>
      </c>
      <c r="C55" s="284">
        <v>0</v>
      </c>
      <c r="D55" s="257">
        <f t="shared" si="0"/>
        <v>-100</v>
      </c>
      <c r="E55" s="27">
        <f>IFERROR(100/'Skjema total MA'!C55*C55,0)</f>
        <v>0</v>
      </c>
      <c r="F55" s="145"/>
      <c r="G55" s="33"/>
      <c r="H55" s="145"/>
      <c r="I55" s="145"/>
      <c r="J55" s="33"/>
      <c r="K55" s="33"/>
      <c r="L55" s="159"/>
      <c r="M55" s="159"/>
      <c r="N55" s="148"/>
    </row>
    <row r="56" spans="1:14" s="3" customFormat="1" ht="15.75" x14ac:dyDescent="0.2">
      <c r="A56" s="39" t="s">
        <v>458</v>
      </c>
      <c r="B56" s="312">
        <v>47481.269</v>
      </c>
      <c r="C56" s="313">
        <v>71597</v>
      </c>
      <c r="D56" s="429">
        <f t="shared" si="0"/>
        <v>50.8</v>
      </c>
      <c r="E56" s="11">
        <f>IFERROR(100/'Skjema total MA'!C56*C56,0)</f>
        <v>56.425951823931044</v>
      </c>
      <c r="F56" s="145"/>
      <c r="G56" s="33"/>
      <c r="H56" s="145"/>
      <c r="I56" s="145"/>
      <c r="J56" s="33"/>
      <c r="K56" s="33"/>
      <c r="L56" s="159"/>
      <c r="M56" s="159"/>
      <c r="N56" s="148"/>
    </row>
    <row r="57" spans="1:14" s="3" customFormat="1" ht="15.75" x14ac:dyDescent="0.2">
      <c r="A57" s="38" t="s">
        <v>455</v>
      </c>
      <c r="B57" s="283">
        <v>47463.78</v>
      </c>
      <c r="C57" s="284">
        <v>71594</v>
      </c>
      <c r="D57" s="257">
        <f t="shared" si="0"/>
        <v>50.8</v>
      </c>
      <c r="E57" s="27">
        <f>IFERROR(100/'Skjema total MA'!C57*C57,0)</f>
        <v>56.424921571849488</v>
      </c>
      <c r="F57" s="145"/>
      <c r="G57" s="33"/>
      <c r="H57" s="145"/>
      <c r="I57" s="145"/>
      <c r="J57" s="33"/>
      <c r="K57" s="33"/>
      <c r="L57" s="159"/>
      <c r="M57" s="159"/>
      <c r="N57" s="148"/>
    </row>
    <row r="58" spans="1:14" s="3" customFormat="1" ht="15.75" x14ac:dyDescent="0.2">
      <c r="A58" s="46" t="s">
        <v>456</v>
      </c>
      <c r="B58" s="285">
        <v>17.489000000000001</v>
      </c>
      <c r="C58" s="286">
        <v>3</v>
      </c>
      <c r="D58" s="258">
        <f t="shared" si="0"/>
        <v>-82.8</v>
      </c>
      <c r="E58" s="22">
        <f>IFERROR(100/'Skjema total MA'!C58*C58,0)</f>
        <v>100</v>
      </c>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1022"/>
      <c r="C62" s="1022"/>
      <c r="D62" s="1022"/>
      <c r="E62" s="301"/>
      <c r="F62" s="1022"/>
      <c r="G62" s="1022"/>
      <c r="H62" s="1022"/>
      <c r="I62" s="301"/>
      <c r="J62" s="1022"/>
      <c r="K62" s="1022"/>
      <c r="L62" s="1022"/>
      <c r="M62" s="301"/>
    </row>
    <row r="63" spans="1:14" x14ac:dyDescent="0.2">
      <c r="A63" s="144"/>
      <c r="B63" s="1023" t="s">
        <v>0</v>
      </c>
      <c r="C63" s="1024"/>
      <c r="D63" s="1025"/>
      <c r="E63" s="302"/>
      <c r="F63" s="1024" t="s">
        <v>1</v>
      </c>
      <c r="G63" s="1024"/>
      <c r="H63" s="1024"/>
      <c r="I63" s="306"/>
      <c r="J63" s="1023" t="s">
        <v>2</v>
      </c>
      <c r="K63" s="1024"/>
      <c r="L63" s="1024"/>
      <c r="M63" s="306"/>
    </row>
    <row r="64" spans="1:14" x14ac:dyDescent="0.2">
      <c r="A64" s="140"/>
      <c r="B64" s="152" t="s">
        <v>502</v>
      </c>
      <c r="C64" s="152" t="s">
        <v>503</v>
      </c>
      <c r="D64" s="245" t="s">
        <v>3</v>
      </c>
      <c r="E64" s="307" t="s">
        <v>29</v>
      </c>
      <c r="F64" s="152" t="s">
        <v>502</v>
      </c>
      <c r="G64" s="152" t="s">
        <v>503</v>
      </c>
      <c r="H64" s="245" t="s">
        <v>3</v>
      </c>
      <c r="I64" s="307" t="s">
        <v>29</v>
      </c>
      <c r="J64" s="152" t="s">
        <v>502</v>
      </c>
      <c r="K64" s="152" t="s">
        <v>503</v>
      </c>
      <c r="L64" s="245" t="s">
        <v>3</v>
      </c>
      <c r="M64" s="162" t="s">
        <v>29</v>
      </c>
    </row>
    <row r="65" spans="1:14" x14ac:dyDescent="0.2">
      <c r="A65" s="990"/>
      <c r="B65" s="156"/>
      <c r="C65" s="156"/>
      <c r="D65" s="246" t="s">
        <v>4</v>
      </c>
      <c r="E65" s="156" t="s">
        <v>30</v>
      </c>
      <c r="F65" s="161"/>
      <c r="G65" s="161"/>
      <c r="H65" s="245"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9"/>
      <c r="M66" s="11"/>
    </row>
    <row r="67" spans="1:14" x14ac:dyDescent="0.2">
      <c r="A67" s="420" t="s">
        <v>9</v>
      </c>
      <c r="B67" s="44"/>
      <c r="C67" s="145"/>
      <c r="D67" s="166"/>
      <c r="E67" s="27"/>
      <c r="F67" s="234"/>
      <c r="G67" s="145"/>
      <c r="H67" s="166"/>
      <c r="I67" s="27"/>
      <c r="J67" s="289"/>
      <c r="K67" s="44"/>
      <c r="L67" s="257"/>
      <c r="M67" s="27"/>
    </row>
    <row r="68" spans="1:14" x14ac:dyDescent="0.2">
      <c r="A68" s="21" t="s">
        <v>10</v>
      </c>
      <c r="B68" s="294"/>
      <c r="C68" s="295"/>
      <c r="D68" s="166"/>
      <c r="E68" s="27"/>
      <c r="F68" s="294"/>
      <c r="G68" s="295"/>
      <c r="H68" s="166"/>
      <c r="I68" s="27"/>
      <c r="J68" s="289"/>
      <c r="K68" s="44"/>
      <c r="L68" s="257"/>
      <c r="M68" s="27"/>
    </row>
    <row r="69" spans="1:14" ht="15.75" x14ac:dyDescent="0.2">
      <c r="A69" s="298" t="s">
        <v>459</v>
      </c>
      <c r="B69" s="283"/>
      <c r="C69" s="283"/>
      <c r="D69" s="166"/>
      <c r="E69" s="418"/>
      <c r="F69" s="283"/>
      <c r="G69" s="283"/>
      <c r="H69" s="166"/>
      <c r="I69" s="418"/>
      <c r="J69" s="292"/>
      <c r="K69" s="292"/>
      <c r="L69" s="166"/>
      <c r="M69" s="23"/>
    </row>
    <row r="70" spans="1:14" x14ac:dyDescent="0.2">
      <c r="A70" s="298" t="s">
        <v>12</v>
      </c>
      <c r="B70" s="296"/>
      <c r="C70" s="297"/>
      <c r="D70" s="166"/>
      <c r="E70" s="418"/>
      <c r="F70" s="283"/>
      <c r="G70" s="283"/>
      <c r="H70" s="166"/>
      <c r="I70" s="418"/>
      <c r="J70" s="292"/>
      <c r="K70" s="292"/>
      <c r="L70" s="166"/>
      <c r="M70" s="23"/>
    </row>
    <row r="71" spans="1:14" x14ac:dyDescent="0.2">
      <c r="A71" s="298" t="s">
        <v>13</v>
      </c>
      <c r="B71" s="235"/>
      <c r="C71" s="291"/>
      <c r="D71" s="166"/>
      <c r="E71" s="418"/>
      <c r="F71" s="283"/>
      <c r="G71" s="283"/>
      <c r="H71" s="166"/>
      <c r="I71" s="418"/>
      <c r="J71" s="292"/>
      <c r="K71" s="292"/>
      <c r="L71" s="166"/>
      <c r="M71" s="23"/>
    </row>
    <row r="72" spans="1:14" ht="15.75" x14ac:dyDescent="0.2">
      <c r="A72" s="298" t="s">
        <v>460</v>
      </c>
      <c r="B72" s="283"/>
      <c r="C72" s="283"/>
      <c r="D72" s="166"/>
      <c r="E72" s="418"/>
      <c r="F72" s="283"/>
      <c r="G72" s="283"/>
      <c r="H72" s="166"/>
      <c r="I72" s="418"/>
      <c r="J72" s="292"/>
      <c r="K72" s="292"/>
      <c r="L72" s="166"/>
      <c r="M72" s="23"/>
    </row>
    <row r="73" spans="1:14" x14ac:dyDescent="0.2">
      <c r="A73" s="298" t="s">
        <v>12</v>
      </c>
      <c r="B73" s="235"/>
      <c r="C73" s="291"/>
      <c r="D73" s="166"/>
      <c r="E73" s="418"/>
      <c r="F73" s="283"/>
      <c r="G73" s="283"/>
      <c r="H73" s="166"/>
      <c r="I73" s="418"/>
      <c r="J73" s="292"/>
      <c r="K73" s="292"/>
      <c r="L73" s="166"/>
      <c r="M73" s="23"/>
    </row>
    <row r="74" spans="1:14" s="3" customFormat="1" x14ac:dyDescent="0.2">
      <c r="A74" s="298" t="s">
        <v>13</v>
      </c>
      <c r="B74" s="235"/>
      <c r="C74" s="291"/>
      <c r="D74" s="166"/>
      <c r="E74" s="418"/>
      <c r="F74" s="283"/>
      <c r="G74" s="283"/>
      <c r="H74" s="166"/>
      <c r="I74" s="418"/>
      <c r="J74" s="292"/>
      <c r="K74" s="292"/>
      <c r="L74" s="166"/>
      <c r="M74" s="23"/>
      <c r="N74" s="148"/>
    </row>
    <row r="75" spans="1:14" s="3" customFormat="1" x14ac:dyDescent="0.2">
      <c r="A75" s="21" t="s">
        <v>346</v>
      </c>
      <c r="B75" s="234"/>
      <c r="C75" s="145"/>
      <c r="D75" s="166"/>
      <c r="E75" s="27"/>
      <c r="F75" s="234"/>
      <c r="G75" s="145"/>
      <c r="H75" s="166"/>
      <c r="I75" s="27"/>
      <c r="J75" s="289"/>
      <c r="K75" s="44"/>
      <c r="L75" s="257"/>
      <c r="M75" s="27"/>
      <c r="N75" s="148"/>
    </row>
    <row r="76" spans="1:14" s="3" customFormat="1" x14ac:dyDescent="0.2">
      <c r="A76" s="21" t="s">
        <v>345</v>
      </c>
      <c r="B76" s="234"/>
      <c r="C76" s="145"/>
      <c r="D76" s="166"/>
      <c r="E76" s="27"/>
      <c r="F76" s="234"/>
      <c r="G76" s="145"/>
      <c r="H76" s="166"/>
      <c r="I76" s="27"/>
      <c r="J76" s="289"/>
      <c r="K76" s="44"/>
      <c r="L76" s="257"/>
      <c r="M76" s="27"/>
      <c r="N76" s="148"/>
    </row>
    <row r="77" spans="1:14" ht="15.75" x14ac:dyDescent="0.2">
      <c r="A77" s="21" t="s">
        <v>461</v>
      </c>
      <c r="B77" s="234"/>
      <c r="C77" s="234"/>
      <c r="D77" s="166"/>
      <c r="E77" s="27"/>
      <c r="F77" s="234"/>
      <c r="G77" s="145"/>
      <c r="H77" s="166"/>
      <c r="I77" s="27"/>
      <c r="J77" s="289"/>
      <c r="K77" s="44"/>
      <c r="L77" s="257"/>
      <c r="M77" s="27"/>
    </row>
    <row r="78" spans="1:14" x14ac:dyDescent="0.2">
      <c r="A78" s="21" t="s">
        <v>9</v>
      </c>
      <c r="B78" s="234"/>
      <c r="C78" s="145"/>
      <c r="D78" s="166"/>
      <c r="E78" s="27"/>
      <c r="F78" s="234"/>
      <c r="G78" s="145"/>
      <c r="H78" s="166"/>
      <c r="I78" s="27"/>
      <c r="J78" s="289"/>
      <c r="K78" s="44"/>
      <c r="L78" s="257"/>
      <c r="M78" s="27"/>
    </row>
    <row r="79" spans="1:14" x14ac:dyDescent="0.2">
      <c r="A79" s="21" t="s">
        <v>10</v>
      </c>
      <c r="B79" s="294"/>
      <c r="C79" s="295"/>
      <c r="D79" s="166"/>
      <c r="E79" s="27"/>
      <c r="F79" s="294"/>
      <c r="G79" s="295"/>
      <c r="H79" s="166"/>
      <c r="I79" s="27"/>
      <c r="J79" s="289"/>
      <c r="K79" s="44"/>
      <c r="L79" s="257"/>
      <c r="M79" s="27"/>
    </row>
    <row r="80" spans="1:14" ht="15.75" x14ac:dyDescent="0.2">
      <c r="A80" s="298" t="s">
        <v>459</v>
      </c>
      <c r="B80" s="283"/>
      <c r="C80" s="283"/>
      <c r="D80" s="166"/>
      <c r="E80" s="418"/>
      <c r="F80" s="283"/>
      <c r="G80" s="283"/>
      <c r="H80" s="166"/>
      <c r="I80" s="418"/>
      <c r="J80" s="292"/>
      <c r="K80" s="292"/>
      <c r="L80" s="166"/>
      <c r="M80" s="23"/>
    </row>
    <row r="81" spans="1:13" x14ac:dyDescent="0.2">
      <c r="A81" s="298" t="s">
        <v>12</v>
      </c>
      <c r="B81" s="235"/>
      <c r="C81" s="291"/>
      <c r="D81" s="166"/>
      <c r="E81" s="418"/>
      <c r="F81" s="283"/>
      <c r="G81" s="283"/>
      <c r="H81" s="166"/>
      <c r="I81" s="418"/>
      <c r="J81" s="292"/>
      <c r="K81" s="292"/>
      <c r="L81" s="166"/>
      <c r="M81" s="23"/>
    </row>
    <row r="82" spans="1:13" x14ac:dyDescent="0.2">
      <c r="A82" s="298" t="s">
        <v>13</v>
      </c>
      <c r="B82" s="235"/>
      <c r="C82" s="291"/>
      <c r="D82" s="166"/>
      <c r="E82" s="418"/>
      <c r="F82" s="283"/>
      <c r="G82" s="283"/>
      <c r="H82" s="166"/>
      <c r="I82" s="418"/>
      <c r="J82" s="292"/>
      <c r="K82" s="292"/>
      <c r="L82" s="166"/>
      <c r="M82" s="23"/>
    </row>
    <row r="83" spans="1:13" ht="15.75" x14ac:dyDescent="0.2">
      <c r="A83" s="298" t="s">
        <v>460</v>
      </c>
      <c r="B83" s="283"/>
      <c r="C83" s="283"/>
      <c r="D83" s="166"/>
      <c r="E83" s="418"/>
      <c r="F83" s="283"/>
      <c r="G83" s="283"/>
      <c r="H83" s="166"/>
      <c r="I83" s="418"/>
      <c r="J83" s="292"/>
      <c r="K83" s="292"/>
      <c r="L83" s="166"/>
      <c r="M83" s="23"/>
    </row>
    <row r="84" spans="1:13" x14ac:dyDescent="0.2">
      <c r="A84" s="298" t="s">
        <v>12</v>
      </c>
      <c r="B84" s="235"/>
      <c r="C84" s="291"/>
      <c r="D84" s="166"/>
      <c r="E84" s="418"/>
      <c r="F84" s="283"/>
      <c r="G84" s="283"/>
      <c r="H84" s="166"/>
      <c r="I84" s="418"/>
      <c r="J84" s="292"/>
      <c r="K84" s="292"/>
      <c r="L84" s="166"/>
      <c r="M84" s="23"/>
    </row>
    <row r="85" spans="1:13" x14ac:dyDescent="0.2">
      <c r="A85" s="298" t="s">
        <v>13</v>
      </c>
      <c r="B85" s="235"/>
      <c r="C85" s="291"/>
      <c r="D85" s="166"/>
      <c r="E85" s="418"/>
      <c r="F85" s="283"/>
      <c r="G85" s="283"/>
      <c r="H85" s="166"/>
      <c r="I85" s="418"/>
      <c r="J85" s="292"/>
      <c r="K85" s="292"/>
      <c r="L85" s="166"/>
      <c r="M85" s="23"/>
    </row>
    <row r="86" spans="1:13" ht="15.75" x14ac:dyDescent="0.2">
      <c r="A86" s="21" t="s">
        <v>462</v>
      </c>
      <c r="B86" s="234"/>
      <c r="C86" s="145"/>
      <c r="D86" s="166"/>
      <c r="E86" s="27"/>
      <c r="F86" s="234"/>
      <c r="G86" s="145"/>
      <c r="H86" s="166"/>
      <c r="I86" s="27"/>
      <c r="J86" s="289"/>
      <c r="K86" s="44"/>
      <c r="L86" s="257"/>
      <c r="M86" s="27"/>
    </row>
    <row r="87" spans="1:13" ht="15.75" x14ac:dyDescent="0.2">
      <c r="A87" s="13" t="s">
        <v>444</v>
      </c>
      <c r="B87" s="354"/>
      <c r="C87" s="354"/>
      <c r="D87" s="171"/>
      <c r="E87" s="11"/>
      <c r="F87" s="353"/>
      <c r="G87" s="353"/>
      <c r="H87" s="171"/>
      <c r="I87" s="11"/>
      <c r="J87" s="311"/>
      <c r="K87" s="236"/>
      <c r="L87" s="429"/>
      <c r="M87" s="11"/>
    </row>
    <row r="88" spans="1:13" x14ac:dyDescent="0.2">
      <c r="A88" s="21" t="s">
        <v>9</v>
      </c>
      <c r="B88" s="234"/>
      <c r="C88" s="145"/>
      <c r="D88" s="166"/>
      <c r="E88" s="27"/>
      <c r="F88" s="234"/>
      <c r="G88" s="145"/>
      <c r="H88" s="166"/>
      <c r="I88" s="27"/>
      <c r="J88" s="289"/>
      <c r="K88" s="44"/>
      <c r="L88" s="257"/>
      <c r="M88" s="27"/>
    </row>
    <row r="89" spans="1:13" x14ac:dyDescent="0.2">
      <c r="A89" s="21" t="s">
        <v>10</v>
      </c>
      <c r="B89" s="234"/>
      <c r="C89" s="145"/>
      <c r="D89" s="166"/>
      <c r="E89" s="27"/>
      <c r="F89" s="234"/>
      <c r="G89" s="145"/>
      <c r="H89" s="166"/>
      <c r="I89" s="27"/>
      <c r="J89" s="289"/>
      <c r="K89" s="44"/>
      <c r="L89" s="257"/>
      <c r="M89" s="27"/>
    </row>
    <row r="90" spans="1:13" ht="15.75" x14ac:dyDescent="0.2">
      <c r="A90" s="298" t="s">
        <v>459</v>
      </c>
      <c r="B90" s="283"/>
      <c r="C90" s="283"/>
      <c r="D90" s="166"/>
      <c r="E90" s="418"/>
      <c r="F90" s="283"/>
      <c r="G90" s="283"/>
      <c r="H90" s="166"/>
      <c r="I90" s="418"/>
      <c r="J90" s="292"/>
      <c r="K90" s="292"/>
      <c r="L90" s="166"/>
      <c r="M90" s="23"/>
    </row>
    <row r="91" spans="1:13" x14ac:dyDescent="0.2">
      <c r="A91" s="298" t="s">
        <v>12</v>
      </c>
      <c r="B91" s="235"/>
      <c r="C91" s="291"/>
      <c r="D91" s="166"/>
      <c r="E91" s="418"/>
      <c r="F91" s="283"/>
      <c r="G91" s="283"/>
      <c r="H91" s="166"/>
      <c r="I91" s="418"/>
      <c r="J91" s="292"/>
      <c r="K91" s="292"/>
      <c r="L91" s="166"/>
      <c r="M91" s="23"/>
    </row>
    <row r="92" spans="1:13" x14ac:dyDescent="0.2">
      <c r="A92" s="298" t="s">
        <v>13</v>
      </c>
      <c r="B92" s="235"/>
      <c r="C92" s="291"/>
      <c r="D92" s="166"/>
      <c r="E92" s="418"/>
      <c r="F92" s="283"/>
      <c r="G92" s="283"/>
      <c r="H92" s="166"/>
      <c r="I92" s="418"/>
      <c r="J92" s="292"/>
      <c r="K92" s="292"/>
      <c r="L92" s="166"/>
      <c r="M92" s="23"/>
    </row>
    <row r="93" spans="1:13" ht="15.75" x14ac:dyDescent="0.2">
      <c r="A93" s="298" t="s">
        <v>460</v>
      </c>
      <c r="B93" s="283"/>
      <c r="C93" s="283"/>
      <c r="D93" s="166"/>
      <c r="E93" s="418"/>
      <c r="F93" s="283"/>
      <c r="G93" s="283"/>
      <c r="H93" s="166"/>
      <c r="I93" s="418"/>
      <c r="J93" s="292"/>
      <c r="K93" s="292"/>
      <c r="L93" s="166"/>
      <c r="M93" s="23"/>
    </row>
    <row r="94" spans="1:13" x14ac:dyDescent="0.2">
      <c r="A94" s="298" t="s">
        <v>12</v>
      </c>
      <c r="B94" s="235"/>
      <c r="C94" s="291"/>
      <c r="D94" s="166"/>
      <c r="E94" s="418"/>
      <c r="F94" s="283"/>
      <c r="G94" s="283"/>
      <c r="H94" s="166"/>
      <c r="I94" s="418"/>
      <c r="J94" s="292"/>
      <c r="K94" s="292"/>
      <c r="L94" s="166"/>
      <c r="M94" s="23"/>
    </row>
    <row r="95" spans="1:13" x14ac:dyDescent="0.2">
      <c r="A95" s="298" t="s">
        <v>13</v>
      </c>
      <c r="B95" s="235"/>
      <c r="C95" s="291"/>
      <c r="D95" s="166"/>
      <c r="E95" s="418"/>
      <c r="F95" s="283"/>
      <c r="G95" s="283"/>
      <c r="H95" s="166"/>
      <c r="I95" s="418"/>
      <c r="J95" s="292"/>
      <c r="K95" s="292"/>
      <c r="L95" s="166"/>
      <c r="M95" s="23"/>
    </row>
    <row r="96" spans="1:13" x14ac:dyDescent="0.2">
      <c r="A96" s="21" t="s">
        <v>344</v>
      </c>
      <c r="B96" s="234"/>
      <c r="C96" s="145"/>
      <c r="D96" s="166"/>
      <c r="E96" s="27"/>
      <c r="F96" s="234"/>
      <c r="G96" s="145"/>
      <c r="H96" s="166"/>
      <c r="I96" s="27"/>
      <c r="J96" s="289"/>
      <c r="K96" s="44"/>
      <c r="L96" s="257"/>
      <c r="M96" s="27"/>
    </row>
    <row r="97" spans="1:13" x14ac:dyDescent="0.2">
      <c r="A97" s="21" t="s">
        <v>343</v>
      </c>
      <c r="B97" s="234"/>
      <c r="C97" s="145"/>
      <c r="D97" s="166"/>
      <c r="E97" s="27"/>
      <c r="F97" s="234"/>
      <c r="G97" s="145"/>
      <c r="H97" s="166"/>
      <c r="I97" s="27"/>
      <c r="J97" s="289"/>
      <c r="K97" s="44"/>
      <c r="L97" s="257"/>
      <c r="M97" s="27"/>
    </row>
    <row r="98" spans="1:13" ht="15.75" x14ac:dyDescent="0.2">
      <c r="A98" s="21" t="s">
        <v>461</v>
      </c>
      <c r="B98" s="234"/>
      <c r="C98" s="234"/>
      <c r="D98" s="166"/>
      <c r="E98" s="27"/>
      <c r="F98" s="294"/>
      <c r="G98" s="294"/>
      <c r="H98" s="166"/>
      <c r="I98" s="27"/>
      <c r="J98" s="289"/>
      <c r="K98" s="44"/>
      <c r="L98" s="257"/>
      <c r="M98" s="27"/>
    </row>
    <row r="99" spans="1:13" x14ac:dyDescent="0.2">
      <c r="A99" s="21" t="s">
        <v>9</v>
      </c>
      <c r="B99" s="294"/>
      <c r="C99" s="295"/>
      <c r="D99" s="166"/>
      <c r="E99" s="27"/>
      <c r="F99" s="234"/>
      <c r="G99" s="145"/>
      <c r="H99" s="166"/>
      <c r="I99" s="27"/>
      <c r="J99" s="289"/>
      <c r="K99" s="44"/>
      <c r="L99" s="257"/>
      <c r="M99" s="27"/>
    </row>
    <row r="100" spans="1:13" x14ac:dyDescent="0.2">
      <c r="A100" s="21" t="s">
        <v>10</v>
      </c>
      <c r="B100" s="294"/>
      <c r="C100" s="295"/>
      <c r="D100" s="166"/>
      <c r="E100" s="27"/>
      <c r="F100" s="234"/>
      <c r="G100" s="234"/>
      <c r="H100" s="166"/>
      <c r="I100" s="27"/>
      <c r="J100" s="289"/>
      <c r="K100" s="44"/>
      <c r="L100" s="257"/>
      <c r="M100" s="27"/>
    </row>
    <row r="101" spans="1:13" ht="15.75" x14ac:dyDescent="0.2">
      <c r="A101" s="298" t="s">
        <v>459</v>
      </c>
      <c r="B101" s="283"/>
      <c r="C101" s="283"/>
      <c r="D101" s="166"/>
      <c r="E101" s="418"/>
      <c r="F101" s="283"/>
      <c r="G101" s="283"/>
      <c r="H101" s="166"/>
      <c r="I101" s="418"/>
      <c r="J101" s="292"/>
      <c r="K101" s="292"/>
      <c r="L101" s="166"/>
      <c r="M101" s="23"/>
    </row>
    <row r="102" spans="1:13" x14ac:dyDescent="0.2">
      <c r="A102" s="298" t="s">
        <v>12</v>
      </c>
      <c r="B102" s="235"/>
      <c r="C102" s="291"/>
      <c r="D102" s="166"/>
      <c r="E102" s="418"/>
      <c r="F102" s="283"/>
      <c r="G102" s="283"/>
      <c r="H102" s="166"/>
      <c r="I102" s="418"/>
      <c r="J102" s="292"/>
      <c r="K102" s="292"/>
      <c r="L102" s="166"/>
      <c r="M102" s="23"/>
    </row>
    <row r="103" spans="1:13" x14ac:dyDescent="0.2">
      <c r="A103" s="298" t="s">
        <v>13</v>
      </c>
      <c r="B103" s="235"/>
      <c r="C103" s="291"/>
      <c r="D103" s="166"/>
      <c r="E103" s="418"/>
      <c r="F103" s="283"/>
      <c r="G103" s="283"/>
      <c r="H103" s="166"/>
      <c r="I103" s="418"/>
      <c r="J103" s="292"/>
      <c r="K103" s="292"/>
      <c r="L103" s="166"/>
      <c r="M103" s="23"/>
    </row>
    <row r="104" spans="1:13" ht="15.75" x14ac:dyDescent="0.2">
      <c r="A104" s="298" t="s">
        <v>460</v>
      </c>
      <c r="B104" s="283"/>
      <c r="C104" s="283"/>
      <c r="D104" s="166"/>
      <c r="E104" s="418"/>
      <c r="F104" s="283"/>
      <c r="G104" s="283"/>
      <c r="H104" s="166"/>
      <c r="I104" s="418"/>
      <c r="J104" s="292"/>
      <c r="K104" s="292"/>
      <c r="L104" s="166"/>
      <c r="M104" s="23"/>
    </row>
    <row r="105" spans="1:13" x14ac:dyDescent="0.2">
      <c r="A105" s="298" t="s">
        <v>12</v>
      </c>
      <c r="B105" s="235"/>
      <c r="C105" s="291"/>
      <c r="D105" s="166"/>
      <c r="E105" s="418"/>
      <c r="F105" s="283"/>
      <c r="G105" s="283"/>
      <c r="H105" s="166"/>
      <c r="I105" s="418"/>
      <c r="J105" s="292"/>
      <c r="K105" s="292"/>
      <c r="L105" s="166"/>
      <c r="M105" s="23"/>
    </row>
    <row r="106" spans="1:13" x14ac:dyDescent="0.2">
      <c r="A106" s="298" t="s">
        <v>13</v>
      </c>
      <c r="B106" s="235"/>
      <c r="C106" s="291"/>
      <c r="D106" s="166"/>
      <c r="E106" s="418"/>
      <c r="F106" s="283"/>
      <c r="G106" s="283"/>
      <c r="H106" s="166"/>
      <c r="I106" s="418"/>
      <c r="J106" s="292"/>
      <c r="K106" s="292"/>
      <c r="L106" s="166"/>
      <c r="M106" s="23"/>
    </row>
    <row r="107" spans="1:13" ht="15.75" x14ac:dyDescent="0.2">
      <c r="A107" s="21" t="s">
        <v>462</v>
      </c>
      <c r="B107" s="234"/>
      <c r="C107" s="145"/>
      <c r="D107" s="166"/>
      <c r="E107" s="27"/>
      <c r="F107" s="234"/>
      <c r="G107" s="145"/>
      <c r="H107" s="166"/>
      <c r="I107" s="27"/>
      <c r="J107" s="289"/>
      <c r="K107" s="44"/>
      <c r="L107" s="257"/>
      <c r="M107" s="27"/>
    </row>
    <row r="108" spans="1:13" ht="15.75" x14ac:dyDescent="0.2">
      <c r="A108" s="21" t="s">
        <v>463</v>
      </c>
      <c r="B108" s="234"/>
      <c r="C108" s="234"/>
      <c r="D108" s="166"/>
      <c r="E108" s="27"/>
      <c r="F108" s="234"/>
      <c r="G108" s="234"/>
      <c r="H108" s="166"/>
      <c r="I108" s="27"/>
      <c r="J108" s="289"/>
      <c r="K108" s="44"/>
      <c r="L108" s="257"/>
      <c r="M108" s="27"/>
    </row>
    <row r="109" spans="1:13" ht="15.75" x14ac:dyDescent="0.2">
      <c r="A109" s="21" t="s">
        <v>464</v>
      </c>
      <c r="B109" s="234"/>
      <c r="C109" s="234"/>
      <c r="D109" s="166"/>
      <c r="E109" s="27"/>
      <c r="F109" s="234"/>
      <c r="G109" s="234"/>
      <c r="H109" s="166"/>
      <c r="I109" s="27"/>
      <c r="J109" s="289"/>
      <c r="K109" s="44"/>
      <c r="L109" s="257"/>
      <c r="M109" s="27"/>
    </row>
    <row r="110" spans="1:13" ht="15.75" x14ac:dyDescent="0.2">
      <c r="A110" s="21" t="s">
        <v>465</v>
      </c>
      <c r="B110" s="234"/>
      <c r="C110" s="234"/>
      <c r="D110" s="166"/>
      <c r="E110" s="27"/>
      <c r="F110" s="234"/>
      <c r="G110" s="234"/>
      <c r="H110" s="166"/>
      <c r="I110" s="27"/>
      <c r="J110" s="289"/>
      <c r="K110" s="44"/>
      <c r="L110" s="257"/>
      <c r="M110" s="27"/>
    </row>
    <row r="111" spans="1:13" ht="15.75" x14ac:dyDescent="0.2">
      <c r="A111" s="13" t="s">
        <v>445</v>
      </c>
      <c r="B111" s="310"/>
      <c r="C111" s="159"/>
      <c r="D111" s="171"/>
      <c r="E111" s="11"/>
      <c r="F111" s="310"/>
      <c r="G111" s="159"/>
      <c r="H111" s="171"/>
      <c r="I111" s="11"/>
      <c r="J111" s="311"/>
      <c r="K111" s="236"/>
      <c r="L111" s="429"/>
      <c r="M111" s="11"/>
    </row>
    <row r="112" spans="1:13" x14ac:dyDescent="0.2">
      <c r="A112" s="21" t="s">
        <v>9</v>
      </c>
      <c r="B112" s="234"/>
      <c r="C112" s="145"/>
      <c r="D112" s="166"/>
      <c r="E112" s="27"/>
      <c r="F112" s="234"/>
      <c r="G112" s="145"/>
      <c r="H112" s="166"/>
      <c r="I112" s="27"/>
      <c r="J112" s="289"/>
      <c r="K112" s="44"/>
      <c r="L112" s="257"/>
      <c r="M112" s="27"/>
    </row>
    <row r="113" spans="1:14" x14ac:dyDescent="0.2">
      <c r="A113" s="21" t="s">
        <v>10</v>
      </c>
      <c r="B113" s="234"/>
      <c r="C113" s="145"/>
      <c r="D113" s="166"/>
      <c r="E113" s="27"/>
      <c r="F113" s="234"/>
      <c r="G113" s="145"/>
      <c r="H113" s="166"/>
      <c r="I113" s="27"/>
      <c r="J113" s="289"/>
      <c r="K113" s="44"/>
      <c r="L113" s="257"/>
      <c r="M113" s="27"/>
    </row>
    <row r="114" spans="1:14" x14ac:dyDescent="0.2">
      <c r="A114" s="21" t="s">
        <v>26</v>
      </c>
      <c r="B114" s="234"/>
      <c r="C114" s="145"/>
      <c r="D114" s="166"/>
      <c r="E114" s="27"/>
      <c r="F114" s="234"/>
      <c r="G114" s="145"/>
      <c r="H114" s="166"/>
      <c r="I114" s="27"/>
      <c r="J114" s="289"/>
      <c r="K114" s="44"/>
      <c r="L114" s="257"/>
      <c r="M114" s="27"/>
    </row>
    <row r="115" spans="1:14" x14ac:dyDescent="0.2">
      <c r="A115" s="298" t="s">
        <v>15</v>
      </c>
      <c r="B115" s="283"/>
      <c r="C115" s="283"/>
      <c r="D115" s="166"/>
      <c r="E115" s="418"/>
      <c r="F115" s="283"/>
      <c r="G115" s="283"/>
      <c r="H115" s="166"/>
      <c r="I115" s="418"/>
      <c r="J115" s="292"/>
      <c r="K115" s="292"/>
      <c r="L115" s="166"/>
      <c r="M115" s="23"/>
    </row>
    <row r="116" spans="1:14" ht="15.75" x14ac:dyDescent="0.2">
      <c r="A116" s="21" t="s">
        <v>466</v>
      </c>
      <c r="B116" s="234"/>
      <c r="C116" s="234"/>
      <c r="D116" s="166"/>
      <c r="E116" s="27"/>
      <c r="F116" s="234"/>
      <c r="G116" s="234"/>
      <c r="H116" s="166"/>
      <c r="I116" s="27"/>
      <c r="J116" s="289"/>
      <c r="K116" s="44"/>
      <c r="L116" s="257"/>
      <c r="M116" s="27"/>
    </row>
    <row r="117" spans="1:14" ht="15.75" x14ac:dyDescent="0.2">
      <c r="A117" s="21" t="s">
        <v>467</v>
      </c>
      <c r="B117" s="234"/>
      <c r="C117" s="234"/>
      <c r="D117" s="166"/>
      <c r="E117" s="27"/>
      <c r="F117" s="234"/>
      <c r="G117" s="234"/>
      <c r="H117" s="166"/>
      <c r="I117" s="27"/>
      <c r="J117" s="289"/>
      <c r="K117" s="44"/>
      <c r="L117" s="257"/>
      <c r="M117" s="27"/>
    </row>
    <row r="118" spans="1:14" ht="15.75" x14ac:dyDescent="0.2">
      <c r="A118" s="21" t="s">
        <v>465</v>
      </c>
      <c r="B118" s="234"/>
      <c r="C118" s="234"/>
      <c r="D118" s="166"/>
      <c r="E118" s="27"/>
      <c r="F118" s="234"/>
      <c r="G118" s="234"/>
      <c r="H118" s="166"/>
      <c r="I118" s="27"/>
      <c r="J118" s="289"/>
      <c r="K118" s="44"/>
      <c r="L118" s="257"/>
      <c r="M118" s="27"/>
    </row>
    <row r="119" spans="1:14" ht="15.75" x14ac:dyDescent="0.2">
      <c r="A119" s="13" t="s">
        <v>446</v>
      </c>
      <c r="B119" s="310"/>
      <c r="C119" s="159"/>
      <c r="D119" s="171"/>
      <c r="E119" s="11"/>
      <c r="F119" s="310"/>
      <c r="G119" s="159"/>
      <c r="H119" s="171"/>
      <c r="I119" s="11"/>
      <c r="J119" s="311"/>
      <c r="K119" s="236"/>
      <c r="L119" s="429"/>
      <c r="M119" s="11"/>
    </row>
    <row r="120" spans="1:14" x14ac:dyDescent="0.2">
      <c r="A120" s="21" t="s">
        <v>9</v>
      </c>
      <c r="B120" s="234"/>
      <c r="C120" s="145"/>
      <c r="D120" s="166"/>
      <c r="E120" s="27"/>
      <c r="F120" s="234"/>
      <c r="G120" s="145"/>
      <c r="H120" s="166"/>
      <c r="I120" s="27"/>
      <c r="J120" s="289"/>
      <c r="K120" s="44"/>
      <c r="L120" s="257"/>
      <c r="M120" s="27"/>
    </row>
    <row r="121" spans="1:14" x14ac:dyDescent="0.2">
      <c r="A121" s="21" t="s">
        <v>10</v>
      </c>
      <c r="B121" s="234"/>
      <c r="C121" s="145"/>
      <c r="D121" s="166"/>
      <c r="E121" s="27"/>
      <c r="F121" s="234"/>
      <c r="G121" s="145"/>
      <c r="H121" s="166"/>
      <c r="I121" s="27"/>
      <c r="J121" s="289"/>
      <c r="K121" s="44"/>
      <c r="L121" s="257"/>
      <c r="M121" s="27"/>
    </row>
    <row r="122" spans="1:14" x14ac:dyDescent="0.2">
      <c r="A122" s="21" t="s">
        <v>26</v>
      </c>
      <c r="B122" s="234"/>
      <c r="C122" s="145"/>
      <c r="D122" s="166"/>
      <c r="E122" s="27"/>
      <c r="F122" s="234"/>
      <c r="G122" s="145"/>
      <c r="H122" s="166"/>
      <c r="I122" s="27"/>
      <c r="J122" s="289"/>
      <c r="K122" s="44"/>
      <c r="L122" s="257"/>
      <c r="M122" s="27"/>
    </row>
    <row r="123" spans="1:14" x14ac:dyDescent="0.2">
      <c r="A123" s="298" t="s">
        <v>14</v>
      </c>
      <c r="B123" s="283"/>
      <c r="C123" s="283"/>
      <c r="D123" s="166"/>
      <c r="E123" s="418"/>
      <c r="F123" s="283"/>
      <c r="G123" s="283"/>
      <c r="H123" s="166"/>
      <c r="I123" s="418"/>
      <c r="J123" s="292"/>
      <c r="K123" s="292"/>
      <c r="L123" s="166"/>
      <c r="M123" s="23"/>
    </row>
    <row r="124" spans="1:14" ht="15.75" x14ac:dyDescent="0.2">
      <c r="A124" s="21" t="s">
        <v>472</v>
      </c>
      <c r="B124" s="234"/>
      <c r="C124" s="234"/>
      <c r="D124" s="166"/>
      <c r="E124" s="27"/>
      <c r="F124" s="234"/>
      <c r="G124" s="234"/>
      <c r="H124" s="166"/>
      <c r="I124" s="27"/>
      <c r="J124" s="289"/>
      <c r="K124" s="44"/>
      <c r="L124" s="257"/>
      <c r="M124" s="27"/>
    </row>
    <row r="125" spans="1:14" ht="15.75" x14ac:dyDescent="0.2">
      <c r="A125" s="21" t="s">
        <v>464</v>
      </c>
      <c r="B125" s="234"/>
      <c r="C125" s="234"/>
      <c r="D125" s="166"/>
      <c r="E125" s="27"/>
      <c r="F125" s="234"/>
      <c r="G125" s="234"/>
      <c r="H125" s="166"/>
      <c r="I125" s="27"/>
      <c r="J125" s="289"/>
      <c r="K125" s="44"/>
      <c r="L125" s="257"/>
      <c r="M125" s="27"/>
    </row>
    <row r="126" spans="1:14" ht="15.75" x14ac:dyDescent="0.2">
      <c r="A126" s="10" t="s">
        <v>465</v>
      </c>
      <c r="B126" s="45"/>
      <c r="C126" s="45"/>
      <c r="D126" s="167"/>
      <c r="E126" s="419"/>
      <c r="F126" s="45"/>
      <c r="G126" s="45"/>
      <c r="H126" s="167"/>
      <c r="I126" s="22"/>
      <c r="J126" s="290"/>
      <c r="K126" s="45"/>
      <c r="L126" s="258"/>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1022"/>
      <c r="C130" s="1022"/>
      <c r="D130" s="1022"/>
      <c r="E130" s="301"/>
      <c r="F130" s="1022"/>
      <c r="G130" s="1022"/>
      <c r="H130" s="1022"/>
      <c r="I130" s="301"/>
      <c r="J130" s="1022"/>
      <c r="K130" s="1022"/>
      <c r="L130" s="1022"/>
      <c r="M130" s="301"/>
    </row>
    <row r="131" spans="1:14" s="3" customFormat="1" x14ac:dyDescent="0.2">
      <c r="A131" s="144"/>
      <c r="B131" s="1023" t="s">
        <v>0</v>
      </c>
      <c r="C131" s="1024"/>
      <c r="D131" s="1024"/>
      <c r="E131" s="303"/>
      <c r="F131" s="1023" t="s">
        <v>1</v>
      </c>
      <c r="G131" s="1024"/>
      <c r="H131" s="1024"/>
      <c r="I131" s="306"/>
      <c r="J131" s="1023" t="s">
        <v>2</v>
      </c>
      <c r="K131" s="1024"/>
      <c r="L131" s="1024"/>
      <c r="M131" s="306"/>
      <c r="N131" s="148"/>
    </row>
    <row r="132" spans="1:14" s="3" customFormat="1" x14ac:dyDescent="0.2">
      <c r="A132" s="140"/>
      <c r="B132" s="152" t="s">
        <v>502</v>
      </c>
      <c r="C132" s="152" t="s">
        <v>503</v>
      </c>
      <c r="D132" s="245" t="s">
        <v>3</v>
      </c>
      <c r="E132" s="307" t="s">
        <v>29</v>
      </c>
      <c r="F132" s="152" t="s">
        <v>502</v>
      </c>
      <c r="G132" s="152" t="s">
        <v>503</v>
      </c>
      <c r="H132" s="206" t="s">
        <v>3</v>
      </c>
      <c r="I132" s="162" t="s">
        <v>29</v>
      </c>
      <c r="J132" s="152" t="s">
        <v>502</v>
      </c>
      <c r="K132" s="152" t="s">
        <v>503</v>
      </c>
      <c r="L132" s="246" t="s">
        <v>3</v>
      </c>
      <c r="M132" s="162" t="s">
        <v>29</v>
      </c>
      <c r="N132" s="148"/>
    </row>
    <row r="133" spans="1:14" s="3" customFormat="1" x14ac:dyDescent="0.2">
      <c r="A133" s="990"/>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468</v>
      </c>
      <c r="B134" s="236"/>
      <c r="C134" s="311"/>
      <c r="D134" s="351"/>
      <c r="E134" s="11"/>
      <c r="F134" s="318"/>
      <c r="G134" s="319"/>
      <c r="H134" s="432"/>
      <c r="I134" s="24"/>
      <c r="J134" s="320"/>
      <c r="K134" s="320"/>
      <c r="L134" s="428"/>
      <c r="M134" s="11"/>
      <c r="N134" s="148"/>
    </row>
    <row r="135" spans="1:14" s="3" customFormat="1" ht="15.75" x14ac:dyDescent="0.2">
      <c r="A135" s="13" t="s">
        <v>473</v>
      </c>
      <c r="B135" s="236"/>
      <c r="C135" s="311"/>
      <c r="D135" s="171"/>
      <c r="E135" s="11"/>
      <c r="F135" s="236"/>
      <c r="G135" s="311"/>
      <c r="H135" s="433"/>
      <c r="I135" s="24"/>
      <c r="J135" s="310"/>
      <c r="K135" s="310"/>
      <c r="L135" s="429"/>
      <c r="M135" s="11"/>
      <c r="N135" s="148"/>
    </row>
    <row r="136" spans="1:14" s="3" customFormat="1" ht="15.75" x14ac:dyDescent="0.2">
      <c r="A136" s="13" t="s">
        <v>470</v>
      </c>
      <c r="B136" s="236"/>
      <c r="C136" s="311"/>
      <c r="D136" s="171"/>
      <c r="E136" s="11"/>
      <c r="F136" s="236"/>
      <c r="G136" s="311"/>
      <c r="H136" s="433"/>
      <c r="I136" s="24"/>
      <c r="J136" s="310"/>
      <c r="K136" s="310"/>
      <c r="L136" s="429"/>
      <c r="M136" s="11"/>
      <c r="N136" s="148"/>
    </row>
    <row r="137" spans="1:14" s="3" customFormat="1" ht="15.75" x14ac:dyDescent="0.2">
      <c r="A137" s="41" t="s">
        <v>471</v>
      </c>
      <c r="B137" s="278"/>
      <c r="C137" s="317"/>
      <c r="D137" s="169"/>
      <c r="E137" s="9"/>
      <c r="F137" s="278"/>
      <c r="G137" s="317"/>
      <c r="H137" s="434"/>
      <c r="I137" s="36"/>
      <c r="J137" s="316"/>
      <c r="K137" s="316"/>
      <c r="L137" s="430"/>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035" priority="117">
      <formula>kvartal &lt; 4</formula>
    </cfRule>
  </conditionalFormatting>
  <conditionalFormatting sqref="B69">
    <cfRule type="expression" dxfId="1034" priority="85">
      <formula>kvartal &lt; 4</formula>
    </cfRule>
  </conditionalFormatting>
  <conditionalFormatting sqref="C69">
    <cfRule type="expression" dxfId="1033" priority="84">
      <formula>kvartal &lt; 4</formula>
    </cfRule>
  </conditionalFormatting>
  <conditionalFormatting sqref="B72">
    <cfRule type="expression" dxfId="1032" priority="83">
      <formula>kvartal &lt; 4</formula>
    </cfRule>
  </conditionalFormatting>
  <conditionalFormatting sqref="C72">
    <cfRule type="expression" dxfId="1031" priority="82">
      <formula>kvartal &lt; 4</formula>
    </cfRule>
  </conditionalFormatting>
  <conditionalFormatting sqref="B80">
    <cfRule type="expression" dxfId="1030" priority="81">
      <formula>kvartal &lt; 4</formula>
    </cfRule>
  </conditionalFormatting>
  <conditionalFormatting sqref="C80">
    <cfRule type="expression" dxfId="1029" priority="80">
      <formula>kvartal &lt; 4</formula>
    </cfRule>
  </conditionalFormatting>
  <conditionalFormatting sqref="B83">
    <cfRule type="expression" dxfId="1028" priority="79">
      <formula>kvartal &lt; 4</formula>
    </cfRule>
  </conditionalFormatting>
  <conditionalFormatting sqref="C83">
    <cfRule type="expression" dxfId="1027" priority="78">
      <formula>kvartal &lt; 4</formula>
    </cfRule>
  </conditionalFormatting>
  <conditionalFormatting sqref="B90">
    <cfRule type="expression" dxfId="1026" priority="69">
      <formula>kvartal &lt; 4</formula>
    </cfRule>
  </conditionalFormatting>
  <conditionalFormatting sqref="C90">
    <cfRule type="expression" dxfId="1025" priority="68">
      <formula>kvartal &lt; 4</formula>
    </cfRule>
  </conditionalFormatting>
  <conditionalFormatting sqref="B93">
    <cfRule type="expression" dxfId="1024" priority="67">
      <formula>kvartal &lt; 4</formula>
    </cfRule>
  </conditionalFormatting>
  <conditionalFormatting sqref="C93">
    <cfRule type="expression" dxfId="1023" priority="66">
      <formula>kvartal &lt; 4</formula>
    </cfRule>
  </conditionalFormatting>
  <conditionalFormatting sqref="B101">
    <cfRule type="expression" dxfId="1022" priority="65">
      <formula>kvartal &lt; 4</formula>
    </cfRule>
  </conditionalFormatting>
  <conditionalFormatting sqref="C101">
    <cfRule type="expression" dxfId="1021" priority="64">
      <formula>kvartal &lt; 4</formula>
    </cfRule>
  </conditionalFormatting>
  <conditionalFormatting sqref="B104">
    <cfRule type="expression" dxfId="1020" priority="63">
      <formula>kvartal &lt; 4</formula>
    </cfRule>
  </conditionalFormatting>
  <conditionalFormatting sqref="C104">
    <cfRule type="expression" dxfId="1019" priority="62">
      <formula>kvartal &lt; 4</formula>
    </cfRule>
  </conditionalFormatting>
  <conditionalFormatting sqref="B115">
    <cfRule type="expression" dxfId="1018" priority="61">
      <formula>kvartal &lt; 4</formula>
    </cfRule>
  </conditionalFormatting>
  <conditionalFormatting sqref="C115">
    <cfRule type="expression" dxfId="1017" priority="60">
      <formula>kvartal &lt; 4</formula>
    </cfRule>
  </conditionalFormatting>
  <conditionalFormatting sqref="B123">
    <cfRule type="expression" dxfId="1016" priority="59">
      <formula>kvartal &lt; 4</formula>
    </cfRule>
  </conditionalFormatting>
  <conditionalFormatting sqref="C123">
    <cfRule type="expression" dxfId="1015" priority="58">
      <formula>kvartal &lt; 4</formula>
    </cfRule>
  </conditionalFormatting>
  <conditionalFormatting sqref="F70">
    <cfRule type="expression" dxfId="1014" priority="57">
      <formula>kvartal &lt; 4</formula>
    </cfRule>
  </conditionalFormatting>
  <conditionalFormatting sqref="G70">
    <cfRule type="expression" dxfId="1013" priority="56">
      <formula>kvartal &lt; 4</formula>
    </cfRule>
  </conditionalFormatting>
  <conditionalFormatting sqref="F71:G71">
    <cfRule type="expression" dxfId="1012" priority="55">
      <formula>kvartal &lt; 4</formula>
    </cfRule>
  </conditionalFormatting>
  <conditionalFormatting sqref="F73:G74">
    <cfRule type="expression" dxfId="1011" priority="54">
      <formula>kvartal &lt; 4</formula>
    </cfRule>
  </conditionalFormatting>
  <conditionalFormatting sqref="F81:G82">
    <cfRule type="expression" dxfId="1010" priority="53">
      <formula>kvartal &lt; 4</formula>
    </cfRule>
  </conditionalFormatting>
  <conditionalFormatting sqref="F84:G85">
    <cfRule type="expression" dxfId="1009" priority="52">
      <formula>kvartal &lt; 4</formula>
    </cfRule>
  </conditionalFormatting>
  <conditionalFormatting sqref="F91:G92">
    <cfRule type="expression" dxfId="1008" priority="47">
      <formula>kvartal &lt; 4</formula>
    </cfRule>
  </conditionalFormatting>
  <conditionalFormatting sqref="F94:G95">
    <cfRule type="expression" dxfId="1007" priority="46">
      <formula>kvartal &lt; 4</formula>
    </cfRule>
  </conditionalFormatting>
  <conditionalFormatting sqref="F102:G103">
    <cfRule type="expression" dxfId="1006" priority="45">
      <formula>kvartal &lt; 4</formula>
    </cfRule>
  </conditionalFormatting>
  <conditionalFormatting sqref="F105:G106">
    <cfRule type="expression" dxfId="1005" priority="44">
      <formula>kvartal &lt; 4</formula>
    </cfRule>
  </conditionalFormatting>
  <conditionalFormatting sqref="F115">
    <cfRule type="expression" dxfId="1004" priority="43">
      <formula>kvartal &lt; 4</formula>
    </cfRule>
  </conditionalFormatting>
  <conditionalFormatting sqref="G115">
    <cfRule type="expression" dxfId="1003" priority="42">
      <formula>kvartal &lt; 4</formula>
    </cfRule>
  </conditionalFormatting>
  <conditionalFormatting sqref="F123:G123">
    <cfRule type="expression" dxfId="1002" priority="41">
      <formula>kvartal &lt; 4</formula>
    </cfRule>
  </conditionalFormatting>
  <conditionalFormatting sqref="F69:G69">
    <cfRule type="expression" dxfId="1001" priority="40">
      <formula>kvartal &lt; 4</formula>
    </cfRule>
  </conditionalFormatting>
  <conditionalFormatting sqref="F72:G72">
    <cfRule type="expression" dxfId="1000" priority="39">
      <formula>kvartal &lt; 4</formula>
    </cfRule>
  </conditionalFormatting>
  <conditionalFormatting sqref="F80:G80">
    <cfRule type="expression" dxfId="999" priority="38">
      <formula>kvartal &lt; 4</formula>
    </cfRule>
  </conditionalFormatting>
  <conditionalFormatting sqref="F83:G83">
    <cfRule type="expression" dxfId="998" priority="37">
      <formula>kvartal &lt; 4</formula>
    </cfRule>
  </conditionalFormatting>
  <conditionalFormatting sqref="F90:G90">
    <cfRule type="expression" dxfId="997" priority="31">
      <formula>kvartal &lt; 4</formula>
    </cfRule>
  </conditionalFormatting>
  <conditionalFormatting sqref="F93">
    <cfRule type="expression" dxfId="996" priority="30">
      <formula>kvartal &lt; 4</formula>
    </cfRule>
  </conditionalFormatting>
  <conditionalFormatting sqref="G93">
    <cfRule type="expression" dxfId="995" priority="29">
      <formula>kvartal &lt; 4</formula>
    </cfRule>
  </conditionalFormatting>
  <conditionalFormatting sqref="F101">
    <cfRule type="expression" dxfId="994" priority="28">
      <formula>kvartal &lt; 4</formula>
    </cfRule>
  </conditionalFormatting>
  <conditionalFormatting sqref="G101">
    <cfRule type="expression" dxfId="993" priority="27">
      <formula>kvartal &lt; 4</formula>
    </cfRule>
  </conditionalFormatting>
  <conditionalFormatting sqref="G104">
    <cfRule type="expression" dxfId="992" priority="26">
      <formula>kvartal &lt; 4</formula>
    </cfRule>
  </conditionalFormatting>
  <conditionalFormatting sqref="F104">
    <cfRule type="expression" dxfId="991" priority="25">
      <formula>kvartal &lt; 4</formula>
    </cfRule>
  </conditionalFormatting>
  <conditionalFormatting sqref="J69:K73">
    <cfRule type="expression" dxfId="990" priority="24">
      <formula>kvartal &lt; 4</formula>
    </cfRule>
  </conditionalFormatting>
  <conditionalFormatting sqref="J74:K74">
    <cfRule type="expression" dxfId="989" priority="23">
      <formula>kvartal &lt; 4</formula>
    </cfRule>
  </conditionalFormatting>
  <conditionalFormatting sqref="J80:K85">
    <cfRule type="expression" dxfId="988" priority="22">
      <formula>kvartal &lt; 4</formula>
    </cfRule>
  </conditionalFormatting>
  <conditionalFormatting sqref="J90:K95">
    <cfRule type="expression" dxfId="987" priority="19">
      <formula>kvartal &lt; 4</formula>
    </cfRule>
  </conditionalFormatting>
  <conditionalFormatting sqref="J101:K106">
    <cfRule type="expression" dxfId="986" priority="18">
      <formula>kvartal &lt; 4</formula>
    </cfRule>
  </conditionalFormatting>
  <conditionalFormatting sqref="J115:K115">
    <cfRule type="expression" dxfId="985" priority="17">
      <formula>kvartal &lt; 4</formula>
    </cfRule>
  </conditionalFormatting>
  <conditionalFormatting sqref="J123:K123">
    <cfRule type="expression" dxfId="984" priority="16">
      <formula>kvartal &lt; 4</formula>
    </cfRule>
  </conditionalFormatting>
  <conditionalFormatting sqref="A50:A52">
    <cfRule type="expression" dxfId="983" priority="12">
      <formula>kvartal &lt; 4</formula>
    </cfRule>
  </conditionalFormatting>
  <conditionalFormatting sqref="A69:A74">
    <cfRule type="expression" dxfId="982" priority="10">
      <formula>kvartal &lt; 4</formula>
    </cfRule>
  </conditionalFormatting>
  <conditionalFormatting sqref="A80:A85">
    <cfRule type="expression" dxfId="981" priority="9">
      <formula>kvartal &lt; 4</formula>
    </cfRule>
  </conditionalFormatting>
  <conditionalFormatting sqref="A90:A95">
    <cfRule type="expression" dxfId="980" priority="6">
      <formula>kvartal &lt; 4</formula>
    </cfRule>
  </conditionalFormatting>
  <conditionalFormatting sqref="A101:A106">
    <cfRule type="expression" dxfId="979" priority="5">
      <formula>kvartal &lt; 4</formula>
    </cfRule>
  </conditionalFormatting>
  <conditionalFormatting sqref="A115">
    <cfRule type="expression" dxfId="978" priority="4">
      <formula>kvartal &lt; 4</formula>
    </cfRule>
  </conditionalFormatting>
  <conditionalFormatting sqref="A123">
    <cfRule type="expression" dxfId="977" priority="3">
      <formula>kvartal &lt; 4</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DCFD3-E4B4-485B-89B7-DA0A477AA596}">
  <dimension ref="A1:N144"/>
  <sheetViews>
    <sheetView showGridLines="0" zoomScale="120" zoomScaleNormal="120" workbookViewId="0"/>
  </sheetViews>
  <sheetFormatPr baseColWidth="10" defaultColWidth="11.42578125" defaultRowHeight="12.75" x14ac:dyDescent="0.2"/>
  <cols>
    <col min="1" max="1" width="43"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133</v>
      </c>
      <c r="B1" s="988"/>
      <c r="C1" s="248" t="s">
        <v>486</v>
      </c>
      <c r="D1" s="26"/>
      <c r="E1" s="26"/>
      <c r="F1" s="26"/>
      <c r="G1" s="26"/>
      <c r="H1" s="26"/>
      <c r="I1" s="26"/>
      <c r="J1" s="26"/>
      <c r="K1" s="26"/>
      <c r="L1" s="26"/>
      <c r="M1" s="26"/>
    </row>
    <row r="2" spans="1:14" ht="15.75" x14ac:dyDescent="0.25">
      <c r="A2" s="165" t="s">
        <v>28</v>
      </c>
      <c r="B2" s="1027"/>
      <c r="C2" s="1027"/>
      <c r="D2" s="1027"/>
      <c r="E2" s="846"/>
      <c r="F2" s="1027"/>
      <c r="G2" s="1027"/>
      <c r="H2" s="1027"/>
      <c r="I2" s="846"/>
      <c r="J2" s="1027"/>
      <c r="K2" s="1027"/>
      <c r="L2" s="1027"/>
      <c r="M2" s="846"/>
    </row>
    <row r="3" spans="1:14" ht="15.75" x14ac:dyDescent="0.25">
      <c r="A3" s="163"/>
      <c r="B3" s="846"/>
      <c r="C3" s="846"/>
      <c r="D3" s="846"/>
      <c r="E3" s="846"/>
      <c r="F3" s="846"/>
      <c r="G3" s="846"/>
      <c r="H3" s="846"/>
      <c r="I3" s="846"/>
      <c r="J3" s="846"/>
      <c r="K3" s="846"/>
      <c r="L3" s="846"/>
      <c r="M3" s="846"/>
    </row>
    <row r="4" spans="1:14" x14ac:dyDescent="0.2">
      <c r="A4" s="144"/>
      <c r="B4" s="1023" t="s">
        <v>0</v>
      </c>
      <c r="C4" s="1024"/>
      <c r="D4" s="1024"/>
      <c r="E4" s="843"/>
      <c r="F4" s="1023" t="s">
        <v>1</v>
      </c>
      <c r="G4" s="1024"/>
      <c r="H4" s="1024"/>
      <c r="I4" s="844"/>
      <c r="J4" s="1023" t="s">
        <v>2</v>
      </c>
      <c r="K4" s="1024"/>
      <c r="L4" s="1024"/>
      <c r="M4" s="844"/>
    </row>
    <row r="5" spans="1:14" x14ac:dyDescent="0.2">
      <c r="A5" s="158"/>
      <c r="B5" s="152" t="s">
        <v>502</v>
      </c>
      <c r="C5" s="152" t="s">
        <v>503</v>
      </c>
      <c r="D5" s="245" t="s">
        <v>3</v>
      </c>
      <c r="E5" s="307" t="s">
        <v>29</v>
      </c>
      <c r="F5" s="152" t="s">
        <v>502</v>
      </c>
      <c r="G5" s="152" t="s">
        <v>503</v>
      </c>
      <c r="H5" s="245" t="s">
        <v>3</v>
      </c>
      <c r="I5" s="162" t="s">
        <v>29</v>
      </c>
      <c r="J5" s="152" t="s">
        <v>502</v>
      </c>
      <c r="K5" s="152" t="s">
        <v>503</v>
      </c>
      <c r="L5" s="245" t="s">
        <v>3</v>
      </c>
      <c r="M5" s="162" t="s">
        <v>29</v>
      </c>
    </row>
    <row r="6" spans="1:14" x14ac:dyDescent="0.2">
      <c r="A6" s="989"/>
      <c r="B6" s="156"/>
      <c r="C6" s="156"/>
      <c r="D6" s="246" t="s">
        <v>4</v>
      </c>
      <c r="E6" s="156" t="s">
        <v>30</v>
      </c>
      <c r="F6" s="161"/>
      <c r="G6" s="161"/>
      <c r="H6" s="245" t="s">
        <v>4</v>
      </c>
      <c r="I6" s="156" t="s">
        <v>30</v>
      </c>
      <c r="J6" s="161"/>
      <c r="K6" s="161"/>
      <c r="L6" s="245" t="s">
        <v>4</v>
      </c>
      <c r="M6" s="156" t="s">
        <v>30</v>
      </c>
    </row>
    <row r="7" spans="1:14" ht="15.75" x14ac:dyDescent="0.2">
      <c r="A7" s="14" t="s">
        <v>23</v>
      </c>
      <c r="B7" s="308"/>
      <c r="C7" s="309">
        <v>729</v>
      </c>
      <c r="D7" s="351" t="str">
        <f>IF(B7=0, "    ---- ", IF(ABS(ROUND(100/B7*C7-100,1))&lt;999,ROUND(100/B7*C7-100,1),IF(ROUND(100/B7*C7-100,1)&gt;999,999,-999)))</f>
        <v xml:space="preserve">    ---- </v>
      </c>
      <c r="E7" s="11">
        <f>IFERROR(100/'Skjema total MA'!C7*C7,0)</f>
        <v>1.5333526680415991E-2</v>
      </c>
      <c r="F7" s="308"/>
      <c r="G7" s="309"/>
      <c r="H7" s="351"/>
      <c r="I7" s="160"/>
      <c r="J7" s="310"/>
      <c r="K7" s="311">
        <f t="shared" ref="K7:K8" si="0">SUM(C7,G7)</f>
        <v>729</v>
      </c>
      <c r="L7" s="428" t="str">
        <f>IF(J7=0, "    ---- ", IF(ABS(ROUND(100/J7*K7-100,1))&lt;999,ROUND(100/J7*K7-100,1),IF(ROUND(100/J7*K7-100,1)&gt;999,999,-999)))</f>
        <v xml:space="preserve">    ---- </v>
      </c>
      <c r="M7" s="11">
        <f>IFERROR(100/'Skjema total MA'!I7*K7,0)</f>
        <v>4.8422810862866214E-3</v>
      </c>
    </row>
    <row r="8" spans="1:14" ht="15.75" x14ac:dyDescent="0.2">
      <c r="A8" s="21" t="s">
        <v>25</v>
      </c>
      <c r="B8" s="283"/>
      <c r="C8" s="284">
        <v>729</v>
      </c>
      <c r="D8" s="166" t="str">
        <f t="shared" ref="D8" si="1">IF(B8=0, "    ---- ", IF(ABS(ROUND(100/B8*C8-100,1))&lt;999,ROUND(100/B8*C8-100,1),IF(ROUND(100/B8*C8-100,1)&gt;999,999,-999)))</f>
        <v xml:space="preserve">    ---- </v>
      </c>
      <c r="E8" s="27">
        <f>IFERROR(100/'Skjema total MA'!C8*C8,0)</f>
        <v>2.3494989314253124E-2</v>
      </c>
      <c r="F8" s="287"/>
      <c r="G8" s="288"/>
      <c r="H8" s="166"/>
      <c r="I8" s="175"/>
      <c r="J8" s="234"/>
      <c r="K8" s="289">
        <f t="shared" si="0"/>
        <v>729</v>
      </c>
      <c r="L8" s="166" t="str">
        <f t="shared" ref="L8" si="2">IF(J8=0, "    ---- ", IF(ABS(ROUND(100/J8*K8-100,1))&lt;999,ROUND(100/J8*K8-100,1),IF(ROUND(100/J8*K8-100,1)&gt;999,999,-999)))</f>
        <v xml:space="preserve">    ---- </v>
      </c>
      <c r="M8" s="27">
        <f>IFERROR(100/'Skjema total MA'!I8*K8,0)</f>
        <v>2.3494989314253124E-2</v>
      </c>
    </row>
    <row r="9" spans="1:14" ht="15.75" x14ac:dyDescent="0.2">
      <c r="A9" s="21" t="s">
        <v>24</v>
      </c>
      <c r="B9" s="283"/>
      <c r="C9" s="284"/>
      <c r="D9" s="166"/>
      <c r="E9" s="27"/>
      <c r="F9" s="287"/>
      <c r="G9" s="288"/>
      <c r="H9" s="166"/>
      <c r="I9" s="175"/>
      <c r="J9" s="234"/>
      <c r="K9" s="289"/>
      <c r="L9" s="166"/>
      <c r="M9" s="27"/>
    </row>
    <row r="10" spans="1:14" ht="15.75" x14ac:dyDescent="0.2">
      <c r="A10" s="13" t="s">
        <v>444</v>
      </c>
      <c r="B10" s="312"/>
      <c r="C10" s="313"/>
      <c r="D10" s="171"/>
      <c r="E10" s="11"/>
      <c r="F10" s="312"/>
      <c r="G10" s="313"/>
      <c r="H10" s="171"/>
      <c r="I10" s="160"/>
      <c r="J10" s="310"/>
      <c r="K10" s="311"/>
      <c r="L10" s="429"/>
      <c r="M10" s="11"/>
    </row>
    <row r="11" spans="1:14" s="43" customFormat="1" ht="15.75" x14ac:dyDescent="0.2">
      <c r="A11" s="13" t="s">
        <v>445</v>
      </c>
      <c r="B11" s="312"/>
      <c r="C11" s="313"/>
      <c r="D11" s="171"/>
      <c r="E11" s="11"/>
      <c r="F11" s="312"/>
      <c r="G11" s="313"/>
      <c r="H11" s="171"/>
      <c r="I11" s="160"/>
      <c r="J11" s="310"/>
      <c r="K11" s="311"/>
      <c r="L11" s="429"/>
      <c r="M11" s="11"/>
      <c r="N11" s="143"/>
    </row>
    <row r="12" spans="1:14" s="43" customFormat="1" ht="15.75" x14ac:dyDescent="0.2">
      <c r="A12" s="41" t="s">
        <v>446</v>
      </c>
      <c r="B12" s="314"/>
      <c r="C12" s="315"/>
      <c r="D12" s="169"/>
      <c r="E12" s="36"/>
      <c r="F12" s="314"/>
      <c r="G12" s="315"/>
      <c r="H12" s="169"/>
      <c r="I12" s="169"/>
      <c r="J12" s="316"/>
      <c r="K12" s="317"/>
      <c r="L12" s="430"/>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1022"/>
      <c r="C18" s="1022"/>
      <c r="D18" s="1022"/>
      <c r="E18" s="846"/>
      <c r="F18" s="1022"/>
      <c r="G18" s="1022"/>
      <c r="H18" s="1022"/>
      <c r="I18" s="846"/>
      <c r="J18" s="1022"/>
      <c r="K18" s="1022"/>
      <c r="L18" s="1022"/>
      <c r="M18" s="846"/>
    </row>
    <row r="19" spans="1:14" x14ac:dyDescent="0.2">
      <c r="A19" s="144"/>
      <c r="B19" s="1023" t="s">
        <v>0</v>
      </c>
      <c r="C19" s="1024"/>
      <c r="D19" s="1024"/>
      <c r="E19" s="843"/>
      <c r="F19" s="1023" t="s">
        <v>1</v>
      </c>
      <c r="G19" s="1024"/>
      <c r="H19" s="1024"/>
      <c r="I19" s="844"/>
      <c r="J19" s="1023" t="s">
        <v>2</v>
      </c>
      <c r="K19" s="1024"/>
      <c r="L19" s="1024"/>
      <c r="M19" s="844"/>
    </row>
    <row r="20" spans="1:14" x14ac:dyDescent="0.2">
      <c r="A20" s="140" t="s">
        <v>5</v>
      </c>
      <c r="B20" s="152" t="s">
        <v>502</v>
      </c>
      <c r="C20" s="152" t="s">
        <v>503</v>
      </c>
      <c r="D20" s="162" t="s">
        <v>3</v>
      </c>
      <c r="E20" s="307" t="s">
        <v>29</v>
      </c>
      <c r="F20" s="152" t="s">
        <v>502</v>
      </c>
      <c r="G20" s="152" t="s">
        <v>503</v>
      </c>
      <c r="H20" s="162" t="s">
        <v>3</v>
      </c>
      <c r="I20" s="162" t="s">
        <v>29</v>
      </c>
      <c r="J20" s="152" t="s">
        <v>502</v>
      </c>
      <c r="K20" s="152" t="s">
        <v>503</v>
      </c>
      <c r="L20" s="162" t="s">
        <v>3</v>
      </c>
      <c r="M20" s="162" t="s">
        <v>29</v>
      </c>
    </row>
    <row r="21" spans="1:14" x14ac:dyDescent="0.2">
      <c r="A21" s="990"/>
      <c r="B21" s="156"/>
      <c r="C21" s="156"/>
      <c r="D21" s="246" t="s">
        <v>4</v>
      </c>
      <c r="E21" s="156" t="s">
        <v>30</v>
      </c>
      <c r="F21" s="161"/>
      <c r="G21" s="161"/>
      <c r="H21" s="245" t="s">
        <v>4</v>
      </c>
      <c r="I21" s="156" t="s">
        <v>30</v>
      </c>
      <c r="J21" s="161"/>
      <c r="K21" s="161"/>
      <c r="L21" s="156" t="s">
        <v>4</v>
      </c>
      <c r="M21" s="156" t="s">
        <v>30</v>
      </c>
    </row>
    <row r="22" spans="1:14" ht="15.75" x14ac:dyDescent="0.2">
      <c r="A22" s="14" t="s">
        <v>23</v>
      </c>
      <c r="B22" s="312"/>
      <c r="C22" s="312"/>
      <c r="D22" s="351"/>
      <c r="E22" s="11"/>
      <c r="F22" s="320"/>
      <c r="G22" s="320"/>
      <c r="H22" s="351"/>
      <c r="I22" s="11"/>
      <c r="J22" s="318"/>
      <c r="K22" s="318"/>
      <c r="L22" s="428"/>
      <c r="M22" s="24"/>
    </row>
    <row r="23" spans="1:14" ht="15.75" x14ac:dyDescent="0.2">
      <c r="A23" s="811" t="s">
        <v>447</v>
      </c>
      <c r="B23" s="283"/>
      <c r="C23" s="283"/>
      <c r="D23" s="166"/>
      <c r="E23" s="11"/>
      <c r="F23" s="292"/>
      <c r="G23" s="292"/>
      <c r="H23" s="166"/>
      <c r="I23" s="418"/>
      <c r="J23" s="292"/>
      <c r="K23" s="292"/>
      <c r="L23" s="166"/>
      <c r="M23" s="23"/>
    </row>
    <row r="24" spans="1:14" ht="15.75" x14ac:dyDescent="0.2">
      <c r="A24" s="811" t="s">
        <v>448</v>
      </c>
      <c r="B24" s="283"/>
      <c r="C24" s="283"/>
      <c r="D24" s="166"/>
      <c r="E24" s="11"/>
      <c r="F24" s="292"/>
      <c r="G24" s="292"/>
      <c r="H24" s="166"/>
      <c r="I24" s="418"/>
      <c r="J24" s="292"/>
      <c r="K24" s="292"/>
      <c r="L24" s="166"/>
      <c r="M24" s="23"/>
    </row>
    <row r="25" spans="1:14" ht="15.75" x14ac:dyDescent="0.2">
      <c r="A25" s="811" t="s">
        <v>449</v>
      </c>
      <c r="B25" s="283"/>
      <c r="C25" s="283"/>
      <c r="D25" s="166"/>
      <c r="E25" s="11"/>
      <c r="F25" s="292"/>
      <c r="G25" s="292"/>
      <c r="H25" s="166"/>
      <c r="I25" s="418"/>
      <c r="J25" s="292"/>
      <c r="K25" s="292"/>
      <c r="L25" s="166"/>
      <c r="M25" s="23"/>
    </row>
    <row r="26" spans="1:14" ht="15.75" x14ac:dyDescent="0.2">
      <c r="A26" s="811" t="s">
        <v>450</v>
      </c>
      <c r="B26" s="283"/>
      <c r="C26" s="283"/>
      <c r="D26" s="166"/>
      <c r="E26" s="11"/>
      <c r="F26" s="292"/>
      <c r="G26" s="292"/>
      <c r="H26" s="166"/>
      <c r="I26" s="418"/>
      <c r="J26" s="292"/>
      <c r="K26" s="292"/>
      <c r="L26" s="166"/>
      <c r="M26" s="23"/>
    </row>
    <row r="27" spans="1:14" x14ac:dyDescent="0.2">
      <c r="A27" s="811" t="s">
        <v>11</v>
      </c>
      <c r="B27" s="283"/>
      <c r="C27" s="283"/>
      <c r="D27" s="166"/>
      <c r="E27" s="11"/>
      <c r="F27" s="292"/>
      <c r="G27" s="292"/>
      <c r="H27" s="166"/>
      <c r="I27" s="418"/>
      <c r="J27" s="292"/>
      <c r="K27" s="292"/>
      <c r="L27" s="166"/>
      <c r="M27" s="23"/>
    </row>
    <row r="28" spans="1:14" ht="15.75" x14ac:dyDescent="0.2">
      <c r="A28" s="49" t="s">
        <v>272</v>
      </c>
      <c r="B28" s="44"/>
      <c r="C28" s="289"/>
      <c r="D28" s="166"/>
      <c r="E28" s="11"/>
      <c r="F28" s="234"/>
      <c r="G28" s="289"/>
      <c r="H28" s="166"/>
      <c r="I28" s="27"/>
      <c r="J28" s="44"/>
      <c r="K28" s="44"/>
      <c r="L28" s="257"/>
      <c r="M28" s="23"/>
    </row>
    <row r="29" spans="1:14" s="3" customFormat="1" ht="15.75" x14ac:dyDescent="0.2">
      <c r="A29" s="13" t="s">
        <v>444</v>
      </c>
      <c r="B29" s="236"/>
      <c r="C29" s="236"/>
      <c r="D29" s="171"/>
      <c r="E29" s="11"/>
      <c r="F29" s="310"/>
      <c r="G29" s="310"/>
      <c r="H29" s="171"/>
      <c r="I29" s="11"/>
      <c r="J29" s="236"/>
      <c r="K29" s="236"/>
      <c r="L29" s="429"/>
      <c r="M29" s="24"/>
      <c r="N29" s="148"/>
    </row>
    <row r="30" spans="1:14" s="3" customFormat="1" ht="15.75" x14ac:dyDescent="0.2">
      <c r="A30" s="811" t="s">
        <v>447</v>
      </c>
      <c r="B30" s="283"/>
      <c r="C30" s="283"/>
      <c r="D30" s="166"/>
      <c r="E30" s="11"/>
      <c r="F30" s="292"/>
      <c r="G30" s="292"/>
      <c r="H30" s="166"/>
      <c r="I30" s="418"/>
      <c r="J30" s="292"/>
      <c r="K30" s="292"/>
      <c r="L30" s="166"/>
      <c r="M30" s="23"/>
      <c r="N30" s="148"/>
    </row>
    <row r="31" spans="1:14" s="3" customFormat="1" ht="15.75" x14ac:dyDescent="0.2">
      <c r="A31" s="811" t="s">
        <v>448</v>
      </c>
      <c r="B31" s="283"/>
      <c r="C31" s="283"/>
      <c r="D31" s="166"/>
      <c r="E31" s="11"/>
      <c r="F31" s="292"/>
      <c r="G31" s="292"/>
      <c r="H31" s="166"/>
      <c r="I31" s="418"/>
      <c r="J31" s="292"/>
      <c r="K31" s="292"/>
      <c r="L31" s="166"/>
      <c r="M31" s="23"/>
      <c r="N31" s="148"/>
    </row>
    <row r="32" spans="1:14" ht="15.75" x14ac:dyDescent="0.2">
      <c r="A32" s="811" t="s">
        <v>449</v>
      </c>
      <c r="B32" s="283"/>
      <c r="C32" s="283"/>
      <c r="D32" s="166"/>
      <c r="E32" s="11"/>
      <c r="F32" s="292"/>
      <c r="G32" s="292"/>
      <c r="H32" s="166"/>
      <c r="I32" s="418"/>
      <c r="J32" s="292"/>
      <c r="K32" s="292"/>
      <c r="L32" s="166"/>
      <c r="M32" s="23"/>
    </row>
    <row r="33" spans="1:14" ht="15.75" x14ac:dyDescent="0.2">
      <c r="A33" s="811" t="s">
        <v>450</v>
      </c>
      <c r="B33" s="283"/>
      <c r="C33" s="283"/>
      <c r="D33" s="166"/>
      <c r="E33" s="11"/>
      <c r="F33" s="292"/>
      <c r="G33" s="292"/>
      <c r="H33" s="166"/>
      <c r="I33" s="418"/>
      <c r="J33" s="292"/>
      <c r="K33" s="292"/>
      <c r="L33" s="166"/>
      <c r="M33" s="23"/>
    </row>
    <row r="34" spans="1:14" ht="15.75" x14ac:dyDescent="0.2">
      <c r="A34" s="13" t="s">
        <v>445</v>
      </c>
      <c r="B34" s="236"/>
      <c r="C34" s="311"/>
      <c r="D34" s="171"/>
      <c r="E34" s="11"/>
      <c r="F34" s="310"/>
      <c r="G34" s="311"/>
      <c r="H34" s="171"/>
      <c r="I34" s="11"/>
      <c r="J34" s="236"/>
      <c r="K34" s="236"/>
      <c r="L34" s="429"/>
      <c r="M34" s="24"/>
    </row>
    <row r="35" spans="1:14" ht="15.75" x14ac:dyDescent="0.2">
      <c r="A35" s="13" t="s">
        <v>446</v>
      </c>
      <c r="B35" s="236"/>
      <c r="C35" s="311"/>
      <c r="D35" s="171"/>
      <c r="E35" s="11"/>
      <c r="F35" s="310"/>
      <c r="G35" s="311"/>
      <c r="H35" s="171"/>
      <c r="I35" s="11"/>
      <c r="J35" s="236"/>
      <c r="K35" s="236"/>
      <c r="L35" s="429"/>
      <c r="M35" s="24"/>
    </row>
    <row r="36" spans="1:14" ht="15.75" x14ac:dyDescent="0.2">
      <c r="A36" s="12" t="s">
        <v>280</v>
      </c>
      <c r="B36" s="236"/>
      <c r="C36" s="311"/>
      <c r="D36" s="171"/>
      <c r="E36" s="11"/>
      <c r="F36" s="321"/>
      <c r="G36" s="322"/>
      <c r="H36" s="171"/>
      <c r="I36" s="435"/>
      <c r="J36" s="236"/>
      <c r="K36" s="236"/>
      <c r="L36" s="429"/>
      <c r="M36" s="24"/>
    </row>
    <row r="37" spans="1:14" ht="15.75" x14ac:dyDescent="0.2">
      <c r="A37" s="12" t="s">
        <v>452</v>
      </c>
      <c r="B37" s="236"/>
      <c r="C37" s="311"/>
      <c r="D37" s="171"/>
      <c r="E37" s="11"/>
      <c r="F37" s="321"/>
      <c r="G37" s="323"/>
      <c r="H37" s="171"/>
      <c r="I37" s="435"/>
      <c r="J37" s="236"/>
      <c r="K37" s="236"/>
      <c r="L37" s="429"/>
      <c r="M37" s="24"/>
    </row>
    <row r="38" spans="1:14" ht="15.75" x14ac:dyDescent="0.2">
      <c r="A38" s="12" t="s">
        <v>453</v>
      </c>
      <c r="B38" s="236"/>
      <c r="C38" s="311"/>
      <c r="D38" s="433"/>
      <c r="E38" s="24"/>
      <c r="F38" s="321"/>
      <c r="G38" s="322"/>
      <c r="H38" s="171"/>
      <c r="I38" s="435"/>
      <c r="J38" s="236"/>
      <c r="K38" s="236"/>
      <c r="L38" s="429"/>
      <c r="M38" s="24"/>
    </row>
    <row r="39" spans="1:14" ht="15.75" x14ac:dyDescent="0.2">
      <c r="A39" s="18" t="s">
        <v>454</v>
      </c>
      <c r="B39" s="278"/>
      <c r="C39" s="317"/>
      <c r="D39" s="434"/>
      <c r="E39" s="36"/>
      <c r="F39" s="324"/>
      <c r="G39" s="325"/>
      <c r="H39" s="169"/>
      <c r="I39" s="36"/>
      <c r="J39" s="236"/>
      <c r="K39" s="236"/>
      <c r="L39" s="430"/>
      <c r="M39" s="36"/>
    </row>
    <row r="40" spans="1:14" ht="15.75" x14ac:dyDescent="0.25">
      <c r="A40" s="47"/>
      <c r="B40" s="256"/>
      <c r="C40" s="256"/>
      <c r="D40" s="1026"/>
      <c r="E40" s="1028"/>
      <c r="F40" s="1026"/>
      <c r="G40" s="1026"/>
      <c r="H40" s="1026"/>
      <c r="I40" s="1026"/>
      <c r="J40" s="1026"/>
      <c r="K40" s="1026"/>
      <c r="L40" s="1026"/>
      <c r="M40" s="847"/>
    </row>
    <row r="41" spans="1:14" x14ac:dyDescent="0.2">
      <c r="A41" s="155"/>
    </row>
    <row r="42" spans="1:14" ht="15.75" x14ac:dyDescent="0.25">
      <c r="A42" s="147" t="s">
        <v>269</v>
      </c>
      <c r="B42" s="1027"/>
      <c r="C42" s="1027"/>
      <c r="D42" s="1027"/>
      <c r="E42" s="846"/>
      <c r="F42" s="1028"/>
      <c r="G42" s="1028"/>
      <c r="H42" s="1028"/>
      <c r="I42" s="847"/>
      <c r="J42" s="1028"/>
      <c r="K42" s="1028"/>
      <c r="L42" s="1028"/>
      <c r="M42" s="847"/>
    </row>
    <row r="43" spans="1:14" ht="15.75" x14ac:dyDescent="0.25">
      <c r="A43" s="163"/>
      <c r="B43" s="845"/>
      <c r="C43" s="845"/>
      <c r="D43" s="845"/>
      <c r="E43" s="845"/>
      <c r="F43" s="847"/>
      <c r="G43" s="847"/>
      <c r="H43" s="847"/>
      <c r="I43" s="847"/>
      <c r="J43" s="847"/>
      <c r="K43" s="847"/>
      <c r="L43" s="847"/>
      <c r="M43" s="847"/>
    </row>
    <row r="44" spans="1:14" ht="15.75" x14ac:dyDescent="0.25">
      <c r="A44" s="247"/>
      <c r="B44" s="1023" t="s">
        <v>0</v>
      </c>
      <c r="C44" s="1024"/>
      <c r="D44" s="1024"/>
      <c r="E44" s="243"/>
      <c r="F44" s="847"/>
      <c r="G44" s="847"/>
      <c r="H44" s="847"/>
      <c r="I44" s="847"/>
      <c r="J44" s="847"/>
      <c r="K44" s="847"/>
      <c r="L44" s="847"/>
      <c r="M44" s="847"/>
    </row>
    <row r="45" spans="1:14" s="3" customFormat="1" x14ac:dyDescent="0.2">
      <c r="A45" s="140"/>
      <c r="B45" s="152" t="s">
        <v>502</v>
      </c>
      <c r="C45" s="152" t="s">
        <v>503</v>
      </c>
      <c r="D45" s="162" t="s">
        <v>3</v>
      </c>
      <c r="E45" s="162" t="s">
        <v>29</v>
      </c>
      <c r="F45" s="174"/>
      <c r="G45" s="174"/>
      <c r="H45" s="173"/>
      <c r="I45" s="173"/>
      <c r="J45" s="174"/>
      <c r="K45" s="174"/>
      <c r="L45" s="173"/>
      <c r="M45" s="173"/>
      <c r="N45" s="148"/>
    </row>
    <row r="46" spans="1:14" s="3" customFormat="1" x14ac:dyDescent="0.2">
      <c r="A46" s="990"/>
      <c r="B46" s="244"/>
      <c r="C46" s="244"/>
      <c r="D46" s="245" t="s">
        <v>4</v>
      </c>
      <c r="E46" s="156" t="s">
        <v>30</v>
      </c>
      <c r="F46" s="173"/>
      <c r="G46" s="173"/>
      <c r="H46" s="173"/>
      <c r="I46" s="173"/>
      <c r="J46" s="173"/>
      <c r="K46" s="173"/>
      <c r="L46" s="173"/>
      <c r="M46" s="173"/>
      <c r="N46" s="148"/>
    </row>
    <row r="47" spans="1:14" s="3" customFormat="1" ht="15.75" x14ac:dyDescent="0.2">
      <c r="A47" s="14" t="s">
        <v>23</v>
      </c>
      <c r="B47" s="312"/>
      <c r="C47" s="313">
        <v>549</v>
      </c>
      <c r="D47" s="428" t="str">
        <f t="shared" ref="D47:D48" si="3">IF(B47=0, "    ---- ", IF(ABS(ROUND(100/B47*C47-100,1))&lt;999,ROUND(100/B47*C47-100,1),IF(ROUND(100/B47*C47-100,1)&gt;999,999,-999)))</f>
        <v xml:space="preserve">    ---- </v>
      </c>
      <c r="E47" s="11">
        <f>IFERROR(100/'Skjema total MA'!C47*C47,0)</f>
        <v>1.1492385932136924E-2</v>
      </c>
      <c r="F47" s="145"/>
      <c r="G47" s="33"/>
      <c r="H47" s="159"/>
      <c r="I47" s="159"/>
      <c r="J47" s="37"/>
      <c r="K47" s="37"/>
      <c r="L47" s="159"/>
      <c r="M47" s="159"/>
      <c r="N47" s="148"/>
    </row>
    <row r="48" spans="1:14" s="3" customFormat="1" ht="15.75" x14ac:dyDescent="0.2">
      <c r="A48" s="38" t="s">
        <v>455</v>
      </c>
      <c r="B48" s="283"/>
      <c r="C48" s="284">
        <v>549</v>
      </c>
      <c r="D48" s="257" t="str">
        <f t="shared" si="3"/>
        <v xml:space="preserve">    ---- </v>
      </c>
      <c r="E48" s="27">
        <f>IFERROR(100/'Skjema total MA'!C48*C48,0)</f>
        <v>2.0605197800813751E-2</v>
      </c>
      <c r="F48" s="145"/>
      <c r="G48" s="33"/>
      <c r="H48" s="145"/>
      <c r="I48" s="145"/>
      <c r="J48" s="33"/>
      <c r="K48" s="33"/>
      <c r="L48" s="159"/>
      <c r="M48" s="159"/>
      <c r="N48" s="148"/>
    </row>
    <row r="49" spans="1:14" s="3" customFormat="1" ht="15.75" x14ac:dyDescent="0.2">
      <c r="A49" s="38" t="s">
        <v>456</v>
      </c>
      <c r="B49" s="44"/>
      <c r="C49" s="289"/>
      <c r="D49" s="257"/>
      <c r="E49" s="27"/>
      <c r="F49" s="145"/>
      <c r="G49" s="33"/>
      <c r="H49" s="145"/>
      <c r="I49" s="145"/>
      <c r="J49" s="37"/>
      <c r="K49" s="37"/>
      <c r="L49" s="159"/>
      <c r="M49" s="159"/>
      <c r="N49" s="148"/>
    </row>
    <row r="50" spans="1:14" s="3" customFormat="1" x14ac:dyDescent="0.2">
      <c r="A50" s="298" t="s">
        <v>6</v>
      </c>
      <c r="B50" s="292"/>
      <c r="C50" s="293"/>
      <c r="D50" s="257"/>
      <c r="E50" s="23"/>
      <c r="F50" s="145"/>
      <c r="G50" s="33"/>
      <c r="H50" s="145"/>
      <c r="I50" s="145"/>
      <c r="J50" s="33"/>
      <c r="K50" s="33"/>
      <c r="L50" s="159"/>
      <c r="M50" s="159"/>
      <c r="N50" s="148"/>
    </row>
    <row r="51" spans="1:14" s="3" customFormat="1" x14ac:dyDescent="0.2">
      <c r="A51" s="298" t="s">
        <v>7</v>
      </c>
      <c r="B51" s="292"/>
      <c r="C51" s="293"/>
      <c r="D51" s="257"/>
      <c r="E51" s="23"/>
      <c r="F51" s="145"/>
      <c r="G51" s="33"/>
      <c r="H51" s="145"/>
      <c r="I51" s="145"/>
      <c r="J51" s="33"/>
      <c r="K51" s="33"/>
      <c r="L51" s="159"/>
      <c r="M51" s="159"/>
      <c r="N51" s="148"/>
    </row>
    <row r="52" spans="1:14" s="3" customFormat="1" x14ac:dyDescent="0.2">
      <c r="A52" s="298" t="s">
        <v>8</v>
      </c>
      <c r="B52" s="292"/>
      <c r="C52" s="293"/>
      <c r="D52" s="257"/>
      <c r="E52" s="23"/>
      <c r="F52" s="145"/>
      <c r="G52" s="33"/>
      <c r="H52" s="145"/>
      <c r="I52" s="145"/>
      <c r="J52" s="33"/>
      <c r="K52" s="33"/>
      <c r="L52" s="159"/>
      <c r="M52" s="159"/>
      <c r="N52" s="148"/>
    </row>
    <row r="53" spans="1:14" s="3" customFormat="1" ht="15.75" x14ac:dyDescent="0.2">
      <c r="A53" s="39" t="s">
        <v>457</v>
      </c>
      <c r="B53" s="312"/>
      <c r="C53" s="313"/>
      <c r="D53" s="429"/>
      <c r="E53" s="11"/>
      <c r="F53" s="145"/>
      <c r="G53" s="33"/>
      <c r="H53" s="145"/>
      <c r="I53" s="145"/>
      <c r="J53" s="33"/>
      <c r="K53" s="33"/>
      <c r="L53" s="159"/>
      <c r="M53" s="159"/>
      <c r="N53" s="148"/>
    </row>
    <row r="54" spans="1:14" s="3" customFormat="1" ht="15.75" x14ac:dyDescent="0.2">
      <c r="A54" s="38" t="s">
        <v>455</v>
      </c>
      <c r="B54" s="283"/>
      <c r="C54" s="284"/>
      <c r="D54" s="257"/>
      <c r="E54" s="27"/>
      <c r="F54" s="145"/>
      <c r="G54" s="33"/>
      <c r="H54" s="145"/>
      <c r="I54" s="145"/>
      <c r="J54" s="33"/>
      <c r="K54" s="33"/>
      <c r="L54" s="159"/>
      <c r="M54" s="159"/>
      <c r="N54" s="148"/>
    </row>
    <row r="55" spans="1:14" s="3" customFormat="1" ht="15.75" x14ac:dyDescent="0.2">
      <c r="A55" s="38" t="s">
        <v>456</v>
      </c>
      <c r="B55" s="283"/>
      <c r="C55" s="284"/>
      <c r="D55" s="257"/>
      <c r="E55" s="27"/>
      <c r="F55" s="145"/>
      <c r="G55" s="33"/>
      <c r="H55" s="145"/>
      <c r="I55" s="145"/>
      <c r="J55" s="33"/>
      <c r="K55" s="33"/>
      <c r="L55" s="159"/>
      <c r="M55" s="159"/>
      <c r="N55" s="148"/>
    </row>
    <row r="56" spans="1:14" s="3" customFormat="1" ht="15.75" x14ac:dyDescent="0.2">
      <c r="A56" s="39" t="s">
        <v>458</v>
      </c>
      <c r="B56" s="312"/>
      <c r="C56" s="313"/>
      <c r="D56" s="429"/>
      <c r="E56" s="11"/>
      <c r="F56" s="145"/>
      <c r="G56" s="33"/>
      <c r="H56" s="145"/>
      <c r="I56" s="145"/>
      <c r="J56" s="33"/>
      <c r="K56" s="33"/>
      <c r="L56" s="159"/>
      <c r="M56" s="159"/>
      <c r="N56" s="148"/>
    </row>
    <row r="57" spans="1:14" s="3" customFormat="1" ht="15.75" x14ac:dyDescent="0.2">
      <c r="A57" s="38" t="s">
        <v>455</v>
      </c>
      <c r="B57" s="283"/>
      <c r="C57" s="284"/>
      <c r="D57" s="257"/>
      <c r="E57" s="27"/>
      <c r="F57" s="145"/>
      <c r="G57" s="33"/>
      <c r="H57" s="145"/>
      <c r="I57" s="145"/>
      <c r="J57" s="33"/>
      <c r="K57" s="33"/>
      <c r="L57" s="159"/>
      <c r="M57" s="159"/>
      <c r="N57" s="148"/>
    </row>
    <row r="58" spans="1:14" s="3" customFormat="1" ht="15.75" x14ac:dyDescent="0.2">
      <c r="A58" s="46" t="s">
        <v>456</v>
      </c>
      <c r="B58" s="285"/>
      <c r="C58" s="286"/>
      <c r="D58" s="258"/>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1022"/>
      <c r="C62" s="1022"/>
      <c r="D62" s="1022"/>
      <c r="E62" s="846"/>
      <c r="F62" s="1022"/>
      <c r="G62" s="1022"/>
      <c r="H62" s="1022"/>
      <c r="I62" s="846"/>
      <c r="J62" s="1022"/>
      <c r="K62" s="1022"/>
      <c r="L62" s="1022"/>
      <c r="M62" s="846"/>
    </row>
    <row r="63" spans="1:14" x14ac:dyDescent="0.2">
      <c r="A63" s="144"/>
      <c r="B63" s="1023" t="s">
        <v>0</v>
      </c>
      <c r="C63" s="1024"/>
      <c r="D63" s="1025"/>
      <c r="E63" s="842"/>
      <c r="F63" s="1024" t="s">
        <v>1</v>
      </c>
      <c r="G63" s="1024"/>
      <c r="H63" s="1024"/>
      <c r="I63" s="844"/>
      <c r="J63" s="1023" t="s">
        <v>2</v>
      </c>
      <c r="K63" s="1024"/>
      <c r="L63" s="1024"/>
      <c r="M63" s="844"/>
    </row>
    <row r="64" spans="1:14" x14ac:dyDescent="0.2">
      <c r="A64" s="140"/>
      <c r="B64" s="152" t="s">
        <v>502</v>
      </c>
      <c r="C64" s="152" t="s">
        <v>503</v>
      </c>
      <c r="D64" s="245" t="s">
        <v>3</v>
      </c>
      <c r="E64" s="307" t="s">
        <v>29</v>
      </c>
      <c r="F64" s="152" t="s">
        <v>502</v>
      </c>
      <c r="G64" s="152" t="s">
        <v>503</v>
      </c>
      <c r="H64" s="245" t="s">
        <v>3</v>
      </c>
      <c r="I64" s="307" t="s">
        <v>29</v>
      </c>
      <c r="J64" s="152" t="s">
        <v>502</v>
      </c>
      <c r="K64" s="152" t="s">
        <v>503</v>
      </c>
      <c r="L64" s="245" t="s">
        <v>3</v>
      </c>
      <c r="M64" s="162" t="s">
        <v>29</v>
      </c>
    </row>
    <row r="65" spans="1:14" x14ac:dyDescent="0.2">
      <c r="A65" s="990"/>
      <c r="B65" s="156"/>
      <c r="C65" s="156"/>
      <c r="D65" s="246" t="s">
        <v>4</v>
      </c>
      <c r="E65" s="156" t="s">
        <v>30</v>
      </c>
      <c r="F65" s="161"/>
      <c r="G65" s="161"/>
      <c r="H65" s="245"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9"/>
      <c r="M66" s="11"/>
    </row>
    <row r="67" spans="1:14" x14ac:dyDescent="0.2">
      <c r="A67" s="420" t="s">
        <v>9</v>
      </c>
      <c r="B67" s="44"/>
      <c r="C67" s="145"/>
      <c r="D67" s="166"/>
      <c r="E67" s="27"/>
      <c r="F67" s="234"/>
      <c r="G67" s="145"/>
      <c r="H67" s="166"/>
      <c r="I67" s="27"/>
      <c r="J67" s="289"/>
      <c r="K67" s="44"/>
      <c r="L67" s="257"/>
      <c r="M67" s="27"/>
    </row>
    <row r="68" spans="1:14" x14ac:dyDescent="0.2">
      <c r="A68" s="21" t="s">
        <v>10</v>
      </c>
      <c r="B68" s="294"/>
      <c r="C68" s="295"/>
      <c r="D68" s="166"/>
      <c r="E68" s="27"/>
      <c r="F68" s="294"/>
      <c r="G68" s="295"/>
      <c r="H68" s="166"/>
      <c r="I68" s="27"/>
      <c r="J68" s="289"/>
      <c r="K68" s="44"/>
      <c r="L68" s="257"/>
      <c r="M68" s="27"/>
    </row>
    <row r="69" spans="1:14" ht="15.75" x14ac:dyDescent="0.2">
      <c r="A69" s="298" t="s">
        <v>459</v>
      </c>
      <c r="B69" s="283"/>
      <c r="C69" s="283"/>
      <c r="D69" s="166"/>
      <c r="E69" s="418"/>
      <c r="F69" s="283"/>
      <c r="G69" s="283"/>
      <c r="H69" s="166"/>
      <c r="I69" s="418"/>
      <c r="J69" s="292"/>
      <c r="K69" s="292"/>
      <c r="L69" s="166"/>
      <c r="M69" s="23"/>
    </row>
    <row r="70" spans="1:14" x14ac:dyDescent="0.2">
      <c r="A70" s="298" t="s">
        <v>12</v>
      </c>
      <c r="B70" s="296"/>
      <c r="C70" s="297"/>
      <c r="D70" s="166"/>
      <c r="E70" s="418"/>
      <c r="F70" s="283"/>
      <c r="G70" s="283"/>
      <c r="H70" s="166"/>
      <c r="I70" s="418"/>
      <c r="J70" s="292"/>
      <c r="K70" s="292"/>
      <c r="L70" s="166"/>
      <c r="M70" s="23"/>
    </row>
    <row r="71" spans="1:14" x14ac:dyDescent="0.2">
      <c r="A71" s="298" t="s">
        <v>13</v>
      </c>
      <c r="B71" s="235"/>
      <c r="C71" s="291"/>
      <c r="D71" s="166"/>
      <c r="E71" s="418"/>
      <c r="F71" s="283"/>
      <c r="G71" s="283"/>
      <c r="H71" s="166"/>
      <c r="I71" s="418"/>
      <c r="J71" s="292"/>
      <c r="K71" s="292"/>
      <c r="L71" s="166"/>
      <c r="M71" s="23"/>
    </row>
    <row r="72" spans="1:14" ht="15.75" x14ac:dyDescent="0.2">
      <c r="A72" s="298" t="s">
        <v>460</v>
      </c>
      <c r="B72" s="283"/>
      <c r="C72" s="283"/>
      <c r="D72" s="166"/>
      <c r="E72" s="418"/>
      <c r="F72" s="283"/>
      <c r="G72" s="283"/>
      <c r="H72" s="166"/>
      <c r="I72" s="418"/>
      <c r="J72" s="292"/>
      <c r="K72" s="292"/>
      <c r="L72" s="166"/>
      <c r="M72" s="23"/>
    </row>
    <row r="73" spans="1:14" x14ac:dyDescent="0.2">
      <c r="A73" s="298" t="s">
        <v>12</v>
      </c>
      <c r="B73" s="235"/>
      <c r="C73" s="291"/>
      <c r="D73" s="166"/>
      <c r="E73" s="418"/>
      <c r="F73" s="283"/>
      <c r="G73" s="283"/>
      <c r="H73" s="166"/>
      <c r="I73" s="418"/>
      <c r="J73" s="292"/>
      <c r="K73" s="292"/>
      <c r="L73" s="166"/>
      <c r="M73" s="23"/>
    </row>
    <row r="74" spans="1:14" s="3" customFormat="1" x14ac:dyDescent="0.2">
      <c r="A74" s="298" t="s">
        <v>13</v>
      </c>
      <c r="B74" s="235"/>
      <c r="C74" s="291"/>
      <c r="D74" s="166"/>
      <c r="E74" s="418"/>
      <c r="F74" s="283"/>
      <c r="G74" s="283"/>
      <c r="H74" s="166"/>
      <c r="I74" s="418"/>
      <c r="J74" s="292"/>
      <c r="K74" s="292"/>
      <c r="L74" s="166"/>
      <c r="M74" s="23"/>
      <c r="N74" s="148"/>
    </row>
    <row r="75" spans="1:14" s="3" customFormat="1" x14ac:dyDescent="0.2">
      <c r="A75" s="21" t="s">
        <v>346</v>
      </c>
      <c r="B75" s="234"/>
      <c r="C75" s="145"/>
      <c r="D75" s="166"/>
      <c r="E75" s="27"/>
      <c r="F75" s="234"/>
      <c r="G75" s="145"/>
      <c r="H75" s="166"/>
      <c r="I75" s="27"/>
      <c r="J75" s="289"/>
      <c r="K75" s="44"/>
      <c r="L75" s="257"/>
      <c r="M75" s="27"/>
      <c r="N75" s="148"/>
    </row>
    <row r="76" spans="1:14" s="3" customFormat="1" x14ac:dyDescent="0.2">
      <c r="A76" s="21" t="s">
        <v>345</v>
      </c>
      <c r="B76" s="234"/>
      <c r="C76" s="145"/>
      <c r="D76" s="166"/>
      <c r="E76" s="27"/>
      <c r="F76" s="234"/>
      <c r="G76" s="145"/>
      <c r="H76" s="166"/>
      <c r="I76" s="27"/>
      <c r="J76" s="289"/>
      <c r="K76" s="44"/>
      <c r="L76" s="257"/>
      <c r="M76" s="27"/>
      <c r="N76" s="148"/>
    </row>
    <row r="77" spans="1:14" ht="15.75" x14ac:dyDescent="0.2">
      <c r="A77" s="21" t="s">
        <v>461</v>
      </c>
      <c r="B77" s="234"/>
      <c r="C77" s="234"/>
      <c r="D77" s="166"/>
      <c r="E77" s="27"/>
      <c r="F77" s="234"/>
      <c r="G77" s="145"/>
      <c r="H77" s="166"/>
      <c r="I77" s="27"/>
      <c r="J77" s="289"/>
      <c r="K77" s="44"/>
      <c r="L77" s="257"/>
      <c r="M77" s="27"/>
    </row>
    <row r="78" spans="1:14" x14ac:dyDescent="0.2">
      <c r="A78" s="21" t="s">
        <v>9</v>
      </c>
      <c r="B78" s="234"/>
      <c r="C78" s="145"/>
      <c r="D78" s="166"/>
      <c r="E78" s="27"/>
      <c r="F78" s="234"/>
      <c r="G78" s="145"/>
      <c r="H78" s="166"/>
      <c r="I78" s="27"/>
      <c r="J78" s="289"/>
      <c r="K78" s="44"/>
      <c r="L78" s="257"/>
      <c r="M78" s="27"/>
    </row>
    <row r="79" spans="1:14" x14ac:dyDescent="0.2">
      <c r="A79" s="21" t="s">
        <v>10</v>
      </c>
      <c r="B79" s="294"/>
      <c r="C79" s="295"/>
      <c r="D79" s="166"/>
      <c r="E79" s="27"/>
      <c r="F79" s="294"/>
      <c r="G79" s="295"/>
      <c r="H79" s="166"/>
      <c r="I79" s="27"/>
      <c r="J79" s="289"/>
      <c r="K79" s="44"/>
      <c r="L79" s="257"/>
      <c r="M79" s="27"/>
    </row>
    <row r="80" spans="1:14" ht="15.75" x14ac:dyDescent="0.2">
      <c r="A80" s="298" t="s">
        <v>459</v>
      </c>
      <c r="B80" s="283"/>
      <c r="C80" s="283"/>
      <c r="D80" s="166"/>
      <c r="E80" s="418"/>
      <c r="F80" s="283"/>
      <c r="G80" s="283"/>
      <c r="H80" s="166"/>
      <c r="I80" s="418"/>
      <c r="J80" s="292"/>
      <c r="K80" s="292"/>
      <c r="L80" s="166"/>
      <c r="M80" s="23"/>
    </row>
    <row r="81" spans="1:13" x14ac:dyDescent="0.2">
      <c r="A81" s="298" t="s">
        <v>12</v>
      </c>
      <c r="B81" s="235"/>
      <c r="C81" s="291"/>
      <c r="D81" s="166"/>
      <c r="E81" s="418"/>
      <c r="F81" s="283"/>
      <c r="G81" s="283"/>
      <c r="H81" s="166"/>
      <c r="I81" s="418"/>
      <c r="J81" s="292"/>
      <c r="K81" s="292"/>
      <c r="L81" s="166"/>
      <c r="M81" s="23"/>
    </row>
    <row r="82" spans="1:13" x14ac:dyDescent="0.2">
      <c r="A82" s="298" t="s">
        <v>13</v>
      </c>
      <c r="B82" s="235"/>
      <c r="C82" s="291"/>
      <c r="D82" s="166"/>
      <c r="E82" s="418"/>
      <c r="F82" s="283"/>
      <c r="G82" s="283"/>
      <c r="H82" s="166"/>
      <c r="I82" s="418"/>
      <c r="J82" s="292"/>
      <c r="K82" s="292"/>
      <c r="L82" s="166"/>
      <c r="M82" s="23"/>
    </row>
    <row r="83" spans="1:13" ht="15.75" x14ac:dyDescent="0.2">
      <c r="A83" s="298" t="s">
        <v>460</v>
      </c>
      <c r="B83" s="283"/>
      <c r="C83" s="283"/>
      <c r="D83" s="166"/>
      <c r="E83" s="418"/>
      <c r="F83" s="283"/>
      <c r="G83" s="283"/>
      <c r="H83" s="166"/>
      <c r="I83" s="418"/>
      <c r="J83" s="292"/>
      <c r="K83" s="292"/>
      <c r="L83" s="166"/>
      <c r="M83" s="23"/>
    </row>
    <row r="84" spans="1:13" x14ac:dyDescent="0.2">
      <c r="A84" s="298" t="s">
        <v>12</v>
      </c>
      <c r="B84" s="235"/>
      <c r="C84" s="291"/>
      <c r="D84" s="166"/>
      <c r="E84" s="418"/>
      <c r="F84" s="283"/>
      <c r="G84" s="283"/>
      <c r="H84" s="166"/>
      <c r="I84" s="418"/>
      <c r="J84" s="292"/>
      <c r="K84" s="292"/>
      <c r="L84" s="166"/>
      <c r="M84" s="23"/>
    </row>
    <row r="85" spans="1:13" x14ac:dyDescent="0.2">
      <c r="A85" s="298" t="s">
        <v>13</v>
      </c>
      <c r="B85" s="235"/>
      <c r="C85" s="291"/>
      <c r="D85" s="166"/>
      <c r="E85" s="418"/>
      <c r="F85" s="283"/>
      <c r="G85" s="283"/>
      <c r="H85" s="166"/>
      <c r="I85" s="418"/>
      <c r="J85" s="292"/>
      <c r="K85" s="292"/>
      <c r="L85" s="166"/>
      <c r="M85" s="23"/>
    </row>
    <row r="86" spans="1:13" ht="15.75" x14ac:dyDescent="0.2">
      <c r="A86" s="21" t="s">
        <v>462</v>
      </c>
      <c r="B86" s="234"/>
      <c r="C86" s="145"/>
      <c r="D86" s="166"/>
      <c r="E86" s="27"/>
      <c r="F86" s="234"/>
      <c r="G86" s="145"/>
      <c r="H86" s="166"/>
      <c r="I86" s="27"/>
      <c r="J86" s="289"/>
      <c r="K86" s="44"/>
      <c r="L86" s="257"/>
      <c r="M86" s="27"/>
    </row>
    <row r="87" spans="1:13" ht="15.75" x14ac:dyDescent="0.2">
      <c r="A87" s="13" t="s">
        <v>444</v>
      </c>
      <c r="B87" s="354"/>
      <c r="C87" s="354"/>
      <c r="D87" s="171"/>
      <c r="E87" s="11"/>
      <c r="F87" s="353"/>
      <c r="G87" s="353"/>
      <c r="H87" s="171"/>
      <c r="I87" s="11"/>
      <c r="J87" s="311"/>
      <c r="K87" s="236"/>
      <c r="L87" s="429"/>
      <c r="M87" s="11"/>
    </row>
    <row r="88" spans="1:13" x14ac:dyDescent="0.2">
      <c r="A88" s="21" t="s">
        <v>9</v>
      </c>
      <c r="B88" s="234"/>
      <c r="C88" s="145"/>
      <c r="D88" s="166"/>
      <c r="E88" s="27"/>
      <c r="F88" s="234"/>
      <c r="G88" s="145"/>
      <c r="H88" s="166"/>
      <c r="I88" s="27"/>
      <c r="J88" s="289"/>
      <c r="K88" s="44"/>
      <c r="L88" s="257"/>
      <c r="M88" s="27"/>
    </row>
    <row r="89" spans="1:13" x14ac:dyDescent="0.2">
      <c r="A89" s="21" t="s">
        <v>10</v>
      </c>
      <c r="B89" s="234"/>
      <c r="C89" s="145"/>
      <c r="D89" s="166"/>
      <c r="E89" s="27"/>
      <c r="F89" s="234"/>
      <c r="G89" s="145"/>
      <c r="H89" s="166"/>
      <c r="I89" s="27"/>
      <c r="J89" s="289"/>
      <c r="K89" s="44"/>
      <c r="L89" s="257"/>
      <c r="M89" s="27"/>
    </row>
    <row r="90" spans="1:13" ht="15.75" x14ac:dyDescent="0.2">
      <c r="A90" s="298" t="s">
        <v>459</v>
      </c>
      <c r="B90" s="283"/>
      <c r="C90" s="283"/>
      <c r="D90" s="166"/>
      <c r="E90" s="418"/>
      <c r="F90" s="283"/>
      <c r="G90" s="283"/>
      <c r="H90" s="166"/>
      <c r="I90" s="418"/>
      <c r="J90" s="292"/>
      <c r="K90" s="292"/>
      <c r="L90" s="166"/>
      <c r="M90" s="23"/>
    </row>
    <row r="91" spans="1:13" x14ac:dyDescent="0.2">
      <c r="A91" s="298" t="s">
        <v>12</v>
      </c>
      <c r="B91" s="235"/>
      <c r="C91" s="291"/>
      <c r="D91" s="166"/>
      <c r="E91" s="418"/>
      <c r="F91" s="283"/>
      <c r="G91" s="283"/>
      <c r="H91" s="166"/>
      <c r="I91" s="418"/>
      <c r="J91" s="292"/>
      <c r="K91" s="292"/>
      <c r="L91" s="166"/>
      <c r="M91" s="23"/>
    </row>
    <row r="92" spans="1:13" x14ac:dyDescent="0.2">
      <c r="A92" s="298" t="s">
        <v>13</v>
      </c>
      <c r="B92" s="235"/>
      <c r="C92" s="291"/>
      <c r="D92" s="166"/>
      <c r="E92" s="418"/>
      <c r="F92" s="283"/>
      <c r="G92" s="283"/>
      <c r="H92" s="166"/>
      <c r="I92" s="418"/>
      <c r="J92" s="292"/>
      <c r="K92" s="292"/>
      <c r="L92" s="166"/>
      <c r="M92" s="23"/>
    </row>
    <row r="93" spans="1:13" ht="15.75" x14ac:dyDescent="0.2">
      <c r="A93" s="298" t="s">
        <v>460</v>
      </c>
      <c r="B93" s="283"/>
      <c r="C93" s="283"/>
      <c r="D93" s="166"/>
      <c r="E93" s="418"/>
      <c r="F93" s="283"/>
      <c r="G93" s="283"/>
      <c r="H93" s="166"/>
      <c r="I93" s="418"/>
      <c r="J93" s="292"/>
      <c r="K93" s="292"/>
      <c r="L93" s="166"/>
      <c r="M93" s="23"/>
    </row>
    <row r="94" spans="1:13" x14ac:dyDescent="0.2">
      <c r="A94" s="298" t="s">
        <v>12</v>
      </c>
      <c r="B94" s="235"/>
      <c r="C94" s="291"/>
      <c r="D94" s="166"/>
      <c r="E94" s="418"/>
      <c r="F94" s="283"/>
      <c r="G94" s="283"/>
      <c r="H94" s="166"/>
      <c r="I94" s="418"/>
      <c r="J94" s="292"/>
      <c r="K94" s="292"/>
      <c r="L94" s="166"/>
      <c r="M94" s="23"/>
    </row>
    <row r="95" spans="1:13" x14ac:dyDescent="0.2">
      <c r="A95" s="298" t="s">
        <v>13</v>
      </c>
      <c r="B95" s="235"/>
      <c r="C95" s="291"/>
      <c r="D95" s="166"/>
      <c r="E95" s="418"/>
      <c r="F95" s="283"/>
      <c r="G95" s="283"/>
      <c r="H95" s="166"/>
      <c r="I95" s="418"/>
      <c r="J95" s="292"/>
      <c r="K95" s="292"/>
      <c r="L95" s="166"/>
      <c r="M95" s="23"/>
    </row>
    <row r="96" spans="1:13" x14ac:dyDescent="0.2">
      <c r="A96" s="21" t="s">
        <v>344</v>
      </c>
      <c r="B96" s="234"/>
      <c r="C96" s="145"/>
      <c r="D96" s="166"/>
      <c r="E96" s="27"/>
      <c r="F96" s="234"/>
      <c r="G96" s="145"/>
      <c r="H96" s="166"/>
      <c r="I96" s="27"/>
      <c r="J96" s="289"/>
      <c r="K96" s="44"/>
      <c r="L96" s="257"/>
      <c r="M96" s="27"/>
    </row>
    <row r="97" spans="1:13" x14ac:dyDescent="0.2">
      <c r="A97" s="21" t="s">
        <v>343</v>
      </c>
      <c r="B97" s="234"/>
      <c r="C97" s="145"/>
      <c r="D97" s="166"/>
      <c r="E97" s="27"/>
      <c r="F97" s="234"/>
      <c r="G97" s="145"/>
      <c r="H97" s="166"/>
      <c r="I97" s="27"/>
      <c r="J97" s="289"/>
      <c r="K97" s="44"/>
      <c r="L97" s="257"/>
      <c r="M97" s="27"/>
    </row>
    <row r="98" spans="1:13" ht="15.75" x14ac:dyDescent="0.2">
      <c r="A98" s="21" t="s">
        <v>461</v>
      </c>
      <c r="B98" s="234"/>
      <c r="C98" s="234"/>
      <c r="D98" s="166"/>
      <c r="E98" s="27"/>
      <c r="F98" s="294"/>
      <c r="G98" s="294"/>
      <c r="H98" s="166"/>
      <c r="I98" s="27"/>
      <c r="J98" s="289"/>
      <c r="K98" s="44"/>
      <c r="L98" s="257"/>
      <c r="M98" s="27"/>
    </row>
    <row r="99" spans="1:13" x14ac:dyDescent="0.2">
      <c r="A99" s="21" t="s">
        <v>9</v>
      </c>
      <c r="B99" s="294"/>
      <c r="C99" s="295"/>
      <c r="D99" s="166"/>
      <c r="E99" s="27"/>
      <c r="F99" s="234"/>
      <c r="G99" s="145"/>
      <c r="H99" s="166"/>
      <c r="I99" s="27"/>
      <c r="J99" s="289"/>
      <c r="K99" s="44"/>
      <c r="L99" s="257"/>
      <c r="M99" s="27"/>
    </row>
    <row r="100" spans="1:13" x14ac:dyDescent="0.2">
      <c r="A100" s="21" t="s">
        <v>10</v>
      </c>
      <c r="B100" s="294"/>
      <c r="C100" s="295"/>
      <c r="D100" s="166"/>
      <c r="E100" s="27"/>
      <c r="F100" s="234"/>
      <c r="G100" s="234"/>
      <c r="H100" s="166"/>
      <c r="I100" s="27"/>
      <c r="J100" s="289"/>
      <c r="K100" s="44"/>
      <c r="L100" s="257"/>
      <c r="M100" s="27"/>
    </row>
    <row r="101" spans="1:13" ht="15.75" x14ac:dyDescent="0.2">
      <c r="A101" s="298" t="s">
        <v>459</v>
      </c>
      <c r="B101" s="283"/>
      <c r="C101" s="283"/>
      <c r="D101" s="166"/>
      <c r="E101" s="418"/>
      <c r="F101" s="283"/>
      <c r="G101" s="283"/>
      <c r="H101" s="166"/>
      <c r="I101" s="418"/>
      <c r="J101" s="292"/>
      <c r="K101" s="292"/>
      <c r="L101" s="166"/>
      <c r="M101" s="23"/>
    </row>
    <row r="102" spans="1:13" x14ac:dyDescent="0.2">
      <c r="A102" s="298" t="s">
        <v>12</v>
      </c>
      <c r="B102" s="235"/>
      <c r="C102" s="291"/>
      <c r="D102" s="166"/>
      <c r="E102" s="418"/>
      <c r="F102" s="283"/>
      <c r="G102" s="283"/>
      <c r="H102" s="166"/>
      <c r="I102" s="418"/>
      <c r="J102" s="292"/>
      <c r="K102" s="292"/>
      <c r="L102" s="166"/>
      <c r="M102" s="23"/>
    </row>
    <row r="103" spans="1:13" x14ac:dyDescent="0.2">
      <c r="A103" s="298" t="s">
        <v>13</v>
      </c>
      <c r="B103" s="235"/>
      <c r="C103" s="291"/>
      <c r="D103" s="166"/>
      <c r="E103" s="418"/>
      <c r="F103" s="283"/>
      <c r="G103" s="283"/>
      <c r="H103" s="166"/>
      <c r="I103" s="418"/>
      <c r="J103" s="292"/>
      <c r="K103" s="292"/>
      <c r="L103" s="166"/>
      <c r="M103" s="23"/>
    </row>
    <row r="104" spans="1:13" ht="15.75" x14ac:dyDescent="0.2">
      <c r="A104" s="298" t="s">
        <v>460</v>
      </c>
      <c r="B104" s="283"/>
      <c r="C104" s="283"/>
      <c r="D104" s="166"/>
      <c r="E104" s="418"/>
      <c r="F104" s="283"/>
      <c r="G104" s="283"/>
      <c r="H104" s="166"/>
      <c r="I104" s="418"/>
      <c r="J104" s="292"/>
      <c r="K104" s="292"/>
      <c r="L104" s="166"/>
      <c r="M104" s="23"/>
    </row>
    <row r="105" spans="1:13" x14ac:dyDescent="0.2">
      <c r="A105" s="298" t="s">
        <v>12</v>
      </c>
      <c r="B105" s="235"/>
      <c r="C105" s="291"/>
      <c r="D105" s="166"/>
      <c r="E105" s="418"/>
      <c r="F105" s="283"/>
      <c r="G105" s="283"/>
      <c r="H105" s="166"/>
      <c r="I105" s="418"/>
      <c r="J105" s="292"/>
      <c r="K105" s="292"/>
      <c r="L105" s="166"/>
      <c r="M105" s="23"/>
    </row>
    <row r="106" spans="1:13" x14ac:dyDescent="0.2">
      <c r="A106" s="298" t="s">
        <v>13</v>
      </c>
      <c r="B106" s="235"/>
      <c r="C106" s="291"/>
      <c r="D106" s="166"/>
      <c r="E106" s="418"/>
      <c r="F106" s="283"/>
      <c r="G106" s="283"/>
      <c r="H106" s="166"/>
      <c r="I106" s="418"/>
      <c r="J106" s="292"/>
      <c r="K106" s="292"/>
      <c r="L106" s="166"/>
      <c r="M106" s="23"/>
    </row>
    <row r="107" spans="1:13" ht="15.75" x14ac:dyDescent="0.2">
      <c r="A107" s="21" t="s">
        <v>462</v>
      </c>
      <c r="B107" s="234"/>
      <c r="C107" s="145"/>
      <c r="D107" s="166"/>
      <c r="E107" s="27"/>
      <c r="F107" s="234"/>
      <c r="G107" s="145"/>
      <c r="H107" s="166"/>
      <c r="I107" s="27"/>
      <c r="J107" s="289"/>
      <c r="K107" s="44"/>
      <c r="L107" s="257"/>
      <c r="M107" s="27"/>
    </row>
    <row r="108" spans="1:13" ht="15.75" x14ac:dyDescent="0.2">
      <c r="A108" s="21" t="s">
        <v>463</v>
      </c>
      <c r="B108" s="234"/>
      <c r="C108" s="234"/>
      <c r="D108" s="166"/>
      <c r="E108" s="27"/>
      <c r="F108" s="234"/>
      <c r="G108" s="234"/>
      <c r="H108" s="166"/>
      <c r="I108" s="27"/>
      <c r="J108" s="289"/>
      <c r="K108" s="44"/>
      <c r="L108" s="257"/>
      <c r="M108" s="27"/>
    </row>
    <row r="109" spans="1:13" ht="15.75" x14ac:dyDescent="0.2">
      <c r="A109" s="21" t="s">
        <v>464</v>
      </c>
      <c r="B109" s="234"/>
      <c r="C109" s="234"/>
      <c r="D109" s="166"/>
      <c r="E109" s="27"/>
      <c r="F109" s="234"/>
      <c r="G109" s="234"/>
      <c r="H109" s="166"/>
      <c r="I109" s="27"/>
      <c r="J109" s="289"/>
      <c r="K109" s="44"/>
      <c r="L109" s="257"/>
      <c r="M109" s="27"/>
    </row>
    <row r="110" spans="1:13" ht="15.75" x14ac:dyDescent="0.2">
      <c r="A110" s="21" t="s">
        <v>465</v>
      </c>
      <c r="B110" s="234"/>
      <c r="C110" s="234"/>
      <c r="D110" s="166"/>
      <c r="E110" s="27"/>
      <c r="F110" s="234"/>
      <c r="G110" s="234"/>
      <c r="H110" s="166"/>
      <c r="I110" s="27"/>
      <c r="J110" s="289"/>
      <c r="K110" s="44"/>
      <c r="L110" s="257"/>
      <c r="M110" s="27"/>
    </row>
    <row r="111" spans="1:13" ht="15.75" x14ac:dyDescent="0.2">
      <c r="A111" s="13" t="s">
        <v>445</v>
      </c>
      <c r="B111" s="310"/>
      <c r="C111" s="159"/>
      <c r="D111" s="171"/>
      <c r="E111" s="11"/>
      <c r="F111" s="310"/>
      <c r="G111" s="159"/>
      <c r="H111" s="171"/>
      <c r="I111" s="11"/>
      <c r="J111" s="311"/>
      <c r="K111" s="236"/>
      <c r="L111" s="429"/>
      <c r="M111" s="11"/>
    </row>
    <row r="112" spans="1:13" x14ac:dyDescent="0.2">
      <c r="A112" s="21" t="s">
        <v>9</v>
      </c>
      <c r="B112" s="234"/>
      <c r="C112" s="145"/>
      <c r="D112" s="166"/>
      <c r="E112" s="27"/>
      <c r="F112" s="234"/>
      <c r="G112" s="145"/>
      <c r="H112" s="166"/>
      <c r="I112" s="27"/>
      <c r="J112" s="289"/>
      <c r="K112" s="44"/>
      <c r="L112" s="257"/>
      <c r="M112" s="27"/>
    </row>
    <row r="113" spans="1:14" x14ac:dyDescent="0.2">
      <c r="A113" s="21" t="s">
        <v>10</v>
      </c>
      <c r="B113" s="234"/>
      <c r="C113" s="145"/>
      <c r="D113" s="166"/>
      <c r="E113" s="27"/>
      <c r="F113" s="234"/>
      <c r="G113" s="145"/>
      <c r="H113" s="166"/>
      <c r="I113" s="27"/>
      <c r="J113" s="289"/>
      <c r="K113" s="44"/>
      <c r="L113" s="257"/>
      <c r="M113" s="27"/>
    </row>
    <row r="114" spans="1:14" x14ac:dyDescent="0.2">
      <c r="A114" s="21" t="s">
        <v>26</v>
      </c>
      <c r="B114" s="234"/>
      <c r="C114" s="145"/>
      <c r="D114" s="166"/>
      <c r="E114" s="27"/>
      <c r="F114" s="234"/>
      <c r="G114" s="145"/>
      <c r="H114" s="166"/>
      <c r="I114" s="27"/>
      <c r="J114" s="289"/>
      <c r="K114" s="44"/>
      <c r="L114" s="257"/>
      <c r="M114" s="27"/>
    </row>
    <row r="115" spans="1:14" x14ac:dyDescent="0.2">
      <c r="A115" s="298" t="s">
        <v>15</v>
      </c>
      <c r="B115" s="283"/>
      <c r="C115" s="283"/>
      <c r="D115" s="166"/>
      <c r="E115" s="418"/>
      <c r="F115" s="283"/>
      <c r="G115" s="283"/>
      <c r="H115" s="166"/>
      <c r="I115" s="418"/>
      <c r="J115" s="292"/>
      <c r="K115" s="292"/>
      <c r="L115" s="166"/>
      <c r="M115" s="23"/>
    </row>
    <row r="116" spans="1:14" ht="15.75" x14ac:dyDescent="0.2">
      <c r="A116" s="21" t="s">
        <v>466</v>
      </c>
      <c r="B116" s="234"/>
      <c r="C116" s="234"/>
      <c r="D116" s="166"/>
      <c r="E116" s="27"/>
      <c r="F116" s="234"/>
      <c r="G116" s="234"/>
      <c r="H116" s="166"/>
      <c r="I116" s="27"/>
      <c r="J116" s="289"/>
      <c r="K116" s="44"/>
      <c r="L116" s="257"/>
      <c r="M116" s="27"/>
    </row>
    <row r="117" spans="1:14" ht="15.75" x14ac:dyDescent="0.2">
      <c r="A117" s="21" t="s">
        <v>467</v>
      </c>
      <c r="B117" s="234"/>
      <c r="C117" s="234"/>
      <c r="D117" s="166"/>
      <c r="E117" s="27"/>
      <c r="F117" s="234"/>
      <c r="G117" s="234"/>
      <c r="H117" s="166"/>
      <c r="I117" s="27"/>
      <c r="J117" s="289"/>
      <c r="K117" s="44"/>
      <c r="L117" s="257"/>
      <c r="M117" s="27"/>
    </row>
    <row r="118" spans="1:14" ht="15.75" x14ac:dyDescent="0.2">
      <c r="A118" s="21" t="s">
        <v>465</v>
      </c>
      <c r="B118" s="234"/>
      <c r="C118" s="234"/>
      <c r="D118" s="166"/>
      <c r="E118" s="27"/>
      <c r="F118" s="234"/>
      <c r="G118" s="234"/>
      <c r="H118" s="166"/>
      <c r="I118" s="27"/>
      <c r="J118" s="289"/>
      <c r="K118" s="44"/>
      <c r="L118" s="257"/>
      <c r="M118" s="27"/>
    </row>
    <row r="119" spans="1:14" ht="15.75" x14ac:dyDescent="0.2">
      <c r="A119" s="13" t="s">
        <v>446</v>
      </c>
      <c r="B119" s="310"/>
      <c r="C119" s="159"/>
      <c r="D119" s="171"/>
      <c r="E119" s="11"/>
      <c r="F119" s="310"/>
      <c r="G119" s="159"/>
      <c r="H119" s="171"/>
      <c r="I119" s="11"/>
      <c r="J119" s="311"/>
      <c r="K119" s="236"/>
      <c r="L119" s="429"/>
      <c r="M119" s="11"/>
    </row>
    <row r="120" spans="1:14" x14ac:dyDescent="0.2">
      <c r="A120" s="21" t="s">
        <v>9</v>
      </c>
      <c r="B120" s="234"/>
      <c r="C120" s="145"/>
      <c r="D120" s="166"/>
      <c r="E120" s="27"/>
      <c r="F120" s="234"/>
      <c r="G120" s="145"/>
      <c r="H120" s="166"/>
      <c r="I120" s="27"/>
      <c r="J120" s="289"/>
      <c r="K120" s="44"/>
      <c r="L120" s="257"/>
      <c r="M120" s="27"/>
    </row>
    <row r="121" spans="1:14" x14ac:dyDescent="0.2">
      <c r="A121" s="21" t="s">
        <v>10</v>
      </c>
      <c r="B121" s="234"/>
      <c r="C121" s="145"/>
      <c r="D121" s="166"/>
      <c r="E121" s="27"/>
      <c r="F121" s="234"/>
      <c r="G121" s="145"/>
      <c r="H121" s="166"/>
      <c r="I121" s="27"/>
      <c r="J121" s="289"/>
      <c r="K121" s="44"/>
      <c r="L121" s="257"/>
      <c r="M121" s="27"/>
    </row>
    <row r="122" spans="1:14" x14ac:dyDescent="0.2">
      <c r="A122" s="21" t="s">
        <v>26</v>
      </c>
      <c r="B122" s="234"/>
      <c r="C122" s="145"/>
      <c r="D122" s="166"/>
      <c r="E122" s="27"/>
      <c r="F122" s="234"/>
      <c r="G122" s="145"/>
      <c r="H122" s="166"/>
      <c r="I122" s="27"/>
      <c r="J122" s="289"/>
      <c r="K122" s="44"/>
      <c r="L122" s="257"/>
      <c r="M122" s="27"/>
    </row>
    <row r="123" spans="1:14" x14ac:dyDescent="0.2">
      <c r="A123" s="298" t="s">
        <v>14</v>
      </c>
      <c r="B123" s="283"/>
      <c r="C123" s="283"/>
      <c r="D123" s="166"/>
      <c r="E123" s="418"/>
      <c r="F123" s="283"/>
      <c r="G123" s="283"/>
      <c r="H123" s="166"/>
      <c r="I123" s="418"/>
      <c r="J123" s="292"/>
      <c r="K123" s="292"/>
      <c r="L123" s="166"/>
      <c r="M123" s="23"/>
    </row>
    <row r="124" spans="1:14" ht="15.75" x14ac:dyDescent="0.2">
      <c r="A124" s="21" t="s">
        <v>472</v>
      </c>
      <c r="B124" s="234"/>
      <c r="C124" s="234"/>
      <c r="D124" s="166"/>
      <c r="E124" s="27"/>
      <c r="F124" s="234"/>
      <c r="G124" s="234"/>
      <c r="H124" s="166"/>
      <c r="I124" s="27"/>
      <c r="J124" s="289"/>
      <c r="K124" s="44"/>
      <c r="L124" s="257"/>
      <c r="M124" s="27"/>
    </row>
    <row r="125" spans="1:14" ht="15.75" x14ac:dyDescent="0.2">
      <c r="A125" s="21" t="s">
        <v>464</v>
      </c>
      <c r="B125" s="234"/>
      <c r="C125" s="234"/>
      <c r="D125" s="166"/>
      <c r="E125" s="27"/>
      <c r="F125" s="234"/>
      <c r="G125" s="234"/>
      <c r="H125" s="166"/>
      <c r="I125" s="27"/>
      <c r="J125" s="289"/>
      <c r="K125" s="44"/>
      <c r="L125" s="257"/>
      <c r="M125" s="27"/>
    </row>
    <row r="126" spans="1:14" ht="15.75" x14ac:dyDescent="0.2">
      <c r="A126" s="10" t="s">
        <v>465</v>
      </c>
      <c r="B126" s="45"/>
      <c r="C126" s="45"/>
      <c r="D126" s="167"/>
      <c r="E126" s="419"/>
      <c r="F126" s="45"/>
      <c r="G126" s="45"/>
      <c r="H126" s="167"/>
      <c r="I126" s="22"/>
      <c r="J126" s="290"/>
      <c r="K126" s="45"/>
      <c r="L126" s="258"/>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1022"/>
      <c r="C130" s="1022"/>
      <c r="D130" s="1022"/>
      <c r="E130" s="846"/>
      <c r="F130" s="1022"/>
      <c r="G130" s="1022"/>
      <c r="H130" s="1022"/>
      <c r="I130" s="846"/>
      <c r="J130" s="1022"/>
      <c r="K130" s="1022"/>
      <c r="L130" s="1022"/>
      <c r="M130" s="846"/>
    </row>
    <row r="131" spans="1:14" s="3" customFormat="1" x14ac:dyDescent="0.2">
      <c r="A131" s="144"/>
      <c r="B131" s="1023" t="s">
        <v>0</v>
      </c>
      <c r="C131" s="1024"/>
      <c r="D131" s="1024"/>
      <c r="E131" s="843"/>
      <c r="F131" s="1023" t="s">
        <v>1</v>
      </c>
      <c r="G131" s="1024"/>
      <c r="H131" s="1024"/>
      <c r="I131" s="844"/>
      <c r="J131" s="1023" t="s">
        <v>2</v>
      </c>
      <c r="K131" s="1024"/>
      <c r="L131" s="1024"/>
      <c r="M131" s="844"/>
      <c r="N131" s="148"/>
    </row>
    <row r="132" spans="1:14" s="3" customFormat="1" x14ac:dyDescent="0.2">
      <c r="A132" s="140"/>
      <c r="B132" s="152" t="s">
        <v>502</v>
      </c>
      <c r="C132" s="152" t="s">
        <v>503</v>
      </c>
      <c r="D132" s="245" t="s">
        <v>3</v>
      </c>
      <c r="E132" s="307" t="s">
        <v>29</v>
      </c>
      <c r="F132" s="152" t="s">
        <v>502</v>
      </c>
      <c r="G132" s="152" t="s">
        <v>503</v>
      </c>
      <c r="H132" s="206" t="s">
        <v>3</v>
      </c>
      <c r="I132" s="162" t="s">
        <v>29</v>
      </c>
      <c r="J132" s="152" t="s">
        <v>502</v>
      </c>
      <c r="K132" s="152" t="s">
        <v>503</v>
      </c>
      <c r="L132" s="246" t="s">
        <v>3</v>
      </c>
      <c r="M132" s="162" t="s">
        <v>29</v>
      </c>
      <c r="N132" s="148"/>
    </row>
    <row r="133" spans="1:14" s="3" customFormat="1" x14ac:dyDescent="0.2">
      <c r="A133" s="990"/>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468</v>
      </c>
      <c r="B134" s="236"/>
      <c r="C134" s="311"/>
      <c r="D134" s="351"/>
      <c r="E134" s="11"/>
      <c r="F134" s="318"/>
      <c r="G134" s="319"/>
      <c r="H134" s="432"/>
      <c r="I134" s="24"/>
      <c r="J134" s="320"/>
      <c r="K134" s="320"/>
      <c r="L134" s="428"/>
      <c r="M134" s="11"/>
      <c r="N134" s="148"/>
    </row>
    <row r="135" spans="1:14" s="3" customFormat="1" ht="15.75" x14ac:dyDescent="0.2">
      <c r="A135" s="13" t="s">
        <v>473</v>
      </c>
      <c r="B135" s="236"/>
      <c r="C135" s="311"/>
      <c r="D135" s="171"/>
      <c r="E135" s="11"/>
      <c r="F135" s="236"/>
      <c r="G135" s="311"/>
      <c r="H135" s="433"/>
      <c r="I135" s="24"/>
      <c r="J135" s="310"/>
      <c r="K135" s="310"/>
      <c r="L135" s="429"/>
      <c r="M135" s="11"/>
      <c r="N135" s="148"/>
    </row>
    <row r="136" spans="1:14" s="3" customFormat="1" ht="15.75" x14ac:dyDescent="0.2">
      <c r="A136" s="13" t="s">
        <v>470</v>
      </c>
      <c r="B136" s="236"/>
      <c r="C136" s="311"/>
      <c r="D136" s="171"/>
      <c r="E136" s="11"/>
      <c r="F136" s="236"/>
      <c r="G136" s="311"/>
      <c r="H136" s="433"/>
      <c r="I136" s="24"/>
      <c r="J136" s="310"/>
      <c r="K136" s="310"/>
      <c r="L136" s="429"/>
      <c r="M136" s="11"/>
      <c r="N136" s="148"/>
    </row>
    <row r="137" spans="1:14" s="3" customFormat="1" ht="15.75" x14ac:dyDescent="0.2">
      <c r="A137" s="41" t="s">
        <v>471</v>
      </c>
      <c r="B137" s="278"/>
      <c r="C137" s="317"/>
      <c r="D137" s="169"/>
      <c r="E137" s="9"/>
      <c r="F137" s="278"/>
      <c r="G137" s="317"/>
      <c r="H137" s="434"/>
      <c r="I137" s="36"/>
      <c r="J137" s="316"/>
      <c r="K137" s="316"/>
      <c r="L137" s="430"/>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50:C52">
    <cfRule type="expression" dxfId="976" priority="59">
      <formula>kvartal &lt; 4</formula>
    </cfRule>
  </conditionalFormatting>
  <conditionalFormatting sqref="B69">
    <cfRule type="expression" dxfId="975" priority="58">
      <formula>kvartal &lt; 4</formula>
    </cfRule>
  </conditionalFormatting>
  <conditionalFormatting sqref="C69">
    <cfRule type="expression" dxfId="974" priority="57">
      <formula>kvartal &lt; 4</formula>
    </cfRule>
  </conditionalFormatting>
  <conditionalFormatting sqref="B72">
    <cfRule type="expression" dxfId="973" priority="56">
      <formula>kvartal &lt; 4</formula>
    </cfRule>
  </conditionalFormatting>
  <conditionalFormatting sqref="C72">
    <cfRule type="expression" dxfId="972" priority="55">
      <formula>kvartal &lt; 4</formula>
    </cfRule>
  </conditionalFormatting>
  <conditionalFormatting sqref="B80">
    <cfRule type="expression" dxfId="971" priority="54">
      <formula>kvartal &lt; 4</formula>
    </cfRule>
  </conditionalFormatting>
  <conditionalFormatting sqref="C80">
    <cfRule type="expression" dxfId="970" priority="53">
      <formula>kvartal &lt; 4</formula>
    </cfRule>
  </conditionalFormatting>
  <conditionalFormatting sqref="B83">
    <cfRule type="expression" dxfId="969" priority="52">
      <formula>kvartal &lt; 4</formula>
    </cfRule>
  </conditionalFormatting>
  <conditionalFormatting sqref="C83">
    <cfRule type="expression" dxfId="968" priority="51">
      <formula>kvartal &lt; 4</formula>
    </cfRule>
  </conditionalFormatting>
  <conditionalFormatting sqref="B90">
    <cfRule type="expression" dxfId="967" priority="50">
      <formula>kvartal &lt; 4</formula>
    </cfRule>
  </conditionalFormatting>
  <conditionalFormatting sqref="C90">
    <cfRule type="expression" dxfId="966" priority="49">
      <formula>kvartal &lt; 4</formula>
    </cfRule>
  </conditionalFormatting>
  <conditionalFormatting sqref="B93">
    <cfRule type="expression" dxfId="965" priority="48">
      <formula>kvartal &lt; 4</formula>
    </cfRule>
  </conditionalFormatting>
  <conditionalFormatting sqref="C93">
    <cfRule type="expression" dxfId="964" priority="47">
      <formula>kvartal &lt; 4</formula>
    </cfRule>
  </conditionalFormatting>
  <conditionalFormatting sqref="B101">
    <cfRule type="expression" dxfId="963" priority="46">
      <formula>kvartal &lt; 4</formula>
    </cfRule>
  </conditionalFormatting>
  <conditionalFormatting sqref="C101">
    <cfRule type="expression" dxfId="962" priority="45">
      <formula>kvartal &lt; 4</formula>
    </cfRule>
  </conditionalFormatting>
  <conditionalFormatting sqref="B104">
    <cfRule type="expression" dxfId="961" priority="44">
      <formula>kvartal &lt; 4</formula>
    </cfRule>
  </conditionalFormatting>
  <conditionalFormatting sqref="C104">
    <cfRule type="expression" dxfId="960" priority="43">
      <formula>kvartal &lt; 4</formula>
    </cfRule>
  </conditionalFormatting>
  <conditionalFormatting sqref="B115">
    <cfRule type="expression" dxfId="959" priority="42">
      <formula>kvartal &lt; 4</formula>
    </cfRule>
  </conditionalFormatting>
  <conditionalFormatting sqref="C115">
    <cfRule type="expression" dxfId="958" priority="41">
      <formula>kvartal &lt; 4</formula>
    </cfRule>
  </conditionalFormatting>
  <conditionalFormatting sqref="B123">
    <cfRule type="expression" dxfId="957" priority="40">
      <formula>kvartal &lt; 4</formula>
    </cfRule>
  </conditionalFormatting>
  <conditionalFormatting sqref="C123">
    <cfRule type="expression" dxfId="956" priority="39">
      <formula>kvartal &lt; 4</formula>
    </cfRule>
  </conditionalFormatting>
  <conditionalFormatting sqref="F70">
    <cfRule type="expression" dxfId="955" priority="38">
      <formula>kvartal &lt; 4</formula>
    </cfRule>
  </conditionalFormatting>
  <conditionalFormatting sqref="G70">
    <cfRule type="expression" dxfId="954" priority="37">
      <formula>kvartal &lt; 4</formula>
    </cfRule>
  </conditionalFormatting>
  <conditionalFormatting sqref="F71:G71">
    <cfRule type="expression" dxfId="953" priority="36">
      <formula>kvartal &lt; 4</formula>
    </cfRule>
  </conditionalFormatting>
  <conditionalFormatting sqref="F73:G74">
    <cfRule type="expression" dxfId="952" priority="35">
      <formula>kvartal &lt; 4</formula>
    </cfRule>
  </conditionalFormatting>
  <conditionalFormatting sqref="F81:G82">
    <cfRule type="expression" dxfId="951" priority="34">
      <formula>kvartal &lt; 4</formula>
    </cfRule>
  </conditionalFormatting>
  <conditionalFormatting sqref="F84:G85">
    <cfRule type="expression" dxfId="950" priority="33">
      <formula>kvartal &lt; 4</formula>
    </cfRule>
  </conditionalFormatting>
  <conditionalFormatting sqref="F91:G92">
    <cfRule type="expression" dxfId="949" priority="32">
      <formula>kvartal &lt; 4</formula>
    </cfRule>
  </conditionalFormatting>
  <conditionalFormatting sqref="F94:G95">
    <cfRule type="expression" dxfId="948" priority="31">
      <formula>kvartal &lt; 4</formula>
    </cfRule>
  </conditionalFormatting>
  <conditionalFormatting sqref="F102:G103">
    <cfRule type="expression" dxfId="947" priority="30">
      <formula>kvartal &lt; 4</formula>
    </cfRule>
  </conditionalFormatting>
  <conditionalFormatting sqref="F105:G106">
    <cfRule type="expression" dxfId="946" priority="29">
      <formula>kvartal &lt; 4</formula>
    </cfRule>
  </conditionalFormatting>
  <conditionalFormatting sqref="F115">
    <cfRule type="expression" dxfId="945" priority="28">
      <formula>kvartal &lt; 4</formula>
    </cfRule>
  </conditionalFormatting>
  <conditionalFormatting sqref="G115">
    <cfRule type="expression" dxfId="944" priority="27">
      <formula>kvartal &lt; 4</formula>
    </cfRule>
  </conditionalFormatting>
  <conditionalFormatting sqref="F123:G123">
    <cfRule type="expression" dxfId="943" priority="26">
      <formula>kvartal &lt; 4</formula>
    </cfRule>
  </conditionalFormatting>
  <conditionalFormatting sqref="F69:G69">
    <cfRule type="expression" dxfId="942" priority="25">
      <formula>kvartal &lt; 4</formula>
    </cfRule>
  </conditionalFormatting>
  <conditionalFormatting sqref="F72:G72">
    <cfRule type="expression" dxfId="941" priority="24">
      <formula>kvartal &lt; 4</formula>
    </cfRule>
  </conditionalFormatting>
  <conditionalFormatting sqref="F80:G80">
    <cfRule type="expression" dxfId="940" priority="23">
      <formula>kvartal &lt; 4</formula>
    </cfRule>
  </conditionalFormatting>
  <conditionalFormatting sqref="F83:G83">
    <cfRule type="expression" dxfId="939" priority="22">
      <formula>kvartal &lt; 4</formula>
    </cfRule>
  </conditionalFormatting>
  <conditionalFormatting sqref="F90:G90">
    <cfRule type="expression" dxfId="938" priority="21">
      <formula>kvartal &lt; 4</formula>
    </cfRule>
  </conditionalFormatting>
  <conditionalFormatting sqref="F93">
    <cfRule type="expression" dxfId="937" priority="20">
      <formula>kvartal &lt; 4</formula>
    </cfRule>
  </conditionalFormatting>
  <conditionalFormatting sqref="G93">
    <cfRule type="expression" dxfId="936" priority="19">
      <formula>kvartal &lt; 4</formula>
    </cfRule>
  </conditionalFormatting>
  <conditionalFormatting sqref="F101">
    <cfRule type="expression" dxfId="935" priority="18">
      <formula>kvartal &lt; 4</formula>
    </cfRule>
  </conditionalFormatting>
  <conditionalFormatting sqref="G101">
    <cfRule type="expression" dxfId="934" priority="17">
      <formula>kvartal &lt; 4</formula>
    </cfRule>
  </conditionalFormatting>
  <conditionalFormatting sqref="G104">
    <cfRule type="expression" dxfId="933" priority="16">
      <formula>kvartal &lt; 4</formula>
    </cfRule>
  </conditionalFormatting>
  <conditionalFormatting sqref="F104">
    <cfRule type="expression" dxfId="932" priority="15">
      <formula>kvartal &lt; 4</formula>
    </cfRule>
  </conditionalFormatting>
  <conditionalFormatting sqref="J69:K73">
    <cfRule type="expression" dxfId="931" priority="14">
      <formula>kvartal &lt; 4</formula>
    </cfRule>
  </conditionalFormatting>
  <conditionalFormatting sqref="J74:K74">
    <cfRule type="expression" dxfId="930" priority="13">
      <formula>kvartal &lt; 4</formula>
    </cfRule>
  </conditionalFormatting>
  <conditionalFormatting sqref="J80:K85">
    <cfRule type="expression" dxfId="929" priority="12">
      <formula>kvartal &lt; 4</formula>
    </cfRule>
  </conditionalFormatting>
  <conditionalFormatting sqref="J90:K95">
    <cfRule type="expression" dxfId="928" priority="11">
      <formula>kvartal &lt; 4</formula>
    </cfRule>
  </conditionalFormatting>
  <conditionalFormatting sqref="J101:K106">
    <cfRule type="expression" dxfId="927" priority="10">
      <formula>kvartal &lt; 4</formula>
    </cfRule>
  </conditionalFormatting>
  <conditionalFormatting sqref="J115:K115">
    <cfRule type="expression" dxfId="926" priority="9">
      <formula>kvartal &lt; 4</formula>
    </cfRule>
  </conditionalFormatting>
  <conditionalFormatting sqref="J123:K123">
    <cfRule type="expression" dxfId="925" priority="8">
      <formula>kvartal &lt; 4</formula>
    </cfRule>
  </conditionalFormatting>
  <conditionalFormatting sqref="A50:A52">
    <cfRule type="expression" dxfId="924" priority="7">
      <formula>kvartal &lt; 4</formula>
    </cfRule>
  </conditionalFormatting>
  <conditionalFormatting sqref="A69:A74">
    <cfRule type="expression" dxfId="923" priority="6">
      <formula>kvartal &lt; 4</formula>
    </cfRule>
  </conditionalFormatting>
  <conditionalFormatting sqref="A80:A85">
    <cfRule type="expression" dxfId="922" priority="5">
      <formula>kvartal &lt; 4</formula>
    </cfRule>
  </conditionalFormatting>
  <conditionalFormatting sqref="A90:A95">
    <cfRule type="expression" dxfId="921" priority="4">
      <formula>kvartal &lt; 4</formula>
    </cfRule>
  </conditionalFormatting>
  <conditionalFormatting sqref="A101:A106">
    <cfRule type="expression" dxfId="920" priority="3">
      <formula>kvartal &lt; 4</formula>
    </cfRule>
  </conditionalFormatting>
  <conditionalFormatting sqref="A115">
    <cfRule type="expression" dxfId="919" priority="2">
      <formula>kvartal &lt; 4</formula>
    </cfRule>
  </conditionalFormatting>
  <conditionalFormatting sqref="A123">
    <cfRule type="expression" dxfId="918" priority="1">
      <formula>kvartal &lt; 4</formula>
    </cfRule>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T61"/>
  <sheetViews>
    <sheetView showGridLines="0" zoomScale="80" zoomScaleNormal="8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90" style="510" customWidth="1"/>
    <col min="2" max="46" width="11.7109375" style="510" customWidth="1"/>
    <col min="47" max="16384" width="11.42578125" style="510"/>
  </cols>
  <sheetData>
    <row r="1" spans="1:46" ht="20.25" x14ac:dyDescent="0.3">
      <c r="A1" s="508" t="s">
        <v>281</v>
      </c>
      <c r="B1" s="474" t="s">
        <v>52</v>
      </c>
      <c r="C1" s="509"/>
      <c r="D1" s="509"/>
      <c r="H1" s="509"/>
      <c r="I1" s="509"/>
      <c r="J1" s="509"/>
      <c r="K1" s="509"/>
      <c r="L1" s="509"/>
      <c r="M1" s="509"/>
      <c r="N1" s="509"/>
      <c r="O1" s="509"/>
      <c r="P1" s="509"/>
    </row>
    <row r="2" spans="1:46" ht="20.25" x14ac:dyDescent="0.3">
      <c r="A2" s="508" t="s">
        <v>254</v>
      </c>
      <c r="B2" s="511"/>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1"/>
      <c r="AM2" s="511"/>
      <c r="AN2" s="511"/>
      <c r="AO2" s="511"/>
      <c r="AP2" s="511"/>
      <c r="AQ2" s="511"/>
      <c r="AR2" s="511"/>
      <c r="AS2" s="511"/>
      <c r="AT2" s="511"/>
    </row>
    <row r="3" spans="1:46" ht="18.75" x14ac:dyDescent="0.3">
      <c r="A3" s="512" t="s">
        <v>282</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3"/>
    </row>
    <row r="4" spans="1:46" ht="18.75" customHeight="1" x14ac:dyDescent="0.25">
      <c r="A4" s="480" t="s">
        <v>360</v>
      </c>
      <c r="B4" s="515"/>
      <c r="C4" s="515"/>
      <c r="D4" s="516"/>
      <c r="E4" s="519"/>
      <c r="F4" s="518"/>
      <c r="G4" s="520"/>
      <c r="H4" s="517"/>
      <c r="I4" s="515"/>
      <c r="J4" s="516"/>
      <c r="K4" s="517"/>
      <c r="L4" s="515"/>
      <c r="M4" s="516"/>
      <c r="N4" s="517"/>
      <c r="O4" s="515"/>
      <c r="P4" s="516"/>
      <c r="Q4" s="518"/>
      <c r="R4" s="518"/>
      <c r="S4" s="518"/>
      <c r="T4" s="519"/>
      <c r="U4" s="518"/>
      <c r="V4" s="520"/>
      <c r="W4" s="519"/>
      <c r="X4" s="518"/>
      <c r="Y4" s="520"/>
      <c r="Z4" s="519"/>
      <c r="AA4" s="518"/>
      <c r="AB4" s="520"/>
      <c r="AC4" s="519"/>
      <c r="AD4" s="518"/>
      <c r="AE4" s="520"/>
      <c r="AF4" s="519"/>
      <c r="AG4" s="518"/>
      <c r="AH4" s="520"/>
      <c r="AI4" s="519"/>
      <c r="AJ4" s="518"/>
      <c r="AK4" s="520"/>
      <c r="AL4" s="519"/>
      <c r="AM4" s="518"/>
      <c r="AN4" s="520"/>
      <c r="AO4" s="521"/>
      <c r="AP4" s="522"/>
      <c r="AQ4" s="523"/>
      <c r="AR4" s="519"/>
      <c r="AS4" s="518"/>
      <c r="AT4" s="524"/>
    </row>
    <row r="5" spans="1:46" ht="18.75" customHeight="1" x14ac:dyDescent="0.3">
      <c r="A5" s="525" t="s">
        <v>99</v>
      </c>
      <c r="B5" s="1035" t="s">
        <v>173</v>
      </c>
      <c r="C5" s="1036"/>
      <c r="D5" s="1037"/>
      <c r="E5" s="1035" t="s">
        <v>174</v>
      </c>
      <c r="F5" s="1036"/>
      <c r="G5" s="1037"/>
      <c r="H5" s="1035" t="s">
        <v>174</v>
      </c>
      <c r="I5" s="1036"/>
      <c r="J5" s="1037"/>
      <c r="K5" s="1035" t="s">
        <v>487</v>
      </c>
      <c r="L5" s="1036"/>
      <c r="M5" s="1037"/>
      <c r="N5" s="1035" t="s">
        <v>175</v>
      </c>
      <c r="O5" s="1036"/>
      <c r="P5" s="1037"/>
      <c r="Q5" s="1035" t="s">
        <v>176</v>
      </c>
      <c r="R5" s="1036"/>
      <c r="S5" s="1037"/>
      <c r="T5" s="1035" t="s">
        <v>177</v>
      </c>
      <c r="U5" s="1036"/>
      <c r="V5" s="1037"/>
      <c r="W5" s="1035"/>
      <c r="X5" s="1036"/>
      <c r="Y5" s="1037"/>
      <c r="Z5" s="885"/>
      <c r="AA5" s="886"/>
      <c r="AB5" s="887"/>
      <c r="AC5" s="1035" t="s">
        <v>178</v>
      </c>
      <c r="AD5" s="1036"/>
      <c r="AE5" s="1037"/>
      <c r="AF5" s="956"/>
      <c r="AG5" s="957"/>
      <c r="AH5" s="958"/>
      <c r="AI5" s="1035"/>
      <c r="AJ5" s="1036"/>
      <c r="AK5" s="1037"/>
      <c r="AL5" s="1035" t="s">
        <v>72</v>
      </c>
      <c r="AM5" s="1036"/>
      <c r="AN5" s="1037"/>
      <c r="AO5" s="1038" t="s">
        <v>2</v>
      </c>
      <c r="AP5" s="1039"/>
      <c r="AQ5" s="1040"/>
      <c r="AR5" s="1035" t="s">
        <v>283</v>
      </c>
      <c r="AS5" s="1036"/>
      <c r="AT5" s="1037"/>
    </row>
    <row r="6" spans="1:46" ht="21" customHeight="1" x14ac:dyDescent="0.3">
      <c r="A6" s="526"/>
      <c r="B6" s="1029" t="s">
        <v>179</v>
      </c>
      <c r="C6" s="1030"/>
      <c r="D6" s="1031"/>
      <c r="E6" s="1029" t="s">
        <v>498</v>
      </c>
      <c r="F6" s="1030"/>
      <c r="G6" s="1031"/>
      <c r="H6" s="1029" t="s">
        <v>180</v>
      </c>
      <c r="I6" s="1030"/>
      <c r="J6" s="1031"/>
      <c r="K6" s="1029" t="s">
        <v>180</v>
      </c>
      <c r="L6" s="1030"/>
      <c r="M6" s="1031"/>
      <c r="N6" s="1029" t="s">
        <v>180</v>
      </c>
      <c r="O6" s="1030"/>
      <c r="P6" s="1031"/>
      <c r="Q6" s="1029" t="s">
        <v>181</v>
      </c>
      <c r="R6" s="1030"/>
      <c r="S6" s="1031"/>
      <c r="T6" s="1029" t="s">
        <v>90</v>
      </c>
      <c r="U6" s="1030"/>
      <c r="V6" s="1031"/>
      <c r="W6" s="1029" t="s">
        <v>63</v>
      </c>
      <c r="X6" s="1030"/>
      <c r="Y6" s="1031"/>
      <c r="Z6" s="1029" t="s">
        <v>65</v>
      </c>
      <c r="AA6" s="1030"/>
      <c r="AB6" s="1031"/>
      <c r="AC6" s="1029" t="s">
        <v>179</v>
      </c>
      <c r="AD6" s="1030"/>
      <c r="AE6" s="1031"/>
      <c r="AF6" s="1029" t="s">
        <v>71</v>
      </c>
      <c r="AG6" s="1030"/>
      <c r="AH6" s="1031"/>
      <c r="AI6" s="1029" t="s">
        <v>67</v>
      </c>
      <c r="AJ6" s="1030"/>
      <c r="AK6" s="1031"/>
      <c r="AL6" s="1029" t="s">
        <v>180</v>
      </c>
      <c r="AM6" s="1030"/>
      <c r="AN6" s="1031"/>
      <c r="AO6" s="1032" t="s">
        <v>284</v>
      </c>
      <c r="AP6" s="1033"/>
      <c r="AQ6" s="1034"/>
      <c r="AR6" s="1029" t="s">
        <v>285</v>
      </c>
      <c r="AS6" s="1030"/>
      <c r="AT6" s="1031"/>
    </row>
    <row r="7" spans="1:46" ht="18.75" customHeight="1" x14ac:dyDescent="0.3">
      <c r="A7" s="526"/>
      <c r="B7" s="525"/>
      <c r="C7" s="525"/>
      <c r="D7" s="527" t="s">
        <v>80</v>
      </c>
      <c r="E7" s="525"/>
      <c r="F7" s="525"/>
      <c r="G7" s="527" t="s">
        <v>80</v>
      </c>
      <c r="H7" s="525"/>
      <c r="I7" s="525"/>
      <c r="J7" s="527" t="s">
        <v>80</v>
      </c>
      <c r="K7" s="525"/>
      <c r="L7" s="525"/>
      <c r="M7" s="527" t="s">
        <v>80</v>
      </c>
      <c r="N7" s="525"/>
      <c r="O7" s="525"/>
      <c r="P7" s="527" t="s">
        <v>80</v>
      </c>
      <c r="Q7" s="525"/>
      <c r="R7" s="525"/>
      <c r="S7" s="527" t="s">
        <v>80</v>
      </c>
      <c r="T7" s="525"/>
      <c r="U7" s="525"/>
      <c r="V7" s="527" t="s">
        <v>80</v>
      </c>
      <c r="W7" s="525"/>
      <c r="X7" s="525"/>
      <c r="Y7" s="527" t="s">
        <v>80</v>
      </c>
      <c r="Z7" s="525"/>
      <c r="AA7" s="525"/>
      <c r="AB7" s="527" t="s">
        <v>80</v>
      </c>
      <c r="AC7" s="525"/>
      <c r="AD7" s="525"/>
      <c r="AE7" s="527" t="s">
        <v>80</v>
      </c>
      <c r="AF7" s="525"/>
      <c r="AG7" s="525"/>
      <c r="AH7" s="527" t="s">
        <v>80</v>
      </c>
      <c r="AI7" s="525"/>
      <c r="AJ7" s="525"/>
      <c r="AK7" s="527" t="s">
        <v>80</v>
      </c>
      <c r="AL7" s="525"/>
      <c r="AM7" s="525"/>
      <c r="AN7" s="527" t="s">
        <v>80</v>
      </c>
      <c r="AO7" s="525"/>
      <c r="AP7" s="525"/>
      <c r="AQ7" s="527" t="s">
        <v>80</v>
      </c>
      <c r="AR7" s="525"/>
      <c r="AS7" s="525"/>
      <c r="AT7" s="527" t="s">
        <v>80</v>
      </c>
    </row>
    <row r="8" spans="1:46" ht="18.75" customHeight="1" x14ac:dyDescent="0.25">
      <c r="A8" s="528" t="s">
        <v>286</v>
      </c>
      <c r="B8" s="863">
        <v>2019</v>
      </c>
      <c r="C8" s="863">
        <v>2020</v>
      </c>
      <c r="D8" s="529" t="s">
        <v>82</v>
      </c>
      <c r="E8" s="863">
        <v>2019</v>
      </c>
      <c r="F8" s="863">
        <v>2020</v>
      </c>
      <c r="G8" s="529" t="s">
        <v>82</v>
      </c>
      <c r="H8" s="863">
        <v>2019</v>
      </c>
      <c r="I8" s="863">
        <v>2020</v>
      </c>
      <c r="J8" s="529" t="s">
        <v>82</v>
      </c>
      <c r="K8" s="863">
        <v>2019</v>
      </c>
      <c r="L8" s="863">
        <v>2020</v>
      </c>
      <c r="M8" s="529" t="s">
        <v>82</v>
      </c>
      <c r="N8" s="863">
        <v>2019</v>
      </c>
      <c r="O8" s="863">
        <v>2020</v>
      </c>
      <c r="P8" s="529" t="s">
        <v>82</v>
      </c>
      <c r="Q8" s="840">
        <v>2019</v>
      </c>
      <c r="R8" s="840">
        <v>2020</v>
      </c>
      <c r="S8" s="529" t="s">
        <v>82</v>
      </c>
      <c r="T8" s="863">
        <v>2019</v>
      </c>
      <c r="U8" s="863">
        <v>2020</v>
      </c>
      <c r="V8" s="529" t="s">
        <v>82</v>
      </c>
      <c r="W8" s="863">
        <v>2019</v>
      </c>
      <c r="X8" s="863">
        <v>2020</v>
      </c>
      <c r="Y8" s="529" t="s">
        <v>82</v>
      </c>
      <c r="Z8" s="863">
        <v>2019</v>
      </c>
      <c r="AA8" s="863">
        <v>2020</v>
      </c>
      <c r="AB8" s="529" t="s">
        <v>82</v>
      </c>
      <c r="AC8" s="863">
        <v>2019</v>
      </c>
      <c r="AD8" s="863">
        <v>2020</v>
      </c>
      <c r="AE8" s="529" t="s">
        <v>82</v>
      </c>
      <c r="AF8" s="863">
        <v>2019</v>
      </c>
      <c r="AG8" s="863">
        <v>2020</v>
      </c>
      <c r="AH8" s="529" t="s">
        <v>82</v>
      </c>
      <c r="AI8" s="840">
        <v>2019</v>
      </c>
      <c r="AJ8" s="840">
        <v>2020</v>
      </c>
      <c r="AK8" s="529" t="s">
        <v>82</v>
      </c>
      <c r="AL8" s="840">
        <v>2019</v>
      </c>
      <c r="AM8" s="840">
        <v>2020</v>
      </c>
      <c r="AN8" s="529" t="s">
        <v>82</v>
      </c>
      <c r="AO8" s="840" t="e">
        <f xml:space="preserve"> år-1</f>
        <v>#REF!</v>
      </c>
      <c r="AP8" s="840" t="e">
        <f xml:space="preserve"> år</f>
        <v>#REF!</v>
      </c>
      <c r="AQ8" s="529" t="s">
        <v>82</v>
      </c>
      <c r="AR8" s="840" t="e">
        <f xml:space="preserve"> år-1</f>
        <v>#REF!</v>
      </c>
      <c r="AS8" s="840" t="e">
        <f xml:space="preserve"> år</f>
        <v>#REF!</v>
      </c>
      <c r="AT8" s="529" t="s">
        <v>82</v>
      </c>
    </row>
    <row r="9" spans="1:46" ht="18.75" customHeight="1" x14ac:dyDescent="0.3">
      <c r="A9" s="526" t="s">
        <v>287</v>
      </c>
      <c r="B9" s="850"/>
      <c r="C9" s="816"/>
      <c r="D9" s="531"/>
      <c r="E9" s="850"/>
      <c r="F9" s="816"/>
      <c r="G9" s="531"/>
      <c r="H9" s="850"/>
      <c r="I9" s="816"/>
      <c r="J9" s="531"/>
      <c r="K9" s="816"/>
      <c r="L9" s="816"/>
      <c r="M9" s="531"/>
      <c r="N9" s="850"/>
      <c r="O9" s="816"/>
      <c r="P9" s="531"/>
      <c r="Q9" s="850"/>
      <c r="R9" s="816"/>
      <c r="S9" s="530"/>
      <c r="T9" s="881"/>
      <c r="U9" s="532"/>
      <c r="V9" s="531"/>
      <c r="W9" s="869"/>
      <c r="X9" s="818"/>
      <c r="Y9" s="531"/>
      <c r="Z9" s="850"/>
      <c r="AA9" s="816"/>
      <c r="AB9" s="531"/>
      <c r="AC9" s="869"/>
      <c r="AD9" s="818"/>
      <c r="AE9" s="531"/>
      <c r="AF9" s="850"/>
      <c r="AG9" s="816"/>
      <c r="AH9" s="531"/>
      <c r="AI9" s="850"/>
      <c r="AJ9" s="816"/>
      <c r="AK9" s="531"/>
      <c r="AL9" s="850"/>
      <c r="AM9" s="816"/>
      <c r="AN9" s="531"/>
      <c r="AO9" s="531"/>
      <c r="AP9" s="531"/>
      <c r="AQ9" s="531"/>
      <c r="AR9" s="533"/>
      <c r="AS9" s="533"/>
      <c r="AT9" s="533"/>
    </row>
    <row r="10" spans="1:46" s="511" customFormat="1" ht="18.75" customHeight="1" x14ac:dyDescent="0.3">
      <c r="A10" s="534" t="s">
        <v>288</v>
      </c>
      <c r="B10" s="851"/>
      <c r="C10" s="438"/>
      <c r="D10" s="536"/>
      <c r="E10" s="851"/>
      <c r="F10" s="438"/>
      <c r="G10" s="536"/>
      <c r="H10" s="851"/>
      <c r="I10" s="438"/>
      <c r="J10" s="536"/>
      <c r="K10" s="438"/>
      <c r="L10" s="438"/>
      <c r="M10" s="536"/>
      <c r="N10" s="851"/>
      <c r="O10" s="438"/>
      <c r="P10" s="536"/>
      <c r="Q10" s="851"/>
      <c r="R10" s="438"/>
      <c r="S10" s="535"/>
      <c r="T10" s="872"/>
      <c r="U10" s="537"/>
      <c r="V10" s="536"/>
      <c r="W10" s="852"/>
      <c r="X10" s="340"/>
      <c r="Y10" s="536"/>
      <c r="Z10" s="851"/>
      <c r="AA10" s="438"/>
      <c r="AB10" s="536"/>
      <c r="AC10" s="852"/>
      <c r="AD10" s="340"/>
      <c r="AE10" s="536"/>
      <c r="AF10" s="851"/>
      <c r="AG10" s="438"/>
      <c r="AH10" s="536"/>
      <c r="AI10" s="851"/>
      <c r="AJ10" s="438"/>
      <c r="AK10" s="536"/>
      <c r="AL10" s="851"/>
      <c r="AM10" s="438"/>
      <c r="AN10" s="536"/>
      <c r="AO10" s="536"/>
      <c r="AP10" s="536"/>
      <c r="AQ10" s="536"/>
      <c r="AR10" s="539"/>
      <c r="AS10" s="539"/>
      <c r="AT10" s="539"/>
    </row>
    <row r="11" spans="1:46" s="511" customFormat="1" ht="18.75" customHeight="1" x14ac:dyDescent="0.3">
      <c r="A11" s="534" t="s">
        <v>289</v>
      </c>
      <c r="B11" s="852">
        <f>2417.396+0.602</f>
        <v>2417.998</v>
      </c>
      <c r="C11" s="340">
        <f>2528.492+0.357</f>
        <v>2528.8490000000002</v>
      </c>
      <c r="D11" s="536">
        <f t="shared" ref="D11:D16" si="0">IF(B11=0, "    ---- ", IF(ABS(ROUND(100/B11*C11-100,1))&lt;999,ROUND(100/B11*C11-100,1),IF(ROUND(100/B11*C11-100,1)&gt;999,999,-999)))</f>
        <v>4.5999999999999996</v>
      </c>
      <c r="E11" s="852">
        <v>639.4</v>
      </c>
      <c r="F11" s="340">
        <v>700.5</v>
      </c>
      <c r="G11" s="536">
        <f t="shared" ref="G11:G30" si="1">IF(E11=0, "    ---- ", IF(ABS(ROUND(100/E11*F11-100,1))&lt;999,ROUND(100/E11*F11-100,1),IF(ROUND(100/E11*F11-100,1)&gt;999,999,-999)))</f>
        <v>9.6</v>
      </c>
      <c r="H11" s="852">
        <v>15131.227999999999</v>
      </c>
      <c r="I11" s="340">
        <v>14224.773172480001</v>
      </c>
      <c r="J11" s="536">
        <f t="shared" ref="J11:J17" si="2">IF(H11=0, "    ---- ", IF(ABS(ROUND(100/H11*I11-100,1))&lt;999,ROUND(100/H11*I11-100,1),IF(ROUND(100/H11*I11-100,1)&gt;999,999,-999)))</f>
        <v>-6</v>
      </c>
      <c r="K11" s="340"/>
      <c r="L11" s="340">
        <v>3363.3434639199995</v>
      </c>
      <c r="M11" s="536" t="str">
        <f t="shared" ref="M11:M17" si="3">IF(K11=0, "    ---- ", IF(ABS(ROUND(100/K11*L11-100,1))&lt;999,ROUND(100/K11*L11-100,1),IF(ROUND(100/K11*L11-100,1)&gt;999,999,-999)))</f>
        <v xml:space="preserve">    ---- </v>
      </c>
      <c r="N11" s="852">
        <v>1004.111</v>
      </c>
      <c r="O11" s="340">
        <v>962.37300000000005</v>
      </c>
      <c r="P11" s="536">
        <f t="shared" ref="P11:P17" si="4">IF(N11=0, "    ---- ", IF(ABS(ROUND(100/N11*O11-100,1))&lt;999,ROUND(100/N11*O11-100,1),IF(ROUND(100/N11*O11-100,1)&gt;999,999,-999)))</f>
        <v>-4.2</v>
      </c>
      <c r="Q11" s="852">
        <v>3938.9</v>
      </c>
      <c r="R11" s="340">
        <v>3913.4</v>
      </c>
      <c r="S11" s="536">
        <f t="shared" ref="S11:S16" si="5">IF(Q11=0, "    ---- ", IF(ABS(ROUND(100/Q11*R11-100,1))&lt;999,ROUND(100/Q11*R11-100,1),IF(ROUND(100/Q11*R11-100,1)&gt;999,999,-999)))</f>
        <v>-0.6</v>
      </c>
      <c r="T11" s="852">
        <v>35.02077311</v>
      </c>
      <c r="U11" s="340">
        <v>34.452757849999998</v>
      </c>
      <c r="V11" s="536">
        <f>IF(T11=0, "    ---- ", IF(ABS(ROUND(100/T11*U11-100,1))&lt;999,ROUND(100/T11*U11-100,1),IF(ROUND(100/T11*U11-100,1)&gt;999,999,-999)))</f>
        <v>-1.6</v>
      </c>
      <c r="W11" s="852">
        <v>40224.043891510002</v>
      </c>
      <c r="X11" s="340">
        <v>34251.550587860002</v>
      </c>
      <c r="Y11" s="536">
        <f t="shared" ref="Y11:Y17" si="6">IF(W11=0, "    ---- ", IF(ABS(ROUND(100/W11*X11-100,1))&lt;999,ROUND(100/W11*X11-100,1),IF(ROUND(100/W11*X11-100,1)&gt;999,999,-999)))</f>
        <v>-14.8</v>
      </c>
      <c r="Z11" s="852">
        <v>13860</v>
      </c>
      <c r="AA11" s="340">
        <v>14322</v>
      </c>
      <c r="AB11" s="536">
        <f t="shared" ref="AB11:AB17" si="7">IF(Z11=0, "    ---- ", IF(ABS(ROUND(100/Z11*AA11-100,1))&lt;999,ROUND(100/Z11*AA11-100,1),IF(ROUND(100/Z11*AA11-100,1)&gt;999,999,-999)))</f>
        <v>3.3</v>
      </c>
      <c r="AC11" s="852">
        <v>5181</v>
      </c>
      <c r="AD11" s="340">
        <v>4017</v>
      </c>
      <c r="AE11" s="536">
        <f t="shared" ref="AE11:AE17" si="8">IF(AC11=0, "    ---- ", IF(ABS(ROUND(100/AC11*AD11-100,1))&lt;999,ROUND(100/AC11*AD11-100,1),IF(ROUND(100/AC11*AD11-100,1)&gt;999,999,-999)))</f>
        <v>-22.5</v>
      </c>
      <c r="AF11" s="852">
        <v>145.78516299</v>
      </c>
      <c r="AG11" s="340">
        <v>146.91530191999999</v>
      </c>
      <c r="AH11" s="536">
        <f t="shared" ref="AH11:AH16" si="9">IF(AF11=0, "    ---- ", IF(ABS(ROUND(100/AF11*AG11-100,1))&lt;999,ROUND(100/AF11*AG11-100,1),IF(ROUND(100/AF11*AG11-100,1)&gt;999,999,-999)))</f>
        <v>0.8</v>
      </c>
      <c r="AI11" s="852">
        <v>7808.1965371500009</v>
      </c>
      <c r="AJ11" s="340">
        <v>5514.1058594999995</v>
      </c>
      <c r="AK11" s="536">
        <f t="shared" ref="AK11:AK17" si="10">IF(AI11=0, "    ---- ", IF(ABS(ROUND(100/AI11*AJ11-100,1))&lt;999,ROUND(100/AI11*AJ11-100,1),IF(ROUND(100/AI11*AJ11-100,1)&gt;999,999,-999)))</f>
        <v>-29.4</v>
      </c>
      <c r="AL11" s="852">
        <f>16905+0.4</f>
        <v>16905.400000000001</v>
      </c>
      <c r="AM11" s="340">
        <v>18099</v>
      </c>
      <c r="AN11" s="536">
        <f t="shared" ref="AN11:AN17" si="11">IF(AL11=0, "    ---- ", IF(ABS(ROUND(100/AL11*AM11-100,1))&lt;999,ROUND(100/AL11*AM11-100,1),IF(ROUND(100/AL11*AM11-100,1)&gt;999,999,-999)))</f>
        <v>7.1</v>
      </c>
      <c r="AO11" s="536">
        <f t="shared" ref="AO11:AP17" si="12">B11+H11+K11+N11+Q11+W11+E11+Z11+AC11+AI11+AL11</f>
        <v>107110.27742866002</v>
      </c>
      <c r="AP11" s="536">
        <f t="shared" si="12"/>
        <v>101896.89508376</v>
      </c>
      <c r="AQ11" s="536">
        <f t="shared" ref="AQ11:AQ45" si="13">IF(AO11=0, "    ---- ", IF(ABS(ROUND(100/AO11*AP11-100,1))&lt;999,ROUND(100/AO11*AP11-100,1),IF(ROUND(100/AO11*AP11-100,1)&gt;999,999,-999)))</f>
        <v>-4.9000000000000004</v>
      </c>
      <c r="AR11" s="540">
        <f t="shared" ref="AR11:AS17" si="14">+B11+H11+K11+N11+Q11+T11+W11+E11+Z11+AC11+AF11+AI11+AL11</f>
        <v>107291.08336476001</v>
      </c>
      <c r="AS11" s="540">
        <f t="shared" si="14"/>
        <v>102078.26314353</v>
      </c>
      <c r="AT11" s="536">
        <f t="shared" ref="AT11:AT17" si="15">IF(AR11=0, "    ---- ", IF(ABS(ROUND(100/AR11*AS11-100,1))&lt;999,ROUND(100/AR11*AS11-100,1),IF(ROUND(100/AR11*AS11-100,1)&gt;999,999,-999)))</f>
        <v>-4.9000000000000004</v>
      </c>
    </row>
    <row r="12" spans="1:46" s="511" customFormat="1" ht="18.75" customHeight="1" x14ac:dyDescent="0.3">
      <c r="A12" s="534" t="s">
        <v>290</v>
      </c>
      <c r="B12" s="852">
        <v>-102.33799999999999</v>
      </c>
      <c r="C12" s="340">
        <v>-117.90300000000001</v>
      </c>
      <c r="D12" s="536">
        <f t="shared" si="0"/>
        <v>15.2</v>
      </c>
      <c r="E12" s="852">
        <v>-0.2</v>
      </c>
      <c r="F12" s="340"/>
      <c r="G12" s="536">
        <f t="shared" si="1"/>
        <v>-100</v>
      </c>
      <c r="H12" s="852">
        <v>-324.24599999999998</v>
      </c>
      <c r="I12" s="340">
        <v>-300.57072892000002</v>
      </c>
      <c r="J12" s="536">
        <f t="shared" si="2"/>
        <v>-7.3</v>
      </c>
      <c r="K12" s="340"/>
      <c r="L12" s="340">
        <v>-195.02969224999998</v>
      </c>
      <c r="M12" s="536" t="str">
        <f t="shared" si="3"/>
        <v xml:space="preserve">    ---- </v>
      </c>
      <c r="N12" s="852">
        <v>-1.292</v>
      </c>
      <c r="O12" s="340">
        <v>9.8290000000000006</v>
      </c>
      <c r="P12" s="536">
        <f t="shared" si="4"/>
        <v>-860.8</v>
      </c>
      <c r="Q12" s="852">
        <v>-65.400000000000006</v>
      </c>
      <c r="R12" s="340">
        <v>-75.8</v>
      </c>
      <c r="S12" s="536">
        <f t="shared" si="5"/>
        <v>15.9</v>
      </c>
      <c r="T12" s="852"/>
      <c r="U12" s="340"/>
      <c r="V12" s="536"/>
      <c r="W12" s="852">
        <v>-1.2561040000000001</v>
      </c>
      <c r="X12" s="340">
        <v>0</v>
      </c>
      <c r="Y12" s="536">
        <f t="shared" si="6"/>
        <v>-100</v>
      </c>
      <c r="Z12" s="852">
        <v>-79</v>
      </c>
      <c r="AA12" s="340">
        <v>-88</v>
      </c>
      <c r="AB12" s="536">
        <f t="shared" si="7"/>
        <v>11.4</v>
      </c>
      <c r="AC12" s="852">
        <v>-2</v>
      </c>
      <c r="AD12" s="340">
        <v>-2</v>
      </c>
      <c r="AE12" s="536"/>
      <c r="AF12" s="852"/>
      <c r="AG12" s="340"/>
      <c r="AH12" s="536"/>
      <c r="AI12" s="852">
        <v>-180.03200000000001</v>
      </c>
      <c r="AJ12" s="340">
        <v>-3.6110000000000002</v>
      </c>
      <c r="AK12" s="536">
        <f t="shared" si="10"/>
        <v>-98</v>
      </c>
      <c r="AL12" s="852">
        <v>-8</v>
      </c>
      <c r="AM12" s="340">
        <v>-9</v>
      </c>
      <c r="AN12" s="536">
        <f t="shared" si="11"/>
        <v>12.5</v>
      </c>
      <c r="AO12" s="536">
        <f t="shared" si="12"/>
        <v>-763.76410399999997</v>
      </c>
      <c r="AP12" s="536">
        <f t="shared" si="12"/>
        <v>-782.08542117000002</v>
      </c>
      <c r="AQ12" s="536">
        <f t="shared" si="13"/>
        <v>2.4</v>
      </c>
      <c r="AR12" s="540">
        <f t="shared" si="14"/>
        <v>-763.76410399999997</v>
      </c>
      <c r="AS12" s="540">
        <f t="shared" si="14"/>
        <v>-782.08542117000002</v>
      </c>
      <c r="AT12" s="536">
        <f t="shared" si="15"/>
        <v>2.4</v>
      </c>
    </row>
    <row r="13" spans="1:46" s="511" customFormat="1" ht="18.75" customHeight="1" x14ac:dyDescent="0.3">
      <c r="A13" s="534" t="s">
        <v>291</v>
      </c>
      <c r="B13" s="852">
        <v>1004.303</v>
      </c>
      <c r="C13" s="340">
        <v>894.21600000000001</v>
      </c>
      <c r="D13" s="536">
        <f t="shared" si="0"/>
        <v>-11</v>
      </c>
      <c r="E13" s="852">
        <v>495.7</v>
      </c>
      <c r="F13" s="340">
        <v>328.8</v>
      </c>
      <c r="G13" s="536">
        <f t="shared" si="1"/>
        <v>-33.700000000000003</v>
      </c>
      <c r="H13" s="852">
        <v>3105.6909999999998</v>
      </c>
      <c r="I13" s="340">
        <v>3038.47282365</v>
      </c>
      <c r="J13" s="536">
        <f t="shared" si="2"/>
        <v>-2.2000000000000002</v>
      </c>
      <c r="K13" s="340"/>
      <c r="L13" s="340"/>
      <c r="M13" s="536" t="str">
        <f t="shared" si="3"/>
        <v xml:space="preserve">    ---- </v>
      </c>
      <c r="N13" s="852">
        <v>135.42500000000001</v>
      </c>
      <c r="O13" s="340">
        <v>101.58799999999999</v>
      </c>
      <c r="P13" s="536">
        <f t="shared" si="4"/>
        <v>-25</v>
      </c>
      <c r="Q13" s="852">
        <v>1684.1</v>
      </c>
      <c r="R13" s="340">
        <v>1835.2</v>
      </c>
      <c r="S13" s="536">
        <f t="shared" si="5"/>
        <v>9</v>
      </c>
      <c r="T13" s="852"/>
      <c r="U13" s="340"/>
      <c r="V13" s="536"/>
      <c r="W13" s="852">
        <v>11.259437</v>
      </c>
      <c r="X13" s="340">
        <v>2850.1008830000001</v>
      </c>
      <c r="Y13" s="536">
        <f t="shared" si="6"/>
        <v>999</v>
      </c>
      <c r="Z13" s="852">
        <v>3137</v>
      </c>
      <c r="AA13" s="340">
        <v>10379</v>
      </c>
      <c r="AB13" s="536">
        <f t="shared" si="7"/>
        <v>230.9</v>
      </c>
      <c r="AC13" s="852">
        <v>106</v>
      </c>
      <c r="AD13" s="340">
        <v>0</v>
      </c>
      <c r="AE13" s="536"/>
      <c r="AF13" s="852">
        <v>131.89987300000001</v>
      </c>
      <c r="AG13" s="340">
        <v>104.171875</v>
      </c>
      <c r="AH13" s="536">
        <f t="shared" si="9"/>
        <v>-21</v>
      </c>
      <c r="AI13" s="852">
        <v>1418.84793382</v>
      </c>
      <c r="AJ13" s="340">
        <v>1186.7867027200002</v>
      </c>
      <c r="AK13" s="536">
        <f t="shared" si="10"/>
        <v>-16.399999999999999</v>
      </c>
      <c r="AL13" s="852">
        <v>3139</v>
      </c>
      <c r="AM13" s="340">
        <v>6051</v>
      </c>
      <c r="AN13" s="536">
        <f t="shared" si="11"/>
        <v>92.8</v>
      </c>
      <c r="AO13" s="536">
        <f t="shared" si="12"/>
        <v>14237.326370819999</v>
      </c>
      <c r="AP13" s="536">
        <f t="shared" si="12"/>
        <v>26665.164409370002</v>
      </c>
      <c r="AQ13" s="536">
        <f t="shared" si="13"/>
        <v>87.3</v>
      </c>
      <c r="AR13" s="540">
        <f t="shared" si="14"/>
        <v>14369.22624382</v>
      </c>
      <c r="AS13" s="540">
        <f t="shared" si="14"/>
        <v>26769.336284370002</v>
      </c>
      <c r="AT13" s="536">
        <f t="shared" si="15"/>
        <v>86.3</v>
      </c>
    </row>
    <row r="14" spans="1:46" s="511" customFormat="1" ht="18.75" customHeight="1" x14ac:dyDescent="0.3">
      <c r="A14" s="534" t="s">
        <v>292</v>
      </c>
      <c r="B14" s="865">
        <f>SUM(B11:B13)</f>
        <v>3319.9629999999997</v>
      </c>
      <c r="C14" s="866">
        <f>SUM(C11:C13)</f>
        <v>3305.1620000000003</v>
      </c>
      <c r="D14" s="536">
        <f t="shared" si="0"/>
        <v>-0.4</v>
      </c>
      <c r="E14" s="851">
        <f>SUM(E11:E13)</f>
        <v>1134.8999999999999</v>
      </c>
      <c r="F14" s="438">
        <f>SUM(F11:F13)</f>
        <v>1029.3</v>
      </c>
      <c r="G14" s="536">
        <f t="shared" si="1"/>
        <v>-9.3000000000000007</v>
      </c>
      <c r="H14" s="851">
        <f>SUM(H11:H13)</f>
        <v>17912.672999999999</v>
      </c>
      <c r="I14" s="438">
        <f>SUM(I11:I13)</f>
        <v>16962.675267210001</v>
      </c>
      <c r="J14" s="536">
        <f t="shared" si="2"/>
        <v>-5.3</v>
      </c>
      <c r="K14" s="438"/>
      <c r="L14" s="438">
        <f>SUM(L11:L13)</f>
        <v>3168.3137716699994</v>
      </c>
      <c r="M14" s="536" t="str">
        <f t="shared" si="3"/>
        <v xml:space="preserve">    ---- </v>
      </c>
      <c r="N14" s="851">
        <f>SUM(N11:N13)</f>
        <v>1138.2439999999999</v>
      </c>
      <c r="O14" s="438">
        <f>SUM(O11:O13)</f>
        <v>1073.79</v>
      </c>
      <c r="P14" s="536">
        <f t="shared" si="4"/>
        <v>-5.7</v>
      </c>
      <c r="Q14" s="851">
        <f>SUM(Q11:Q13)</f>
        <v>5557.6</v>
      </c>
      <c r="R14" s="438">
        <f>SUM(R11:R13)</f>
        <v>5672.8</v>
      </c>
      <c r="S14" s="536">
        <f t="shared" si="5"/>
        <v>2.1</v>
      </c>
      <c r="T14" s="851">
        <f>SUM(T11:T13)</f>
        <v>35.02077311</v>
      </c>
      <c r="U14" s="438">
        <f>SUM(U11:U13)</f>
        <v>34.452757849999998</v>
      </c>
      <c r="V14" s="536">
        <f>IF(T14=0, "    ---- ", IF(ABS(ROUND(100/T14*U14-100,1))&lt;999,ROUND(100/T14*U14-100,1),IF(ROUND(100/T14*U14-100,1)&gt;999,999,-999)))</f>
        <v>-1.6</v>
      </c>
      <c r="W14" s="851">
        <f>SUM(W11:W13)</f>
        <v>40234.047224510003</v>
      </c>
      <c r="X14" s="438">
        <v>37101.651470860001</v>
      </c>
      <c r="Y14" s="536">
        <f t="shared" si="6"/>
        <v>-7.8</v>
      </c>
      <c r="Z14" s="851">
        <f>SUM(Z11:Z13)</f>
        <v>16918</v>
      </c>
      <c r="AA14" s="438">
        <f>SUM(AA11:AA13)</f>
        <v>24613</v>
      </c>
      <c r="AB14" s="536">
        <f t="shared" si="7"/>
        <v>45.5</v>
      </c>
      <c r="AC14" s="851">
        <f>SUM(AC11:AC13)</f>
        <v>5285</v>
      </c>
      <c r="AD14" s="438">
        <f>SUM(AD11:AD13)</f>
        <v>4015</v>
      </c>
      <c r="AE14" s="536">
        <f t="shared" si="8"/>
        <v>-24</v>
      </c>
      <c r="AF14" s="851">
        <f>SUM(AF11:AF13)</f>
        <v>277.68503599000002</v>
      </c>
      <c r="AG14" s="438">
        <f>SUM(AG11:AG13)</f>
        <v>251.08717691999999</v>
      </c>
      <c r="AH14" s="536">
        <f t="shared" si="9"/>
        <v>-9.6</v>
      </c>
      <c r="AI14" s="851">
        <f>SUM(AI11:AI13)</f>
        <v>9047.0124709700012</v>
      </c>
      <c r="AJ14" s="438">
        <f>SUM(AJ11:AJ13)</f>
        <v>6697.2815622199996</v>
      </c>
      <c r="AK14" s="536">
        <f t="shared" si="10"/>
        <v>-26</v>
      </c>
      <c r="AL14" s="851">
        <f>SUM(AL11:AL13)</f>
        <v>20036.400000000001</v>
      </c>
      <c r="AM14" s="438">
        <f>SUM(AM11:AM13)</f>
        <v>24141</v>
      </c>
      <c r="AN14" s="536">
        <f t="shared" si="11"/>
        <v>20.5</v>
      </c>
      <c r="AO14" s="536">
        <f t="shared" si="12"/>
        <v>120583.83969548001</v>
      </c>
      <c r="AP14" s="536">
        <f t="shared" si="12"/>
        <v>127779.97407196001</v>
      </c>
      <c r="AQ14" s="536">
        <f t="shared" si="13"/>
        <v>6</v>
      </c>
      <c r="AR14" s="540">
        <f t="shared" si="14"/>
        <v>120896.54550457999</v>
      </c>
      <c r="AS14" s="540">
        <f t="shared" si="14"/>
        <v>128065.51400673001</v>
      </c>
      <c r="AT14" s="536">
        <f t="shared" si="15"/>
        <v>5.9</v>
      </c>
    </row>
    <row r="15" spans="1:46" s="511" customFormat="1" ht="18.75" customHeight="1" x14ac:dyDescent="0.3">
      <c r="A15" s="534" t="s">
        <v>293</v>
      </c>
      <c r="B15" s="196">
        <v>46.517000000000003</v>
      </c>
      <c r="C15" s="449">
        <v>50.329000000000001</v>
      </c>
      <c r="D15" s="536">
        <f t="shared" si="0"/>
        <v>8.1999999999999993</v>
      </c>
      <c r="E15" s="196">
        <v>69.3</v>
      </c>
      <c r="F15" s="449">
        <v>43.2</v>
      </c>
      <c r="G15" s="536">
        <f t="shared" si="1"/>
        <v>-37.700000000000003</v>
      </c>
      <c r="H15" s="196">
        <v>11867.824000000001</v>
      </c>
      <c r="I15" s="449">
        <v>2777.7973923500008</v>
      </c>
      <c r="J15" s="536">
        <f t="shared" si="2"/>
        <v>-76.599999999999994</v>
      </c>
      <c r="K15" s="819"/>
      <c r="L15" s="819">
        <v>142.80361669999999</v>
      </c>
      <c r="M15" s="536" t="str">
        <f t="shared" si="3"/>
        <v xml:space="preserve">    ---- </v>
      </c>
      <c r="N15" s="870">
        <v>60.515999999999998</v>
      </c>
      <c r="O15" s="819">
        <v>39.094000000000001</v>
      </c>
      <c r="P15" s="536">
        <f t="shared" si="4"/>
        <v>-35.4</v>
      </c>
      <c r="Q15" s="196">
        <v>280.2</v>
      </c>
      <c r="R15" s="449">
        <v>210.8</v>
      </c>
      <c r="S15" s="536">
        <f t="shared" si="5"/>
        <v>-24.8</v>
      </c>
      <c r="T15" s="861"/>
      <c r="U15" s="817"/>
      <c r="V15" s="536"/>
      <c r="W15" s="852">
        <v>44050.500513269995</v>
      </c>
      <c r="X15" s="449">
        <v>24170.105103909998</v>
      </c>
      <c r="Y15" s="536">
        <f t="shared" si="6"/>
        <v>-45.1</v>
      </c>
      <c r="Z15" s="196">
        <v>2907</v>
      </c>
      <c r="AA15" s="449">
        <v>2451</v>
      </c>
      <c r="AB15" s="536">
        <f t="shared" si="7"/>
        <v>-15.7</v>
      </c>
      <c r="AC15" s="196">
        <v>8748</v>
      </c>
      <c r="AD15" s="449">
        <v>7395</v>
      </c>
      <c r="AE15" s="536">
        <f t="shared" si="8"/>
        <v>-15.5</v>
      </c>
      <c r="AF15" s="861"/>
      <c r="AG15" s="817"/>
      <c r="AH15" s="536"/>
      <c r="AI15" s="874">
        <v>2628.3052902100026</v>
      </c>
      <c r="AJ15" s="542">
        <v>965.23216597999988</v>
      </c>
      <c r="AK15" s="536">
        <f t="shared" si="10"/>
        <v>-63.3</v>
      </c>
      <c r="AL15" s="196">
        <v>10097</v>
      </c>
      <c r="AM15" s="449">
        <v>10308</v>
      </c>
      <c r="AN15" s="536">
        <f t="shared" si="11"/>
        <v>2.1</v>
      </c>
      <c r="AO15" s="536">
        <f t="shared" si="12"/>
        <v>80755.162803479994</v>
      </c>
      <c r="AP15" s="536">
        <f t="shared" si="12"/>
        <v>48553.361278939999</v>
      </c>
      <c r="AQ15" s="536">
        <f t="shared" si="13"/>
        <v>-39.9</v>
      </c>
      <c r="AR15" s="540">
        <f t="shared" si="14"/>
        <v>80755.162803479994</v>
      </c>
      <c r="AS15" s="540">
        <f t="shared" si="14"/>
        <v>48553.361278939999</v>
      </c>
      <c r="AT15" s="536">
        <f t="shared" si="15"/>
        <v>-39.9</v>
      </c>
    </row>
    <row r="16" spans="1:46" s="511" customFormat="1" ht="18.75" customHeight="1" x14ac:dyDescent="0.3">
      <c r="A16" s="534" t="s">
        <v>294</v>
      </c>
      <c r="B16" s="196">
        <v>2519.6669999999999</v>
      </c>
      <c r="C16" s="449">
        <v>1944.048</v>
      </c>
      <c r="D16" s="536">
        <f t="shared" si="0"/>
        <v>-22.8</v>
      </c>
      <c r="E16" s="196">
        <v>630.70000000000005</v>
      </c>
      <c r="F16" s="449">
        <v>350.6</v>
      </c>
      <c r="G16" s="543">
        <f t="shared" si="1"/>
        <v>-44.4</v>
      </c>
      <c r="H16" s="196">
        <v>14734.843999999999</v>
      </c>
      <c r="I16" s="449">
        <v>7523.5813762000016</v>
      </c>
      <c r="J16" s="536">
        <f t="shared" si="2"/>
        <v>-48.9</v>
      </c>
      <c r="K16" s="819"/>
      <c r="L16" s="819"/>
      <c r="M16" s="536" t="str">
        <f t="shared" si="3"/>
        <v xml:space="preserve">    ---- </v>
      </c>
      <c r="N16" s="870">
        <v>492.55</v>
      </c>
      <c r="O16" s="819">
        <v>65.712999999999994</v>
      </c>
      <c r="P16" s="536">
        <f t="shared" si="4"/>
        <v>-86.7</v>
      </c>
      <c r="Q16" s="196">
        <v>3784.7</v>
      </c>
      <c r="R16" s="449">
        <v>2809.2</v>
      </c>
      <c r="S16" s="535">
        <f t="shared" si="5"/>
        <v>-25.8</v>
      </c>
      <c r="T16" s="861"/>
      <c r="U16" s="817"/>
      <c r="V16" s="543"/>
      <c r="W16" s="852">
        <v>238.26112118</v>
      </c>
      <c r="X16" s="449">
        <v>73.525726120000002</v>
      </c>
      <c r="Y16" s="543">
        <f t="shared" si="6"/>
        <v>-69.099999999999994</v>
      </c>
      <c r="Z16" s="196">
        <v>9550</v>
      </c>
      <c r="AA16" s="449">
        <v>6030</v>
      </c>
      <c r="AB16" s="536">
        <f t="shared" si="7"/>
        <v>-36.9</v>
      </c>
      <c r="AC16" s="196"/>
      <c r="AD16" s="449"/>
      <c r="AE16" s="536"/>
      <c r="AF16" s="870">
        <v>404.02654572</v>
      </c>
      <c r="AG16" s="817">
        <v>361.96741037999999</v>
      </c>
      <c r="AH16" s="536">
        <f t="shared" si="9"/>
        <v>-10.4</v>
      </c>
      <c r="AI16" s="874">
        <v>4675.0305611300009</v>
      </c>
      <c r="AJ16" s="542">
        <v>4128.4064832800004</v>
      </c>
      <c r="AK16" s="536">
        <f t="shared" si="10"/>
        <v>-11.7</v>
      </c>
      <c r="AL16" s="196">
        <v>13896.7</v>
      </c>
      <c r="AM16" s="449">
        <v>11381</v>
      </c>
      <c r="AN16" s="536">
        <f t="shared" si="11"/>
        <v>-18.100000000000001</v>
      </c>
      <c r="AO16" s="536">
        <f t="shared" si="12"/>
        <v>50522.452682310002</v>
      </c>
      <c r="AP16" s="536">
        <f t="shared" si="12"/>
        <v>34306.074585599999</v>
      </c>
      <c r="AQ16" s="536">
        <f t="shared" si="13"/>
        <v>-32.1</v>
      </c>
      <c r="AR16" s="540">
        <f t="shared" si="14"/>
        <v>50926.479228030003</v>
      </c>
      <c r="AS16" s="540">
        <f t="shared" si="14"/>
        <v>34668.041995980006</v>
      </c>
      <c r="AT16" s="536">
        <f t="shared" si="15"/>
        <v>-31.9</v>
      </c>
    </row>
    <row r="17" spans="1:46" s="511" customFormat="1" ht="18.75" customHeight="1" x14ac:dyDescent="0.3">
      <c r="A17" s="534" t="s">
        <v>295</v>
      </c>
      <c r="B17" s="196"/>
      <c r="C17" s="449"/>
      <c r="D17" s="536"/>
      <c r="E17" s="196">
        <v>9.1</v>
      </c>
      <c r="F17" s="449">
        <v>14.9</v>
      </c>
      <c r="G17" s="536">
        <f t="shared" si="1"/>
        <v>63.7</v>
      </c>
      <c r="H17" s="196">
        <v>130.83500000000001</v>
      </c>
      <c r="I17" s="449">
        <v>0</v>
      </c>
      <c r="J17" s="536">
        <f t="shared" si="2"/>
        <v>-100</v>
      </c>
      <c r="K17" s="819"/>
      <c r="L17" s="819">
        <v>13.353553359999999</v>
      </c>
      <c r="M17" s="536" t="str">
        <f t="shared" si="3"/>
        <v xml:space="preserve">    ---- </v>
      </c>
      <c r="N17" s="870">
        <v>13.818</v>
      </c>
      <c r="O17" s="819">
        <v>238.971</v>
      </c>
      <c r="P17" s="536">
        <f t="shared" si="4"/>
        <v>999</v>
      </c>
      <c r="Q17" s="196">
        <v>167.2</v>
      </c>
      <c r="R17" s="449">
        <v>182.4</v>
      </c>
      <c r="S17" s="536"/>
      <c r="T17" s="861"/>
      <c r="U17" s="817"/>
      <c r="V17" s="536"/>
      <c r="W17" s="852">
        <v>1117.9101189999999</v>
      </c>
      <c r="X17" s="449">
        <v>1192.0271660000001</v>
      </c>
      <c r="Y17" s="536">
        <f t="shared" si="6"/>
        <v>6.6</v>
      </c>
      <c r="Z17" s="196">
        <v>160</v>
      </c>
      <c r="AA17" s="449">
        <v>216</v>
      </c>
      <c r="AB17" s="536">
        <f t="shared" si="7"/>
        <v>35</v>
      </c>
      <c r="AC17" s="196">
        <v>210</v>
      </c>
      <c r="AD17" s="449">
        <v>17</v>
      </c>
      <c r="AE17" s="536">
        <f t="shared" si="8"/>
        <v>-91.9</v>
      </c>
      <c r="AF17" s="861"/>
      <c r="AG17" s="817"/>
      <c r="AH17" s="536"/>
      <c r="AI17" s="874">
        <v>221.54037641000002</v>
      </c>
      <c r="AJ17" s="542">
        <v>243.30670833999997</v>
      </c>
      <c r="AK17" s="536">
        <f t="shared" si="10"/>
        <v>9.8000000000000007</v>
      </c>
      <c r="AL17" s="196">
        <v>823.5</v>
      </c>
      <c r="AM17" s="449">
        <v>815</v>
      </c>
      <c r="AN17" s="536">
        <f t="shared" si="11"/>
        <v>-1</v>
      </c>
      <c r="AO17" s="536">
        <f t="shared" si="12"/>
        <v>2853.9034954099998</v>
      </c>
      <c r="AP17" s="536">
        <f t="shared" si="12"/>
        <v>2932.9584277000004</v>
      </c>
      <c r="AQ17" s="536">
        <f t="shared" si="13"/>
        <v>2.8</v>
      </c>
      <c r="AR17" s="540">
        <f t="shared" si="14"/>
        <v>2853.9034954099998</v>
      </c>
      <c r="AS17" s="540">
        <f t="shared" si="14"/>
        <v>2932.9584277000004</v>
      </c>
      <c r="AT17" s="536">
        <f t="shared" si="15"/>
        <v>2.8</v>
      </c>
    </row>
    <row r="18" spans="1:46" s="511" customFormat="1" ht="18.75" customHeight="1" x14ac:dyDescent="0.3">
      <c r="A18" s="534" t="s">
        <v>296</v>
      </c>
      <c r="B18" s="196"/>
      <c r="C18" s="449"/>
      <c r="D18" s="536"/>
      <c r="E18" s="196"/>
      <c r="F18" s="449"/>
      <c r="G18" s="536"/>
      <c r="H18" s="196"/>
      <c r="I18" s="449"/>
      <c r="J18" s="536"/>
      <c r="K18" s="819"/>
      <c r="L18" s="819"/>
      <c r="M18" s="536"/>
      <c r="N18" s="870"/>
      <c r="O18" s="819"/>
      <c r="P18" s="536"/>
      <c r="Q18" s="196"/>
      <c r="R18" s="449"/>
      <c r="S18" s="535"/>
      <c r="T18" s="861"/>
      <c r="U18" s="817"/>
      <c r="V18" s="536"/>
      <c r="W18" s="852"/>
      <c r="X18" s="449"/>
      <c r="Y18" s="536"/>
      <c r="Z18" s="877"/>
      <c r="AA18" s="544"/>
      <c r="AB18" s="536"/>
      <c r="AC18" s="196"/>
      <c r="AD18" s="449"/>
      <c r="AE18" s="536"/>
      <c r="AF18" s="861"/>
      <c r="AG18" s="817"/>
      <c r="AH18" s="536"/>
      <c r="AI18" s="874"/>
      <c r="AJ18" s="542"/>
      <c r="AK18" s="536"/>
      <c r="AL18" s="196"/>
      <c r="AM18" s="449"/>
      <c r="AN18" s="536"/>
      <c r="AO18" s="536"/>
      <c r="AP18" s="536"/>
      <c r="AQ18" s="536"/>
      <c r="AR18" s="545"/>
      <c r="AS18" s="545"/>
      <c r="AT18" s="539"/>
    </row>
    <row r="19" spans="1:46" s="511" customFormat="1" ht="18.75" customHeight="1" x14ac:dyDescent="0.3">
      <c r="A19" s="534" t="s">
        <v>297</v>
      </c>
      <c r="B19" s="851">
        <f>-881.949+51.216</f>
        <v>-830.73299999999995</v>
      </c>
      <c r="C19" s="438">
        <f>-795.533+52.201</f>
        <v>-743.33199999999999</v>
      </c>
      <c r="D19" s="536">
        <f>IF(B19=0, "    ---- ", IF(ABS(ROUND(100/B19*C19-100,1))&lt;999,ROUND(100/B19*C19-100,1),IF(ROUND(100/B19*C19-100,1)&gt;999,999,-999)))</f>
        <v>-10.5</v>
      </c>
      <c r="E19" s="851">
        <v>-92.4</v>
      </c>
      <c r="F19" s="438">
        <v>-98.9</v>
      </c>
      <c r="G19" s="536">
        <f t="shared" si="1"/>
        <v>7</v>
      </c>
      <c r="H19" s="851">
        <v>-13755.790999999999</v>
      </c>
      <c r="I19" s="438">
        <v>-13962.973505739999</v>
      </c>
      <c r="J19" s="536">
        <f>IF(H19=0, "    ---- ", IF(ABS(ROUND(100/H19*I19-100,1))&lt;999,ROUND(100/H19*I19-100,1),IF(ROUND(100/H19*I19-100,1)&gt;999,999,-999)))</f>
        <v>1.5</v>
      </c>
      <c r="K19" s="438"/>
      <c r="L19" s="438">
        <v>-1426.6661582500001</v>
      </c>
      <c r="M19" s="536" t="str">
        <f>IF(K19=0, "    ---- ", IF(ABS(ROUND(100/K19*L19-100,1))&lt;999,ROUND(100/K19*L19-100,1),IF(ROUND(100/K19*L19-100,1)&gt;999,999,-999)))</f>
        <v xml:space="preserve">    ---- </v>
      </c>
      <c r="N19" s="851">
        <v>-189.94399999999999</v>
      </c>
      <c r="O19" s="438">
        <v>-222.714</v>
      </c>
      <c r="P19" s="536">
        <f>IF(N19=0, "    ---- ", IF(ABS(ROUND(100/N19*O19-100,1))&lt;999,ROUND(100/N19*O19-100,1),IF(ROUND(100/N19*O19-100,1)&gt;999,999,-999)))</f>
        <v>17.3</v>
      </c>
      <c r="Q19" s="851">
        <f>-635.5+19.2</f>
        <v>-616.29999999999995</v>
      </c>
      <c r="R19" s="438">
        <v>-674.4</v>
      </c>
      <c r="S19" s="536">
        <f>IF(Q19=0, "    ---- ", IF(ABS(ROUND(100/Q19*R19-100,1))&lt;999,ROUND(100/Q19*R19-100,1),IF(ROUND(100/Q19*R19-100,1)&gt;999,999,-999)))</f>
        <v>9.4</v>
      </c>
      <c r="T19" s="851">
        <v>-19.450758</v>
      </c>
      <c r="U19" s="438">
        <v>-15.743433</v>
      </c>
      <c r="V19" s="536">
        <f>IF(T19=0, "    ---- ", IF(ABS(ROUND(100/T19*U19-100,1))&lt;999,ROUND(100/T19*U19-100,1),IF(ROUND(100/T19*U19-100,1)&gt;999,999,-999)))</f>
        <v>-19.100000000000001</v>
      </c>
      <c r="W19" s="852">
        <v>-19865.658480999999</v>
      </c>
      <c r="X19" s="438">
        <v>-20704.045228999999</v>
      </c>
      <c r="Y19" s="536">
        <f>IF(W19=0, "    ---- ", IF(ABS(ROUND(100/W19*X19-100,1))&lt;999,ROUND(100/W19*X19-100,1),IF(ROUND(100/W19*X19-100,1)&gt;999,999,-999)))</f>
        <v>4.2</v>
      </c>
      <c r="Z19" s="851">
        <v>-5757</v>
      </c>
      <c r="AA19" s="438">
        <v>-7525.8</v>
      </c>
      <c r="AB19" s="536">
        <f>IF(Z19=0, "    ---- ", IF(ABS(ROUND(100/Z19*AA19-100,1))&lt;999,ROUND(100/Z19*AA19-100,1),IF(ROUND(100/Z19*AA19-100,1)&gt;999,999,-999)))</f>
        <v>30.7</v>
      </c>
      <c r="AC19" s="851">
        <v>-2995</v>
      </c>
      <c r="AD19" s="438">
        <v>-2981</v>
      </c>
      <c r="AE19" s="536">
        <f>IF(AC19=0, "    ---- ", IF(ABS(ROUND(100/AC19*AD19-100,1))&lt;999,ROUND(100/AC19*AD19-100,1),IF(ROUND(100/AC19*AD19-100,1)&gt;999,999,-999)))</f>
        <v>-0.5</v>
      </c>
      <c r="AF19" s="851">
        <v>-183.83617368</v>
      </c>
      <c r="AG19" s="438">
        <v>-191.0389735</v>
      </c>
      <c r="AH19" s="536">
        <f>IF(AF19=0, "    ---- ", IF(ABS(ROUND(100/AF19*AG19-100,1))&lt;999,ROUND(100/AF19*AG19-100,1),IF(ROUND(100/AF19*AG19-100,1)&gt;999,999,-999)))</f>
        <v>3.9</v>
      </c>
      <c r="AI19" s="875">
        <v>-2390.6490886899992</v>
      </c>
      <c r="AJ19" s="546">
        <v>-1549.1552590199997</v>
      </c>
      <c r="AK19" s="536">
        <f>IF(AI19=0, "    ---- ", IF(ABS(ROUND(100/AI19*AJ19-100,1))&lt;999,ROUND(100/AI19*AJ19-100,1),IF(ROUND(100/AI19*AJ19-100,1)&gt;999,999,-999)))</f>
        <v>-35.200000000000003</v>
      </c>
      <c r="AL19" s="851">
        <f>-12226+9-0.4</f>
        <v>-12217.4</v>
      </c>
      <c r="AM19" s="438">
        <f>-12278+14</f>
        <v>-12264</v>
      </c>
      <c r="AN19" s="536">
        <f>IF(AL19=0, "    ---- ", IF(ABS(ROUND(100/AL19*AM19-100,1))&lt;999,ROUND(100/AL19*AM19-100,1),IF(ROUND(100/AL19*AM19-100,1)&gt;999,999,-999)))</f>
        <v>0.4</v>
      </c>
      <c r="AO19" s="536">
        <f t="shared" ref="AO19:AP21" si="16">B19+H19+K19+N19+Q19+W19+E19+Z19+AC19+AI19+AL19</f>
        <v>-58710.875569689997</v>
      </c>
      <c r="AP19" s="536">
        <f t="shared" si="16"/>
        <v>-62152.986152010002</v>
      </c>
      <c r="AQ19" s="536">
        <f t="shared" si="13"/>
        <v>5.9</v>
      </c>
      <c r="AR19" s="540">
        <f t="shared" ref="AR19:AS21" si="17">+B19+H19+K19+N19+Q19+T19+W19+E19+Z19+AC19+AF19+AI19+AL19</f>
        <v>-58914.162501369996</v>
      </c>
      <c r="AS19" s="540">
        <f t="shared" si="17"/>
        <v>-62359.768558510004</v>
      </c>
      <c r="AT19" s="536">
        <f>IF(AR19=0, "    ---- ", IF(ABS(ROUND(100/AR19*AS19-100,1))&lt;999,ROUND(100/AR19*AS19-100,1),IF(ROUND(100/AR19*AS19-100,1)&gt;999,999,-999)))</f>
        <v>5.8</v>
      </c>
    </row>
    <row r="20" spans="1:46" s="511" customFormat="1" ht="18.75" customHeight="1" x14ac:dyDescent="0.3">
      <c r="A20" s="534" t="s">
        <v>362</v>
      </c>
      <c r="B20" s="852">
        <v>-739.26599999999996</v>
      </c>
      <c r="C20" s="340">
        <v>-738.29700000000003</v>
      </c>
      <c r="D20" s="536">
        <f>IF(B20=0, "    ---- ", IF(ABS(ROUND(100/B20*C20-100,1))&lt;999,ROUND(100/B20*C20-100,1),IF(ROUND(100/B20*C20-100,1)&gt;999,999,-999)))</f>
        <v>-0.1</v>
      </c>
      <c r="E20" s="852">
        <v>-109.9</v>
      </c>
      <c r="F20" s="340">
        <v>-180.3</v>
      </c>
      <c r="G20" s="536">
        <f t="shared" si="1"/>
        <v>64.099999999999994</v>
      </c>
      <c r="H20" s="852">
        <v>-3690.3560000000002</v>
      </c>
      <c r="I20" s="340">
        <v>-6466.7879530399996</v>
      </c>
      <c r="J20" s="536">
        <f>IF(H20=0, "    ---- ", IF(ABS(ROUND(100/H20*I20-100,1))&lt;999,ROUND(100/H20*I20-100,1),IF(ROUND(100/H20*I20-100,1)&gt;999,999,-999)))</f>
        <v>75.2</v>
      </c>
      <c r="K20" s="340"/>
      <c r="L20" s="340">
        <v>151.07208826999999</v>
      </c>
      <c r="M20" s="536" t="str">
        <f>IF(K20=0, "    ---- ", IF(ABS(ROUND(100/K20*L20-100,1))&lt;999,ROUND(100/K20*L20-100,1),IF(ROUND(100/K20*L20-100,1)&gt;999,999,-999)))</f>
        <v xml:space="preserve">    ---- </v>
      </c>
      <c r="N20" s="852">
        <v>-83.438999999999993</v>
      </c>
      <c r="O20" s="340">
        <v>-4742.6989999999996</v>
      </c>
      <c r="P20" s="536">
        <f>IF(N20=0, "    ---- ", IF(ABS(ROUND(100/N20*O20-100,1))&lt;999,ROUND(100/N20*O20-100,1),IF(ROUND(100/N20*O20-100,1)&gt;999,999,-999)))</f>
        <v>999</v>
      </c>
      <c r="Q20" s="852">
        <v>-2143.6999999999998</v>
      </c>
      <c r="R20" s="340">
        <v>-2804.8</v>
      </c>
      <c r="S20" s="536">
        <f>IF(Q20=0, "    ---- ", IF(ABS(ROUND(100/Q20*R20-100,1))&lt;999,ROUND(100/Q20*R20-100,1),IF(ROUND(100/Q20*R20-100,1)&gt;999,999,-999)))</f>
        <v>30.8</v>
      </c>
      <c r="T20" s="852"/>
      <c r="U20" s="340"/>
      <c r="V20" s="536"/>
      <c r="W20" s="852">
        <v>-291.57890500000002</v>
      </c>
      <c r="X20" s="340">
        <v>-7656.0388039999998</v>
      </c>
      <c r="Y20" s="536">
        <f>IF(W20=0, "    ---- ", IF(ABS(ROUND(100/W20*X20-100,1))&lt;999,ROUND(100/W20*X20-100,1),IF(ROUND(100/W20*X20-100,1)&gt;999,999,-999)))</f>
        <v>999</v>
      </c>
      <c r="Z20" s="876">
        <v>-1926</v>
      </c>
      <c r="AA20" s="547">
        <v>-2251</v>
      </c>
      <c r="AB20" s="536">
        <f>IF(Z20=0, "    ---- ", IF(ABS(ROUND(100/Z20*AA20-100,1))&lt;999,ROUND(100/Z20*AA20-100,1),IF(ROUND(100/Z20*AA20-100,1)&gt;999,999,-999)))</f>
        <v>16.899999999999999</v>
      </c>
      <c r="AC20" s="876"/>
      <c r="AD20" s="547">
        <v>-41</v>
      </c>
      <c r="AE20" s="536"/>
      <c r="AF20" s="852">
        <v>-23.475279789999998</v>
      </c>
      <c r="AG20" s="340">
        <v>-21.720799400000001</v>
      </c>
      <c r="AH20" s="536">
        <f>IF(AF20=0, "    ---- ", IF(ABS(ROUND(100/AF20*AG20-100,1))&lt;999,ROUND(100/AF20*AG20-100,1),IF(ROUND(100/AF20*AG20-100,1)&gt;999,999,-999)))</f>
        <v>-7.5</v>
      </c>
      <c r="AI20" s="876">
        <v>-1302.5178389100004</v>
      </c>
      <c r="AJ20" s="547">
        <v>-1363.4445822999996</v>
      </c>
      <c r="AK20" s="536">
        <f>IF(AI20=0, "    ---- ", IF(ABS(ROUND(100/AI20*AJ20-100,1))&lt;999,ROUND(100/AI20*AJ20-100,1),IF(ROUND(100/AI20*AJ20-100,1)&gt;999,999,-999)))</f>
        <v>4.7</v>
      </c>
      <c r="AL20" s="852">
        <v>-4506</v>
      </c>
      <c r="AM20" s="340">
        <v>-5021</v>
      </c>
      <c r="AN20" s="536">
        <f>IF(AL20=0, "    ---- ", IF(ABS(ROUND(100/AL20*AM20-100,1))&lt;999,ROUND(100/AL20*AM20-100,1),IF(ROUND(100/AL20*AM20-100,1)&gt;999,999,-999)))</f>
        <v>11.4</v>
      </c>
      <c r="AO20" s="536">
        <f t="shared" si="16"/>
        <v>-14792.75774391</v>
      </c>
      <c r="AP20" s="536">
        <f t="shared" si="16"/>
        <v>-31114.295251069998</v>
      </c>
      <c r="AQ20" s="536">
        <f t="shared" si="13"/>
        <v>110.3</v>
      </c>
      <c r="AR20" s="540">
        <f t="shared" si="17"/>
        <v>-14816.233023700001</v>
      </c>
      <c r="AS20" s="540">
        <f t="shared" si="17"/>
        <v>-31136.016050469996</v>
      </c>
      <c r="AT20" s="536">
        <f>IF(AR20=0, "    ---- ", IF(ABS(ROUND(100/AR20*AS20-100,1))&lt;999,ROUND(100/AR20*AS20-100,1),IF(ROUND(100/AR20*AS20-100,1)&gt;999,999,-999)))</f>
        <v>110.1</v>
      </c>
    </row>
    <row r="21" spans="1:46" s="511" customFormat="1" ht="18.75" customHeight="1" x14ac:dyDescent="0.3">
      <c r="A21" s="534" t="s">
        <v>298</v>
      </c>
      <c r="B21" s="851">
        <f>SUM(B19:B20)</f>
        <v>-1569.9989999999998</v>
      </c>
      <c r="C21" s="438">
        <f>SUM(C19:C20)</f>
        <v>-1481.6289999999999</v>
      </c>
      <c r="D21" s="536">
        <f>IF(B21=0, "    ---- ", IF(ABS(ROUND(100/B21*C21-100,1))&lt;999,ROUND(100/B21*C21-100,1),IF(ROUND(100/B21*C21-100,1)&gt;999,999,-999)))</f>
        <v>-5.6</v>
      </c>
      <c r="E21" s="851">
        <f>SUM(E19:E20)</f>
        <v>-202.3</v>
      </c>
      <c r="F21" s="438">
        <f>SUM(F19:F20)</f>
        <v>-279.20000000000005</v>
      </c>
      <c r="G21" s="536">
        <f t="shared" si="1"/>
        <v>38</v>
      </c>
      <c r="H21" s="851">
        <f>SUM(H19:H20)</f>
        <v>-17446.147000000001</v>
      </c>
      <c r="I21" s="438">
        <f>SUM(I19:I20)</f>
        <v>-20429.761458779998</v>
      </c>
      <c r="J21" s="536">
        <f>IF(H21=0, "    ---- ", IF(ABS(ROUND(100/H21*I21-100,1))&lt;999,ROUND(100/H21*I21-100,1),IF(ROUND(100/H21*I21-100,1)&gt;999,999,-999)))</f>
        <v>17.100000000000001</v>
      </c>
      <c r="K21" s="438"/>
      <c r="L21" s="438">
        <f>SUM(L19:L20)</f>
        <v>-1275.5940699800001</v>
      </c>
      <c r="M21" s="536" t="str">
        <f>IF(K21=0, "    ---- ", IF(ABS(ROUND(100/K21*L21-100,1))&lt;999,ROUND(100/K21*L21-100,1),IF(ROUND(100/K21*L21-100,1)&gt;999,999,-999)))</f>
        <v xml:space="preserve">    ---- </v>
      </c>
      <c r="N21" s="851">
        <f>SUM(N19:N20)</f>
        <v>-273.38299999999998</v>
      </c>
      <c r="O21" s="438">
        <f>SUM(O19:O20)</f>
        <v>-4965.4129999999996</v>
      </c>
      <c r="P21" s="536">
        <f>IF(N21=0, "    ---- ", IF(ABS(ROUND(100/N21*O21-100,1))&lt;999,ROUND(100/N21*O21-100,1),IF(ROUND(100/N21*O21-100,1)&gt;999,999,-999)))</f>
        <v>999</v>
      </c>
      <c r="Q21" s="851">
        <f>SUM(Q19:Q20)</f>
        <v>-2760</v>
      </c>
      <c r="R21" s="438">
        <f>SUM(R19:R20)</f>
        <v>-3479.2000000000003</v>
      </c>
      <c r="S21" s="536">
        <f>IF(Q21=0, "    ---- ", IF(ABS(ROUND(100/Q21*R21-100,1))&lt;999,ROUND(100/Q21*R21-100,1),IF(ROUND(100/Q21*R21-100,1)&gt;999,999,-999)))</f>
        <v>26.1</v>
      </c>
      <c r="T21" s="851">
        <f>SUM(T19:T20)</f>
        <v>-19.450758</v>
      </c>
      <c r="U21" s="438">
        <f>SUM(U19:U20)</f>
        <v>-15.743433</v>
      </c>
      <c r="V21" s="536">
        <f>IF(T21=0, "    ---- ", IF(ABS(ROUND(100/T21*U21-100,1))&lt;999,ROUND(100/T21*U21-100,1),IF(ROUND(100/T21*U21-100,1)&gt;999,999,-999)))</f>
        <v>-19.100000000000001</v>
      </c>
      <c r="W21" s="851">
        <f>SUM(W19:W20)</f>
        <v>-20157.237385999997</v>
      </c>
      <c r="X21" s="438">
        <v>-28360.084032999999</v>
      </c>
      <c r="Y21" s="536">
        <f>IF(W21=0, "    ---- ", IF(ABS(ROUND(100/W21*X21-100,1))&lt;999,ROUND(100/W21*X21-100,1),IF(ROUND(100/W21*X21-100,1)&gt;999,999,-999)))</f>
        <v>40.700000000000003</v>
      </c>
      <c r="Z21" s="851">
        <f>SUM(Z19:Z20)</f>
        <v>-7683</v>
      </c>
      <c r="AA21" s="438">
        <f>SUM(AA19:AA20)</f>
        <v>-9776.7999999999993</v>
      </c>
      <c r="AB21" s="536">
        <f>IF(Z21=0, "    ---- ", IF(ABS(ROUND(100/Z21*AA21-100,1))&lt;999,ROUND(100/Z21*AA21-100,1),IF(ROUND(100/Z21*AA21-100,1)&gt;999,999,-999)))</f>
        <v>27.3</v>
      </c>
      <c r="AC21" s="851">
        <f>SUM(AC19:AC20)</f>
        <v>-2995</v>
      </c>
      <c r="AD21" s="438">
        <f>SUM(AD19:AD20)</f>
        <v>-3022</v>
      </c>
      <c r="AE21" s="536">
        <f>IF(AC21=0, "    ---- ", IF(ABS(ROUND(100/AC21*AD21-100,1))&lt;999,ROUND(100/AC21*AD21-100,1),IF(ROUND(100/AC21*AD21-100,1)&gt;999,999,-999)))</f>
        <v>0.9</v>
      </c>
      <c r="AF21" s="851">
        <f>SUM(AF19:AF20)</f>
        <v>-207.31145347</v>
      </c>
      <c r="AG21" s="438">
        <f>SUM(AG19:AG20)</f>
        <v>-212.7597729</v>
      </c>
      <c r="AH21" s="536">
        <f>IF(AF21=0, "    ---- ", IF(ABS(ROUND(100/AF21*AG21-100,1))&lt;999,ROUND(100/AF21*AG21-100,1),IF(ROUND(100/AF21*AG21-100,1)&gt;999,999,-999)))</f>
        <v>2.6</v>
      </c>
      <c r="AI21" s="851">
        <f>SUM(AI19:AI20)</f>
        <v>-3693.1669275999993</v>
      </c>
      <c r="AJ21" s="438">
        <f>SUM(AJ19:AJ20)</f>
        <v>-2912.5998413199995</v>
      </c>
      <c r="AK21" s="536">
        <f>IF(AI21=0, "    ---- ", IF(ABS(ROUND(100/AI21*AJ21-100,1))&lt;999,ROUND(100/AI21*AJ21-100,1),IF(ROUND(100/AI21*AJ21-100,1)&gt;999,999,-999)))</f>
        <v>-21.1</v>
      </c>
      <c r="AL21" s="851">
        <f>SUM(AL19:AL20)</f>
        <v>-16723.400000000001</v>
      </c>
      <c r="AM21" s="438">
        <f>SUM(AM19:AM20)</f>
        <v>-17285</v>
      </c>
      <c r="AN21" s="536">
        <f>IF(AL21=0, "    ---- ", IF(ABS(ROUND(100/AL21*AM21-100,1))&lt;999,ROUND(100/AL21*AM21-100,1),IF(ROUND(100/AL21*AM21-100,1)&gt;999,999,-999)))</f>
        <v>3.4</v>
      </c>
      <c r="AO21" s="536">
        <f t="shared" si="16"/>
        <v>-73503.633313600003</v>
      </c>
      <c r="AP21" s="536">
        <f t="shared" si="16"/>
        <v>-93267.281403079993</v>
      </c>
      <c r="AQ21" s="536">
        <f t="shared" si="13"/>
        <v>26.9</v>
      </c>
      <c r="AR21" s="540">
        <f t="shared" si="17"/>
        <v>-73730.395525069995</v>
      </c>
      <c r="AS21" s="540">
        <f t="shared" si="17"/>
        <v>-93495.78460898</v>
      </c>
      <c r="AT21" s="536">
        <f>IF(AR21=0, "    ---- ", IF(ABS(ROUND(100/AR21*AS21-100,1))&lt;999,ROUND(100/AR21*AS21-100,1),IF(ROUND(100/AR21*AS21-100,1)&gt;999,999,-999)))</f>
        <v>26.8</v>
      </c>
    </row>
    <row r="22" spans="1:46" s="511" customFormat="1" ht="18.75" customHeight="1" x14ac:dyDescent="0.3">
      <c r="A22" s="534" t="s">
        <v>299</v>
      </c>
      <c r="B22" s="196"/>
      <c r="C22" s="449"/>
      <c r="D22" s="536"/>
      <c r="E22" s="861"/>
      <c r="F22" s="817"/>
      <c r="G22" s="536"/>
      <c r="H22" s="196"/>
      <c r="I22" s="449"/>
      <c r="J22" s="536"/>
      <c r="K22" s="817"/>
      <c r="L22" s="817"/>
      <c r="M22" s="536"/>
      <c r="N22" s="861"/>
      <c r="O22" s="817"/>
      <c r="P22" s="536"/>
      <c r="Q22" s="196"/>
      <c r="R22" s="449"/>
      <c r="S22" s="536"/>
      <c r="T22" s="861"/>
      <c r="U22" s="817"/>
      <c r="V22" s="536"/>
      <c r="W22" s="852"/>
      <c r="X22" s="449"/>
      <c r="Y22" s="536"/>
      <c r="Z22" s="861"/>
      <c r="AA22" s="817"/>
      <c r="AB22" s="536"/>
      <c r="AC22" s="861"/>
      <c r="AD22" s="817"/>
      <c r="AE22" s="536"/>
      <c r="AF22" s="861"/>
      <c r="AG22" s="817"/>
      <c r="AH22" s="536"/>
      <c r="AI22" s="861"/>
      <c r="AJ22" s="817"/>
      <c r="AK22" s="536"/>
      <c r="AL22" s="196"/>
      <c r="AM22" s="449"/>
      <c r="AN22" s="536"/>
      <c r="AO22" s="536"/>
      <c r="AP22" s="536"/>
      <c r="AQ22" s="536"/>
      <c r="AR22" s="536"/>
      <c r="AS22" s="536"/>
      <c r="AT22" s="536"/>
    </row>
    <row r="23" spans="1:46" s="511" customFormat="1" ht="18.75" customHeight="1" x14ac:dyDescent="0.3">
      <c r="A23" s="534" t="s">
        <v>300</v>
      </c>
      <c r="B23" s="852">
        <f>-16.715-3.258</f>
        <v>-19.972999999999999</v>
      </c>
      <c r="C23" s="340">
        <f>-125.04+24.957</f>
        <v>-100.083</v>
      </c>
      <c r="D23" s="536">
        <f t="shared" ref="D23:D29" si="18">IF(B23=0, "    ---- ", IF(ABS(ROUND(100/B23*C23-100,1))&lt;999,ROUND(100/B23*C23-100,1),IF(ROUND(100/B23*C23-100,1)&gt;999,999,-999)))</f>
        <v>401.1</v>
      </c>
      <c r="E23" s="852">
        <v>-42.8</v>
      </c>
      <c r="F23" s="340">
        <v>-73.599999999999994</v>
      </c>
      <c r="G23" s="536">
        <f t="shared" si="1"/>
        <v>72</v>
      </c>
      <c r="H23" s="852">
        <v>2709.1619999999998</v>
      </c>
      <c r="I23" s="340">
        <v>4044.21850739</v>
      </c>
      <c r="J23" s="536">
        <f t="shared" ref="J23:J29" si="19">IF(H23=0, "    ---- ", IF(ABS(ROUND(100/H23*I23-100,1))&lt;999,ROUND(100/H23*I23-100,1),IF(ROUND(100/H23*I23-100,1)&gt;999,999,-999)))</f>
        <v>49.3</v>
      </c>
      <c r="K23" s="340"/>
      <c r="L23" s="340">
        <v>-930.96351840999989</v>
      </c>
      <c r="M23" s="536" t="str">
        <f>IF(K23=0, "    ---- ", IF(ABS(ROUND(100/K23*L23-100,1))&lt;999,ROUND(100/K23*L23-100,1),IF(ROUND(100/K23*L23-100,1)&gt;999,999,-999)))</f>
        <v xml:space="preserve">    ---- </v>
      </c>
      <c r="N23" s="852">
        <v>-60.350999999999999</v>
      </c>
      <c r="O23" s="340">
        <v>-72.394000000000005</v>
      </c>
      <c r="P23" s="536">
        <f>IF(N23=0, "    ---- ", IF(ABS(ROUND(100/N23*O23-100,1))&lt;999,ROUND(100/N23*O23-100,1),IF(ROUND(100/N23*O23-100,1)&gt;999,999,-999)))</f>
        <v>20</v>
      </c>
      <c r="Q23" s="852">
        <f>-513.5+63.1</f>
        <v>-450.4</v>
      </c>
      <c r="R23" s="340">
        <v>-386.4</v>
      </c>
      <c r="S23" s="536">
        <f t="shared" ref="S23:S31" si="20">IF(Q23=0, "    ---- ", IF(ABS(ROUND(100/Q23*R23-100,1))&lt;999,ROUND(100/Q23*R23-100,1),IF(ROUND(100/Q23*R23-100,1)&gt;999,999,-999)))</f>
        <v>-14.2</v>
      </c>
      <c r="T23" s="852">
        <v>-2.2513730000000001</v>
      </c>
      <c r="U23" s="340">
        <v>4.2966852099999997</v>
      </c>
      <c r="V23" s="536"/>
      <c r="W23" s="852">
        <v>-28189.829584799998</v>
      </c>
      <c r="X23" s="340">
        <v>3287.50428612</v>
      </c>
      <c r="Y23" s="536">
        <f t="shared" ref="Y23:Y30" si="21">IF(W23=0, "    ---- ", IF(ABS(ROUND(100/W23*X23-100,1))&lt;999,ROUND(100/W23*X23-100,1),IF(ROUND(100/W23*X23-100,1)&gt;999,999,-999)))</f>
        <v>-111.7</v>
      </c>
      <c r="Z23" s="852">
        <v>-417</v>
      </c>
      <c r="AA23" s="340">
        <v>-313</v>
      </c>
      <c r="AB23" s="536">
        <f t="shared" ref="AB23:AB29" si="22">IF(Z23=0, "    ---- ", IF(ABS(ROUND(100/Z23*AA23-100,1))&lt;999,ROUND(100/Z23*AA23-100,1),IF(ROUND(100/Z23*AA23-100,1)&gt;999,999,-999)))</f>
        <v>-24.9</v>
      </c>
      <c r="AC23" s="852">
        <v>-3309</v>
      </c>
      <c r="AD23" s="340">
        <v>149</v>
      </c>
      <c r="AE23" s="536">
        <f t="shared" ref="AE23:AE29" si="23">IF(AC23=0, "    ---- ", IF(ABS(ROUND(100/AC23*AD23-100,1))&lt;999,ROUND(100/AC23*AD23-100,1),IF(ROUND(100/AC23*AD23-100,1)&gt;999,999,-999)))</f>
        <v>-104.5</v>
      </c>
      <c r="AF23" s="852"/>
      <c r="AG23" s="340"/>
      <c r="AH23" s="536"/>
      <c r="AI23" s="852">
        <v>-1245.9337822999998</v>
      </c>
      <c r="AJ23" s="340">
        <v>-200.98366980999995</v>
      </c>
      <c r="AK23" s="536">
        <f t="shared" ref="AK23:AK29" si="24">IF(AI23=0, "    ---- ", IF(ABS(ROUND(100/AI23*AJ23-100,1))&lt;999,ROUND(100/AI23*AJ23-100,1),IF(ROUND(100/AI23*AJ23-100,1)&gt;999,999,-999)))</f>
        <v>-83.9</v>
      </c>
      <c r="AL23" s="852">
        <v>543</v>
      </c>
      <c r="AM23" s="340">
        <v>554</v>
      </c>
      <c r="AN23" s="536">
        <f t="shared" ref="AN23:AN29" si="25">IF(AL23=0, "    ---- ", IF(ABS(ROUND(100/AL23*AM23-100,1))&lt;999,ROUND(100/AL23*AM23-100,1),IF(ROUND(100/AL23*AM23-100,1)&gt;999,999,-999)))</f>
        <v>2</v>
      </c>
      <c r="AO23" s="536">
        <f t="shared" ref="AO23:AO34" si="26">B23+H23+K23+N23+Q23+W23+E23+Z23+AC23+AI23+AL23</f>
        <v>-30483.125367099998</v>
      </c>
      <c r="AP23" s="536">
        <f t="shared" ref="AP23:AP34" si="27">C23+I23+L23+O23+R23+X23+F23+AA23+AD23+AJ23+AM23</f>
        <v>5957.2986052900005</v>
      </c>
      <c r="AQ23" s="536">
        <f t="shared" si="13"/>
        <v>-119.5</v>
      </c>
      <c r="AR23" s="536"/>
      <c r="AS23" s="536"/>
      <c r="AT23" s="536"/>
    </row>
    <row r="24" spans="1:46" s="511" customFormat="1" ht="18.75" customHeight="1" x14ac:dyDescent="0.3">
      <c r="A24" s="534" t="s">
        <v>301</v>
      </c>
      <c r="B24" s="852"/>
      <c r="C24" s="340"/>
      <c r="D24" s="536"/>
      <c r="E24" s="852">
        <v>1.2</v>
      </c>
      <c r="F24" s="340">
        <v>2.8</v>
      </c>
      <c r="G24" s="536">
        <f t="shared" si="1"/>
        <v>133.30000000000001</v>
      </c>
      <c r="H24" s="852">
        <v>-89.397999999999996</v>
      </c>
      <c r="I24" s="340">
        <v>828.98848098999997</v>
      </c>
      <c r="J24" s="536">
        <f t="shared" si="19"/>
        <v>-999</v>
      </c>
      <c r="K24" s="340"/>
      <c r="L24" s="340"/>
      <c r="M24" s="536" t="str">
        <f>IF(K24=0, "    ---- ", IF(ABS(ROUND(100/K24*L24-100,1))&lt;999,ROUND(100/K24*L24-100,1),IF(ROUND(100/K24*L24-100,1)&gt;999,999,-999)))</f>
        <v xml:space="preserve">    ---- </v>
      </c>
      <c r="N24" s="852">
        <v>-6.5389999999999997</v>
      </c>
      <c r="O24" s="340">
        <v>-0.28199999999999997</v>
      </c>
      <c r="P24" s="536">
        <f>IF(N24=0, "    ---- ", IF(ABS(ROUND(100/N24*O24-100,1))&lt;999,ROUND(100/N24*O24-100,1),IF(ROUND(100/N24*O24-100,1)&gt;999,999,-999)))</f>
        <v>-95.7</v>
      </c>
      <c r="Q24" s="852">
        <v>-42.5</v>
      </c>
      <c r="R24" s="340">
        <v>-11.8</v>
      </c>
      <c r="S24" s="536">
        <f t="shared" si="20"/>
        <v>-72.2</v>
      </c>
      <c r="T24" s="852"/>
      <c r="U24" s="340"/>
      <c r="V24" s="536"/>
      <c r="W24" s="852">
        <v>15.442897</v>
      </c>
      <c r="X24" s="340">
        <v>-7718.6793155200003</v>
      </c>
      <c r="Y24" s="536">
        <f t="shared" si="21"/>
        <v>-999</v>
      </c>
      <c r="Z24" s="852">
        <v>-425</v>
      </c>
      <c r="AA24" s="340">
        <v>-127</v>
      </c>
      <c r="AB24" s="536">
        <f t="shared" si="22"/>
        <v>-70.099999999999994</v>
      </c>
      <c r="AC24" s="852">
        <v>262</v>
      </c>
      <c r="AD24" s="340">
        <v>-657</v>
      </c>
      <c r="AE24" s="536">
        <f t="shared" si="23"/>
        <v>-350.8</v>
      </c>
      <c r="AF24" s="852"/>
      <c r="AG24" s="340"/>
      <c r="AH24" s="536"/>
      <c r="AI24" s="852">
        <v>-355.04774206999997</v>
      </c>
      <c r="AJ24" s="340">
        <v>133.81029730000014</v>
      </c>
      <c r="AK24" s="536">
        <f t="shared" si="24"/>
        <v>-137.69999999999999</v>
      </c>
      <c r="AL24" s="852">
        <v>-768</v>
      </c>
      <c r="AM24" s="340">
        <v>-2460</v>
      </c>
      <c r="AN24" s="536">
        <f t="shared" si="25"/>
        <v>220.3</v>
      </c>
      <c r="AO24" s="536">
        <f t="shared" si="26"/>
        <v>-1407.8418450699999</v>
      </c>
      <c r="AP24" s="536">
        <f t="shared" si="27"/>
        <v>-10009.16253723</v>
      </c>
      <c r="AQ24" s="536">
        <f t="shared" si="13"/>
        <v>611</v>
      </c>
      <c r="AR24" s="536"/>
      <c r="AS24" s="536"/>
      <c r="AT24" s="536"/>
    </row>
    <row r="25" spans="1:46" s="511" customFormat="1" ht="18.75" customHeight="1" x14ac:dyDescent="0.3">
      <c r="A25" s="534" t="s">
        <v>302</v>
      </c>
      <c r="B25" s="852">
        <v>-17.888999999999999</v>
      </c>
      <c r="C25" s="340">
        <v>-25.812999999999999</v>
      </c>
      <c r="D25" s="536">
        <f t="shared" si="18"/>
        <v>44.3</v>
      </c>
      <c r="E25" s="852">
        <v>-11.2</v>
      </c>
      <c r="F25" s="340">
        <v>19.2</v>
      </c>
      <c r="G25" s="536">
        <f t="shared" si="1"/>
        <v>-271.39999999999998</v>
      </c>
      <c r="H25" s="852">
        <v>-4100.4030000000002</v>
      </c>
      <c r="I25" s="340">
        <v>2930.3086580300001</v>
      </c>
      <c r="J25" s="536">
        <f t="shared" si="19"/>
        <v>-171.5</v>
      </c>
      <c r="K25" s="340"/>
      <c r="L25" s="340">
        <v>-46.184984680000014</v>
      </c>
      <c r="M25" s="536"/>
      <c r="N25" s="852">
        <v>-6.88</v>
      </c>
      <c r="O25" s="340">
        <v>-0.02</v>
      </c>
      <c r="P25" s="536"/>
      <c r="Q25" s="852">
        <v>-15.5</v>
      </c>
      <c r="R25" s="340">
        <v>19.600000000000001</v>
      </c>
      <c r="S25" s="536">
        <f t="shared" si="20"/>
        <v>-226.5</v>
      </c>
      <c r="T25" s="852"/>
      <c r="U25" s="340"/>
      <c r="V25" s="536"/>
      <c r="W25" s="852">
        <v>-22321.899841999999</v>
      </c>
      <c r="X25" s="340">
        <v>623.45300199999997</v>
      </c>
      <c r="Y25" s="536">
        <f t="shared" si="21"/>
        <v>-102.8</v>
      </c>
      <c r="Z25" s="852">
        <v>-643</v>
      </c>
      <c r="AA25" s="340">
        <v>-710</v>
      </c>
      <c r="AB25" s="536">
        <f t="shared" si="22"/>
        <v>10.4</v>
      </c>
      <c r="AC25" s="852">
        <v>-7218</v>
      </c>
      <c r="AD25" s="340">
        <v>-1082</v>
      </c>
      <c r="AE25" s="536">
        <f t="shared" si="23"/>
        <v>-85</v>
      </c>
      <c r="AF25" s="852"/>
      <c r="AG25" s="340"/>
      <c r="AH25" s="536"/>
      <c r="AI25" s="852">
        <v>-781.50790165000012</v>
      </c>
      <c r="AJ25" s="340">
        <v>-480.08549825</v>
      </c>
      <c r="AK25" s="536">
        <f t="shared" si="24"/>
        <v>-38.6</v>
      </c>
      <c r="AL25" s="852">
        <f>-3255</f>
        <v>-3255</v>
      </c>
      <c r="AM25" s="340">
        <v>-1670</v>
      </c>
      <c r="AN25" s="536">
        <f t="shared" si="25"/>
        <v>-48.7</v>
      </c>
      <c r="AO25" s="536">
        <f t="shared" si="26"/>
        <v>-38371.279743650004</v>
      </c>
      <c r="AP25" s="536">
        <f t="shared" si="27"/>
        <v>-421.54182290000017</v>
      </c>
      <c r="AQ25" s="536">
        <f t="shared" si="13"/>
        <v>-98.9</v>
      </c>
      <c r="AR25" s="536"/>
      <c r="AS25" s="536"/>
      <c r="AT25" s="536"/>
    </row>
    <row r="26" spans="1:46" s="511" customFormat="1" ht="18.75" customHeight="1" x14ac:dyDescent="0.3">
      <c r="A26" s="534" t="s">
        <v>303</v>
      </c>
      <c r="B26" s="852"/>
      <c r="C26" s="340"/>
      <c r="D26" s="536"/>
      <c r="E26" s="852">
        <v>-0.3</v>
      </c>
      <c r="F26" s="340">
        <v>-0.2</v>
      </c>
      <c r="G26" s="536">
        <f t="shared" si="1"/>
        <v>-33.299999999999997</v>
      </c>
      <c r="H26" s="852">
        <v>-14.917</v>
      </c>
      <c r="I26" s="340">
        <v>-13.45362051</v>
      </c>
      <c r="J26" s="536">
        <f t="shared" si="19"/>
        <v>-9.8000000000000007</v>
      </c>
      <c r="K26" s="340"/>
      <c r="L26" s="340"/>
      <c r="M26" s="536"/>
      <c r="N26" s="852"/>
      <c r="O26" s="340"/>
      <c r="P26" s="536"/>
      <c r="Q26" s="852">
        <v>1.5</v>
      </c>
      <c r="R26" s="340">
        <v>1.9</v>
      </c>
      <c r="S26" s="536"/>
      <c r="T26" s="852"/>
      <c r="U26" s="340"/>
      <c r="V26" s="536"/>
      <c r="W26" s="852">
        <v>-231.87149600000001</v>
      </c>
      <c r="X26" s="340">
        <v>-23840.902377549999</v>
      </c>
      <c r="Y26" s="536">
        <f t="shared" si="21"/>
        <v>999</v>
      </c>
      <c r="Z26" s="852">
        <v>-12</v>
      </c>
      <c r="AA26" s="340">
        <v>-12</v>
      </c>
      <c r="AB26" s="536">
        <f t="shared" si="22"/>
        <v>0</v>
      </c>
      <c r="AC26" s="852">
        <v>-55</v>
      </c>
      <c r="AD26" s="340">
        <f>-5914+3694+1</f>
        <v>-2219</v>
      </c>
      <c r="AE26" s="536">
        <f t="shared" si="23"/>
        <v>999</v>
      </c>
      <c r="AF26" s="852"/>
      <c r="AG26" s="340"/>
      <c r="AH26" s="536"/>
      <c r="AI26" s="852">
        <v>-2.884649</v>
      </c>
      <c r="AJ26" s="340">
        <v>-3.793866</v>
      </c>
      <c r="AK26" s="536">
        <f t="shared" si="24"/>
        <v>31.5</v>
      </c>
      <c r="AL26" s="852">
        <v>-2</v>
      </c>
      <c r="AM26" s="340">
        <v>-3</v>
      </c>
      <c r="AN26" s="536">
        <f t="shared" si="25"/>
        <v>50</v>
      </c>
      <c r="AO26" s="536">
        <f t="shared" si="26"/>
        <v>-317.47314500000005</v>
      </c>
      <c r="AP26" s="536">
        <f t="shared" si="27"/>
        <v>-26090.44986406</v>
      </c>
      <c r="AQ26" s="536">
        <f t="shared" si="13"/>
        <v>999</v>
      </c>
      <c r="AR26" s="536"/>
      <c r="AS26" s="536"/>
      <c r="AT26" s="536"/>
    </row>
    <row r="27" spans="1:46" s="511" customFormat="1" ht="18.75" customHeight="1" x14ac:dyDescent="0.3">
      <c r="A27" s="534" t="s">
        <v>304</v>
      </c>
      <c r="B27" s="852">
        <v>-1.331</v>
      </c>
      <c r="C27" s="340">
        <v>4.5590000000000002</v>
      </c>
      <c r="D27" s="536">
        <f t="shared" si="18"/>
        <v>-442.5</v>
      </c>
      <c r="E27" s="852"/>
      <c r="F27" s="340"/>
      <c r="G27" s="536"/>
      <c r="H27" s="852">
        <v>-46.786000000000001</v>
      </c>
      <c r="I27" s="340">
        <v>-105.22135556999999</v>
      </c>
      <c r="J27" s="536">
        <f t="shared" si="19"/>
        <v>124.9</v>
      </c>
      <c r="K27" s="340"/>
      <c r="L27" s="340"/>
      <c r="M27" s="536" t="str">
        <f>IF(K27=0, "    ---- ", IF(ABS(ROUND(100/K27*L27-100,1))&lt;999,ROUND(100/K27*L27-100,1),IF(ROUND(100/K27*L27-100,1)&gt;999,999,-999)))</f>
        <v xml:space="preserve">    ---- </v>
      </c>
      <c r="N27" s="852">
        <v>-3.5329999999999999</v>
      </c>
      <c r="O27" s="340">
        <v>-4.3899999999999997</v>
      </c>
      <c r="P27" s="536">
        <f>IF(N27=0, "    ---- ", IF(ABS(ROUND(100/N27*O27-100,1))&lt;999,ROUND(100/N27*O27-100,1),IF(ROUND(100/N27*O27-100,1)&gt;999,999,-999)))</f>
        <v>24.3</v>
      </c>
      <c r="Q27" s="852"/>
      <c r="R27" s="340"/>
      <c r="S27" s="536"/>
      <c r="T27" s="852"/>
      <c r="U27" s="340"/>
      <c r="V27" s="536"/>
      <c r="W27" s="852"/>
      <c r="X27" s="340"/>
      <c r="Y27" s="536"/>
      <c r="Z27" s="852">
        <v>0</v>
      </c>
      <c r="AA27" s="340">
        <v>0</v>
      </c>
      <c r="AB27" s="536" t="str">
        <f t="shared" si="22"/>
        <v xml:space="preserve">    ---- </v>
      </c>
      <c r="AC27" s="852">
        <v>14</v>
      </c>
      <c r="AD27" s="340">
        <v>14</v>
      </c>
      <c r="AE27" s="536"/>
      <c r="AF27" s="852"/>
      <c r="AG27" s="340"/>
      <c r="AH27" s="536"/>
      <c r="AI27" s="852">
        <v>0</v>
      </c>
      <c r="AJ27" s="340">
        <v>0</v>
      </c>
      <c r="AK27" s="536" t="str">
        <f t="shared" si="24"/>
        <v xml:space="preserve">    ---- </v>
      </c>
      <c r="AL27" s="852">
        <v>-8</v>
      </c>
      <c r="AM27" s="340">
        <v>-106</v>
      </c>
      <c r="AN27" s="536">
        <f t="shared" si="25"/>
        <v>999</v>
      </c>
      <c r="AO27" s="536">
        <f t="shared" si="26"/>
        <v>-45.650000000000006</v>
      </c>
      <c r="AP27" s="536">
        <f t="shared" si="27"/>
        <v>-197.05235556999997</v>
      </c>
      <c r="AQ27" s="536">
        <f t="shared" si="13"/>
        <v>331.7</v>
      </c>
      <c r="AR27" s="536"/>
      <c r="AS27" s="536"/>
      <c r="AT27" s="536"/>
    </row>
    <row r="28" spans="1:46" s="511" customFormat="1" ht="18.75" customHeight="1" x14ac:dyDescent="0.3">
      <c r="A28" s="534" t="s">
        <v>305</v>
      </c>
      <c r="B28" s="852"/>
      <c r="C28" s="340"/>
      <c r="D28" s="536"/>
      <c r="E28" s="852">
        <v>0</v>
      </c>
      <c r="F28" s="340"/>
      <c r="G28" s="536" t="str">
        <f t="shared" si="1"/>
        <v xml:space="preserve">    ---- </v>
      </c>
      <c r="H28" s="852">
        <v>14.243</v>
      </c>
      <c r="I28" s="340">
        <v>18.26242869</v>
      </c>
      <c r="J28" s="536">
        <f t="shared" si="19"/>
        <v>28.2</v>
      </c>
      <c r="K28" s="340"/>
      <c r="L28" s="340"/>
      <c r="M28" s="536"/>
      <c r="N28" s="852"/>
      <c r="O28" s="340"/>
      <c r="P28" s="536"/>
      <c r="Q28" s="852"/>
      <c r="R28" s="340"/>
      <c r="S28" s="536" t="str">
        <f t="shared" si="20"/>
        <v xml:space="preserve">    ---- </v>
      </c>
      <c r="T28" s="852"/>
      <c r="U28" s="340"/>
      <c r="V28" s="536"/>
      <c r="W28" s="852">
        <v>0</v>
      </c>
      <c r="X28" s="340">
        <v>0</v>
      </c>
      <c r="Y28" s="536" t="str">
        <f t="shared" si="21"/>
        <v xml:space="preserve">    ---- </v>
      </c>
      <c r="Z28" s="852">
        <v>2</v>
      </c>
      <c r="AA28" s="340">
        <v>8</v>
      </c>
      <c r="AB28" s="536">
        <f t="shared" si="22"/>
        <v>300</v>
      </c>
      <c r="AC28" s="852"/>
      <c r="AD28" s="340"/>
      <c r="AE28" s="536"/>
      <c r="AF28" s="852"/>
      <c r="AG28" s="340"/>
      <c r="AH28" s="536"/>
      <c r="AI28" s="852">
        <v>0</v>
      </c>
      <c r="AJ28" s="340">
        <v>0</v>
      </c>
      <c r="AK28" s="536" t="str">
        <f t="shared" si="24"/>
        <v xml:space="preserve">    ---- </v>
      </c>
      <c r="AL28" s="852">
        <v>-11</v>
      </c>
      <c r="AM28" s="340">
        <v>27</v>
      </c>
      <c r="AN28" s="536">
        <f t="shared" si="25"/>
        <v>-345.5</v>
      </c>
      <c r="AO28" s="536">
        <f t="shared" si="26"/>
        <v>5.2430000000000021</v>
      </c>
      <c r="AP28" s="536">
        <f t="shared" si="27"/>
        <v>53.26242869</v>
      </c>
      <c r="AQ28" s="536">
        <f t="shared" si="13"/>
        <v>915.9</v>
      </c>
      <c r="AR28" s="536"/>
      <c r="AS28" s="536"/>
      <c r="AT28" s="536"/>
    </row>
    <row r="29" spans="1:46" s="511" customFormat="1" ht="18.75" customHeight="1" x14ac:dyDescent="0.3">
      <c r="A29" s="534" t="s">
        <v>306</v>
      </c>
      <c r="B29" s="852">
        <f>SUM(B23:B28)</f>
        <v>-39.192999999999998</v>
      </c>
      <c r="C29" s="340">
        <f>SUM(C23:C28)</f>
        <v>-121.337</v>
      </c>
      <c r="D29" s="536">
        <f t="shared" si="18"/>
        <v>209.6</v>
      </c>
      <c r="E29" s="852">
        <f>SUM(E23:E28)</f>
        <v>-53.099999999999994</v>
      </c>
      <c r="F29" s="340">
        <f>SUM(F23:F28)</f>
        <v>-51.8</v>
      </c>
      <c r="G29" s="536">
        <f t="shared" si="1"/>
        <v>-2.4</v>
      </c>
      <c r="H29" s="852">
        <f>SUM(H23:H28)</f>
        <v>-1528.0990000000006</v>
      </c>
      <c r="I29" s="340">
        <f>SUM(I23:I28)</f>
        <v>7703.1030990199997</v>
      </c>
      <c r="J29" s="536">
        <f t="shared" si="19"/>
        <v>-604.1</v>
      </c>
      <c r="K29" s="340"/>
      <c r="L29" s="340">
        <f>SUM(L23:L28)</f>
        <v>-977.14850308999985</v>
      </c>
      <c r="M29" s="536" t="str">
        <f>IF(K29=0, "    ---- ", IF(ABS(ROUND(100/K29*L29-100,1))&lt;999,ROUND(100/K29*L29-100,1),IF(ROUND(100/K29*L29-100,1)&gt;999,999,-999)))</f>
        <v xml:space="preserve">    ---- </v>
      </c>
      <c r="N29" s="852">
        <f>SUM(N23:N28)</f>
        <v>-77.302999999999997</v>
      </c>
      <c r="O29" s="340">
        <f>SUM(O23:O28)</f>
        <v>-77.085999999999999</v>
      </c>
      <c r="P29" s="536">
        <f>IF(N29=0, "    ---- ", IF(ABS(ROUND(100/N29*O29-100,1))&lt;999,ROUND(100/N29*O29-100,1),IF(ROUND(100/N29*O29-100,1)&gt;999,999,-999)))</f>
        <v>-0.3</v>
      </c>
      <c r="Q29" s="852">
        <f>SUM(Q23:Q28)</f>
        <v>-506.9</v>
      </c>
      <c r="R29" s="340">
        <f>SUM(R23:R28)</f>
        <v>-376.7</v>
      </c>
      <c r="S29" s="536">
        <f t="shared" si="20"/>
        <v>-25.7</v>
      </c>
      <c r="T29" s="852">
        <f>SUM(T23:T28)</f>
        <v>-2.2513730000000001</v>
      </c>
      <c r="U29" s="340">
        <f>SUM(U23:U28)</f>
        <v>4.2966852099999997</v>
      </c>
      <c r="V29" s="536"/>
      <c r="W29" s="852">
        <f>SUM(W23:W28)</f>
        <v>-50728.158025799996</v>
      </c>
      <c r="X29" s="340">
        <v>-27648.624404949998</v>
      </c>
      <c r="Y29" s="536">
        <f t="shared" si="21"/>
        <v>-45.5</v>
      </c>
      <c r="Z29" s="852">
        <f>SUM(Z23:Z28)</f>
        <v>-1495</v>
      </c>
      <c r="AA29" s="340">
        <f>SUM(AA23:AA28)</f>
        <v>-1154</v>
      </c>
      <c r="AB29" s="536">
        <f t="shared" si="22"/>
        <v>-22.8</v>
      </c>
      <c r="AC29" s="852">
        <f>SUM(AC23:AC28)</f>
        <v>-10306</v>
      </c>
      <c r="AD29" s="340">
        <f>SUM(AD23:AD28)</f>
        <v>-3795</v>
      </c>
      <c r="AE29" s="536">
        <f t="shared" si="23"/>
        <v>-63.2</v>
      </c>
      <c r="AF29" s="852"/>
      <c r="AG29" s="340">
        <f>SUM(AG23:AG28)</f>
        <v>0</v>
      </c>
      <c r="AH29" s="536"/>
      <c r="AI29" s="852">
        <f>SUM(AI23:AI28)</f>
        <v>-2385.37407502</v>
      </c>
      <c r="AJ29" s="340">
        <f>SUM(AJ23:AJ28)</f>
        <v>-551.05273675999979</v>
      </c>
      <c r="AK29" s="536">
        <f t="shared" si="24"/>
        <v>-76.900000000000006</v>
      </c>
      <c r="AL29" s="852">
        <f>SUM(AL23:AL28)</f>
        <v>-3501</v>
      </c>
      <c r="AM29" s="340">
        <f>SUM(AM23:AM28)</f>
        <v>-3658</v>
      </c>
      <c r="AN29" s="536">
        <f t="shared" si="25"/>
        <v>4.5</v>
      </c>
      <c r="AO29" s="536">
        <f t="shared" si="26"/>
        <v>-70620.127100819998</v>
      </c>
      <c r="AP29" s="536">
        <f t="shared" si="27"/>
        <v>-30707.64554578</v>
      </c>
      <c r="AQ29" s="536">
        <f t="shared" si="13"/>
        <v>-56.5</v>
      </c>
      <c r="AR29" s="536"/>
      <c r="AS29" s="536"/>
      <c r="AT29" s="536"/>
    </row>
    <row r="30" spans="1:46" s="511" customFormat="1" ht="18.75" customHeight="1" x14ac:dyDescent="0.3">
      <c r="A30" s="534" t="s">
        <v>307</v>
      </c>
      <c r="B30" s="852">
        <v>-3906.8910000000001</v>
      </c>
      <c r="C30" s="340">
        <v>-3347.7950000000001</v>
      </c>
      <c r="D30" s="536">
        <f>IF(B30=0, "    ---- ", IF(ABS(ROUND(100/B30*C30-100,1))&lt;999,ROUND(100/B30*C30-100,1),IF(ROUND(100/B30*C30-100,1)&gt;999,999,-999)))</f>
        <v>-14.3</v>
      </c>
      <c r="E30" s="852">
        <v>-1520.3</v>
      </c>
      <c r="F30" s="340">
        <v>-1049.9000000000001</v>
      </c>
      <c r="G30" s="536">
        <f t="shared" si="1"/>
        <v>-30.9</v>
      </c>
      <c r="H30" s="852">
        <v>-21762.411</v>
      </c>
      <c r="I30" s="340">
        <v>-11879.2291864</v>
      </c>
      <c r="J30" s="536">
        <f>IF(H30=0, "    ---- ", IF(ABS(ROUND(100/H30*I30-100,1))&lt;999,ROUND(100/H30*I30-100,1),IF(ROUND(100/H30*I30-100,1)&gt;999,999,-999)))</f>
        <v>-45.4</v>
      </c>
      <c r="K30" s="340"/>
      <c r="L30" s="340"/>
      <c r="M30" s="536"/>
      <c r="N30" s="852">
        <v>-938.952</v>
      </c>
      <c r="O30" s="340">
        <v>4236.8549999999996</v>
      </c>
      <c r="P30" s="536"/>
      <c r="Q30" s="852">
        <v>-6028.7</v>
      </c>
      <c r="R30" s="340">
        <v>-4565.8999999999996</v>
      </c>
      <c r="S30" s="536">
        <f t="shared" si="20"/>
        <v>-24.3</v>
      </c>
      <c r="T30" s="852"/>
      <c r="U30" s="340"/>
      <c r="V30" s="536"/>
      <c r="W30" s="852">
        <v>-196.71294703999999</v>
      </c>
      <c r="X30" s="340">
        <v>486.62024219</v>
      </c>
      <c r="Y30" s="536">
        <f t="shared" si="21"/>
        <v>-347.4</v>
      </c>
      <c r="Z30" s="852">
        <v>-18934</v>
      </c>
      <c r="AA30" s="340">
        <v>-20890</v>
      </c>
      <c r="AB30" s="536">
        <f>IF(Z30=0, "    ---- ", IF(ABS(ROUND(100/Z30*AA30-100,1))&lt;999,ROUND(100/Z30*AA30-100,1),IF(ROUND(100/Z30*AA30-100,1)&gt;999,999,-999)))</f>
        <v>10.3</v>
      </c>
      <c r="AC30" s="852"/>
      <c r="AD30" s="340"/>
      <c r="AE30" s="536"/>
      <c r="AF30" s="852">
        <v>-464.67669190999999</v>
      </c>
      <c r="AG30" s="340">
        <v>-390.47339749000002</v>
      </c>
      <c r="AH30" s="536">
        <f>IF(AF30=0, "    ---- ", IF(ABS(ROUND(100/AF30*AG30-100,1))&lt;999,ROUND(100/AF30*AG30-100,1),IF(ROUND(100/AF30*AG30-100,1)&gt;999,999,-999)))</f>
        <v>-16</v>
      </c>
      <c r="AI30" s="852">
        <v>-8372.6570726400005</v>
      </c>
      <c r="AJ30" s="340">
        <v>-7757.9154452499997</v>
      </c>
      <c r="AK30" s="536">
        <f>IF(AI30=0, "    ---- ", IF(ABS(ROUND(100/AI30*AJ30-100,1))&lt;999,ROUND(100/AI30*AJ30-100,1),IF(ROUND(100/AI30*AJ30-100,1)&gt;999,999,-999)))</f>
        <v>-7.3</v>
      </c>
      <c r="AL30" s="852">
        <v>-21134</v>
      </c>
      <c r="AM30" s="340">
        <v>-22580</v>
      </c>
      <c r="AN30" s="536">
        <f>IF(AL30=0, "    ---- ", IF(ABS(ROUND(100/AL30*AM30-100,1))&lt;999,ROUND(100/AL30*AM30-100,1),IF(ROUND(100/AL30*AM30-100,1)&gt;999,999,-999)))</f>
        <v>6.8</v>
      </c>
      <c r="AO30" s="536">
        <f t="shared" si="26"/>
        <v>-82794.624019680006</v>
      </c>
      <c r="AP30" s="536">
        <f t="shared" si="27"/>
        <v>-67347.264389460004</v>
      </c>
      <c r="AQ30" s="536">
        <f t="shared" si="13"/>
        <v>-18.7</v>
      </c>
      <c r="AR30" s="536"/>
      <c r="AS30" s="536"/>
      <c r="AT30" s="536"/>
    </row>
    <row r="31" spans="1:46" s="511" customFormat="1" ht="18.75" customHeight="1" x14ac:dyDescent="0.3">
      <c r="A31" s="534" t="s">
        <v>308</v>
      </c>
      <c r="B31" s="852">
        <v>-0.309</v>
      </c>
      <c r="C31" s="340">
        <v>-2.13</v>
      </c>
      <c r="D31" s="536">
        <f>IF(B31=0, "    ---- ", IF(ABS(ROUND(100/B31*C31-100,1))&lt;999,ROUND(100/B31*C31-100,1),IF(ROUND(100/B31*C31-100,1)&gt;999,999,-999)))</f>
        <v>589.29999999999995</v>
      </c>
      <c r="E31" s="852">
        <v>-17</v>
      </c>
      <c r="F31" s="340">
        <v>-16.2</v>
      </c>
      <c r="G31" s="536"/>
      <c r="H31" s="852">
        <v>-1355.318</v>
      </c>
      <c r="I31" s="340">
        <v>-545.76139216000001</v>
      </c>
      <c r="J31" s="536">
        <f>IF(H31=0, "    ---- ", IF(ABS(ROUND(100/H31*I31-100,1))&lt;999,ROUND(100/H31*I31-100,1),IF(ROUND(100/H31*I31-100,1)&gt;999,999,-999)))</f>
        <v>-59.7</v>
      </c>
      <c r="K31" s="340"/>
      <c r="L31" s="340"/>
      <c r="M31" s="536"/>
      <c r="N31" s="852"/>
      <c r="O31" s="340"/>
      <c r="P31" s="536"/>
      <c r="Q31" s="852">
        <v>-26</v>
      </c>
      <c r="R31" s="340">
        <v>-1.7</v>
      </c>
      <c r="S31" s="536">
        <f t="shared" si="20"/>
        <v>-93.5</v>
      </c>
      <c r="T31" s="852"/>
      <c r="U31" s="340"/>
      <c r="V31" s="536"/>
      <c r="W31" s="852">
        <v>-10840.900150200001</v>
      </c>
      <c r="X31" s="340">
        <v>-4111.4854808199998</v>
      </c>
      <c r="Y31" s="536">
        <f>IF(W31=0, "    ---- ", IF(ABS(ROUND(100/W31*X31-100,1))&lt;999,ROUND(100/W31*X31-100,1),IF(ROUND(100/W31*X31-100,1)&gt;999,999,-999)))</f>
        <v>-62.1</v>
      </c>
      <c r="Z31" s="852">
        <v>-103</v>
      </c>
      <c r="AA31" s="340">
        <v>-119</v>
      </c>
      <c r="AB31" s="536">
        <f>IF(Z31=0, "    ---- ", IF(ABS(ROUND(100/Z31*AA31-100,1))&lt;999,ROUND(100/Z31*AA31-100,1),IF(ROUND(100/Z31*AA31-100,1)&gt;999,999,-999)))</f>
        <v>15.5</v>
      </c>
      <c r="AC31" s="852">
        <v>-309</v>
      </c>
      <c r="AD31" s="340">
        <f>-70-3694-1</f>
        <v>-3765</v>
      </c>
      <c r="AE31" s="536">
        <f>IF(AC31=0, "    ---- ", IF(ABS(ROUND(100/AC31*AD31-100,1))&lt;999,ROUND(100/AC31*AD31-100,1),IF(ROUND(100/AC31*AD31-100,1)&gt;999,999,-999)))</f>
        <v>999</v>
      </c>
      <c r="AF31" s="852"/>
      <c r="AG31" s="340"/>
      <c r="AH31" s="536"/>
      <c r="AI31" s="852">
        <v>-615.51485011</v>
      </c>
      <c r="AJ31" s="340">
        <v>-108.96472562000001</v>
      </c>
      <c r="AK31" s="536">
        <f>IF(AI31=0, "    ---- ", IF(ABS(ROUND(100/AI31*AJ31-100,1))&lt;999,ROUND(100/AI31*AJ31-100,1),IF(ROUND(100/AI31*AJ31-100,1)&gt;999,999,-999)))</f>
        <v>-82.3</v>
      </c>
      <c r="AL31" s="852">
        <v>-438</v>
      </c>
      <c r="AM31" s="340">
        <v>-705</v>
      </c>
      <c r="AN31" s="536">
        <f>IF(AL31=0, "    ---- ", IF(ABS(ROUND(100/AL31*AM31-100,1))&lt;999,ROUND(100/AL31*AM31-100,1),IF(ROUND(100/AL31*AM31-100,1)&gt;999,999,-999)))</f>
        <v>61</v>
      </c>
      <c r="AO31" s="536">
        <f t="shared" si="26"/>
        <v>-13705.042000310001</v>
      </c>
      <c r="AP31" s="536">
        <f t="shared" si="27"/>
        <v>-9375.2415986000015</v>
      </c>
      <c r="AQ31" s="536">
        <f t="shared" si="13"/>
        <v>-31.6</v>
      </c>
      <c r="AR31" s="536"/>
      <c r="AS31" s="536"/>
      <c r="AT31" s="536"/>
    </row>
    <row r="32" spans="1:46" s="511" customFormat="1" ht="18.75" customHeight="1" x14ac:dyDescent="0.3">
      <c r="A32" s="534" t="s">
        <v>309</v>
      </c>
      <c r="B32" s="852">
        <v>-207.57499999999999</v>
      </c>
      <c r="C32" s="340">
        <v>-242.429</v>
      </c>
      <c r="D32" s="536">
        <f>IF(B32=0, "    ---- ", IF(ABS(ROUND(100/B32*C32-100,1))&lt;999,ROUND(100/B32*C32-100,1),IF(ROUND(100/B32*C32-100,1)&gt;999,999,-999)))</f>
        <v>16.8</v>
      </c>
      <c r="E32" s="852">
        <v>-70.3</v>
      </c>
      <c r="F32" s="340">
        <v>-86.7</v>
      </c>
      <c r="G32" s="536">
        <f>IF(E32=0, "    ---- ", IF(ABS(ROUND(100/E32*F32-100,1))&lt;999,ROUND(100/E32*F32-100,1),IF(ROUND(100/E32*F32-100,1)&gt;999,999,-999)))</f>
        <v>23.3</v>
      </c>
      <c r="H32" s="852">
        <v>-1265.009</v>
      </c>
      <c r="I32" s="340">
        <v>-1044.81760863</v>
      </c>
      <c r="J32" s="536">
        <f>IF(H32=0, "    ---- ", IF(ABS(ROUND(100/H32*I32-100,1))&lt;999,ROUND(100/H32*I32-100,1),IF(ROUND(100/H32*I32-100,1)&gt;999,999,-999)))</f>
        <v>-17.399999999999999</v>
      </c>
      <c r="K32" s="340"/>
      <c r="L32" s="340">
        <v>-876.10639155999991</v>
      </c>
      <c r="M32" s="536" t="str">
        <f>IF(K32=0, "    ---- ", IF(ABS(ROUND(100/K32*L32-100,1))&lt;999,ROUND(100/K32*L32-100,1),IF(ROUND(100/K32*L32-100,1)&gt;999,999,-999)))</f>
        <v xml:space="preserve">    ---- </v>
      </c>
      <c r="N32" s="852">
        <v>-273.52300000000002</v>
      </c>
      <c r="O32" s="340">
        <v>-282.60199999999998</v>
      </c>
      <c r="P32" s="536">
        <f>IF(N32=0, "    ---- ", IF(ABS(ROUND(100/N32*O32-100,1))&lt;999,ROUND(100/N32*O32-100,1),IF(ROUND(100/N32*O32-100,1)&gt;999,999,-999)))</f>
        <v>3.3</v>
      </c>
      <c r="Q32" s="852">
        <v>-275.60000000000002</v>
      </c>
      <c r="R32" s="340">
        <v>-291.10000000000002</v>
      </c>
      <c r="S32" s="536">
        <f>IF(Q32=0, "    ---- ", IF(ABS(ROUND(100/Q32*R32-100,1))&lt;999,ROUND(100/Q32*R32-100,1),IF(ROUND(100/Q32*R32-100,1)&gt;999,999,-999)))</f>
        <v>5.6</v>
      </c>
      <c r="T32" s="852">
        <v>-9.8598541300000004</v>
      </c>
      <c r="U32" s="340">
        <v>-10.49361519</v>
      </c>
      <c r="V32" s="536">
        <f>IF(T32=0, "    ---- ", IF(ABS(ROUND(100/T32*U32-100,1))&lt;999,ROUND(100/T32*U32-100,1),IF(ROUND(100/T32*U32-100,1)&gt;999,999,-999)))</f>
        <v>6.4</v>
      </c>
      <c r="W32" s="852">
        <v>-1129.0813230599999</v>
      </c>
      <c r="X32" s="340">
        <v>-1171.6308235699998</v>
      </c>
      <c r="Y32" s="536">
        <f>IF(W32=0, "    ---- ", IF(ABS(ROUND(100/W32*X32-100,1))&lt;999,ROUND(100/W32*X32-100,1),IF(ROUND(100/W32*X32-100,1)&gt;999,999,-999)))</f>
        <v>3.8</v>
      </c>
      <c r="Z32" s="852">
        <v>-666</v>
      </c>
      <c r="AA32" s="340">
        <v>-646</v>
      </c>
      <c r="AB32" s="536">
        <f>IF(Z32=0, "    ---- ", IF(ABS(ROUND(100/Z32*AA32-100,1))&lt;999,ROUND(100/Z32*AA32-100,1),IF(ROUND(100/Z32*AA32-100,1)&gt;999,999,-999)))</f>
        <v>-3</v>
      </c>
      <c r="AC32" s="852">
        <v>-165</v>
      </c>
      <c r="AD32" s="340">
        <v>-202</v>
      </c>
      <c r="AE32" s="536">
        <f>IF(AC32=0, "    ---- ", IF(ABS(ROUND(100/AC32*AD32-100,1))&lt;999,ROUND(100/AC32*AD32-100,1),IF(ROUND(100/AC32*AD32-100,1)&gt;999,999,-999)))</f>
        <v>22.4</v>
      </c>
      <c r="AF32" s="852">
        <v>2.8598383100000002</v>
      </c>
      <c r="AG32" s="340">
        <v>6.2284213300000104</v>
      </c>
      <c r="AH32" s="536">
        <f>IF(AF32=0, "    ---- ", IF(ABS(ROUND(100/AF32*AG32-100,1))&lt;999,ROUND(100/AF32*AG32-100,1),IF(ROUND(100/AF32*AG32-100,1)&gt;999,999,-999)))</f>
        <v>117.8</v>
      </c>
      <c r="AI32" s="852">
        <v>-1115.9861599770002</v>
      </c>
      <c r="AJ32" s="340">
        <v>-612.14451278000001</v>
      </c>
      <c r="AK32" s="536">
        <f>IF(AI32=0, "    ---- ", IF(ABS(ROUND(100/AI32*AJ32-100,1))&lt;999,ROUND(100/AI32*AJ32-100,1),IF(ROUND(100/AI32*AJ32-100,1)&gt;999,999,-999)))</f>
        <v>-45.1</v>
      </c>
      <c r="AL32" s="852">
        <v>-1509</v>
      </c>
      <c r="AM32" s="340">
        <v>-1362</v>
      </c>
      <c r="AN32" s="536">
        <f>IF(AL32=0, "    ---- ", IF(ABS(ROUND(100/AL32*AM32-100,1))&lt;999,ROUND(100/AL32*AM32-100,1),IF(ROUND(100/AL32*AM32-100,1)&gt;999,999,-999)))</f>
        <v>-9.6999999999999993</v>
      </c>
      <c r="AO32" s="536">
        <f t="shared" si="26"/>
        <v>-6677.0744830370004</v>
      </c>
      <c r="AP32" s="536">
        <f t="shared" si="27"/>
        <v>-6817.5303365399996</v>
      </c>
      <c r="AQ32" s="536">
        <f t="shared" si="13"/>
        <v>2.1</v>
      </c>
      <c r="AR32" s="536"/>
      <c r="AS32" s="536"/>
      <c r="AT32" s="536"/>
    </row>
    <row r="33" spans="1:46" s="548" customFormat="1" ht="18.75" customHeight="1" x14ac:dyDescent="0.3">
      <c r="A33" s="534" t="s">
        <v>310</v>
      </c>
      <c r="B33" s="196"/>
      <c r="C33" s="449"/>
      <c r="D33" s="540"/>
      <c r="E33" s="196">
        <v>-8.4</v>
      </c>
      <c r="F33" s="449">
        <v>-13.8</v>
      </c>
      <c r="G33" s="540">
        <f>IF(E33=0, "    ---- ", IF(ABS(ROUND(100/E33*F33-100,1))&lt;999,ROUND(100/E33*F33-100,1),IF(ROUND(100/E33*F33-100,1)&gt;999,999,-999)))</f>
        <v>64.3</v>
      </c>
      <c r="H33" s="196">
        <v>-70.33</v>
      </c>
      <c r="I33" s="449">
        <f>-22.10179996-13.946</f>
        <v>-36.047799959999999</v>
      </c>
      <c r="J33" s="540">
        <f>IF(H33=0, "    ---- ", IF(ABS(ROUND(100/H33*I33-100,1))&lt;999,ROUND(100/H33*I33-100,1),IF(ROUND(100/H33*I33-100,1)&gt;999,999,-999)))</f>
        <v>-48.7</v>
      </c>
      <c r="K33" s="449"/>
      <c r="L33" s="449">
        <v>-13.875374219999998</v>
      </c>
      <c r="M33" s="540"/>
      <c r="N33" s="196"/>
      <c r="O33" s="449"/>
      <c r="P33" s="540"/>
      <c r="Q33" s="196"/>
      <c r="R33" s="449"/>
      <c r="S33" s="540"/>
      <c r="T33" s="196"/>
      <c r="U33" s="449"/>
      <c r="V33" s="540"/>
      <c r="W33" s="852">
        <v>-1118.9196460000001</v>
      </c>
      <c r="X33" s="449">
        <v>-1205.7581</v>
      </c>
      <c r="Y33" s="540">
        <f>IF(W33=0, "    ---- ", IF(ABS(ROUND(100/W33*X33-100,1))&lt;999,ROUND(100/W33*X33-100,1),IF(ROUND(100/W33*X33-100,1)&gt;999,999,-999)))</f>
        <v>7.8</v>
      </c>
      <c r="Z33" s="196">
        <v>-35.486992289999996</v>
      </c>
      <c r="AA33" s="449">
        <v>-60.56</v>
      </c>
      <c r="AB33" s="540">
        <f>IF(Z33=0, "    ---- ", IF(ABS(ROUND(100/Z33*AA33-100,1))&lt;999,ROUND(100/Z33*AA33-100,1),IF(ROUND(100/Z33*AA33-100,1)&gt;999,999,-999)))</f>
        <v>70.7</v>
      </c>
      <c r="AC33" s="196"/>
      <c r="AD33" s="449"/>
      <c r="AE33" s="540"/>
      <c r="AF33" s="196"/>
      <c r="AG33" s="449"/>
      <c r="AH33" s="540"/>
      <c r="AI33" s="196">
        <v>-8.1817872799999947</v>
      </c>
      <c r="AJ33" s="449">
        <v>-0.66995852</v>
      </c>
      <c r="AK33" s="540">
        <f>IF(AI33=0, "    ---- ", IF(ABS(ROUND(100/AI33*AJ33-100,1))&lt;999,ROUND(100/AI33*AJ33-100,1),IF(ROUND(100/AI33*AJ33-100,1)&gt;999,999,-999)))</f>
        <v>-91.8</v>
      </c>
      <c r="AL33" s="196">
        <v>-368</v>
      </c>
      <c r="AM33" s="449">
        <v>-247</v>
      </c>
      <c r="AN33" s="540">
        <f>IF(AL33=0, "    ---- ", IF(ABS(ROUND(100/AL33*AM33-100,1))&lt;999,ROUND(100/AL33*AM33-100,1),IF(ROUND(100/AL33*AM33-100,1)&gt;999,999,-999)))</f>
        <v>-32.9</v>
      </c>
      <c r="AO33" s="536">
        <f t="shared" si="26"/>
        <v>-1609.31842557</v>
      </c>
      <c r="AP33" s="536">
        <f t="shared" si="27"/>
        <v>-1577.7112326999998</v>
      </c>
      <c r="AQ33" s="540">
        <f t="shared" si="13"/>
        <v>-2</v>
      </c>
      <c r="AR33" s="540"/>
      <c r="AS33" s="540"/>
      <c r="AT33" s="540"/>
    </row>
    <row r="34" spans="1:46" s="551" customFormat="1" ht="18.75" customHeight="1" x14ac:dyDescent="0.3">
      <c r="A34" s="549" t="s">
        <v>311</v>
      </c>
      <c r="B34" s="199">
        <f>SUM(B14+B15+B16+B17+B21+B29+B30+B31+B32+B33)</f>
        <v>162.17999999999893</v>
      </c>
      <c r="C34" s="455">
        <f>SUM(C14+C15+C16+C17+C21+C29+C30+C31+C32+C33)</f>
        <v>104.2190000000007</v>
      </c>
      <c r="D34" s="550">
        <f>IF(B34=0, "    ---- ", IF(ABS(ROUND(100/B34*C34-100,1))&lt;999,ROUND(100/B34*C34-100,1),IF(ROUND(100/B34*C34-100,1)&gt;999,999,-999)))</f>
        <v>-35.700000000000003</v>
      </c>
      <c r="E34" s="199">
        <f>SUM(E14+E15+E16+E17+E21+E29+E30+E31+E32+E33)</f>
        <v>-27.400000000000041</v>
      </c>
      <c r="F34" s="455">
        <f>SUM(F14+F15+F16+F17+F21+F29+F30+F31+F32+F33)</f>
        <v>-59.600000000000094</v>
      </c>
      <c r="G34" s="550">
        <f>IF(E34=0, "    ---- ", IF(ABS(ROUND(100/E34*F34-100,1))&lt;999,ROUND(100/E34*F34-100,1),IF(ROUND(100/E34*F34-100,1)&gt;999,999,-999)))</f>
        <v>117.5</v>
      </c>
      <c r="H34" s="199">
        <f>SUM(H14+H15+H16+H17+H21+H29+H30+H31+H32+H33)</f>
        <v>1218.8619999999964</v>
      </c>
      <c r="I34" s="455">
        <f>SUM(I14+I15+I16+I17+I21+I29+I30+I31+I32+I33)</f>
        <v>1031.5396888500056</v>
      </c>
      <c r="J34" s="550">
        <f>IF(H34=0, "    ---- ", IF(ABS(ROUND(100/H34*I34-100,1))&lt;999,ROUND(100/H34*I34-100,1),IF(ROUND(100/H34*I34-100,1)&gt;999,999,-999)))</f>
        <v>-15.4</v>
      </c>
      <c r="K34" s="455"/>
      <c r="L34" s="455">
        <f>SUM(L14+L15+L16+L17+L21+L29+L30+L31+L32+L33)</f>
        <v>181.74660287999998</v>
      </c>
      <c r="M34" s="550" t="str">
        <f>IF(K34=0, "    ---- ", IF(ABS(ROUND(100/K34*L34-100,1))&lt;999,ROUND(100/K34*L34-100,1),IF(ROUND(100/K34*L34-100,1)&gt;999,999,-999)))</f>
        <v xml:space="preserve">    ---- </v>
      </c>
      <c r="N34" s="199">
        <f>SUM(N14+N15+N16+N17+N21+N29+N30+N31+N32+N33)</f>
        <v>141.96699999999998</v>
      </c>
      <c r="O34" s="455">
        <f>SUM(O14+O15+O16+O17+O21+O29+O30+O31+O32+O33)</f>
        <v>329.32200000000046</v>
      </c>
      <c r="P34" s="550">
        <f>IF(N34=0, "    ---- ", IF(ABS(ROUND(100/N34*O34-100,1))&lt;999,ROUND(100/N34*O34-100,1),IF(ROUND(100/N34*O34-100,1)&gt;999,999,-999)))</f>
        <v>132</v>
      </c>
      <c r="Q34" s="199">
        <f>SUM(Q14+Q15+Q16+Q17+Q21+Q29+Q30+Q31+Q32+Q33)</f>
        <v>192.50000000000125</v>
      </c>
      <c r="R34" s="455">
        <f>SUM(R14+R15+R16+R17+R21+R29+R30+R31+R32+R33)</f>
        <v>160.59999999999872</v>
      </c>
      <c r="S34" s="550">
        <f>IF(Q34=0, "    ---- ", IF(ABS(ROUND(100/Q34*R34-100,1))&lt;999,ROUND(100/Q34*R34-100,1),IF(ROUND(100/Q34*R34-100,1)&gt;999,999,-999)))</f>
        <v>-16.600000000000001</v>
      </c>
      <c r="T34" s="199">
        <f>SUM(T14+T15+T16+T17+T21+T29+T30+T31+T32+T33)</f>
        <v>3.4587879799999985</v>
      </c>
      <c r="U34" s="455">
        <f>SUM(U14+U15+U16+U17+U21+U29+U30+U31+U32+U33)</f>
        <v>12.512394869999998</v>
      </c>
      <c r="V34" s="550">
        <f>IF(T34=0, "    ---- ", IF(ABS(ROUND(100/T34*U34-100,1))&lt;999,ROUND(100/T34*U34-100,1),IF(ROUND(100/T34*U34-100,1)&gt;999,999,-999)))</f>
        <v>261.8</v>
      </c>
      <c r="W34" s="199">
        <f>SUM(W14+W15+W16+W17+W21+W29+W30+W31+W32+W33)</f>
        <v>1469.7094998599971</v>
      </c>
      <c r="X34" s="455">
        <v>526.34686674000386</v>
      </c>
      <c r="Y34" s="550">
        <f>IF(W34=0, "    ---- ", IF(ABS(ROUND(100/W34*X34-100,1))&lt;999,ROUND(100/W34*X34-100,1),IF(ROUND(100/W34*X34-100,1)&gt;999,999,-999)))</f>
        <v>-64.2</v>
      </c>
      <c r="Z34" s="199">
        <f>SUM(Z14+Z15+Z16+Z17+Z21+Z29+Z30+Z31+Z32+Z33)</f>
        <v>618.51300771000001</v>
      </c>
      <c r="AA34" s="455">
        <f>SUM(AA14+AA15+AA16+AA17+AA21+AA29+AA30+AA31+AA32+AA33)</f>
        <v>663.64000000000078</v>
      </c>
      <c r="AB34" s="550">
        <f>IF(Z34=0, "    ---- ", IF(ABS(ROUND(100/Z34*AA34-100,1))&lt;999,ROUND(100/Z34*AA34-100,1),IF(ROUND(100/Z34*AA34-100,1)&gt;999,999,-999)))</f>
        <v>7.3</v>
      </c>
      <c r="AC34" s="199">
        <f>SUM(AC14+AC15+AC16+AC17+AC21+AC29+AC30+AC31+AC32+AC33)</f>
        <v>468</v>
      </c>
      <c r="AD34" s="455">
        <f>SUM(AD14+AD15+AD16+AD17+AD21+AD29+AD30+AD31+AD32+AD33)</f>
        <v>643</v>
      </c>
      <c r="AE34" s="550">
        <f>IF(AC34=0, "    ---- ", IF(ABS(ROUND(100/AC34*AD34-100,1))&lt;999,ROUND(100/AC34*AD34-100,1),IF(ROUND(100/AC34*AD34-100,1)&gt;999,999,-999)))</f>
        <v>37.4</v>
      </c>
      <c r="AF34" s="199">
        <f>SUM(AF14+AF15+AF16+AF17+AF21+AF29+AF30+AF31+AF32+AF33)</f>
        <v>12.583274640000027</v>
      </c>
      <c r="AG34" s="455">
        <f>SUM(AG14+AG15+AG16+AG17+AG21+AG29+AG30+AG31+AG32+AG33)</f>
        <v>16.049838239999936</v>
      </c>
      <c r="AH34" s="550">
        <f>IF(AF34=0, "    ---- ", IF(ABS(ROUND(100/AF34*AG34-100,1))&lt;999,ROUND(100/AF34*AG34-100,1),IF(ROUND(100/AF34*AG34-100,1)&gt;999,999,-999)))</f>
        <v>27.5</v>
      </c>
      <c r="AI34" s="199">
        <f>SUM(AI14+AI15+AI16+AI17+AI21+AI29+AI30+AI31+AI32+AI33)</f>
        <v>381.00782609300632</v>
      </c>
      <c r="AJ34" s="455">
        <f>SUM(AJ14+AJ15+AJ16+AJ17+AJ21+AJ29+AJ30+AJ31+AJ32+AJ33)</f>
        <v>90.879699570001122</v>
      </c>
      <c r="AK34" s="550">
        <f>IF(AI34=0, "    ---- ", IF(ABS(ROUND(100/AI34*AJ34-100,1))&lt;999,ROUND(100/AI34*AJ34-100,1),IF(ROUND(100/AI34*AJ34-100,1)&gt;999,999,-999)))</f>
        <v>-76.099999999999994</v>
      </c>
      <c r="AL34" s="199">
        <f>SUM(AL14+AL15+AL16+AL17+AL21+AL29+AL30+AL31+AL32+AL33)</f>
        <v>1180.2000000000044</v>
      </c>
      <c r="AM34" s="455">
        <f>SUM(AM14+AM15+AM16+AM17+AM21+AM29+AM30+AM31+AM32+AM33)</f>
        <v>808</v>
      </c>
      <c r="AN34" s="550">
        <f>IF(AL34=0, "    ---- ", IF(ABS(ROUND(100/AL34*AM34-100,1))&lt;999,ROUND(100/AL34*AM34-100,1),IF(ROUND(100/AL34*AM34-100,1)&gt;999,999,-999)))</f>
        <v>-31.5</v>
      </c>
      <c r="AO34" s="550">
        <f t="shared" si="26"/>
        <v>5805.5393336630041</v>
      </c>
      <c r="AP34" s="550">
        <f t="shared" si="27"/>
        <v>4479.6938580400119</v>
      </c>
      <c r="AQ34" s="550">
        <f t="shared" si="13"/>
        <v>-22.8</v>
      </c>
      <c r="AR34" s="550"/>
      <c r="AS34" s="550"/>
      <c r="AT34" s="550"/>
    </row>
    <row r="35" spans="1:46" s="551" customFormat="1" ht="18.75" customHeight="1" x14ac:dyDescent="0.3">
      <c r="A35" s="552"/>
      <c r="B35" s="871"/>
      <c r="C35" s="553"/>
      <c r="D35" s="554"/>
      <c r="E35" s="871"/>
      <c r="F35" s="553"/>
      <c r="G35" s="554"/>
      <c r="H35" s="871"/>
      <c r="I35" s="553"/>
      <c r="J35" s="554"/>
      <c r="K35" s="553"/>
      <c r="L35" s="553"/>
      <c r="M35" s="554"/>
      <c r="N35" s="871"/>
      <c r="O35" s="553"/>
      <c r="P35" s="554"/>
      <c r="Q35" s="871"/>
      <c r="R35" s="553"/>
      <c r="S35" s="554"/>
      <c r="T35" s="871"/>
      <c r="U35" s="553"/>
      <c r="V35" s="554"/>
      <c r="W35" s="871"/>
      <c r="X35" s="553"/>
      <c r="Y35" s="554"/>
      <c r="Z35" s="871"/>
      <c r="AA35" s="553"/>
      <c r="AB35" s="554"/>
      <c r="AC35" s="871"/>
      <c r="AD35" s="553"/>
      <c r="AE35" s="554"/>
      <c r="AF35" s="871"/>
      <c r="AG35" s="553"/>
      <c r="AH35" s="554"/>
      <c r="AI35" s="871"/>
      <c r="AJ35" s="553"/>
      <c r="AK35" s="555"/>
      <c r="AL35" s="871"/>
      <c r="AM35" s="553"/>
      <c r="AN35" s="555"/>
      <c r="AO35" s="555"/>
      <c r="AP35" s="555"/>
      <c r="AQ35" s="555"/>
      <c r="AR35" s="556"/>
      <c r="AS35" s="557"/>
      <c r="AT35" s="558"/>
    </row>
    <row r="36" spans="1:46" s="551" customFormat="1" ht="18.75" customHeight="1" x14ac:dyDescent="0.3">
      <c r="A36" s="526" t="s">
        <v>312</v>
      </c>
      <c r="B36" s="871"/>
      <c r="C36" s="553"/>
      <c r="D36" s="554"/>
      <c r="E36" s="871"/>
      <c r="F36" s="553"/>
      <c r="G36" s="554"/>
      <c r="H36" s="871"/>
      <c r="I36" s="553"/>
      <c r="J36" s="554"/>
      <c r="K36" s="553"/>
      <c r="L36" s="553"/>
      <c r="M36" s="554"/>
      <c r="N36" s="871"/>
      <c r="O36" s="553"/>
      <c r="P36" s="554"/>
      <c r="Q36" s="871"/>
      <c r="R36" s="553"/>
      <c r="S36" s="554"/>
      <c r="T36" s="871"/>
      <c r="U36" s="553"/>
      <c r="V36" s="554"/>
      <c r="W36" s="871"/>
      <c r="X36" s="553"/>
      <c r="Y36" s="554"/>
      <c r="Z36" s="871"/>
      <c r="AA36" s="553"/>
      <c r="AB36" s="554"/>
      <c r="AC36" s="871"/>
      <c r="AD36" s="553"/>
      <c r="AE36" s="554"/>
      <c r="AF36" s="871"/>
      <c r="AG36" s="553"/>
      <c r="AH36" s="554"/>
      <c r="AI36" s="871"/>
      <c r="AJ36" s="553"/>
      <c r="AK36" s="554"/>
      <c r="AL36" s="871"/>
      <c r="AM36" s="553"/>
      <c r="AN36" s="554"/>
      <c r="AO36" s="554"/>
      <c r="AP36" s="554"/>
      <c r="AQ36" s="554"/>
      <c r="AR36" s="559"/>
      <c r="AS36" s="560"/>
      <c r="AT36" s="561"/>
    </row>
    <row r="37" spans="1:46" s="563" customFormat="1" ht="18.75" customHeight="1" x14ac:dyDescent="0.3">
      <c r="A37" s="534" t="s">
        <v>313</v>
      </c>
      <c r="B37" s="872">
        <v>12.04</v>
      </c>
      <c r="C37" s="537">
        <v>23.067</v>
      </c>
      <c r="D37" s="536">
        <f t="shared" ref="D37:D43" si="28">IF(B37=0, "    ---- ", IF(ABS(ROUND(100/B37*C37-100,1))&lt;999,ROUND(100/B37*C37-100,1),IF(ROUND(100/B37*C37-100,1)&gt;999,999,-999)))</f>
        <v>91.6</v>
      </c>
      <c r="E37" s="872">
        <v>14.9</v>
      </c>
      <c r="F37" s="537">
        <v>13</v>
      </c>
      <c r="G37" s="536">
        <f t="shared" ref="G37:G44" si="29">IF(E37=0, "    ---- ", IF(ABS(ROUND(100/E37*F37-100,1))&lt;999,ROUND(100/E37*F37-100,1),IF(ROUND(100/E37*F37-100,1)&gt;999,999,-999)))</f>
        <v>-12.8</v>
      </c>
      <c r="H37" s="872">
        <v>934.16499999999996</v>
      </c>
      <c r="I37" s="537">
        <v>838.32301487999996</v>
      </c>
      <c r="J37" s="536">
        <f t="shared" ref="J37:J44" si="30">IF(H37=0, "    ---- ", IF(ABS(ROUND(100/H37*I37-100,1))&lt;999,ROUND(100/H37*I37-100,1),IF(ROUND(100/H37*I37-100,1)&gt;999,999,-999)))</f>
        <v>-10.3</v>
      </c>
      <c r="K37" s="537"/>
      <c r="L37" s="537">
        <v>24.944283530000003</v>
      </c>
      <c r="M37" s="536" t="str">
        <f t="shared" ref="M37:M43" si="31">IF(K37=0, "    ---- ", IF(ABS(ROUND(100/K37*L37-100,1))&lt;999,ROUND(100/K37*L37-100,1),IF(ROUND(100/K37*L37-100,1)&gt;999,999,-999)))</f>
        <v xml:space="preserve">    ---- </v>
      </c>
      <c r="N37" s="872">
        <v>15.965</v>
      </c>
      <c r="O37" s="537">
        <v>25.984999999999999</v>
      </c>
      <c r="P37" s="536">
        <f t="shared" ref="P37:P43" si="32">IF(N37=0, "    ---- ", IF(ABS(ROUND(100/N37*O37-100,1))&lt;999,ROUND(100/N37*O37-100,1),IF(ROUND(100/N37*O37-100,1)&gt;999,999,-999)))</f>
        <v>62.8</v>
      </c>
      <c r="Q37" s="872">
        <v>17.7</v>
      </c>
      <c r="R37" s="537">
        <v>18</v>
      </c>
      <c r="S37" s="536">
        <f t="shared" ref="S37:S44" si="33">IF(Q37=0, "    ---- ", IF(ABS(ROUND(100/Q37*R37-100,1))&lt;999,ROUND(100/Q37*R37-100,1),IF(ROUND(100/Q37*R37-100,1)&gt;999,999,-999)))</f>
        <v>1.7</v>
      </c>
      <c r="T37" s="872">
        <v>2.3202096800000001</v>
      </c>
      <c r="U37" s="537">
        <v>1.61268414</v>
      </c>
      <c r="V37" s="536">
        <f t="shared" ref="V37:V43" si="34">IF(T37=0, "    ---- ", IF(ABS(ROUND(100/T37*U37-100,1))&lt;999,ROUND(100/T37*U37-100,1),IF(ROUND(100/T37*U37-100,1)&gt;999,999,-999)))</f>
        <v>-30.5</v>
      </c>
      <c r="W37" s="852">
        <v>1524.9987356600002</v>
      </c>
      <c r="X37" s="537">
        <v>1456.5574816800001</v>
      </c>
      <c r="Y37" s="536">
        <f t="shared" ref="Y37:Y44" si="35">IF(W37=0, "    ---- ", IF(ABS(ROUND(100/W37*X37-100,1))&lt;999,ROUND(100/W37*X37-100,1),IF(ROUND(100/W37*X37-100,1)&gt;999,999,-999)))</f>
        <v>-4.5</v>
      </c>
      <c r="Z37" s="872">
        <v>136</v>
      </c>
      <c r="AA37" s="537">
        <v>216.44</v>
      </c>
      <c r="AB37" s="536">
        <f t="shared" ref="AB37:AB44" si="36">IF(Z37=0, "    ---- ", IF(ABS(ROUND(100/Z37*AA37-100,1))&lt;999,ROUND(100/Z37*AA37-100,1),IF(ROUND(100/Z37*AA37-100,1)&gt;999,999,-999)))</f>
        <v>59.1</v>
      </c>
      <c r="AC37" s="872">
        <v>636</v>
      </c>
      <c r="AD37" s="537">
        <v>578</v>
      </c>
      <c r="AE37" s="536">
        <f t="shared" ref="AE37:AE43" si="37">IF(AC37=0, "    ---- ", IF(ABS(ROUND(100/AC37*AD37-100,1))&lt;999,ROUND(100/AC37*AD37-100,1),IF(ROUND(100/AC37*AD37-100,1)&gt;999,999,-999)))</f>
        <v>-9.1</v>
      </c>
      <c r="AF37" s="872">
        <v>0.99284868000000004</v>
      </c>
      <c r="AG37" s="537">
        <v>4.4722400000000002E-2</v>
      </c>
      <c r="AH37" s="536"/>
      <c r="AI37" s="872">
        <v>706.87449985000001</v>
      </c>
      <c r="AJ37" s="537">
        <v>237.64465351000004</v>
      </c>
      <c r="AK37" s="536">
        <f t="shared" ref="AK37:AK44" si="38">IF(AI37=0, "    ---- ", IF(ABS(ROUND(100/AI37*AJ37-100,1))&lt;999,ROUND(100/AI37*AJ37-100,1),IF(ROUND(100/AI37*AJ37-100,1)&gt;999,999,-999)))</f>
        <v>-66.400000000000006</v>
      </c>
      <c r="AL37" s="872">
        <v>1394</v>
      </c>
      <c r="AM37" s="537">
        <v>989</v>
      </c>
      <c r="AN37" s="536">
        <f t="shared" ref="AN37:AN44" si="39">IF(AL37=0, "    ---- ", IF(ABS(ROUND(100/AL37*AM37-100,1))&lt;999,ROUND(100/AL37*AM37-100,1),IF(ROUND(100/AL37*AM37-100,1)&gt;999,999,-999)))</f>
        <v>-29.1</v>
      </c>
      <c r="AO37" s="536">
        <f t="shared" ref="AO37:AO45" si="40">B37+H37+K37+N37+Q37+W37+E37+Z37+AC37+AI37+AL37</f>
        <v>5392.6432355100005</v>
      </c>
      <c r="AP37" s="536">
        <f t="shared" ref="AP37:AP45" si="41">C37+I37+L37+O37+R37+X37+F37+AA37+AD37+AJ37+AM37</f>
        <v>4420.9614335999995</v>
      </c>
      <c r="AQ37" s="536">
        <f t="shared" si="13"/>
        <v>-18</v>
      </c>
      <c r="AR37" s="539"/>
      <c r="AS37" s="562"/>
      <c r="AT37" s="541"/>
    </row>
    <row r="38" spans="1:46" s="563" customFormat="1" ht="18.75" customHeight="1" x14ac:dyDescent="0.3">
      <c r="A38" s="534" t="s">
        <v>314</v>
      </c>
      <c r="B38" s="872"/>
      <c r="C38" s="537"/>
      <c r="D38" s="536"/>
      <c r="E38" s="872">
        <v>5.2</v>
      </c>
      <c r="F38" s="537">
        <v>5.4</v>
      </c>
      <c r="G38" s="536">
        <f t="shared" si="29"/>
        <v>3.8</v>
      </c>
      <c r="H38" s="872">
        <v>12.528</v>
      </c>
      <c r="I38" s="537">
        <v>1278.6659534599999</v>
      </c>
      <c r="J38" s="536">
        <f t="shared" si="30"/>
        <v>999</v>
      </c>
      <c r="K38" s="537"/>
      <c r="L38" s="537"/>
      <c r="M38" s="536" t="str">
        <f t="shared" si="31"/>
        <v xml:space="preserve">    ---- </v>
      </c>
      <c r="N38" s="872">
        <v>5.3999999999999999E-2</v>
      </c>
      <c r="O38" s="537">
        <v>5.3999999999999999E-2</v>
      </c>
      <c r="P38" s="536">
        <f t="shared" si="32"/>
        <v>0</v>
      </c>
      <c r="Q38" s="872"/>
      <c r="R38" s="537"/>
      <c r="S38" s="536" t="str">
        <f t="shared" si="33"/>
        <v xml:space="preserve">    ---- </v>
      </c>
      <c r="T38" s="872"/>
      <c r="U38" s="537"/>
      <c r="V38" s="536"/>
      <c r="W38" s="852">
        <v>15.854324160000001</v>
      </c>
      <c r="X38" s="537">
        <v>18.166457999999999</v>
      </c>
      <c r="Y38" s="536">
        <f t="shared" si="35"/>
        <v>14.6</v>
      </c>
      <c r="Z38" s="872">
        <v>7</v>
      </c>
      <c r="AA38" s="537">
        <v>2</v>
      </c>
      <c r="AB38" s="536">
        <f t="shared" si="36"/>
        <v>-71.400000000000006</v>
      </c>
      <c r="AC38" s="872">
        <v>11</v>
      </c>
      <c r="AD38" s="537">
        <v>7</v>
      </c>
      <c r="AE38" s="536">
        <f t="shared" si="37"/>
        <v>-36.4</v>
      </c>
      <c r="AF38" s="872"/>
      <c r="AG38" s="537"/>
      <c r="AH38" s="536"/>
      <c r="AI38" s="872">
        <v>189.82608758000001</v>
      </c>
      <c r="AJ38" s="537">
        <v>22.634259189999998</v>
      </c>
      <c r="AK38" s="536">
        <f t="shared" si="38"/>
        <v>-88.1</v>
      </c>
      <c r="AL38" s="872">
        <v>22</v>
      </c>
      <c r="AM38" s="537">
        <v>4</v>
      </c>
      <c r="AN38" s="536">
        <f t="shared" si="39"/>
        <v>-81.8</v>
      </c>
      <c r="AO38" s="536">
        <f t="shared" si="40"/>
        <v>263.46241173999999</v>
      </c>
      <c r="AP38" s="536">
        <f t="shared" si="41"/>
        <v>1337.9206706499999</v>
      </c>
      <c r="AQ38" s="536">
        <f t="shared" si="13"/>
        <v>407.8</v>
      </c>
      <c r="AR38" s="536"/>
      <c r="AS38" s="564"/>
      <c r="AT38" s="536"/>
    </row>
    <row r="39" spans="1:46" s="563" customFormat="1" ht="18.75" customHeight="1" x14ac:dyDescent="0.3">
      <c r="A39" s="534" t="s">
        <v>315</v>
      </c>
      <c r="B39" s="872"/>
      <c r="C39" s="537"/>
      <c r="D39" s="536"/>
      <c r="E39" s="872">
        <v>-5.3</v>
      </c>
      <c r="F39" s="537">
        <v>-11.7</v>
      </c>
      <c r="G39" s="536">
        <f t="shared" si="29"/>
        <v>120.8</v>
      </c>
      <c r="H39" s="872">
        <v>-323.38499999999999</v>
      </c>
      <c r="I39" s="537">
        <v>-359.39391899999998</v>
      </c>
      <c r="J39" s="536">
        <f t="shared" si="30"/>
        <v>11.1</v>
      </c>
      <c r="K39" s="537"/>
      <c r="L39" s="537">
        <v>-13.355364210000003</v>
      </c>
      <c r="M39" s="536" t="str">
        <f t="shared" si="31"/>
        <v xml:space="preserve">    ---- </v>
      </c>
      <c r="N39" s="872"/>
      <c r="O39" s="537"/>
      <c r="P39" s="536" t="str">
        <f t="shared" si="32"/>
        <v xml:space="preserve">    ---- </v>
      </c>
      <c r="Q39" s="872">
        <v>-13.4</v>
      </c>
      <c r="R39" s="537">
        <v>-11.9</v>
      </c>
      <c r="S39" s="536">
        <f t="shared" si="33"/>
        <v>-11.2</v>
      </c>
      <c r="T39" s="872"/>
      <c r="U39" s="537"/>
      <c r="V39" s="536"/>
      <c r="W39" s="852">
        <v>-373.56421135000005</v>
      </c>
      <c r="X39" s="537">
        <v>-712.37046499999997</v>
      </c>
      <c r="Y39" s="536">
        <f t="shared" si="35"/>
        <v>90.7</v>
      </c>
      <c r="Z39" s="872">
        <v>-107</v>
      </c>
      <c r="AA39" s="537">
        <v>-112</v>
      </c>
      <c r="AB39" s="536">
        <f t="shared" si="36"/>
        <v>4.7</v>
      </c>
      <c r="AC39" s="872">
        <v>-95</v>
      </c>
      <c r="AD39" s="537">
        <v>-100</v>
      </c>
      <c r="AE39" s="536">
        <f t="shared" si="37"/>
        <v>5.3</v>
      </c>
      <c r="AF39" s="872"/>
      <c r="AG39" s="537"/>
      <c r="AH39" s="536"/>
      <c r="AI39" s="872">
        <v>-237.25031105299999</v>
      </c>
      <c r="AJ39" s="537">
        <v>-52.951943430000007</v>
      </c>
      <c r="AK39" s="536">
        <f t="shared" si="38"/>
        <v>-77.7</v>
      </c>
      <c r="AL39" s="872">
        <v>-427</v>
      </c>
      <c r="AM39" s="537">
        <v>-411</v>
      </c>
      <c r="AN39" s="536">
        <f t="shared" si="39"/>
        <v>-3.7</v>
      </c>
      <c r="AO39" s="536">
        <f t="shared" si="40"/>
        <v>-1581.899522403</v>
      </c>
      <c r="AP39" s="536">
        <f t="shared" si="41"/>
        <v>-1784.6716916400001</v>
      </c>
      <c r="AQ39" s="536">
        <f t="shared" si="13"/>
        <v>12.8</v>
      </c>
      <c r="AR39" s="536"/>
      <c r="AS39" s="564"/>
      <c r="AT39" s="536"/>
    </row>
    <row r="40" spans="1:46" s="566" customFormat="1" ht="18.75" customHeight="1" x14ac:dyDescent="0.3">
      <c r="A40" s="552" t="s">
        <v>316</v>
      </c>
      <c r="B40" s="871">
        <f>SUM(B37:B39)</f>
        <v>12.04</v>
      </c>
      <c r="C40" s="553">
        <f>SUM(C37:C39)</f>
        <v>23.067</v>
      </c>
      <c r="D40" s="554">
        <f t="shared" si="28"/>
        <v>91.6</v>
      </c>
      <c r="E40" s="871">
        <f>SUM(E37:E39)</f>
        <v>14.8</v>
      </c>
      <c r="F40" s="553">
        <f>SUM(F37:F39)</f>
        <v>6.6999999999999993</v>
      </c>
      <c r="G40" s="554">
        <f t="shared" si="29"/>
        <v>-54.7</v>
      </c>
      <c r="H40" s="871">
        <f>SUM(H37:H39)</f>
        <v>623.30799999999999</v>
      </c>
      <c r="I40" s="553">
        <f>SUM(I37:I39)</f>
        <v>1757.5950493399996</v>
      </c>
      <c r="J40" s="554">
        <f t="shared" si="30"/>
        <v>182</v>
      </c>
      <c r="K40" s="553"/>
      <c r="L40" s="553">
        <f>SUM(L37:L39)</f>
        <v>11.58891932</v>
      </c>
      <c r="M40" s="554" t="str">
        <f t="shared" si="31"/>
        <v xml:space="preserve">    ---- </v>
      </c>
      <c r="N40" s="871">
        <f>SUM(N37:N39)</f>
        <v>16.018999999999998</v>
      </c>
      <c r="O40" s="553">
        <f>SUM(O37:O39)</f>
        <v>26.038999999999998</v>
      </c>
      <c r="P40" s="554">
        <f t="shared" si="32"/>
        <v>62.6</v>
      </c>
      <c r="Q40" s="871">
        <f>SUM(Q37:Q39)</f>
        <v>4.2999999999999989</v>
      </c>
      <c r="R40" s="553">
        <f>SUM(R37:R39)</f>
        <v>6.1</v>
      </c>
      <c r="S40" s="554">
        <f t="shared" si="33"/>
        <v>41.9</v>
      </c>
      <c r="T40" s="871">
        <f>SUM(T37:T39)</f>
        <v>2.3202096800000001</v>
      </c>
      <c r="U40" s="553">
        <f>SUM(U37:U39)</f>
        <v>1.61268414</v>
      </c>
      <c r="V40" s="554">
        <f t="shared" si="34"/>
        <v>-30.5</v>
      </c>
      <c r="W40" s="871">
        <f>SUM(W37:W39)</f>
        <v>1167.2888484700002</v>
      </c>
      <c r="X40" s="553">
        <v>762.35347468000009</v>
      </c>
      <c r="Y40" s="554">
        <f t="shared" si="35"/>
        <v>-34.700000000000003</v>
      </c>
      <c r="Z40" s="871">
        <f>SUM(Z37:Z39)</f>
        <v>36</v>
      </c>
      <c r="AA40" s="553">
        <f>SUM(AA37:AA39)</f>
        <v>106.44</v>
      </c>
      <c r="AB40" s="554">
        <f t="shared" si="36"/>
        <v>195.7</v>
      </c>
      <c r="AC40" s="871">
        <f>SUM(AC37:AC39)</f>
        <v>552</v>
      </c>
      <c r="AD40" s="553">
        <f>SUM(AD37:AD39)</f>
        <v>485</v>
      </c>
      <c r="AE40" s="554">
        <f t="shared" si="37"/>
        <v>-12.1</v>
      </c>
      <c r="AF40" s="871">
        <f>SUM(AF37:AF39)</f>
        <v>0.99284868000000004</v>
      </c>
      <c r="AG40" s="553">
        <f>SUM(AG37:AG39)</f>
        <v>4.4722400000000002E-2</v>
      </c>
      <c r="AH40" s="554"/>
      <c r="AI40" s="871">
        <f>SUM(AI37:AI39)</f>
        <v>659.45027637700002</v>
      </c>
      <c r="AJ40" s="553">
        <f>SUM(AJ37:AJ39)</f>
        <v>207.32696927000003</v>
      </c>
      <c r="AK40" s="554">
        <f t="shared" si="38"/>
        <v>-68.599999999999994</v>
      </c>
      <c r="AL40" s="871">
        <f>SUM(AL37:AL39)</f>
        <v>989</v>
      </c>
      <c r="AM40" s="553">
        <f>SUM(AM37:AM39)</f>
        <v>582</v>
      </c>
      <c r="AN40" s="554">
        <f t="shared" si="39"/>
        <v>-41.2</v>
      </c>
      <c r="AO40" s="554">
        <f t="shared" si="40"/>
        <v>4074.2061248470004</v>
      </c>
      <c r="AP40" s="554">
        <f t="shared" si="41"/>
        <v>3974.2104126099994</v>
      </c>
      <c r="AQ40" s="554">
        <f t="shared" si="13"/>
        <v>-2.5</v>
      </c>
      <c r="AR40" s="554"/>
      <c r="AS40" s="565"/>
      <c r="AT40" s="554"/>
    </row>
    <row r="41" spans="1:46" s="566" customFormat="1" ht="18.75" customHeight="1" x14ac:dyDescent="0.3">
      <c r="A41" s="552" t="s">
        <v>317</v>
      </c>
      <c r="B41" s="871">
        <f>B34+B40</f>
        <v>174.21999999999892</v>
      </c>
      <c r="C41" s="553">
        <f>C34+C40</f>
        <v>127.28600000000071</v>
      </c>
      <c r="D41" s="554">
        <f t="shared" si="28"/>
        <v>-26.9</v>
      </c>
      <c r="E41" s="871">
        <f>E34+E40</f>
        <v>-12.600000000000041</v>
      </c>
      <c r="F41" s="553">
        <f>F34+F40</f>
        <v>-52.900000000000091</v>
      </c>
      <c r="G41" s="554">
        <f t="shared" si="29"/>
        <v>319.8</v>
      </c>
      <c r="H41" s="871">
        <f>H34+H40</f>
        <v>1842.1699999999964</v>
      </c>
      <c r="I41" s="553">
        <f>I34+I40</f>
        <v>2789.134738190005</v>
      </c>
      <c r="J41" s="554">
        <f t="shared" si="30"/>
        <v>51.4</v>
      </c>
      <c r="K41" s="553"/>
      <c r="L41" s="553">
        <f>L34+L40</f>
        <v>193.33552219999999</v>
      </c>
      <c r="M41" s="554" t="str">
        <f t="shared" si="31"/>
        <v xml:space="preserve">    ---- </v>
      </c>
      <c r="N41" s="871">
        <f>N34+N40</f>
        <v>157.98599999999999</v>
      </c>
      <c r="O41" s="553">
        <f>O34+O40</f>
        <v>355.36100000000044</v>
      </c>
      <c r="P41" s="554">
        <f t="shared" si="32"/>
        <v>124.9</v>
      </c>
      <c r="Q41" s="871">
        <f>Q34+Q40</f>
        <v>196.80000000000126</v>
      </c>
      <c r="R41" s="553">
        <f>R34+R40</f>
        <v>166.69999999999871</v>
      </c>
      <c r="S41" s="554">
        <f t="shared" si="33"/>
        <v>-15.3</v>
      </c>
      <c r="T41" s="871">
        <f>T34+T40</f>
        <v>5.7789976599999981</v>
      </c>
      <c r="U41" s="553">
        <f>U34+U40</f>
        <v>14.125079009999999</v>
      </c>
      <c r="V41" s="554">
        <f t="shared" si="34"/>
        <v>144.4</v>
      </c>
      <c r="W41" s="871">
        <f>W34+W40</f>
        <v>2636.9983483299975</v>
      </c>
      <c r="X41" s="553">
        <v>1288.700341420004</v>
      </c>
      <c r="Y41" s="554">
        <f t="shared" si="35"/>
        <v>-51.1</v>
      </c>
      <c r="Z41" s="871">
        <f>Z34+Z40</f>
        <v>654.51300771000001</v>
      </c>
      <c r="AA41" s="553">
        <f>AA34+AA40</f>
        <v>770.08000000000084</v>
      </c>
      <c r="AB41" s="554">
        <f t="shared" si="36"/>
        <v>17.7</v>
      </c>
      <c r="AC41" s="871">
        <f>AC34+AC40</f>
        <v>1020</v>
      </c>
      <c r="AD41" s="553">
        <f>AD34+AD40</f>
        <v>1128</v>
      </c>
      <c r="AE41" s="554">
        <f t="shared" si="37"/>
        <v>10.6</v>
      </c>
      <c r="AF41" s="871">
        <f>AF34+AF40</f>
        <v>13.576123320000027</v>
      </c>
      <c r="AG41" s="553">
        <f>AG34+AG40</f>
        <v>16.094560639999937</v>
      </c>
      <c r="AH41" s="554">
        <f>IF(AF41=0, "    ---- ", IF(ABS(ROUND(100/AF41*AG41-100,1))&lt;999,ROUND(100/AF41*AG41-100,1),IF(ROUND(100/AF41*AG41-100,1)&gt;999,999,-999)))</f>
        <v>18.600000000000001</v>
      </c>
      <c r="AI41" s="871">
        <f>AI34+AI40</f>
        <v>1040.4581024700065</v>
      </c>
      <c r="AJ41" s="553">
        <f>AJ34+AJ40</f>
        <v>298.20666884000116</v>
      </c>
      <c r="AK41" s="554">
        <f t="shared" si="38"/>
        <v>-71.3</v>
      </c>
      <c r="AL41" s="871">
        <f>AL34+AL40</f>
        <v>2169.2000000000044</v>
      </c>
      <c r="AM41" s="553">
        <f>AM34+AM40</f>
        <v>1390</v>
      </c>
      <c r="AN41" s="554">
        <f t="shared" si="39"/>
        <v>-35.9</v>
      </c>
      <c r="AO41" s="554">
        <f t="shared" si="40"/>
        <v>9879.7454585100058</v>
      </c>
      <c r="AP41" s="554">
        <f t="shared" si="41"/>
        <v>8453.9042706500113</v>
      </c>
      <c r="AQ41" s="554">
        <f t="shared" si="13"/>
        <v>-14.4</v>
      </c>
      <c r="AR41" s="554"/>
      <c r="AS41" s="565"/>
      <c r="AT41" s="554"/>
    </row>
    <row r="42" spans="1:46" s="563" customFormat="1" ht="18.75" customHeight="1" x14ac:dyDescent="0.3">
      <c r="A42" s="534" t="s">
        <v>318</v>
      </c>
      <c r="B42" s="872">
        <v>-43.411999999999999</v>
      </c>
      <c r="C42" s="537">
        <v>-31.949000000000002</v>
      </c>
      <c r="D42" s="536">
        <f t="shared" si="28"/>
        <v>-26.4</v>
      </c>
      <c r="E42" s="872"/>
      <c r="F42" s="537">
        <v>71</v>
      </c>
      <c r="G42" s="536"/>
      <c r="H42" s="872">
        <v>-379.91899999999998</v>
      </c>
      <c r="I42" s="537">
        <v>-326.64815800000002</v>
      </c>
      <c r="J42" s="536">
        <f t="shared" si="30"/>
        <v>-14</v>
      </c>
      <c r="K42" s="537"/>
      <c r="L42" s="537">
        <v>-79.584699299999997</v>
      </c>
      <c r="M42" s="536" t="str">
        <f t="shared" si="31"/>
        <v xml:space="preserve">    ---- </v>
      </c>
      <c r="N42" s="872">
        <v>-34.417000000000002</v>
      </c>
      <c r="O42" s="537">
        <v>-86.182000000000002</v>
      </c>
      <c r="P42" s="536">
        <f t="shared" si="32"/>
        <v>150.4</v>
      </c>
      <c r="Q42" s="872">
        <v>-48.6</v>
      </c>
      <c r="R42" s="537">
        <v>-40.799999999999997</v>
      </c>
      <c r="S42" s="536">
        <f t="shared" si="33"/>
        <v>-16</v>
      </c>
      <c r="T42" s="872">
        <v>-1.5927100000000001</v>
      </c>
      <c r="U42" s="537">
        <v>-3.2009020000000001</v>
      </c>
      <c r="V42" s="536">
        <f t="shared" si="34"/>
        <v>101</v>
      </c>
      <c r="W42" s="852">
        <v>-529.62840500000004</v>
      </c>
      <c r="X42" s="537">
        <v>-207.41131247500002</v>
      </c>
      <c r="Y42" s="536"/>
      <c r="Z42" s="872">
        <v>-275</v>
      </c>
      <c r="AA42" s="537">
        <v>-146</v>
      </c>
      <c r="AB42" s="536">
        <f t="shared" si="36"/>
        <v>-46.9</v>
      </c>
      <c r="AC42" s="872">
        <f>-173-4</f>
        <v>-177</v>
      </c>
      <c r="AD42" s="537">
        <v>-203</v>
      </c>
      <c r="AE42" s="536">
        <f t="shared" si="37"/>
        <v>14.7</v>
      </c>
      <c r="AF42" s="872">
        <v>-2.9882590000000002</v>
      </c>
      <c r="AG42" s="537">
        <v>-3.6728070000000002</v>
      </c>
      <c r="AH42" s="536"/>
      <c r="AI42" s="872">
        <v>-96.796109999999999</v>
      </c>
      <c r="AJ42" s="537">
        <v>-64.485875950000008</v>
      </c>
      <c r="AK42" s="536">
        <f t="shared" si="38"/>
        <v>-33.4</v>
      </c>
      <c r="AL42" s="872">
        <v>-322.39999999999998</v>
      </c>
      <c r="AM42" s="537">
        <v>369</v>
      </c>
      <c r="AN42" s="536">
        <f t="shared" si="39"/>
        <v>-214.5</v>
      </c>
      <c r="AO42" s="536">
        <f t="shared" si="40"/>
        <v>-1907.1725149999997</v>
      </c>
      <c r="AP42" s="536">
        <f t="shared" si="41"/>
        <v>-746.06104572500021</v>
      </c>
      <c r="AQ42" s="536">
        <f t="shared" si="13"/>
        <v>-60.9</v>
      </c>
      <c r="AR42" s="536"/>
      <c r="AS42" s="564"/>
      <c r="AT42" s="536"/>
    </row>
    <row r="43" spans="1:46" s="566" customFormat="1" ht="18.75" customHeight="1" x14ac:dyDescent="0.3">
      <c r="A43" s="552" t="s">
        <v>319</v>
      </c>
      <c r="B43" s="871">
        <f>B41+B42</f>
        <v>130.80799999999891</v>
      </c>
      <c r="C43" s="553">
        <f>C41+C42</f>
        <v>95.337000000000714</v>
      </c>
      <c r="D43" s="554">
        <f t="shared" si="28"/>
        <v>-27.1</v>
      </c>
      <c r="E43" s="871">
        <f>E41+E42</f>
        <v>-12.600000000000041</v>
      </c>
      <c r="F43" s="553">
        <f>F41+F42</f>
        <v>18.099999999999909</v>
      </c>
      <c r="G43" s="554">
        <f t="shared" si="29"/>
        <v>-243.7</v>
      </c>
      <c r="H43" s="871">
        <f>H41+H42</f>
        <v>1462.2509999999966</v>
      </c>
      <c r="I43" s="553">
        <f>I41+I42</f>
        <v>2462.486580190005</v>
      </c>
      <c r="J43" s="554">
        <f t="shared" si="30"/>
        <v>68.400000000000006</v>
      </c>
      <c r="K43" s="553"/>
      <c r="L43" s="553">
        <f>L41+L42</f>
        <v>113.75082289999999</v>
      </c>
      <c r="M43" s="554" t="str">
        <f t="shared" si="31"/>
        <v xml:space="preserve">    ---- </v>
      </c>
      <c r="N43" s="871">
        <f>N41+N42</f>
        <v>123.56899999999999</v>
      </c>
      <c r="O43" s="553">
        <f>O41+O42</f>
        <v>269.17900000000043</v>
      </c>
      <c r="P43" s="554">
        <f t="shared" si="32"/>
        <v>117.8</v>
      </c>
      <c r="Q43" s="871">
        <f>Q41+Q42</f>
        <v>148.20000000000127</v>
      </c>
      <c r="R43" s="553">
        <f>R41+R42</f>
        <v>125.89999999999871</v>
      </c>
      <c r="S43" s="554">
        <f t="shared" si="33"/>
        <v>-15</v>
      </c>
      <c r="T43" s="871">
        <f>T41+T42</f>
        <v>4.1862876599999979</v>
      </c>
      <c r="U43" s="553">
        <f>U41+U42</f>
        <v>10.924177009999998</v>
      </c>
      <c r="V43" s="554">
        <f t="shared" si="34"/>
        <v>161</v>
      </c>
      <c r="W43" s="871">
        <f>W41+W42</f>
        <v>2107.3699433299976</v>
      </c>
      <c r="X43" s="553">
        <v>1081.289028945004</v>
      </c>
      <c r="Y43" s="554">
        <f t="shared" si="35"/>
        <v>-48.7</v>
      </c>
      <c r="Z43" s="871">
        <f>Z41+Z42</f>
        <v>379.51300771000001</v>
      </c>
      <c r="AA43" s="553">
        <f>AA41+AA42</f>
        <v>624.08000000000084</v>
      </c>
      <c r="AB43" s="554">
        <f t="shared" si="36"/>
        <v>64.400000000000006</v>
      </c>
      <c r="AC43" s="871">
        <f>AC41+AC42</f>
        <v>843</v>
      </c>
      <c r="AD43" s="553">
        <f>AD41+AD42</f>
        <v>925</v>
      </c>
      <c r="AE43" s="554">
        <f t="shared" si="37"/>
        <v>9.6999999999999993</v>
      </c>
      <c r="AF43" s="871">
        <f>AF41+AF42</f>
        <v>10.587864320000026</v>
      </c>
      <c r="AG43" s="553">
        <f>AG41+AG42</f>
        <v>12.421753639999936</v>
      </c>
      <c r="AH43" s="554">
        <f>IF(AF43=0, "    ---- ", IF(ABS(ROUND(100/AF43*AG43-100,1))&lt;999,ROUND(100/AF43*AG43-100,1),IF(ROUND(100/AF43*AG43-100,1)&gt;999,999,-999)))</f>
        <v>17.3</v>
      </c>
      <c r="AI43" s="871">
        <f>AI41+AI42</f>
        <v>943.66199247000645</v>
      </c>
      <c r="AJ43" s="553">
        <f>AJ41+AJ42</f>
        <v>233.72079289000115</v>
      </c>
      <c r="AK43" s="554">
        <f t="shared" si="38"/>
        <v>-75.2</v>
      </c>
      <c r="AL43" s="871">
        <f>AL41+AL42</f>
        <v>1846.8000000000043</v>
      </c>
      <c r="AM43" s="553">
        <f>AM41+AM42</f>
        <v>1759</v>
      </c>
      <c r="AN43" s="554">
        <f t="shared" si="39"/>
        <v>-4.8</v>
      </c>
      <c r="AO43" s="554">
        <f t="shared" si="40"/>
        <v>7972.5729435100038</v>
      </c>
      <c r="AP43" s="554">
        <f t="shared" si="41"/>
        <v>7707.8432249250109</v>
      </c>
      <c r="AQ43" s="554">
        <f t="shared" si="13"/>
        <v>-3.3</v>
      </c>
      <c r="AR43" s="554"/>
      <c r="AS43" s="565"/>
      <c r="AT43" s="554"/>
    </row>
    <row r="44" spans="1:46" s="563" customFormat="1" ht="18.75" customHeight="1" x14ac:dyDescent="0.3">
      <c r="A44" s="534" t="s">
        <v>320</v>
      </c>
      <c r="B44" s="872"/>
      <c r="C44" s="537"/>
      <c r="D44" s="536"/>
      <c r="E44" s="872">
        <v>2.2000000000000002</v>
      </c>
      <c r="F44" s="537">
        <v>0.2</v>
      </c>
      <c r="G44" s="536">
        <f t="shared" si="29"/>
        <v>-90.9</v>
      </c>
      <c r="H44" s="872">
        <v>4.0659999999999998</v>
      </c>
      <c r="I44" s="537">
        <v>-2.8548374900000004</v>
      </c>
      <c r="J44" s="536">
        <f t="shared" si="30"/>
        <v>-170.2</v>
      </c>
      <c r="K44" s="537"/>
      <c r="L44" s="537"/>
      <c r="M44" s="536"/>
      <c r="N44" s="872">
        <v>3.7999999999999999E-2</v>
      </c>
      <c r="O44" s="537">
        <v>-0.78300000000000003</v>
      </c>
      <c r="P44" s="536"/>
      <c r="Q44" s="872">
        <v>-0.6</v>
      </c>
      <c r="R44" s="537">
        <v>-1.9</v>
      </c>
      <c r="S44" s="536">
        <f t="shared" si="33"/>
        <v>216.7</v>
      </c>
      <c r="T44" s="872"/>
      <c r="U44" s="537"/>
      <c r="V44" s="536"/>
      <c r="W44" s="852">
        <v>144.86146249999999</v>
      </c>
      <c r="X44" s="537">
        <v>-53.603887275000005</v>
      </c>
      <c r="Y44" s="536">
        <f t="shared" si="35"/>
        <v>-137</v>
      </c>
      <c r="Z44" s="872">
        <v>-21</v>
      </c>
      <c r="AA44" s="537">
        <v>18</v>
      </c>
      <c r="AB44" s="536">
        <f t="shared" si="36"/>
        <v>-185.7</v>
      </c>
      <c r="AC44" s="872">
        <v>16</v>
      </c>
      <c r="AD44" s="537">
        <v>-6</v>
      </c>
      <c r="AE44" s="536"/>
      <c r="AF44" s="872"/>
      <c r="AG44" s="537"/>
      <c r="AH44" s="536"/>
      <c r="AI44" s="872"/>
      <c r="AJ44" s="537"/>
      <c r="AK44" s="536" t="str">
        <f t="shared" si="38"/>
        <v xml:space="preserve">    ---- </v>
      </c>
      <c r="AL44" s="872">
        <v>-30.4</v>
      </c>
      <c r="AM44" s="537">
        <f>5-32</f>
        <v>-27</v>
      </c>
      <c r="AN44" s="536">
        <f t="shared" si="39"/>
        <v>-11.2</v>
      </c>
      <c r="AO44" s="536">
        <f t="shared" si="40"/>
        <v>115.16546249999996</v>
      </c>
      <c r="AP44" s="536">
        <f t="shared" si="41"/>
        <v>-73.941724765000004</v>
      </c>
      <c r="AQ44" s="536">
        <f t="shared" si="13"/>
        <v>-164.2</v>
      </c>
      <c r="AR44" s="536"/>
      <c r="AS44" s="564"/>
      <c r="AT44" s="536"/>
    </row>
    <row r="45" spans="1:46" s="566" customFormat="1" ht="18.75" customHeight="1" x14ac:dyDescent="0.3">
      <c r="A45" s="549" t="s">
        <v>321</v>
      </c>
      <c r="B45" s="873">
        <f>B43+B44</f>
        <v>130.80799999999891</v>
      </c>
      <c r="C45" s="567">
        <f>C43+C44</f>
        <v>95.337000000000714</v>
      </c>
      <c r="D45" s="550">
        <f>IF(B45=0, "    ---- ", IF(ABS(ROUND(100/B45*C45-100,1))&lt;999,ROUND(100/B45*C45-100,1),IF(ROUND(100/B45*C45-100,1)&gt;999,999,-999)))</f>
        <v>-27.1</v>
      </c>
      <c r="E45" s="873">
        <f>E43+E44</f>
        <v>-10.400000000000041</v>
      </c>
      <c r="F45" s="567">
        <f>F43+F44</f>
        <v>18.299999999999908</v>
      </c>
      <c r="G45" s="550">
        <f>IF(E45=0, "    ---- ", IF(ABS(ROUND(100/E45*F45-100,1))&lt;999,ROUND(100/E45*F45-100,1),IF(ROUND(100/E45*F45-100,1)&gt;999,999,-999)))</f>
        <v>-276</v>
      </c>
      <c r="H45" s="873">
        <f>H43+H44</f>
        <v>1466.3169999999966</v>
      </c>
      <c r="I45" s="567">
        <f>I43+I44</f>
        <v>2459.6317427000049</v>
      </c>
      <c r="J45" s="550">
        <f>IF(H45=0, "    ---- ", IF(ABS(ROUND(100/H45*I45-100,1))&lt;999,ROUND(100/H45*I45-100,1),IF(ROUND(100/H45*I45-100,1)&gt;999,999,-999)))</f>
        <v>67.7</v>
      </c>
      <c r="K45" s="567"/>
      <c r="L45" s="567">
        <f>L43+L44</f>
        <v>113.75082289999999</v>
      </c>
      <c r="M45" s="550" t="str">
        <f>IF(K45=0, "    ---- ", IF(ABS(ROUND(100/K45*L45-100,1))&lt;999,ROUND(100/K45*L45-100,1),IF(ROUND(100/K45*L45-100,1)&gt;999,999,-999)))</f>
        <v xml:space="preserve">    ---- </v>
      </c>
      <c r="N45" s="873">
        <f>N43+N44</f>
        <v>123.60699999999999</v>
      </c>
      <c r="O45" s="567">
        <f>O43+O44</f>
        <v>268.39600000000041</v>
      </c>
      <c r="P45" s="550">
        <f>IF(N45=0, "    ---- ", IF(ABS(ROUND(100/N45*O45-100,1))&lt;999,ROUND(100/N45*O45-100,1),IF(ROUND(100/N45*O45-100,1)&gt;999,999,-999)))</f>
        <v>117.1</v>
      </c>
      <c r="Q45" s="873">
        <f>Q43+Q44</f>
        <v>147.60000000000127</v>
      </c>
      <c r="R45" s="567">
        <f>R43+R44</f>
        <v>123.99999999999871</v>
      </c>
      <c r="S45" s="550">
        <f>IF(Q45=0, "    ---- ", IF(ABS(ROUND(100/Q45*R45-100,1))&lt;999,ROUND(100/Q45*R45-100,1),IF(ROUND(100/Q45*R45-100,1)&gt;999,999,-999)))</f>
        <v>-16</v>
      </c>
      <c r="T45" s="873">
        <f>T43+T44</f>
        <v>4.1862876599999979</v>
      </c>
      <c r="U45" s="567">
        <f>U43+U44</f>
        <v>10.924177009999998</v>
      </c>
      <c r="V45" s="550">
        <f>IF(T45=0, "    ---- ", IF(ABS(ROUND(100/T45*U45-100,1))&lt;999,ROUND(100/T45*U45-100,1),IF(ROUND(100/T45*U45-100,1)&gt;999,999,-999)))</f>
        <v>161</v>
      </c>
      <c r="W45" s="873">
        <f>W43+W44</f>
        <v>2252.2314058299976</v>
      </c>
      <c r="X45" s="567">
        <v>1027.685141670004</v>
      </c>
      <c r="Y45" s="550">
        <f>IF(W45=0, "    ---- ", IF(ABS(ROUND(100/W45*X45-100,1))&lt;999,ROUND(100/W45*X45-100,1),IF(ROUND(100/W45*X45-100,1)&gt;999,999,-999)))</f>
        <v>-54.4</v>
      </c>
      <c r="Z45" s="873">
        <f>Z43+Z44</f>
        <v>358.51300771000001</v>
      </c>
      <c r="AA45" s="567">
        <f>AA43+AA44</f>
        <v>642.08000000000084</v>
      </c>
      <c r="AB45" s="550">
        <f>IF(Z45=0, "    ---- ", IF(ABS(ROUND(100/Z45*AA45-100,1))&lt;999,ROUND(100/Z45*AA45-100,1),IF(ROUND(100/Z45*AA45-100,1)&gt;999,999,-999)))</f>
        <v>79.099999999999994</v>
      </c>
      <c r="AC45" s="873">
        <f>AC43+AC44</f>
        <v>859</v>
      </c>
      <c r="AD45" s="567">
        <f>AD43+AD44</f>
        <v>919</v>
      </c>
      <c r="AE45" s="550">
        <f>IF(AC45=0, "    ---- ", IF(ABS(ROUND(100/AC45*AD45-100,1))&lt;999,ROUND(100/AC45*AD45-100,1),IF(ROUND(100/AC45*AD45-100,1)&gt;999,999,-999)))</f>
        <v>7</v>
      </c>
      <c r="AF45" s="873">
        <f>AF43+AF44</f>
        <v>10.587864320000026</v>
      </c>
      <c r="AG45" s="567">
        <f>AG43+AG44</f>
        <v>12.421753639999936</v>
      </c>
      <c r="AH45" s="550">
        <f>IF(AF45=0, "    ---- ", IF(ABS(ROUND(100/AF45*AG45-100,1))&lt;999,ROUND(100/AF45*AG45-100,1),IF(ROUND(100/AF45*AG45-100,1)&gt;999,999,-999)))</f>
        <v>17.3</v>
      </c>
      <c r="AI45" s="873">
        <f>AI43+AI44</f>
        <v>943.66199247000645</v>
      </c>
      <c r="AJ45" s="567">
        <f>AJ43+AJ44</f>
        <v>233.72079289000115</v>
      </c>
      <c r="AK45" s="550">
        <f>IF(AI45=0, "    ---- ", IF(ABS(ROUND(100/AI45*AJ45-100,1))&lt;999,ROUND(100/AI45*AJ45-100,1),IF(ROUND(100/AI45*AJ45-100,1)&gt;999,999,-999)))</f>
        <v>-75.2</v>
      </c>
      <c r="AL45" s="873">
        <f>AL43+AL44</f>
        <v>1816.4000000000042</v>
      </c>
      <c r="AM45" s="567">
        <f>AM43+AM44</f>
        <v>1732</v>
      </c>
      <c r="AN45" s="550">
        <f>IF(AL45=0, "    ---- ", IF(ABS(ROUND(100/AL45*AM45-100,1))&lt;999,ROUND(100/AL45*AM45-100,1),IF(ROUND(100/AL45*AM45-100,1)&gt;999,999,-999)))</f>
        <v>-4.5999999999999996</v>
      </c>
      <c r="AO45" s="550">
        <f t="shared" si="40"/>
        <v>8087.7384060100057</v>
      </c>
      <c r="AP45" s="550">
        <f t="shared" si="41"/>
        <v>7633.9015001600119</v>
      </c>
      <c r="AQ45" s="550">
        <f t="shared" si="13"/>
        <v>-5.6</v>
      </c>
      <c r="AR45" s="568"/>
      <c r="AS45" s="569"/>
      <c r="AT45" s="570"/>
    </row>
    <row r="46" spans="1:46" s="566" customFormat="1" ht="18.75" customHeight="1" x14ac:dyDescent="0.3">
      <c r="A46" s="571"/>
      <c r="B46" s="894"/>
      <c r="C46" s="572"/>
      <c r="D46" s="573"/>
      <c r="E46" s="971"/>
      <c r="F46" s="972"/>
      <c r="G46" s="970"/>
      <c r="H46" s="894"/>
      <c r="I46" s="572"/>
      <c r="J46" s="555"/>
      <c r="K46" s="572"/>
      <c r="L46" s="572"/>
      <c r="M46" s="555"/>
      <c r="N46" s="894"/>
      <c r="O46" s="572"/>
      <c r="P46" s="970"/>
      <c r="Q46" s="971"/>
      <c r="R46" s="972"/>
      <c r="S46" s="973"/>
      <c r="T46" s="971"/>
      <c r="U46" s="972"/>
      <c r="V46" s="970"/>
      <c r="W46" s="971"/>
      <c r="X46" s="972"/>
      <c r="Y46" s="970"/>
      <c r="Z46" s="971"/>
      <c r="AA46" s="972"/>
      <c r="AB46" s="970"/>
      <c r="AC46" s="971"/>
      <c r="AD46" s="972"/>
      <c r="AE46" s="970"/>
      <c r="AF46" s="971"/>
      <c r="AG46" s="972"/>
      <c r="AH46" s="970"/>
      <c r="AI46" s="971"/>
      <c r="AJ46" s="972"/>
      <c r="AK46" s="970"/>
      <c r="AL46" s="971"/>
      <c r="AM46" s="972"/>
      <c r="AN46" s="970"/>
      <c r="AO46" s="973"/>
      <c r="AP46" s="973"/>
      <c r="AQ46" s="970"/>
      <c r="AR46" s="974"/>
      <c r="AS46" s="974"/>
      <c r="AT46" s="975"/>
    </row>
    <row r="47" spans="1:46" s="575" customFormat="1" ht="18.75" customHeight="1" x14ac:dyDescent="0.3">
      <c r="A47" s="968" t="s">
        <v>322</v>
      </c>
      <c r="B47" s="176"/>
      <c r="C47" s="895"/>
      <c r="D47" s="968"/>
      <c r="E47" s="177"/>
      <c r="F47" s="976"/>
      <c r="G47" s="968"/>
      <c r="H47" s="176"/>
      <c r="I47" s="895"/>
      <c r="J47" s="968"/>
      <c r="K47" s="464"/>
      <c r="L47" s="895"/>
      <c r="M47" s="968"/>
      <c r="N47" s="176"/>
      <c r="O47" s="895"/>
      <c r="P47" s="968"/>
      <c r="Q47" s="177"/>
      <c r="R47" s="976"/>
      <c r="S47" s="968"/>
      <c r="T47" s="177"/>
      <c r="U47" s="976"/>
      <c r="V47" s="968"/>
      <c r="W47" s="177"/>
      <c r="X47" s="976"/>
      <c r="Y47" s="968"/>
      <c r="Z47" s="177"/>
      <c r="AA47" s="976"/>
      <c r="AB47" s="968"/>
      <c r="AC47" s="177"/>
      <c r="AD47" s="976"/>
      <c r="AE47" s="968"/>
      <c r="AF47" s="177"/>
      <c r="AG47" s="976"/>
      <c r="AH47" s="968"/>
      <c r="AI47" s="177"/>
      <c r="AJ47" s="976"/>
      <c r="AK47" s="968"/>
      <c r="AL47" s="177"/>
      <c r="AM47" s="976"/>
      <c r="AN47" s="968"/>
      <c r="AO47" s="968"/>
      <c r="AP47" s="968"/>
      <c r="AQ47" s="968"/>
      <c r="AR47" s="968"/>
      <c r="AS47" s="968"/>
      <c r="AT47" s="968"/>
    </row>
    <row r="48" spans="1:46" s="576" customFormat="1" ht="18.75" customHeight="1" x14ac:dyDescent="0.3">
      <c r="A48" s="968" t="s">
        <v>323</v>
      </c>
      <c r="B48" s="176"/>
      <c r="C48" s="895"/>
      <c r="D48" s="968"/>
      <c r="E48" s="177"/>
      <c r="F48" s="976"/>
      <c r="G48" s="968"/>
      <c r="H48" s="176"/>
      <c r="I48" s="895"/>
      <c r="J48" s="968"/>
      <c r="K48" s="464"/>
      <c r="L48" s="895"/>
      <c r="M48" s="968"/>
      <c r="N48" s="176"/>
      <c r="O48" s="895"/>
      <c r="P48" s="968"/>
      <c r="Q48" s="177"/>
      <c r="R48" s="976"/>
      <c r="S48" s="968"/>
      <c r="T48" s="177"/>
      <c r="U48" s="976"/>
      <c r="V48" s="968"/>
      <c r="W48" s="177"/>
      <c r="X48" s="976"/>
      <c r="Y48" s="968"/>
      <c r="Z48" s="177"/>
      <c r="AA48" s="976"/>
      <c r="AB48" s="968"/>
      <c r="AC48" s="177"/>
      <c r="AD48" s="976"/>
      <c r="AE48" s="968"/>
      <c r="AF48" s="177"/>
      <c r="AG48" s="976"/>
      <c r="AH48" s="968"/>
      <c r="AI48" s="177"/>
      <c r="AJ48" s="976"/>
      <c r="AK48" s="968"/>
      <c r="AL48" s="177"/>
      <c r="AM48" s="976"/>
      <c r="AN48" s="968"/>
      <c r="AO48" s="968">
        <f t="shared" ref="AO48:AO57" si="42">B48+H48+K48+N48+Q48+W48+E48+Z48+AC48+AI48+AL48</f>
        <v>0</v>
      </c>
      <c r="AP48" s="968">
        <f t="shared" ref="AP48:AP57" si="43">C48+I48+L48+O48+R48+X48+F48+AA48+AD48+AJ48+AM48</f>
        <v>0</v>
      </c>
      <c r="AQ48" s="536" t="str">
        <f t="shared" ref="AQ48:AQ52" si="44">IF(AO48=0, "    ---- ", IF(ABS(ROUND(100/AO48*AP48-100,1))&lt;999,ROUND(100/AO48*AP48-100,1),IF(ROUND(100/AO48*AP48-100,1)&gt;999,999,-999)))</f>
        <v xml:space="preserve">    ---- </v>
      </c>
      <c r="AR48" s="968"/>
      <c r="AS48" s="968"/>
      <c r="AT48" s="968"/>
    </row>
    <row r="49" spans="1:46" s="576" customFormat="1" ht="18.75" customHeight="1" x14ac:dyDescent="0.3">
      <c r="A49" s="968" t="s">
        <v>324</v>
      </c>
      <c r="B49" s="176"/>
      <c r="C49" s="895"/>
      <c r="D49" s="968"/>
      <c r="E49" s="177"/>
      <c r="F49" s="976"/>
      <c r="G49" s="968"/>
      <c r="H49" s="176"/>
      <c r="I49" s="895"/>
      <c r="J49" s="968"/>
      <c r="K49" s="464"/>
      <c r="L49" s="895"/>
      <c r="M49" s="968"/>
      <c r="N49" s="176"/>
      <c r="O49" s="895"/>
      <c r="P49" s="968"/>
      <c r="Q49" s="177"/>
      <c r="R49" s="976"/>
      <c r="S49" s="968"/>
      <c r="T49" s="177"/>
      <c r="U49" s="976"/>
      <c r="V49" s="968"/>
      <c r="W49" s="177"/>
      <c r="X49" s="976"/>
      <c r="Y49" s="968"/>
      <c r="Z49" s="177"/>
      <c r="AA49" s="976"/>
      <c r="AB49" s="968"/>
      <c r="AC49" s="177"/>
      <c r="AD49" s="976"/>
      <c r="AE49" s="968"/>
      <c r="AF49" s="177"/>
      <c r="AG49" s="976"/>
      <c r="AH49" s="968"/>
      <c r="AI49" s="177"/>
      <c r="AJ49" s="976"/>
      <c r="AK49" s="968"/>
      <c r="AL49" s="177"/>
      <c r="AM49" s="976"/>
      <c r="AN49" s="968"/>
      <c r="AO49" s="968">
        <f t="shared" si="42"/>
        <v>0</v>
      </c>
      <c r="AP49" s="968">
        <f t="shared" si="43"/>
        <v>0</v>
      </c>
      <c r="AQ49" s="536" t="str">
        <f t="shared" si="44"/>
        <v xml:space="preserve">    ---- </v>
      </c>
      <c r="AR49" s="968"/>
      <c r="AS49" s="968"/>
      <c r="AT49" s="968"/>
    </row>
    <row r="50" spans="1:46" s="576" customFormat="1" ht="18.75" customHeight="1" x14ac:dyDescent="0.3">
      <c r="A50" s="968" t="s">
        <v>325</v>
      </c>
      <c r="B50" s="176"/>
      <c r="C50" s="895"/>
      <c r="D50" s="968"/>
      <c r="E50" s="177">
        <v>10.3</v>
      </c>
      <c r="F50" s="976">
        <v>0</v>
      </c>
      <c r="G50" s="536">
        <f t="shared" ref="G50:G51" si="45">IF(E50=0, "    ---- ", IF(ABS(ROUND(100/E50*F50-100,1))&lt;999,ROUND(100/E50*F50-100,1),IF(ROUND(100/E50*F50-100,1)&gt;999,999,-999)))</f>
        <v>-100</v>
      </c>
      <c r="H50" s="176"/>
      <c r="I50" s="895"/>
      <c r="J50" s="968"/>
      <c r="K50" s="464"/>
      <c r="L50" s="895"/>
      <c r="M50" s="968"/>
      <c r="N50" s="176"/>
      <c r="O50" s="895"/>
      <c r="P50" s="968"/>
      <c r="Q50" s="177"/>
      <c r="R50" s="976"/>
      <c r="S50" s="968"/>
      <c r="T50" s="177"/>
      <c r="U50" s="976"/>
      <c r="V50" s="968"/>
      <c r="W50" s="177"/>
      <c r="X50" s="976"/>
      <c r="Y50" s="968"/>
      <c r="Z50" s="177"/>
      <c r="AA50" s="976"/>
      <c r="AB50" s="968"/>
      <c r="AC50" s="177"/>
      <c r="AD50" s="976"/>
      <c r="AE50" s="968"/>
      <c r="AF50" s="177"/>
      <c r="AG50" s="976"/>
      <c r="AH50" s="968"/>
      <c r="AI50" s="177"/>
      <c r="AJ50" s="976"/>
      <c r="AK50" s="968"/>
      <c r="AL50" s="177"/>
      <c r="AM50" s="976"/>
      <c r="AN50" s="968"/>
      <c r="AO50" s="968">
        <f t="shared" si="42"/>
        <v>10.3</v>
      </c>
      <c r="AP50" s="968">
        <f t="shared" si="43"/>
        <v>0</v>
      </c>
      <c r="AQ50" s="536">
        <f t="shared" si="44"/>
        <v>-100</v>
      </c>
      <c r="AR50" s="968"/>
      <c r="AS50" s="968"/>
      <c r="AT50" s="968"/>
    </row>
    <row r="51" spans="1:46" s="576" customFormat="1" ht="18.75" customHeight="1" x14ac:dyDescent="0.3">
      <c r="A51" s="968" t="s">
        <v>326</v>
      </c>
      <c r="B51" s="176"/>
      <c r="C51" s="895"/>
      <c r="D51" s="968"/>
      <c r="E51" s="177">
        <f t="shared" ref="E51:F51" si="46">E49+E50</f>
        <v>10.3</v>
      </c>
      <c r="F51" s="976">
        <f t="shared" si="46"/>
        <v>0</v>
      </c>
      <c r="G51" s="536">
        <f t="shared" si="45"/>
        <v>-100</v>
      </c>
      <c r="H51" s="176"/>
      <c r="I51" s="895"/>
      <c r="J51" s="968"/>
      <c r="K51" s="464"/>
      <c r="L51" s="895"/>
      <c r="M51" s="968"/>
      <c r="N51" s="176"/>
      <c r="O51" s="895"/>
      <c r="P51" s="968"/>
      <c r="Q51" s="177"/>
      <c r="R51" s="976"/>
      <c r="S51" s="968"/>
      <c r="T51" s="177"/>
      <c r="U51" s="976"/>
      <c r="V51" s="968"/>
      <c r="W51" s="177"/>
      <c r="X51" s="976"/>
      <c r="Y51" s="968"/>
      <c r="Z51" s="177"/>
      <c r="AA51" s="976"/>
      <c r="AB51" s="968"/>
      <c r="AC51" s="177"/>
      <c r="AD51" s="976"/>
      <c r="AE51" s="968"/>
      <c r="AF51" s="177"/>
      <c r="AG51" s="976"/>
      <c r="AH51" s="968"/>
      <c r="AI51" s="177"/>
      <c r="AJ51" s="976"/>
      <c r="AK51" s="968"/>
      <c r="AL51" s="177"/>
      <c r="AM51" s="976"/>
      <c r="AN51" s="968"/>
      <c r="AO51" s="968">
        <f t="shared" si="42"/>
        <v>10.3</v>
      </c>
      <c r="AP51" s="968">
        <f t="shared" si="43"/>
        <v>0</v>
      </c>
      <c r="AQ51" s="536">
        <f t="shared" si="44"/>
        <v>-100</v>
      </c>
      <c r="AR51" s="968"/>
      <c r="AS51" s="968"/>
      <c r="AT51" s="968"/>
    </row>
    <row r="52" spans="1:46" s="576" customFormat="1" ht="18.75" customHeight="1" x14ac:dyDescent="0.3">
      <c r="A52" s="968" t="s">
        <v>327</v>
      </c>
      <c r="B52" s="176"/>
      <c r="C52" s="895"/>
      <c r="D52" s="968"/>
      <c r="E52" s="177"/>
      <c r="F52" s="976"/>
      <c r="G52" s="968"/>
      <c r="H52" s="176"/>
      <c r="I52" s="895"/>
      <c r="J52" s="968"/>
      <c r="K52" s="464"/>
      <c r="L52" s="895"/>
      <c r="M52" s="968"/>
      <c r="N52" s="177"/>
      <c r="O52" s="895"/>
      <c r="P52" s="968"/>
      <c r="Q52" s="177"/>
      <c r="R52" s="976"/>
      <c r="S52" s="968"/>
      <c r="T52" s="177"/>
      <c r="U52" s="976"/>
      <c r="V52" s="968"/>
      <c r="W52" s="177"/>
      <c r="X52" s="976"/>
      <c r="Y52" s="968"/>
      <c r="Z52" s="177"/>
      <c r="AA52" s="976"/>
      <c r="AB52" s="968"/>
      <c r="AC52" s="177"/>
      <c r="AD52" s="976"/>
      <c r="AE52" s="968"/>
      <c r="AF52" s="177"/>
      <c r="AG52" s="976"/>
      <c r="AH52" s="968"/>
      <c r="AI52" s="177"/>
      <c r="AJ52" s="976"/>
      <c r="AK52" s="968"/>
      <c r="AL52" s="177"/>
      <c r="AM52" s="976"/>
      <c r="AN52" s="968"/>
      <c r="AO52" s="968">
        <f t="shared" si="42"/>
        <v>0</v>
      </c>
      <c r="AP52" s="968">
        <f t="shared" si="43"/>
        <v>0</v>
      </c>
      <c r="AQ52" s="536" t="str">
        <f t="shared" si="44"/>
        <v xml:space="preserve">    ---- </v>
      </c>
      <c r="AR52" s="968"/>
      <c r="AS52" s="968"/>
      <c r="AT52" s="968"/>
    </row>
    <row r="53" spans="1:46" s="576" customFormat="1" ht="18.75" customHeight="1" x14ac:dyDescent="0.3">
      <c r="A53" s="968" t="s">
        <v>328</v>
      </c>
      <c r="B53" s="176"/>
      <c r="C53" s="895"/>
      <c r="D53" s="968"/>
      <c r="E53" s="177"/>
      <c r="F53" s="976"/>
      <c r="G53" s="968"/>
      <c r="H53" s="176">
        <v>1337</v>
      </c>
      <c r="I53" s="895">
        <v>0</v>
      </c>
      <c r="J53" s="536">
        <f t="shared" ref="J53:J57" si="47">IF(H53=0, "    ---- ", IF(ABS(ROUND(100/H53*I53-100,1))&lt;999,ROUND(100/H53*I53-100,1),IF(ROUND(100/H53*I53-100,1)&gt;999,999,-999)))</f>
        <v>-100</v>
      </c>
      <c r="K53" s="464"/>
      <c r="L53" s="895"/>
      <c r="M53" s="968"/>
      <c r="N53" s="177"/>
      <c r="O53" s="895"/>
      <c r="P53" s="968"/>
      <c r="Q53" s="177"/>
      <c r="R53" s="976"/>
      <c r="S53" s="968"/>
      <c r="T53" s="177"/>
      <c r="U53" s="976"/>
      <c r="V53" s="968"/>
      <c r="W53" s="177"/>
      <c r="X53" s="976"/>
      <c r="Y53" s="968"/>
      <c r="Z53" s="177"/>
      <c r="AA53" s="976"/>
      <c r="AB53" s="968"/>
      <c r="AC53" s="177"/>
      <c r="AD53" s="976"/>
      <c r="AE53" s="968"/>
      <c r="AF53" s="177"/>
      <c r="AG53" s="976"/>
      <c r="AH53" s="968"/>
      <c r="AI53" s="177"/>
      <c r="AJ53" s="976"/>
      <c r="AK53" s="968"/>
      <c r="AL53" s="177">
        <v>2200</v>
      </c>
      <c r="AM53" s="976"/>
      <c r="AN53" s="536">
        <f t="shared" ref="AN53:AN57" si="48">IF(AL53=0, "    ---- ", IF(ABS(ROUND(100/AL53*AM53-100,1))&lt;999,ROUND(100/AL53*AM53-100,1),IF(ROUND(100/AL53*AM53-100,1)&gt;999,999,-999)))</f>
        <v>-100</v>
      </c>
      <c r="AO53" s="968">
        <f t="shared" si="42"/>
        <v>3537</v>
      </c>
      <c r="AP53" s="968">
        <f t="shared" si="43"/>
        <v>0</v>
      </c>
      <c r="AQ53" s="536">
        <f t="shared" ref="AQ53:AQ57" si="49">IF(AO53=0, "    ---- ", IF(ABS(ROUND(100/AO53*AP53-100,1))&lt;999,ROUND(100/AO53*AP53-100,1),IF(ROUND(100/AO53*AP53-100,1)&gt;999,999,-999)))</f>
        <v>-100</v>
      </c>
      <c r="AR53" s="968"/>
      <c r="AS53" s="968"/>
      <c r="AT53" s="968"/>
    </row>
    <row r="54" spans="1:46" s="576" customFormat="1" ht="18.75" customHeight="1" x14ac:dyDescent="0.3">
      <c r="A54" s="968" t="s">
        <v>329</v>
      </c>
      <c r="B54" s="176"/>
      <c r="C54" s="895"/>
      <c r="D54" s="968"/>
      <c r="E54" s="177"/>
      <c r="F54" s="976"/>
      <c r="G54" s="968"/>
      <c r="H54" s="176"/>
      <c r="I54" s="895"/>
      <c r="J54" s="968"/>
      <c r="K54" s="464"/>
      <c r="L54" s="895"/>
      <c r="M54" s="968"/>
      <c r="N54" s="177"/>
      <c r="O54" s="895"/>
      <c r="P54" s="968"/>
      <c r="Q54" s="177"/>
      <c r="R54" s="976"/>
      <c r="S54" s="968"/>
      <c r="T54" s="177"/>
      <c r="U54" s="976"/>
      <c r="V54" s="968"/>
      <c r="W54" s="177"/>
      <c r="X54" s="976"/>
      <c r="Y54" s="968"/>
      <c r="Z54" s="177"/>
      <c r="AA54" s="976"/>
      <c r="AB54" s="968"/>
      <c r="AC54" s="177"/>
      <c r="AD54" s="976"/>
      <c r="AE54" s="968"/>
      <c r="AF54" s="177"/>
      <c r="AG54" s="976"/>
      <c r="AH54" s="968"/>
      <c r="AI54" s="177"/>
      <c r="AJ54" s="976">
        <v>-34.838000000000001</v>
      </c>
      <c r="AK54" s="536" t="str">
        <f t="shared" ref="AK54:AK57" si="50">IF(AI54=0, "    ---- ", IF(ABS(ROUND(100/AI54*AJ54-100,1))&lt;999,ROUND(100/AI54*AJ54-100,1),IF(ROUND(100/AI54*AJ54-100,1)&gt;999,999,-999)))</f>
        <v xml:space="preserve">    ---- </v>
      </c>
      <c r="AL54" s="177"/>
      <c r="AM54" s="976">
        <v>2222</v>
      </c>
      <c r="AN54" s="536" t="str">
        <f t="shared" si="48"/>
        <v xml:space="preserve">    ---- </v>
      </c>
      <c r="AO54" s="968">
        <f t="shared" si="42"/>
        <v>0</v>
      </c>
      <c r="AP54" s="968">
        <f t="shared" si="43"/>
        <v>2187.1619999999998</v>
      </c>
      <c r="AQ54" s="536" t="str">
        <f t="shared" si="49"/>
        <v xml:space="preserve">    ---- </v>
      </c>
      <c r="AR54" s="968"/>
      <c r="AS54" s="968"/>
      <c r="AT54" s="968"/>
    </row>
    <row r="55" spans="1:46" s="576" customFormat="1" ht="18.75" customHeight="1" x14ac:dyDescent="0.3">
      <c r="A55" s="968" t="s">
        <v>330</v>
      </c>
      <c r="B55" s="176">
        <v>130.80699999999999</v>
      </c>
      <c r="C55" s="895">
        <v>98.272000000000006</v>
      </c>
      <c r="D55" s="536">
        <f t="shared" ref="D55:D57" si="51">IF(B55=0, "    ---- ", IF(ABS(ROUND(100/B55*C55-100,1))&lt;999,ROUND(100/B55*C55-100,1),IF(ROUND(100/B55*C55-100,1)&gt;999,999,-999)))</f>
        <v>-24.9</v>
      </c>
      <c r="E55" s="177"/>
      <c r="F55" s="976">
        <v>-18.2</v>
      </c>
      <c r="G55" s="536" t="str">
        <f t="shared" ref="G55:G57" si="52">IF(E55=0, "    ---- ", IF(ABS(ROUND(100/E55*F55-100,1))&lt;999,ROUND(100/E55*F55-100,1),IF(ROUND(100/E55*F55-100,1)&gt;999,999,-999)))</f>
        <v xml:space="preserve">    ---- </v>
      </c>
      <c r="H55" s="176">
        <f>114+6+9</f>
        <v>129</v>
      </c>
      <c r="I55" s="895">
        <v>2459.6317427000049</v>
      </c>
      <c r="J55" s="536">
        <f t="shared" si="47"/>
        <v>999</v>
      </c>
      <c r="K55" s="464"/>
      <c r="L55" s="895"/>
      <c r="M55" s="968"/>
      <c r="N55" s="177">
        <v>123.6</v>
      </c>
      <c r="O55" s="895">
        <v>268.39699999999999</v>
      </c>
      <c r="P55" s="536">
        <f t="shared" ref="P55:P57" si="53">IF(N55=0, "    ---- ", IF(ABS(ROUND(100/N55*O55-100,1))&lt;999,ROUND(100/N55*O55-100,1),IF(ROUND(100/N55*O55-100,1)&gt;999,999,-999)))</f>
        <v>117.1</v>
      </c>
      <c r="Q55" s="177">
        <v>148</v>
      </c>
      <c r="R55" s="976">
        <v>124</v>
      </c>
      <c r="S55" s="536">
        <f t="shared" ref="S55:S57" si="54">IF(Q55=0, "    ---- ", IF(ABS(ROUND(100/Q55*R55-100,1))&lt;999,ROUND(100/Q55*R55-100,1),IF(ROUND(100/Q55*R55-100,1)&gt;999,999,-999)))</f>
        <v>-16.2</v>
      </c>
      <c r="T55" s="177"/>
      <c r="U55" s="976"/>
      <c r="V55" s="968"/>
      <c r="W55" s="177"/>
      <c r="X55" s="976"/>
      <c r="Y55" s="968"/>
      <c r="Z55" s="177"/>
      <c r="AA55" s="976">
        <v>642</v>
      </c>
      <c r="AB55" s="536" t="str">
        <f t="shared" ref="AB55:AB57" si="55">IF(Z55=0, "    ---- ", IF(ABS(ROUND(100/Z55*AA55-100,1))&lt;999,ROUND(100/Z55*AA55-100,1),IF(ROUND(100/Z55*AA55-100,1)&gt;999,999,-999)))</f>
        <v xml:space="preserve">    ---- </v>
      </c>
      <c r="AC55" s="177"/>
      <c r="AD55" s="976"/>
      <c r="AE55" s="968"/>
      <c r="AF55" s="177"/>
      <c r="AG55" s="976"/>
      <c r="AH55" s="968"/>
      <c r="AI55" s="177">
        <v>-943.66200000000003</v>
      </c>
      <c r="AJ55" s="976">
        <v>-198.88399999999999</v>
      </c>
      <c r="AK55" s="536">
        <f t="shared" si="50"/>
        <v>-78.900000000000006</v>
      </c>
      <c r="AL55" s="177">
        <f>-2200+1816</f>
        <v>-384</v>
      </c>
      <c r="AM55" s="976">
        <v>-478</v>
      </c>
      <c r="AN55" s="536">
        <f t="shared" si="48"/>
        <v>24.5</v>
      </c>
      <c r="AO55" s="968">
        <f t="shared" si="42"/>
        <v>-796.255</v>
      </c>
      <c r="AP55" s="968">
        <f t="shared" si="43"/>
        <v>2897.2167427000049</v>
      </c>
      <c r="AQ55" s="536">
        <f t="shared" si="49"/>
        <v>-463.9</v>
      </c>
      <c r="AR55" s="968"/>
      <c r="AS55" s="968"/>
      <c r="AT55" s="968"/>
    </row>
    <row r="56" spans="1:46" s="576" customFormat="1" ht="18.75" customHeight="1" x14ac:dyDescent="0.3">
      <c r="A56" s="968" t="s">
        <v>331</v>
      </c>
      <c r="B56" s="176">
        <f>B53+B54+B55</f>
        <v>130.80699999999999</v>
      </c>
      <c r="C56" s="895">
        <f>C53+C54+C55</f>
        <v>98.272000000000006</v>
      </c>
      <c r="D56" s="536">
        <f t="shared" si="51"/>
        <v>-24.9</v>
      </c>
      <c r="E56" s="177">
        <f t="shared" ref="E56:F56" si="56">E53+E54+E55</f>
        <v>0</v>
      </c>
      <c r="F56" s="976">
        <f t="shared" si="56"/>
        <v>-18.2</v>
      </c>
      <c r="G56" s="536" t="str">
        <f t="shared" si="52"/>
        <v xml:space="preserve">    ---- </v>
      </c>
      <c r="H56" s="176">
        <f t="shared" ref="H56:I56" si="57">H53+H54+H55</f>
        <v>1466</v>
      </c>
      <c r="I56" s="895">
        <f t="shared" si="57"/>
        <v>2459.6317427000049</v>
      </c>
      <c r="J56" s="536">
        <f t="shared" si="47"/>
        <v>67.8</v>
      </c>
      <c r="K56" s="464"/>
      <c r="L56" s="895">
        <f t="shared" ref="L56" si="58">L53+L54+L55</f>
        <v>0</v>
      </c>
      <c r="M56" s="968"/>
      <c r="N56" s="176">
        <f t="shared" ref="N56:O56" si="59">N53+N54+N55</f>
        <v>123.6</v>
      </c>
      <c r="O56" s="895">
        <f t="shared" si="59"/>
        <v>268.39699999999999</v>
      </c>
      <c r="P56" s="536">
        <f t="shared" si="53"/>
        <v>117.1</v>
      </c>
      <c r="Q56" s="177">
        <f t="shared" ref="Q56:R56" si="60">Q53+Q54+Q55</f>
        <v>148</v>
      </c>
      <c r="R56" s="976">
        <f t="shared" si="60"/>
        <v>124</v>
      </c>
      <c r="S56" s="536">
        <f t="shared" si="54"/>
        <v>-16.2</v>
      </c>
      <c r="T56" s="177"/>
      <c r="U56" s="976"/>
      <c r="V56" s="968"/>
      <c r="W56" s="177"/>
      <c r="X56" s="976"/>
      <c r="Y56" s="968"/>
      <c r="Z56" s="177"/>
      <c r="AA56" s="976">
        <f t="shared" ref="AA56" si="61">AA53+AA54+AA55</f>
        <v>642</v>
      </c>
      <c r="AB56" s="536" t="str">
        <f t="shared" si="55"/>
        <v xml:space="preserve">    ---- </v>
      </c>
      <c r="AC56" s="177"/>
      <c r="AD56" s="976"/>
      <c r="AE56" s="968"/>
      <c r="AF56" s="177"/>
      <c r="AG56" s="976"/>
      <c r="AH56" s="968"/>
      <c r="AI56" s="177">
        <f t="shared" ref="AI56:AJ56" si="62">AI53+AI54+AI55</f>
        <v>-943.66200000000003</v>
      </c>
      <c r="AJ56" s="976">
        <f t="shared" si="62"/>
        <v>-233.72199999999998</v>
      </c>
      <c r="AK56" s="536">
        <f t="shared" si="50"/>
        <v>-75.2</v>
      </c>
      <c r="AL56" s="177">
        <f t="shared" ref="AL56:AM56" si="63">AL53+AL54+AL55</f>
        <v>1816</v>
      </c>
      <c r="AM56" s="976">
        <f t="shared" si="63"/>
        <v>1744</v>
      </c>
      <c r="AN56" s="536">
        <f t="shared" si="48"/>
        <v>-4</v>
      </c>
      <c r="AO56" s="968">
        <f t="shared" si="42"/>
        <v>2740.7449999999999</v>
      </c>
      <c r="AP56" s="968">
        <f t="shared" si="43"/>
        <v>5084.3787427000052</v>
      </c>
      <c r="AQ56" s="536">
        <f t="shared" si="49"/>
        <v>85.5</v>
      </c>
      <c r="AR56" s="968"/>
      <c r="AS56" s="968"/>
      <c r="AT56" s="968"/>
    </row>
    <row r="57" spans="1:46" s="575" customFormat="1" ht="18.75" customHeight="1" x14ac:dyDescent="0.3">
      <c r="A57" s="969" t="s">
        <v>332</v>
      </c>
      <c r="B57" s="896">
        <f>B51+B56</f>
        <v>130.80699999999999</v>
      </c>
      <c r="C57" s="897">
        <f>C51+C56</f>
        <v>98.272000000000006</v>
      </c>
      <c r="D57" s="792">
        <f t="shared" si="51"/>
        <v>-24.9</v>
      </c>
      <c r="E57" s="977">
        <f t="shared" ref="E57:F57" si="64">E51+E56</f>
        <v>10.3</v>
      </c>
      <c r="F57" s="978">
        <f t="shared" si="64"/>
        <v>-18.2</v>
      </c>
      <c r="G57" s="792">
        <f t="shared" si="52"/>
        <v>-276.7</v>
      </c>
      <c r="H57" s="896">
        <f t="shared" ref="H57:I57" si="65">H51+H56</f>
        <v>1466</v>
      </c>
      <c r="I57" s="897">
        <f t="shared" si="65"/>
        <v>2459.6317427000049</v>
      </c>
      <c r="J57" s="792">
        <f t="shared" si="47"/>
        <v>67.8</v>
      </c>
      <c r="K57" s="982"/>
      <c r="L57" s="897">
        <f t="shared" ref="L57" si="66">L51+L56</f>
        <v>0</v>
      </c>
      <c r="M57" s="969"/>
      <c r="N57" s="896">
        <f t="shared" ref="N57:O57" si="67">N51+N56</f>
        <v>123.6</v>
      </c>
      <c r="O57" s="897">
        <f t="shared" si="67"/>
        <v>268.39699999999999</v>
      </c>
      <c r="P57" s="792">
        <f t="shared" si="53"/>
        <v>117.1</v>
      </c>
      <c r="Q57" s="977">
        <f t="shared" ref="Q57:R57" si="68">Q51+Q56</f>
        <v>148</v>
      </c>
      <c r="R57" s="978">
        <f t="shared" si="68"/>
        <v>124</v>
      </c>
      <c r="S57" s="792">
        <f t="shared" si="54"/>
        <v>-16.2</v>
      </c>
      <c r="T57" s="977"/>
      <c r="U57" s="978"/>
      <c r="V57" s="969"/>
      <c r="W57" s="977"/>
      <c r="X57" s="978"/>
      <c r="Y57" s="969"/>
      <c r="Z57" s="977"/>
      <c r="AA57" s="978">
        <f t="shared" ref="AA57" si="69">AA51+AA56</f>
        <v>642</v>
      </c>
      <c r="AB57" s="792" t="str">
        <f t="shared" si="55"/>
        <v xml:space="preserve">    ---- </v>
      </c>
      <c r="AC57" s="977"/>
      <c r="AD57" s="978"/>
      <c r="AE57" s="969"/>
      <c r="AF57" s="977"/>
      <c r="AG57" s="978"/>
      <c r="AH57" s="969"/>
      <c r="AI57" s="977">
        <f t="shared" ref="AI57:AJ57" si="70">AI51+AI56</f>
        <v>-943.66200000000003</v>
      </c>
      <c r="AJ57" s="978">
        <f t="shared" si="70"/>
        <v>-233.72199999999998</v>
      </c>
      <c r="AK57" s="792">
        <f t="shared" si="50"/>
        <v>-75.2</v>
      </c>
      <c r="AL57" s="977">
        <f t="shared" ref="AL57:AM57" si="71">AL51+AL56</f>
        <v>1816</v>
      </c>
      <c r="AM57" s="978">
        <f t="shared" si="71"/>
        <v>1744</v>
      </c>
      <c r="AN57" s="792">
        <f t="shared" si="48"/>
        <v>-4</v>
      </c>
      <c r="AO57" s="969">
        <f t="shared" si="42"/>
        <v>2751.0450000000001</v>
      </c>
      <c r="AP57" s="969">
        <f t="shared" si="43"/>
        <v>5084.3787427000052</v>
      </c>
      <c r="AQ57" s="792">
        <f t="shared" si="49"/>
        <v>84.8</v>
      </c>
      <c r="AR57" s="969"/>
      <c r="AS57" s="969"/>
      <c r="AT57" s="969"/>
    </row>
    <row r="58" spans="1:46" s="578" customFormat="1" ht="18.75" customHeight="1" x14ac:dyDescent="0.3">
      <c r="A58" s="563" t="s">
        <v>250</v>
      </c>
      <c r="B58" s="563"/>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7"/>
      <c r="AL58" s="577"/>
      <c r="AM58" s="577"/>
      <c r="AN58" s="577"/>
      <c r="AO58" s="577"/>
      <c r="AP58" s="577"/>
      <c r="AQ58" s="577"/>
      <c r="AR58" s="577"/>
      <c r="AS58" s="577"/>
    </row>
    <row r="59" spans="1:46" s="578" customFormat="1" ht="18.75" customHeight="1" x14ac:dyDescent="0.3">
      <c r="A59" s="563" t="s">
        <v>251</v>
      </c>
    </row>
    <row r="60" spans="1:46" s="578" customFormat="1" ht="18.75" customHeight="1" x14ac:dyDescent="0.3">
      <c r="A60" s="563" t="s">
        <v>252</v>
      </c>
    </row>
    <row r="61" spans="1:46" s="578" customFormat="1" ht="18.75" x14ac:dyDescent="0.3"/>
  </sheetData>
  <mergeCells count="28">
    <mergeCell ref="W5:Y5"/>
    <mergeCell ref="K5:M5"/>
    <mergeCell ref="B5:D5"/>
    <mergeCell ref="H5:J5"/>
    <mergeCell ref="N5:P5"/>
    <mergeCell ref="Q5:S5"/>
    <mergeCell ref="T5:V5"/>
    <mergeCell ref="AR6:AT6"/>
    <mergeCell ref="AR5:AT5"/>
    <mergeCell ref="B6:D6"/>
    <mergeCell ref="H6:J6"/>
    <mergeCell ref="N6:P6"/>
    <mergeCell ref="Q6:S6"/>
    <mergeCell ref="T6:V6"/>
    <mergeCell ref="W6:Y6"/>
    <mergeCell ref="E6:G6"/>
    <mergeCell ref="Z6:AB6"/>
    <mergeCell ref="AC6:AE6"/>
    <mergeCell ref="E5:G5"/>
    <mergeCell ref="AC5:AE5"/>
    <mergeCell ref="AI5:AK5"/>
    <mergeCell ref="AL5:AN5"/>
    <mergeCell ref="AO5:AQ5"/>
    <mergeCell ref="K6:M6"/>
    <mergeCell ref="AF6:AH6"/>
    <mergeCell ref="AI6:AK6"/>
    <mergeCell ref="AL6:AN6"/>
    <mergeCell ref="AO6:AQ6"/>
  </mergeCells>
  <conditionalFormatting sqref="Z29">
    <cfRule type="expression" dxfId="917" priority="116">
      <formula>#REF! ="30≠24+25+26+27+28+29"</formula>
    </cfRule>
  </conditionalFormatting>
  <conditionalFormatting sqref="Z34">
    <cfRule type="expression" dxfId="916" priority="117">
      <formula>#REF! ="35≠14+15+16+17+22+30+31+32+33+34"</formula>
    </cfRule>
  </conditionalFormatting>
  <conditionalFormatting sqref="Z45">
    <cfRule type="expression" dxfId="915" priority="118">
      <formula>#REF! ="46≠35+38+39+40+43+45"</formula>
    </cfRule>
  </conditionalFormatting>
  <conditionalFormatting sqref="Z14">
    <cfRule type="expression" dxfId="914" priority="119">
      <formula>#REF! ="14≠11+12+13"</formula>
    </cfRule>
  </conditionalFormatting>
  <conditionalFormatting sqref="Z21">
    <cfRule type="expression" dxfId="913" priority="120">
      <formula>#REF! ="22≠19+20+21"</formula>
    </cfRule>
  </conditionalFormatting>
  <conditionalFormatting sqref="B29">
    <cfRule type="expression" dxfId="912" priority="106">
      <formula>#REF! ="30≠24+25+26+27+28+29"</formula>
    </cfRule>
  </conditionalFormatting>
  <conditionalFormatting sqref="B34">
    <cfRule type="expression" dxfId="911" priority="107">
      <formula>#REF! ="35≠14+15+16+17+22+30+31+32+33+34"</formula>
    </cfRule>
  </conditionalFormatting>
  <conditionalFormatting sqref="B45">
    <cfRule type="expression" dxfId="910" priority="108">
      <formula>#REF! ="46≠35+38+39+40+43+45"</formula>
    </cfRule>
  </conditionalFormatting>
  <conditionalFormatting sqref="B14">
    <cfRule type="expression" dxfId="909" priority="109">
      <formula>#REF! ="14≠11+12+13"</formula>
    </cfRule>
  </conditionalFormatting>
  <conditionalFormatting sqref="B21">
    <cfRule type="expression" dxfId="908" priority="110">
      <formula>#REF! ="22≠19+20+21"</formula>
    </cfRule>
  </conditionalFormatting>
  <conditionalFormatting sqref="Q29">
    <cfRule type="expression" dxfId="907" priority="96">
      <formula>#REF! ="30≠24+25+26+27+28+29"</formula>
    </cfRule>
  </conditionalFormatting>
  <conditionalFormatting sqref="Q34">
    <cfRule type="expression" dxfId="906" priority="97">
      <formula>#REF! ="35≠14+15+16+17+22+30+31+32+33+34"</formula>
    </cfRule>
  </conditionalFormatting>
  <conditionalFormatting sqref="Q45">
    <cfRule type="expression" dxfId="905" priority="98">
      <formula>#REF! ="46≠35+38+39+40+43+45"</formula>
    </cfRule>
  </conditionalFormatting>
  <conditionalFormatting sqref="Q14">
    <cfRule type="expression" dxfId="904" priority="99">
      <formula>#REF! ="14≠11+12+13"</formula>
    </cfRule>
  </conditionalFormatting>
  <conditionalFormatting sqref="Q21">
    <cfRule type="expression" dxfId="903" priority="100">
      <formula>#REF! ="22≠19+20+21"</formula>
    </cfRule>
  </conditionalFormatting>
  <conditionalFormatting sqref="AL29">
    <cfRule type="expression" dxfId="902" priority="86">
      <formula>#REF! ="30≠24+25+26+27+28+29"</formula>
    </cfRule>
  </conditionalFormatting>
  <conditionalFormatting sqref="AL34">
    <cfRule type="expression" dxfId="901" priority="87">
      <formula>#REF! ="35≠14+15+16+17+22+30+31+32+33+34"</formula>
    </cfRule>
  </conditionalFormatting>
  <conditionalFormatting sqref="AL45">
    <cfRule type="expression" dxfId="900" priority="88">
      <formula>#REF! ="46≠35+38+39+40+43+45"</formula>
    </cfRule>
  </conditionalFormatting>
  <conditionalFormatting sqref="AL14">
    <cfRule type="expression" dxfId="899" priority="89">
      <formula>#REF! ="14≠11+12+13"</formula>
    </cfRule>
  </conditionalFormatting>
  <conditionalFormatting sqref="AL21">
    <cfRule type="expression" dxfId="898" priority="90">
      <formula>#REF! ="22≠19+20+21"</formula>
    </cfRule>
  </conditionalFormatting>
  <conditionalFormatting sqref="AC29">
    <cfRule type="expression" dxfId="897" priority="76">
      <formula>#REF! ="30≠24+25+26+27+28+29"</formula>
    </cfRule>
  </conditionalFormatting>
  <conditionalFormatting sqref="AC34">
    <cfRule type="expression" dxfId="896" priority="77">
      <formula>#REF! ="35≠14+15+16+17+22+30+31+32+33+34"</formula>
    </cfRule>
  </conditionalFormatting>
  <conditionalFormatting sqref="AC45">
    <cfRule type="expression" dxfId="895" priority="78">
      <formula>#REF! ="46≠35+38+39+40+43+45"</formula>
    </cfRule>
  </conditionalFormatting>
  <conditionalFormatting sqref="AC14">
    <cfRule type="expression" dxfId="894" priority="79">
      <formula>#REF! ="14≠11+12+13"</formula>
    </cfRule>
  </conditionalFormatting>
  <conditionalFormatting sqref="AC21">
    <cfRule type="expression" dxfId="893" priority="80">
      <formula>#REF! ="22≠19+20+21"</formula>
    </cfRule>
  </conditionalFormatting>
  <conditionalFormatting sqref="AI29">
    <cfRule type="expression" dxfId="892" priority="56">
      <formula>#REF! ="30≠24+25+26+27+28+29"</formula>
    </cfRule>
  </conditionalFormatting>
  <conditionalFormatting sqref="AI34">
    <cfRule type="expression" dxfId="891" priority="57">
      <formula>#REF! ="35≠14+15+16+17+22+30+31+32+33+34"</formula>
    </cfRule>
  </conditionalFormatting>
  <conditionalFormatting sqref="AI45">
    <cfRule type="expression" dxfId="890" priority="58">
      <formula>#REF! ="46≠35+38+39+40+43+45"</formula>
    </cfRule>
  </conditionalFormatting>
  <conditionalFormatting sqref="AI14">
    <cfRule type="expression" dxfId="889" priority="59">
      <formula>#REF! ="14≠11+12+13"</formula>
    </cfRule>
  </conditionalFormatting>
  <conditionalFormatting sqref="AI21">
    <cfRule type="expression" dxfId="888" priority="60">
      <formula>#REF! ="22≠19+20+21"</formula>
    </cfRule>
  </conditionalFormatting>
  <conditionalFormatting sqref="N29">
    <cfRule type="expression" dxfId="887" priority="46">
      <formula>#REF! ="30≠24+25+26+27+28+29"</formula>
    </cfRule>
  </conditionalFormatting>
  <conditionalFormatting sqref="N34">
    <cfRule type="expression" dxfId="886" priority="47">
      <formula>#REF! ="35≠14+15+16+17+22+30+31+32+33+34"</formula>
    </cfRule>
  </conditionalFormatting>
  <conditionalFormatting sqref="N45">
    <cfRule type="expression" dxfId="885" priority="48">
      <formula>#REF! ="46≠35+38+39+40+43+45"</formula>
    </cfRule>
  </conditionalFormatting>
  <conditionalFormatting sqref="N14">
    <cfRule type="expression" dxfId="884" priority="49">
      <formula>#REF! ="14≠11+12+13"</formula>
    </cfRule>
  </conditionalFormatting>
  <conditionalFormatting sqref="N21">
    <cfRule type="expression" dxfId="883" priority="50">
      <formula>#REF! ="22≠19+20+21"</formula>
    </cfRule>
  </conditionalFormatting>
  <conditionalFormatting sqref="T29">
    <cfRule type="expression" dxfId="882" priority="36">
      <formula>#REF! ="30≠24+25+26+27+28+29"</formula>
    </cfRule>
  </conditionalFormatting>
  <conditionalFormatting sqref="T34">
    <cfRule type="expression" dxfId="881" priority="37">
      <formula>#REF! ="35≠14+15+16+17+22+30+31+32+33+34"</formula>
    </cfRule>
  </conditionalFormatting>
  <conditionalFormatting sqref="T45">
    <cfRule type="expression" dxfId="880" priority="38">
      <formula>#REF! ="46≠35+38+39+40+43+45"</formula>
    </cfRule>
  </conditionalFormatting>
  <conditionalFormatting sqref="T14">
    <cfRule type="expression" dxfId="879" priority="39">
      <formula>#REF! ="14≠11+12+13"</formula>
    </cfRule>
  </conditionalFormatting>
  <conditionalFormatting sqref="T21">
    <cfRule type="expression" dxfId="878" priority="40">
      <formula>#REF! ="22≠19+20+21"</formula>
    </cfRule>
  </conditionalFormatting>
  <conditionalFormatting sqref="AF29">
    <cfRule type="expression" dxfId="877" priority="26">
      <formula>#REF! ="30≠24+25+26+27+28+29"</formula>
    </cfRule>
  </conditionalFormatting>
  <conditionalFormatting sqref="AF34">
    <cfRule type="expression" dxfId="876" priority="27">
      <formula>#REF! ="35≠14+15+16+17+22+30+31+32+33+34"</formula>
    </cfRule>
  </conditionalFormatting>
  <conditionalFormatting sqref="AF45">
    <cfRule type="expression" dxfId="875" priority="28">
      <formula>#REF! ="46≠35+38+39+40+43+45"</formula>
    </cfRule>
  </conditionalFormatting>
  <conditionalFormatting sqref="AF14">
    <cfRule type="expression" dxfId="874" priority="29">
      <formula>#REF! ="14≠11+12+13"</formula>
    </cfRule>
  </conditionalFormatting>
  <conditionalFormatting sqref="AF21">
    <cfRule type="expression" dxfId="873" priority="30">
      <formula>#REF! ="22≠19+20+21"</formula>
    </cfRule>
  </conditionalFormatting>
  <conditionalFormatting sqref="E29">
    <cfRule type="expression" dxfId="872" priority="16">
      <formula>#REF! ="30≠24+25+26+27+28+29"</formula>
    </cfRule>
  </conditionalFormatting>
  <conditionalFormatting sqref="E34">
    <cfRule type="expression" dxfId="871" priority="17">
      <formula>#REF! ="35≠14+15+16+17+22+30+31+32+33+34"</formula>
    </cfRule>
  </conditionalFormatting>
  <conditionalFormatting sqref="E45">
    <cfRule type="expression" dxfId="870" priority="18">
      <formula>#REF! ="46≠35+38+39+40+43+45"</formula>
    </cfRule>
  </conditionalFormatting>
  <conditionalFormatting sqref="E14">
    <cfRule type="expression" dxfId="869" priority="19">
      <formula>#REF! ="14≠11+12+13"</formula>
    </cfRule>
  </conditionalFormatting>
  <conditionalFormatting sqref="E21">
    <cfRule type="expression" dxfId="868" priority="20">
      <formula>#REF! ="22≠19+20+21"</formula>
    </cfRule>
  </conditionalFormatting>
  <conditionalFormatting sqref="H29">
    <cfRule type="expression" dxfId="867" priority="6">
      <formula>#REF! ="30≠24+25+26+27+28+29"</formula>
    </cfRule>
  </conditionalFormatting>
  <conditionalFormatting sqref="H34">
    <cfRule type="expression" dxfId="866" priority="7">
      <formula>#REF! ="35≠14+15+16+17+22+30+31+32+33+34"</formula>
    </cfRule>
  </conditionalFormatting>
  <conditionalFormatting sqref="H45">
    <cfRule type="expression" dxfId="865" priority="8">
      <formula>#REF! ="46≠35+38+39+40+43+45"</formula>
    </cfRule>
  </conditionalFormatting>
  <conditionalFormatting sqref="H14">
    <cfRule type="expression" dxfId="864" priority="9">
      <formula>#REF! ="14≠11+12+13"</formula>
    </cfRule>
  </conditionalFormatting>
  <conditionalFormatting sqref="H21">
    <cfRule type="expression" dxfId="863" priority="10">
      <formula>#REF! ="22≠19+20+21"</formula>
    </cfRule>
  </conditionalFormatting>
  <conditionalFormatting sqref="AR29:AS29 AA29 C29 R29 AM29 AD29 W29:X29 AJ29 O29 U29 AG29 F29 I29 K29:L29">
    <cfRule type="expression" dxfId="862" priority="1082">
      <formula>#REF! ="30≠24+25+26+27+28+29"</formula>
    </cfRule>
  </conditionalFormatting>
  <conditionalFormatting sqref="AR34:AS34 AO34:AP34 AO45:AP45 AA34 C34 R34 AM34 AD34 W34:X34 AJ34 O34 U34 AG34 F34 I34 K34:L34">
    <cfRule type="expression" dxfId="861" priority="1083">
      <formula>#REF! ="35≠14+15+16+17+22+30+31+32+33+34"</formula>
    </cfRule>
  </conditionalFormatting>
  <conditionalFormatting sqref="AR45:AS45 AA45 C45 R45 AM45 AD45 W45:X45 AJ45 O45 U45 AG45 F45 I45 K45:L45">
    <cfRule type="expression" dxfId="860" priority="1085">
      <formula>#REF! ="46≠35+38+39+40+43+45"</formula>
    </cfRule>
  </conditionalFormatting>
  <conditionalFormatting sqref="AA14 C14 R14 AM14 AD14 W14:X14 AJ14 O14 U14 AG14 F14 I14 K14:L14">
    <cfRule type="expression" dxfId="859" priority="1089">
      <formula>#REF! ="14≠11+12+13"</formula>
    </cfRule>
  </conditionalFormatting>
  <conditionalFormatting sqref="AA21 C21 R21 AM21 AD21 W21:X21 AJ21 O21 U21 AG21 F21 I21 K21:L21">
    <cfRule type="expression" dxfId="858" priority="1090">
      <formula>#REF! ="22≠19+20+21"</formula>
    </cfRule>
  </conditionalFormatting>
  <hyperlinks>
    <hyperlink ref="B1" location="Innhold!A1" display="Tilbake" xr:uid="{00000000-0004-0000-1E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U190"/>
  <sheetViews>
    <sheetView showGridLines="0" zoomScale="80" zoomScaleNormal="80" workbookViewId="0">
      <pane xSplit="1" ySplit="9" topLeftCell="B10" activePane="bottomRight" state="frozen"/>
      <selection activeCell="AU39" sqref="AU39"/>
      <selection pane="topRight" activeCell="AU39" sqref="AU39"/>
      <selection pane="bottomLeft" activeCell="AU39" sqref="AU39"/>
      <selection pane="bottomRight" activeCell="A5" sqref="A5"/>
    </sheetView>
  </sheetViews>
  <sheetFormatPr baseColWidth="10" defaultColWidth="11.42578125" defaultRowHeight="12.75" x14ac:dyDescent="0.2"/>
  <cols>
    <col min="1" max="1" width="68.5703125" style="582" customWidth="1"/>
    <col min="2" max="46" width="11.7109375" style="582" customWidth="1"/>
    <col min="47" max="47" width="14.7109375" style="582" bestFit="1" customWidth="1"/>
    <col min="48" max="16384" width="11.42578125" style="582"/>
  </cols>
  <sheetData>
    <row r="1" spans="1:47" ht="20.25" customHeight="1" x14ac:dyDescent="0.3">
      <c r="A1" s="580" t="s">
        <v>170</v>
      </c>
      <c r="B1" s="474" t="s">
        <v>52</v>
      </c>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1"/>
      <c r="AS1" s="581"/>
      <c r="AT1" s="581"/>
      <c r="AU1" s="581"/>
    </row>
    <row r="2" spans="1:47" ht="20.100000000000001" customHeight="1" x14ac:dyDescent="0.3">
      <c r="A2" s="583" t="s">
        <v>256</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1"/>
      <c r="AH2" s="581"/>
      <c r="AI2" s="581"/>
      <c r="AJ2" s="581"/>
      <c r="AK2" s="581"/>
      <c r="AL2" s="581"/>
      <c r="AM2" s="581"/>
      <c r="AN2" s="581"/>
      <c r="AO2" s="581"/>
      <c r="AP2" s="581"/>
      <c r="AQ2" s="581"/>
      <c r="AR2" s="581"/>
      <c r="AS2" s="581"/>
      <c r="AT2" s="581"/>
      <c r="AU2" s="581"/>
    </row>
    <row r="3" spans="1:47" ht="20.100000000000001" customHeight="1" x14ac:dyDescent="0.3">
      <c r="A3" s="584" t="s">
        <v>363</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row>
    <row r="4" spans="1:47" ht="20.100000000000001" customHeight="1" x14ac:dyDescent="0.3">
      <c r="A4" s="585" t="s">
        <v>364</v>
      </c>
      <c r="B4" s="581"/>
      <c r="C4" s="581"/>
      <c r="D4" s="581"/>
      <c r="E4" s="581"/>
      <c r="F4" s="581"/>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1"/>
      <c r="AG4" s="581"/>
      <c r="AH4" s="581"/>
      <c r="AI4" s="581"/>
      <c r="AJ4" s="581"/>
      <c r="AK4" s="581"/>
      <c r="AL4" s="581"/>
      <c r="AM4" s="581"/>
      <c r="AN4" s="581"/>
      <c r="AO4" s="581"/>
      <c r="AP4" s="581"/>
      <c r="AQ4" s="581"/>
      <c r="AR4" s="581"/>
      <c r="AS4" s="581"/>
      <c r="AT4" s="581"/>
      <c r="AU4" s="581"/>
    </row>
    <row r="5" spans="1:47" ht="18.75" customHeight="1" x14ac:dyDescent="0.3">
      <c r="A5" s="586" t="s">
        <v>360</v>
      </c>
      <c r="B5" s="587"/>
      <c r="C5" s="587"/>
      <c r="D5" s="588"/>
      <c r="E5" s="589"/>
      <c r="F5" s="587"/>
      <c r="G5" s="588"/>
      <c r="H5" s="589"/>
      <c r="I5" s="587"/>
      <c r="J5" s="588"/>
      <c r="K5" s="589"/>
      <c r="L5" s="587"/>
      <c r="M5" s="588"/>
      <c r="N5" s="589"/>
      <c r="O5" s="587"/>
      <c r="P5" s="588"/>
      <c r="Q5" s="587"/>
      <c r="R5" s="587"/>
      <c r="S5" s="587"/>
      <c r="T5" s="589"/>
      <c r="U5" s="587"/>
      <c r="V5" s="588"/>
      <c r="W5" s="589"/>
      <c r="X5" s="587"/>
      <c r="Y5" s="588"/>
      <c r="Z5" s="589"/>
      <c r="AA5" s="587"/>
      <c r="AB5" s="588"/>
      <c r="AC5" s="589"/>
      <c r="AD5" s="587"/>
      <c r="AE5" s="588"/>
      <c r="AF5" s="589"/>
      <c r="AG5" s="587"/>
      <c r="AH5" s="588"/>
      <c r="AI5" s="589"/>
      <c r="AJ5" s="587"/>
      <c r="AK5" s="588"/>
      <c r="AL5" s="589"/>
      <c r="AM5" s="587"/>
      <c r="AN5" s="588"/>
      <c r="AO5" s="589"/>
      <c r="AP5" s="587"/>
      <c r="AQ5" s="588"/>
      <c r="AR5" s="589"/>
      <c r="AS5" s="587"/>
      <c r="AT5" s="588"/>
      <c r="AU5" s="581"/>
    </row>
    <row r="6" spans="1:47" ht="18.75" customHeight="1" x14ac:dyDescent="0.3">
      <c r="A6" s="590" t="s">
        <v>99</v>
      </c>
      <c r="B6" s="1050" t="s">
        <v>173</v>
      </c>
      <c r="C6" s="1051"/>
      <c r="D6" s="1052"/>
      <c r="E6" s="1050" t="s">
        <v>174</v>
      </c>
      <c r="F6" s="1051"/>
      <c r="G6" s="1052"/>
      <c r="H6" s="1050" t="s">
        <v>174</v>
      </c>
      <c r="I6" s="1051"/>
      <c r="J6" s="1052"/>
      <c r="K6" s="1050" t="s">
        <v>487</v>
      </c>
      <c r="L6" s="1051"/>
      <c r="M6" s="1052"/>
      <c r="N6" s="1050" t="s">
        <v>175</v>
      </c>
      <c r="O6" s="1051"/>
      <c r="P6" s="1052"/>
      <c r="Q6" s="1050" t="s">
        <v>176</v>
      </c>
      <c r="R6" s="1051"/>
      <c r="S6" s="1052"/>
      <c r="T6" s="1050" t="s">
        <v>177</v>
      </c>
      <c r="U6" s="1051"/>
      <c r="V6" s="1052"/>
      <c r="W6" s="944" t="s">
        <v>177</v>
      </c>
      <c r="X6" s="945"/>
      <c r="Y6" s="946"/>
      <c r="Z6" s="888"/>
      <c r="AA6" s="889"/>
      <c r="AB6" s="890"/>
      <c r="AC6" s="1050" t="s">
        <v>178</v>
      </c>
      <c r="AD6" s="1051"/>
      <c r="AE6" s="1052"/>
      <c r="AF6" s="959"/>
      <c r="AG6" s="960"/>
      <c r="AH6" s="961"/>
      <c r="AI6" s="1050"/>
      <c r="AJ6" s="1051"/>
      <c r="AK6" s="1052"/>
      <c r="AL6" s="1050" t="s">
        <v>72</v>
      </c>
      <c r="AM6" s="1051"/>
      <c r="AN6" s="1052"/>
      <c r="AO6" s="1053" t="s">
        <v>2</v>
      </c>
      <c r="AP6" s="1054"/>
      <c r="AQ6" s="1055"/>
      <c r="AR6" s="1050" t="s">
        <v>2</v>
      </c>
      <c r="AS6" s="1051"/>
      <c r="AT6" s="1052"/>
      <c r="AU6" s="581"/>
    </row>
    <row r="7" spans="1:47" ht="21" customHeight="1" x14ac:dyDescent="0.3">
      <c r="A7" s="591"/>
      <c r="B7" s="1047" t="s">
        <v>179</v>
      </c>
      <c r="C7" s="1048"/>
      <c r="D7" s="1049"/>
      <c r="E7" s="1047" t="s">
        <v>498</v>
      </c>
      <c r="F7" s="1048"/>
      <c r="G7" s="1049"/>
      <c r="H7" s="1047" t="s">
        <v>180</v>
      </c>
      <c r="I7" s="1048"/>
      <c r="J7" s="1049"/>
      <c r="K7" s="1047" t="s">
        <v>180</v>
      </c>
      <c r="L7" s="1048"/>
      <c r="M7" s="1049"/>
      <c r="N7" s="1047" t="s">
        <v>180</v>
      </c>
      <c r="O7" s="1048"/>
      <c r="P7" s="1049"/>
      <c r="Q7" s="1047" t="s">
        <v>181</v>
      </c>
      <c r="R7" s="1048"/>
      <c r="S7" s="1049"/>
      <c r="T7" s="1047" t="s">
        <v>90</v>
      </c>
      <c r="U7" s="1048"/>
      <c r="V7" s="1049"/>
      <c r="W7" s="1047" t="s">
        <v>63</v>
      </c>
      <c r="X7" s="1048"/>
      <c r="Y7" s="1049"/>
      <c r="Z7" s="1047" t="s">
        <v>65</v>
      </c>
      <c r="AA7" s="1048"/>
      <c r="AB7" s="1049"/>
      <c r="AC7" s="1047" t="s">
        <v>179</v>
      </c>
      <c r="AD7" s="1048"/>
      <c r="AE7" s="1049"/>
      <c r="AF7" s="1047" t="s">
        <v>71</v>
      </c>
      <c r="AG7" s="1048"/>
      <c r="AH7" s="1049"/>
      <c r="AI7" s="1047" t="s">
        <v>67</v>
      </c>
      <c r="AJ7" s="1048"/>
      <c r="AK7" s="1049"/>
      <c r="AL7" s="1047" t="s">
        <v>180</v>
      </c>
      <c r="AM7" s="1048"/>
      <c r="AN7" s="1049"/>
      <c r="AO7" s="1041" t="s">
        <v>284</v>
      </c>
      <c r="AP7" s="1042"/>
      <c r="AQ7" s="1043"/>
      <c r="AR7" s="1044" t="s">
        <v>285</v>
      </c>
      <c r="AS7" s="1045"/>
      <c r="AT7" s="1046"/>
      <c r="AU7" s="581"/>
    </row>
    <row r="8" spans="1:47" ht="18.75" customHeight="1" x14ac:dyDescent="0.3">
      <c r="A8" s="591"/>
      <c r="B8" s="592"/>
      <c r="C8" s="592"/>
      <c r="D8" s="593" t="s">
        <v>80</v>
      </c>
      <c r="E8" s="592"/>
      <c r="F8" s="592"/>
      <c r="G8" s="593" t="s">
        <v>80</v>
      </c>
      <c r="H8" s="592"/>
      <c r="I8" s="592"/>
      <c r="J8" s="593" t="s">
        <v>80</v>
      </c>
      <c r="K8" s="592"/>
      <c r="L8" s="592"/>
      <c r="M8" s="593" t="s">
        <v>80</v>
      </c>
      <c r="N8" s="592"/>
      <c r="O8" s="592"/>
      <c r="P8" s="593" t="s">
        <v>80</v>
      </c>
      <c r="Q8" s="592"/>
      <c r="R8" s="592"/>
      <c r="S8" s="593" t="s">
        <v>80</v>
      </c>
      <c r="T8" s="592"/>
      <c r="U8" s="592"/>
      <c r="V8" s="593" t="s">
        <v>80</v>
      </c>
      <c r="W8" s="592"/>
      <c r="X8" s="592"/>
      <c r="Y8" s="593" t="s">
        <v>80</v>
      </c>
      <c r="Z8" s="592"/>
      <c r="AA8" s="592"/>
      <c r="AB8" s="593" t="s">
        <v>80</v>
      </c>
      <c r="AC8" s="592"/>
      <c r="AD8" s="592"/>
      <c r="AE8" s="593" t="s">
        <v>80</v>
      </c>
      <c r="AF8" s="592"/>
      <c r="AG8" s="592"/>
      <c r="AH8" s="593" t="s">
        <v>80</v>
      </c>
      <c r="AI8" s="592"/>
      <c r="AJ8" s="592"/>
      <c r="AK8" s="593" t="s">
        <v>80</v>
      </c>
      <c r="AL8" s="592"/>
      <c r="AM8" s="592"/>
      <c r="AN8" s="593" t="s">
        <v>80</v>
      </c>
      <c r="AO8" s="592"/>
      <c r="AP8" s="592"/>
      <c r="AQ8" s="593" t="s">
        <v>80</v>
      </c>
      <c r="AR8" s="592"/>
      <c r="AS8" s="592"/>
      <c r="AT8" s="593" t="s">
        <v>80</v>
      </c>
      <c r="AU8" s="581"/>
    </row>
    <row r="9" spans="1:47" ht="18.75" customHeight="1" x14ac:dyDescent="0.3">
      <c r="A9" s="594" t="s">
        <v>286</v>
      </c>
      <c r="B9" s="595">
        <v>2019</v>
      </c>
      <c r="C9" s="595">
        <v>2020</v>
      </c>
      <c r="D9" s="596" t="s">
        <v>82</v>
      </c>
      <c r="E9" s="595">
        <f>$B$9</f>
        <v>2019</v>
      </c>
      <c r="F9" s="595">
        <f>$C$9</f>
        <v>2020</v>
      </c>
      <c r="G9" s="596" t="s">
        <v>82</v>
      </c>
      <c r="H9" s="595">
        <f>$B$9</f>
        <v>2019</v>
      </c>
      <c r="I9" s="595">
        <f>$C$9</f>
        <v>2020</v>
      </c>
      <c r="J9" s="596" t="s">
        <v>82</v>
      </c>
      <c r="K9" s="595">
        <f>$B$9</f>
        <v>2019</v>
      </c>
      <c r="L9" s="595">
        <f>$C$9</f>
        <v>2020</v>
      </c>
      <c r="M9" s="596" t="s">
        <v>82</v>
      </c>
      <c r="N9" s="595">
        <f>$B$9</f>
        <v>2019</v>
      </c>
      <c r="O9" s="595">
        <f>$C$9</f>
        <v>2020</v>
      </c>
      <c r="P9" s="596" t="s">
        <v>82</v>
      </c>
      <c r="Q9" s="595">
        <f>$B$9</f>
        <v>2019</v>
      </c>
      <c r="R9" s="595">
        <f>$C$9</f>
        <v>2020</v>
      </c>
      <c r="S9" s="596" t="s">
        <v>82</v>
      </c>
      <c r="T9" s="595">
        <f>$B$9</f>
        <v>2019</v>
      </c>
      <c r="U9" s="595">
        <f>$C$9</f>
        <v>2020</v>
      </c>
      <c r="V9" s="596" t="s">
        <v>82</v>
      </c>
      <c r="W9" s="595">
        <f>$B$9</f>
        <v>2019</v>
      </c>
      <c r="X9" s="595">
        <f>$C$9</f>
        <v>2020</v>
      </c>
      <c r="Y9" s="596" t="s">
        <v>82</v>
      </c>
      <c r="Z9" s="595">
        <f>$B$9</f>
        <v>2019</v>
      </c>
      <c r="AA9" s="595">
        <f>$C$9</f>
        <v>2020</v>
      </c>
      <c r="AB9" s="596" t="s">
        <v>82</v>
      </c>
      <c r="AC9" s="595">
        <f>$B$9</f>
        <v>2019</v>
      </c>
      <c r="AD9" s="595">
        <f>$C$9</f>
        <v>2020</v>
      </c>
      <c r="AE9" s="596" t="s">
        <v>82</v>
      </c>
      <c r="AF9" s="595">
        <f>$B$9</f>
        <v>2019</v>
      </c>
      <c r="AG9" s="595">
        <f>$C$9</f>
        <v>2020</v>
      </c>
      <c r="AH9" s="596" t="s">
        <v>82</v>
      </c>
      <c r="AI9" s="595">
        <f>$B$9</f>
        <v>2019</v>
      </c>
      <c r="AJ9" s="595">
        <f>$C$9</f>
        <v>2020</v>
      </c>
      <c r="AK9" s="596" t="s">
        <v>82</v>
      </c>
      <c r="AL9" s="595">
        <f>$B$9</f>
        <v>2019</v>
      </c>
      <c r="AM9" s="595">
        <f>$C$9</f>
        <v>2020</v>
      </c>
      <c r="AN9" s="596" t="s">
        <v>82</v>
      </c>
      <c r="AO9" s="595">
        <f>$B$9</f>
        <v>2019</v>
      </c>
      <c r="AP9" s="595">
        <f>$C$9</f>
        <v>2020</v>
      </c>
      <c r="AQ9" s="596" t="s">
        <v>82</v>
      </c>
      <c r="AR9" s="595">
        <f>$B$9</f>
        <v>2019</v>
      </c>
      <c r="AS9" s="595">
        <f>$C$9</f>
        <v>2020</v>
      </c>
      <c r="AT9" s="596" t="s">
        <v>82</v>
      </c>
      <c r="AU9" s="581"/>
    </row>
    <row r="10" spans="1:47" ht="18.75" customHeight="1" x14ac:dyDescent="0.3">
      <c r="A10" s="597"/>
      <c r="B10" s="898"/>
      <c r="C10" s="899"/>
      <c r="D10" s="599"/>
      <c r="E10" s="898"/>
      <c r="F10" s="899"/>
      <c r="G10" s="600"/>
      <c r="H10" s="898"/>
      <c r="I10" s="899"/>
      <c r="J10" s="600"/>
      <c r="K10" s="598"/>
      <c r="L10" s="899"/>
      <c r="M10" s="600"/>
      <c r="N10" s="898"/>
      <c r="O10" s="899"/>
      <c r="P10" s="600"/>
      <c r="Q10" s="898"/>
      <c r="R10" s="899"/>
      <c r="S10" s="599"/>
      <c r="T10" s="898"/>
      <c r="U10" s="899"/>
      <c r="V10" s="600"/>
      <c r="W10" s="898"/>
      <c r="X10" s="899"/>
      <c r="Y10" s="600"/>
      <c r="Z10" s="898"/>
      <c r="AA10" s="899"/>
      <c r="AB10" s="600"/>
      <c r="AC10" s="598"/>
      <c r="AD10" s="601"/>
      <c r="AE10" s="600"/>
      <c r="AF10" s="898"/>
      <c r="AG10" s="899"/>
      <c r="AH10" s="600"/>
      <c r="AI10" s="898"/>
      <c r="AJ10" s="899"/>
      <c r="AK10" s="600"/>
      <c r="AL10" s="898"/>
      <c r="AM10" s="899"/>
      <c r="AN10" s="600"/>
      <c r="AO10" s="599"/>
      <c r="AP10" s="599"/>
      <c r="AQ10" s="600"/>
      <c r="AR10" s="601"/>
      <c r="AS10" s="601"/>
      <c r="AT10" s="600"/>
      <c r="AU10" s="581"/>
    </row>
    <row r="11" spans="1:47" s="581" customFormat="1" ht="18.75" customHeight="1" x14ac:dyDescent="0.3">
      <c r="A11" s="602" t="s">
        <v>365</v>
      </c>
      <c r="B11" s="900"/>
      <c r="C11" s="901"/>
      <c r="D11" s="604"/>
      <c r="E11" s="900"/>
      <c r="F11" s="901"/>
      <c r="G11" s="605"/>
      <c r="H11" s="900"/>
      <c r="I11" s="901"/>
      <c r="J11" s="605"/>
      <c r="K11" s="603"/>
      <c r="L11" s="901"/>
      <c r="M11" s="605"/>
      <c r="N11" s="900"/>
      <c r="O11" s="901"/>
      <c r="P11" s="605"/>
      <c r="Q11" s="900"/>
      <c r="R11" s="901"/>
      <c r="S11" s="604"/>
      <c r="T11" s="900"/>
      <c r="U11" s="901"/>
      <c r="V11" s="605"/>
      <c r="W11" s="900"/>
      <c r="X11" s="901"/>
      <c r="Y11" s="605"/>
      <c r="Z11" s="900"/>
      <c r="AA11" s="901"/>
      <c r="AB11" s="606"/>
      <c r="AC11" s="603"/>
      <c r="AD11" s="618"/>
      <c r="AE11" s="605"/>
      <c r="AF11" s="900"/>
      <c r="AG11" s="901"/>
      <c r="AH11" s="605"/>
      <c r="AI11" s="900"/>
      <c r="AJ11" s="901"/>
      <c r="AK11" s="605"/>
      <c r="AL11" s="900"/>
      <c r="AM11" s="901"/>
      <c r="AN11" s="605"/>
      <c r="AO11" s="604"/>
      <c r="AP11" s="604"/>
      <c r="AQ11" s="605"/>
      <c r="AR11" s="607"/>
      <c r="AS11" s="607"/>
      <c r="AT11" s="605"/>
    </row>
    <row r="12" spans="1:47" s="581" customFormat="1" ht="18.75" customHeight="1" x14ac:dyDescent="0.3">
      <c r="A12" s="608" t="s">
        <v>366</v>
      </c>
      <c r="B12" s="902"/>
      <c r="C12" s="903"/>
      <c r="D12" s="610"/>
      <c r="E12" s="902"/>
      <c r="F12" s="903"/>
      <c r="G12" s="612"/>
      <c r="H12" s="902">
        <v>66.902000000000001</v>
      </c>
      <c r="I12" s="903">
        <v>-50</v>
      </c>
      <c r="J12" s="611">
        <f>IF(H12=0, "    ---- ", IF(ABS(ROUND(100/H12*I12-100,1))&lt;999,ROUND(100/H12*I12-100,1),IF(ROUND(100/H12*I12-100,1)&gt;999,999,-999)))</f>
        <v>-174.7</v>
      </c>
      <c r="K12" s="444"/>
      <c r="L12" s="903"/>
      <c r="M12" s="612"/>
      <c r="N12" s="902"/>
      <c r="O12" s="903"/>
      <c r="P12" s="612"/>
      <c r="Q12" s="902"/>
      <c r="R12" s="903"/>
      <c r="S12" s="610"/>
      <c r="T12" s="902"/>
      <c r="U12" s="903"/>
      <c r="V12" s="612"/>
      <c r="W12" s="902"/>
      <c r="X12" s="903"/>
      <c r="Y12" s="612"/>
      <c r="Z12" s="902">
        <v>11.571219999155</v>
      </c>
      <c r="AA12" s="903">
        <v>-1</v>
      </c>
      <c r="AB12" s="611">
        <f t="shared" ref="AB12:AB58" si="0">IF(Z12=0, "    ---- ", IF(ABS(ROUND(100/Z12*AA12-100,1))&lt;999,ROUND(100/Z12*AA12-100,1),IF(ROUND(100/Z12*AA12-100,1)&gt;999,999,-999)))</f>
        <v>-108.6</v>
      </c>
      <c r="AC12" s="444"/>
      <c r="AD12" s="616"/>
      <c r="AE12" s="612"/>
      <c r="AF12" s="902"/>
      <c r="AG12" s="903"/>
      <c r="AH12" s="612"/>
      <c r="AI12" s="902">
        <v>31</v>
      </c>
      <c r="AJ12" s="903">
        <v>8</v>
      </c>
      <c r="AK12" s="611">
        <f>IF(AI12=0, "    ---- ", IF(ABS(ROUND(100/AI12*AJ12-100,1))&lt;999,ROUND(100/AI12*AJ12-100,1),IF(ROUND(100/AI12*AJ12-100,1)&gt;999,999,-999)))</f>
        <v>-74.2</v>
      </c>
      <c r="AL12" s="902">
        <v>7</v>
      </c>
      <c r="AM12" s="903">
        <v>10</v>
      </c>
      <c r="AN12" s="611">
        <f>IF(AL12=0, "    ---- ", IF(ABS(ROUND(100/AL12*AM12-100,1))&lt;999,ROUND(100/AL12*AM12-100,1),IF(ROUND(100/AL12*AM12-100,1)&gt;999,999,-999)))</f>
        <v>42.9</v>
      </c>
      <c r="AO12" s="613">
        <f t="shared" ref="AO12:AO22" si="1">B12+H12+K12+N12+Q12+W12+E12+Z12+AC12+AI12+AL12</f>
        <v>116.47321999915501</v>
      </c>
      <c r="AP12" s="613">
        <f t="shared" ref="AP12:AP22" si="2">C12+I12+L12+O12+R12+X12+F12+AA12+AD12+AJ12+AM12</f>
        <v>-33</v>
      </c>
      <c r="AQ12" s="611">
        <f t="shared" ref="AQ12:AQ22" si="3">IF(AO12=0, "    ---- ", IF(ABS(ROUND(100/AO12*AP12-100,1))&lt;999,ROUND(100/AO12*AP12-100,1),IF(ROUND(100/AO12*AP12-100,1)&gt;999,999,-999)))</f>
        <v>-128.30000000000001</v>
      </c>
      <c r="AR12" s="613">
        <f t="shared" ref="AR12:AR22" si="4">+B12+H12+K12+N12+Q12+T12+W12+E12+Z12+AC12+AF12+AI12+AL12</f>
        <v>116.47321999915501</v>
      </c>
      <c r="AS12" s="613">
        <f t="shared" ref="AS12:AS22" si="5">+C12+I12+L12+O12+R12+U12+X12+F12+AA12+AD12+AG12+AJ12+AM12</f>
        <v>-33</v>
      </c>
      <c r="AT12" s="611">
        <f t="shared" ref="AT12:AT22" si="6">IF(AR12=0, "    ---- ", IF(ABS(ROUND(100/AR12*AS12-100,1))&lt;999,ROUND(100/AR12*AS12-100,1),IF(ROUND(100/AR12*AS12-100,1)&gt;999,999,-999)))</f>
        <v>-128.30000000000001</v>
      </c>
    </row>
    <row r="13" spans="1:47" s="581" customFormat="1" ht="18.75" customHeight="1" x14ac:dyDescent="0.3">
      <c r="A13" s="608" t="s">
        <v>367</v>
      </c>
      <c r="B13" s="902"/>
      <c r="C13" s="903"/>
      <c r="D13" s="610"/>
      <c r="E13" s="902"/>
      <c r="F13" s="903"/>
      <c r="G13" s="612"/>
      <c r="H13" s="902">
        <v>-5.8</v>
      </c>
      <c r="I13" s="903">
        <v>51</v>
      </c>
      <c r="J13" s="611">
        <f>IF(H13=0, "    ---- ", IF(ABS(ROUND(100/H13*I13-100,1))&lt;999,ROUND(100/H13*I13-100,1),IF(ROUND(100/H13*I13-100,1)&gt;999,999,-999)))</f>
        <v>-979.3</v>
      </c>
      <c r="K13" s="444"/>
      <c r="L13" s="903"/>
      <c r="M13" s="612"/>
      <c r="N13" s="902"/>
      <c r="O13" s="903"/>
      <c r="P13" s="612"/>
      <c r="Q13" s="902"/>
      <c r="R13" s="903"/>
      <c r="S13" s="610"/>
      <c r="T13" s="902"/>
      <c r="U13" s="903"/>
      <c r="V13" s="612"/>
      <c r="W13" s="902"/>
      <c r="X13" s="903"/>
      <c r="Y13" s="612"/>
      <c r="Z13" s="902">
        <v>-11.571219999155</v>
      </c>
      <c r="AA13" s="903">
        <v>1</v>
      </c>
      <c r="AB13" s="611">
        <f t="shared" si="0"/>
        <v>-108.6</v>
      </c>
      <c r="AC13" s="444"/>
      <c r="AD13" s="616"/>
      <c r="AE13" s="612"/>
      <c r="AF13" s="902"/>
      <c r="AG13" s="903"/>
      <c r="AH13" s="612"/>
      <c r="AI13" s="902"/>
      <c r="AJ13" s="903"/>
      <c r="AK13" s="611"/>
      <c r="AL13" s="902">
        <v>1</v>
      </c>
      <c r="AM13" s="903">
        <v>-4.5</v>
      </c>
      <c r="AN13" s="611">
        <f>IF(AL13=0, "    ---- ", IF(ABS(ROUND(100/AL13*AM13-100,1))&lt;999,ROUND(100/AL13*AM13-100,1),IF(ROUND(100/AL13*AM13-100,1)&gt;999,999,-999)))</f>
        <v>-550</v>
      </c>
      <c r="AO13" s="613">
        <f t="shared" si="1"/>
        <v>-16.371219999154999</v>
      </c>
      <c r="AP13" s="613">
        <f t="shared" si="2"/>
        <v>47.5</v>
      </c>
      <c r="AQ13" s="611">
        <f t="shared" si="3"/>
        <v>-390.1</v>
      </c>
      <c r="AR13" s="613">
        <f t="shared" si="4"/>
        <v>-16.371219999154999</v>
      </c>
      <c r="AS13" s="613">
        <f t="shared" si="5"/>
        <v>47.5</v>
      </c>
      <c r="AT13" s="611">
        <f t="shared" si="6"/>
        <v>-390.1</v>
      </c>
    </row>
    <row r="14" spans="1:47" s="581" customFormat="1" ht="18.75" customHeight="1" x14ac:dyDescent="0.3">
      <c r="A14" s="608" t="s">
        <v>368</v>
      </c>
      <c r="B14" s="902"/>
      <c r="C14" s="903"/>
      <c r="D14" s="610"/>
      <c r="E14" s="902"/>
      <c r="F14" s="903"/>
      <c r="G14" s="612"/>
      <c r="H14" s="902">
        <v>23.254000000000001</v>
      </c>
      <c r="I14" s="903">
        <v>23</v>
      </c>
      <c r="J14" s="611">
        <f>IF(H14=0, "    ---- ", IF(ABS(ROUND(100/H14*I14-100,1))&lt;999,ROUND(100/H14*I14-100,1),IF(ROUND(100/H14*I14-100,1)&gt;999,999,-999)))</f>
        <v>-1.1000000000000001</v>
      </c>
      <c r="K14" s="444"/>
      <c r="L14" s="903"/>
      <c r="M14" s="612"/>
      <c r="N14" s="902"/>
      <c r="O14" s="903"/>
      <c r="P14" s="612"/>
      <c r="Q14" s="902"/>
      <c r="R14" s="903"/>
      <c r="S14" s="610"/>
      <c r="T14" s="902"/>
      <c r="U14" s="903"/>
      <c r="V14" s="612"/>
      <c r="W14" s="902"/>
      <c r="X14" s="903"/>
      <c r="Y14" s="612"/>
      <c r="Z14" s="902">
        <v>2.8042403250731547</v>
      </c>
      <c r="AA14" s="903">
        <v>2</v>
      </c>
      <c r="AB14" s="611">
        <f t="shared" si="0"/>
        <v>-28.7</v>
      </c>
      <c r="AC14" s="444"/>
      <c r="AD14" s="616"/>
      <c r="AE14" s="612"/>
      <c r="AF14" s="902"/>
      <c r="AG14" s="903"/>
      <c r="AH14" s="612"/>
      <c r="AI14" s="902">
        <v>-4</v>
      </c>
      <c r="AJ14" s="903">
        <v>-8</v>
      </c>
      <c r="AK14" s="611">
        <f>IF(AI14=0, "    ---- ", IF(ABS(ROUND(100/AI14*AJ14-100,1))&lt;999,ROUND(100/AI14*AJ14-100,1),IF(ROUND(100/AI14*AJ14-100,1)&gt;999,999,-999)))</f>
        <v>100</v>
      </c>
      <c r="AL14" s="902">
        <v>1</v>
      </c>
      <c r="AM14" s="903">
        <v>6</v>
      </c>
      <c r="AN14" s="611">
        <f>IF(AL14=0, "    ---- ", IF(ABS(ROUND(100/AL14*AM14-100,1))&lt;999,ROUND(100/AL14*AM14-100,1),IF(ROUND(100/AL14*AM14-100,1)&gt;999,999,-999)))</f>
        <v>500</v>
      </c>
      <c r="AO14" s="613">
        <f t="shared" si="1"/>
        <v>23.058240325073157</v>
      </c>
      <c r="AP14" s="613">
        <f t="shared" si="2"/>
        <v>23</v>
      </c>
      <c r="AQ14" s="611">
        <f t="shared" si="3"/>
        <v>-0.3</v>
      </c>
      <c r="AR14" s="613">
        <f t="shared" si="4"/>
        <v>23.058240325073157</v>
      </c>
      <c r="AS14" s="613">
        <f t="shared" si="5"/>
        <v>23</v>
      </c>
      <c r="AT14" s="611">
        <f t="shared" si="6"/>
        <v>-0.3</v>
      </c>
    </row>
    <row r="15" spans="1:47" s="581" customFormat="1" ht="18.75" customHeight="1" x14ac:dyDescent="0.3">
      <c r="A15" s="608" t="s">
        <v>369</v>
      </c>
      <c r="B15" s="902"/>
      <c r="C15" s="903"/>
      <c r="D15" s="610"/>
      <c r="E15" s="902"/>
      <c r="F15" s="903"/>
      <c r="G15" s="612"/>
      <c r="H15" s="902"/>
      <c r="I15" s="903"/>
      <c r="J15" s="611"/>
      <c r="K15" s="444"/>
      <c r="L15" s="903"/>
      <c r="M15" s="612"/>
      <c r="N15" s="902"/>
      <c r="O15" s="903"/>
      <c r="P15" s="612"/>
      <c r="Q15" s="902"/>
      <c r="R15" s="903"/>
      <c r="S15" s="610"/>
      <c r="T15" s="902"/>
      <c r="U15" s="903"/>
      <c r="V15" s="612"/>
      <c r="W15" s="902"/>
      <c r="X15" s="903"/>
      <c r="Y15" s="612"/>
      <c r="Z15" s="902"/>
      <c r="AA15" s="903"/>
      <c r="AB15" s="611"/>
      <c r="AC15" s="444"/>
      <c r="AD15" s="616"/>
      <c r="AE15" s="612"/>
      <c r="AF15" s="902"/>
      <c r="AG15" s="903"/>
      <c r="AH15" s="612"/>
      <c r="AI15" s="902"/>
      <c r="AJ15" s="903"/>
      <c r="AK15" s="611"/>
      <c r="AL15" s="902"/>
      <c r="AM15" s="903"/>
      <c r="AN15" s="611"/>
      <c r="AO15" s="613">
        <f t="shared" si="1"/>
        <v>0</v>
      </c>
      <c r="AP15" s="613">
        <f t="shared" si="2"/>
        <v>0</v>
      </c>
      <c r="AQ15" s="611" t="str">
        <f t="shared" si="3"/>
        <v xml:space="preserve">    ---- </v>
      </c>
      <c r="AR15" s="613">
        <f t="shared" si="4"/>
        <v>0</v>
      </c>
      <c r="AS15" s="613">
        <f t="shared" si="5"/>
        <v>0</v>
      </c>
      <c r="AT15" s="611" t="str">
        <f t="shared" si="6"/>
        <v xml:space="preserve">    ---- </v>
      </c>
    </row>
    <row r="16" spans="1:47" s="581" customFormat="1" ht="18.75" customHeight="1" x14ac:dyDescent="0.3">
      <c r="A16" s="608" t="s">
        <v>370</v>
      </c>
      <c r="B16" s="902"/>
      <c r="C16" s="903"/>
      <c r="D16" s="610"/>
      <c r="E16" s="902"/>
      <c r="F16" s="903"/>
      <c r="G16" s="612"/>
      <c r="H16" s="902"/>
      <c r="I16" s="903"/>
      <c r="J16" s="611"/>
      <c r="K16" s="444"/>
      <c r="L16" s="903"/>
      <c r="M16" s="612"/>
      <c r="N16" s="902"/>
      <c r="O16" s="903"/>
      <c r="P16" s="612"/>
      <c r="Q16" s="902"/>
      <c r="R16" s="903"/>
      <c r="S16" s="610"/>
      <c r="T16" s="902"/>
      <c r="U16" s="903"/>
      <c r="V16" s="612"/>
      <c r="W16" s="902"/>
      <c r="X16" s="903"/>
      <c r="Y16" s="612"/>
      <c r="Z16" s="902"/>
      <c r="AA16" s="903"/>
      <c r="AB16" s="611"/>
      <c r="AC16" s="444"/>
      <c r="AD16" s="616"/>
      <c r="AE16" s="612"/>
      <c r="AF16" s="902"/>
      <c r="AG16" s="903"/>
      <c r="AH16" s="612"/>
      <c r="AI16" s="902"/>
      <c r="AJ16" s="903"/>
      <c r="AK16" s="611"/>
      <c r="AL16" s="902"/>
      <c r="AM16" s="903"/>
      <c r="AN16" s="611"/>
      <c r="AO16" s="613">
        <f t="shared" si="1"/>
        <v>0</v>
      </c>
      <c r="AP16" s="613">
        <f t="shared" si="2"/>
        <v>0</v>
      </c>
      <c r="AQ16" s="611" t="str">
        <f t="shared" si="3"/>
        <v xml:space="preserve">    ---- </v>
      </c>
      <c r="AR16" s="613">
        <f t="shared" si="4"/>
        <v>0</v>
      </c>
      <c r="AS16" s="613">
        <f t="shared" si="5"/>
        <v>0</v>
      </c>
      <c r="AT16" s="611" t="str">
        <f t="shared" si="6"/>
        <v xml:space="preserve">    ---- </v>
      </c>
    </row>
    <row r="17" spans="1:46" s="581" customFormat="1" ht="18.75" customHeight="1" x14ac:dyDescent="0.3">
      <c r="A17" s="608" t="s">
        <v>371</v>
      </c>
      <c r="B17" s="902"/>
      <c r="C17" s="903"/>
      <c r="D17" s="610"/>
      <c r="E17" s="902"/>
      <c r="F17" s="903"/>
      <c r="G17" s="612"/>
      <c r="H17" s="902">
        <v>26.367999999999999</v>
      </c>
      <c r="I17" s="903">
        <v>14</v>
      </c>
      <c r="J17" s="611">
        <f>IF(H17=0, "    ---- ", IF(ABS(ROUND(100/H17*I17-100,1))&lt;999,ROUND(100/H17*I17-100,1),IF(ROUND(100/H17*I17-100,1)&gt;999,999,-999)))</f>
        <v>-46.9</v>
      </c>
      <c r="K17" s="444"/>
      <c r="L17" s="903"/>
      <c r="M17" s="612"/>
      <c r="N17" s="902"/>
      <c r="O17" s="903"/>
      <c r="P17" s="612"/>
      <c r="Q17" s="902"/>
      <c r="R17" s="903"/>
      <c r="S17" s="610"/>
      <c r="T17" s="902"/>
      <c r="U17" s="903"/>
      <c r="V17" s="612"/>
      <c r="W17" s="902"/>
      <c r="X17" s="903"/>
      <c r="Y17" s="612"/>
      <c r="Z17" s="902">
        <v>10.514987968783025</v>
      </c>
      <c r="AA17" s="903">
        <v>4</v>
      </c>
      <c r="AB17" s="611">
        <f t="shared" si="0"/>
        <v>-62</v>
      </c>
      <c r="AC17" s="444"/>
      <c r="AD17" s="616"/>
      <c r="AE17" s="612"/>
      <c r="AF17" s="902"/>
      <c r="AG17" s="903"/>
      <c r="AH17" s="612"/>
      <c r="AI17" s="902">
        <v>-14</v>
      </c>
      <c r="AJ17" s="903">
        <v>6</v>
      </c>
      <c r="AK17" s="611">
        <f>IF(AI17=0, "    ---- ", IF(ABS(ROUND(100/AI17*AJ17-100,1))&lt;999,ROUND(100/AI17*AJ17-100,1),IF(ROUND(100/AI17*AJ17-100,1)&gt;999,999,-999)))</f>
        <v>-142.9</v>
      </c>
      <c r="AL17" s="902">
        <v>37</v>
      </c>
      <c r="AM17" s="903">
        <v>104</v>
      </c>
      <c r="AN17" s="611">
        <f>IF(AL17=0, "    ---- ", IF(ABS(ROUND(100/AL17*AM17-100,1))&lt;999,ROUND(100/AL17*AM17-100,1),IF(ROUND(100/AL17*AM17-100,1)&gt;999,999,-999)))</f>
        <v>181.1</v>
      </c>
      <c r="AO17" s="613">
        <f t="shared" si="1"/>
        <v>59.882987968783027</v>
      </c>
      <c r="AP17" s="613">
        <f t="shared" si="2"/>
        <v>128</v>
      </c>
      <c r="AQ17" s="611">
        <f t="shared" si="3"/>
        <v>113.8</v>
      </c>
      <c r="AR17" s="613">
        <f t="shared" si="4"/>
        <v>59.882987968783027</v>
      </c>
      <c r="AS17" s="613">
        <f t="shared" si="5"/>
        <v>128</v>
      </c>
      <c r="AT17" s="611">
        <f t="shared" si="6"/>
        <v>113.8</v>
      </c>
    </row>
    <row r="18" spans="1:46" s="581" customFormat="1" ht="18.75" customHeight="1" x14ac:dyDescent="0.3">
      <c r="A18" s="608" t="s">
        <v>372</v>
      </c>
      <c r="B18" s="902"/>
      <c r="C18" s="903"/>
      <c r="D18" s="610"/>
      <c r="E18" s="902"/>
      <c r="F18" s="903"/>
      <c r="G18" s="612"/>
      <c r="H18" s="902"/>
      <c r="I18" s="903"/>
      <c r="J18" s="611"/>
      <c r="K18" s="444"/>
      <c r="L18" s="903"/>
      <c r="M18" s="612"/>
      <c r="N18" s="902"/>
      <c r="O18" s="903"/>
      <c r="P18" s="612"/>
      <c r="Q18" s="902"/>
      <c r="R18" s="903"/>
      <c r="S18" s="610"/>
      <c r="T18" s="902"/>
      <c r="U18" s="903"/>
      <c r="V18" s="612"/>
      <c r="W18" s="902"/>
      <c r="X18" s="903"/>
      <c r="Y18" s="612"/>
      <c r="Z18" s="902"/>
      <c r="AA18" s="903"/>
      <c r="AB18" s="611"/>
      <c r="AC18" s="444"/>
      <c r="AD18" s="616"/>
      <c r="AE18" s="612"/>
      <c r="AF18" s="902"/>
      <c r="AG18" s="903"/>
      <c r="AH18" s="612"/>
      <c r="AI18" s="902"/>
      <c r="AJ18" s="903"/>
      <c r="AK18" s="611"/>
      <c r="AL18" s="902"/>
      <c r="AM18" s="903"/>
      <c r="AN18" s="611"/>
      <c r="AO18" s="613">
        <f t="shared" si="1"/>
        <v>0</v>
      </c>
      <c r="AP18" s="613">
        <f t="shared" si="2"/>
        <v>0</v>
      </c>
      <c r="AQ18" s="611" t="str">
        <f t="shared" si="3"/>
        <v xml:space="preserve">    ---- </v>
      </c>
      <c r="AR18" s="613">
        <f t="shared" si="4"/>
        <v>0</v>
      </c>
      <c r="AS18" s="613">
        <f t="shared" si="5"/>
        <v>0</v>
      </c>
      <c r="AT18" s="611" t="str">
        <f t="shared" si="6"/>
        <v xml:space="preserve">    ---- </v>
      </c>
    </row>
    <row r="19" spans="1:46" s="581" customFormat="1" ht="18.75" customHeight="1" x14ac:dyDescent="0.3">
      <c r="A19" s="608" t="s">
        <v>373</v>
      </c>
      <c r="B19" s="902"/>
      <c r="C19" s="903"/>
      <c r="D19" s="610"/>
      <c r="E19" s="902"/>
      <c r="F19" s="903"/>
      <c r="G19" s="612"/>
      <c r="H19" s="902"/>
      <c r="I19" s="903"/>
      <c r="J19" s="611"/>
      <c r="K19" s="444"/>
      <c r="L19" s="903"/>
      <c r="M19" s="612"/>
      <c r="N19" s="902"/>
      <c r="O19" s="903"/>
      <c r="P19" s="612"/>
      <c r="Q19" s="902"/>
      <c r="R19" s="903"/>
      <c r="S19" s="610"/>
      <c r="T19" s="902"/>
      <c r="U19" s="903"/>
      <c r="V19" s="612"/>
      <c r="W19" s="902"/>
      <c r="X19" s="903"/>
      <c r="Y19" s="612"/>
      <c r="Z19" s="902"/>
      <c r="AA19" s="903"/>
      <c r="AB19" s="611"/>
      <c r="AC19" s="444"/>
      <c r="AD19" s="616"/>
      <c r="AE19" s="612"/>
      <c r="AF19" s="902"/>
      <c r="AG19" s="903"/>
      <c r="AH19" s="612"/>
      <c r="AI19" s="902"/>
      <c r="AJ19" s="903"/>
      <c r="AK19" s="611"/>
      <c r="AL19" s="902"/>
      <c r="AM19" s="903"/>
      <c r="AN19" s="611"/>
      <c r="AO19" s="613">
        <f t="shared" si="1"/>
        <v>0</v>
      </c>
      <c r="AP19" s="613">
        <f t="shared" si="2"/>
        <v>0</v>
      </c>
      <c r="AQ19" s="611" t="str">
        <f t="shared" si="3"/>
        <v xml:space="preserve">    ---- </v>
      </c>
      <c r="AR19" s="613">
        <f t="shared" si="4"/>
        <v>0</v>
      </c>
      <c r="AS19" s="613">
        <f t="shared" si="5"/>
        <v>0</v>
      </c>
      <c r="AT19" s="611" t="str">
        <f t="shared" si="6"/>
        <v xml:space="preserve">    ---- </v>
      </c>
    </row>
    <row r="20" spans="1:46" s="615" customFormat="1" ht="18.75" customHeight="1" x14ac:dyDescent="0.3">
      <c r="A20" s="602" t="s">
        <v>374</v>
      </c>
      <c r="B20" s="900"/>
      <c r="C20" s="901"/>
      <c r="D20" s="604"/>
      <c r="E20" s="900"/>
      <c r="F20" s="901"/>
      <c r="G20" s="605"/>
      <c r="H20" s="900">
        <f>SUM(H12:H17)+H19</f>
        <v>110.724</v>
      </c>
      <c r="I20" s="901">
        <f>SUM(I12:I17)+I19</f>
        <v>38</v>
      </c>
      <c r="J20" s="606">
        <f>IF(H20=0, "    ---- ", IF(ABS(ROUND(100/H20*I20-100,1))&lt;999,ROUND(100/H20*I20-100,1),IF(ROUND(100/H20*I20-100,1)&gt;999,999,-999)))</f>
        <v>-65.7</v>
      </c>
      <c r="K20" s="603"/>
      <c r="L20" s="901"/>
      <c r="M20" s="605"/>
      <c r="N20" s="900"/>
      <c r="O20" s="901"/>
      <c r="P20" s="605"/>
      <c r="Q20" s="900"/>
      <c r="R20" s="901"/>
      <c r="S20" s="604"/>
      <c r="T20" s="900"/>
      <c r="U20" s="901"/>
      <c r="V20" s="605"/>
      <c r="W20" s="900"/>
      <c r="X20" s="901"/>
      <c r="Y20" s="605"/>
      <c r="Z20" s="900">
        <f>SUM(Z12:Z17)+Z19</f>
        <v>13.319228293856179</v>
      </c>
      <c r="AA20" s="901">
        <f>SUM(AA12:AA17)+AA19</f>
        <v>6</v>
      </c>
      <c r="AB20" s="606">
        <f t="shared" si="0"/>
        <v>-55</v>
      </c>
      <c r="AC20" s="603"/>
      <c r="AD20" s="618"/>
      <c r="AE20" s="605"/>
      <c r="AF20" s="900"/>
      <c r="AG20" s="901"/>
      <c r="AH20" s="605"/>
      <c r="AI20" s="900">
        <f>SUM(AI12:AI17)+AI19</f>
        <v>13</v>
      </c>
      <c r="AJ20" s="901">
        <f>SUM(AJ12:AJ17)+AJ19</f>
        <v>6</v>
      </c>
      <c r="AK20" s="606">
        <f>IF(AI20=0, "    ---- ", IF(ABS(ROUND(100/AI20*AJ20-100,1))&lt;999,ROUND(100/AI20*AJ20-100,1),IF(ROUND(100/AI20*AJ20-100,1)&gt;999,999,-999)))</f>
        <v>-53.8</v>
      </c>
      <c r="AL20" s="900">
        <f>SUM(AL12:AL17)+AL19</f>
        <v>46</v>
      </c>
      <c r="AM20" s="901">
        <f>SUM(AM12:AM17)+AM19</f>
        <v>115.5</v>
      </c>
      <c r="AN20" s="606">
        <f>IF(AL20=0, "    ---- ", IF(ABS(ROUND(100/AL20*AM20-100,1))&lt;999,ROUND(100/AL20*AM20-100,1),IF(ROUND(100/AL20*AM20-100,1)&gt;999,999,-999)))</f>
        <v>151.1</v>
      </c>
      <c r="AO20" s="614">
        <f t="shared" si="1"/>
        <v>183.0432282938562</v>
      </c>
      <c r="AP20" s="614">
        <f t="shared" si="2"/>
        <v>165.5</v>
      </c>
      <c r="AQ20" s="606">
        <f t="shared" si="3"/>
        <v>-9.6</v>
      </c>
      <c r="AR20" s="614">
        <f t="shared" si="4"/>
        <v>183.0432282938562</v>
      </c>
      <c r="AS20" s="614">
        <f t="shared" si="5"/>
        <v>165.5</v>
      </c>
      <c r="AT20" s="606">
        <f t="shared" si="6"/>
        <v>-9.6</v>
      </c>
    </row>
    <row r="21" spans="1:46" s="581" customFormat="1" ht="18.75" customHeight="1" x14ac:dyDescent="0.3">
      <c r="A21" s="608" t="s">
        <v>375</v>
      </c>
      <c r="B21" s="902"/>
      <c r="C21" s="903"/>
      <c r="D21" s="610"/>
      <c r="E21" s="902"/>
      <c r="F21" s="903"/>
      <c r="G21" s="612"/>
      <c r="H21" s="902">
        <v>71.966999999999999</v>
      </c>
      <c r="I21" s="903">
        <v>25</v>
      </c>
      <c r="J21" s="611">
        <f>IF(H21=0, "    ---- ", IF(ABS(ROUND(100/H21*I21-100,1))&lt;999,ROUND(100/H21*I21-100,1),IF(ROUND(100/H21*I21-100,1)&gt;999,999,-999)))</f>
        <v>-65.3</v>
      </c>
      <c r="K21" s="444"/>
      <c r="L21" s="903"/>
      <c r="M21" s="612"/>
      <c r="N21" s="902"/>
      <c r="O21" s="903"/>
      <c r="P21" s="612"/>
      <c r="Q21" s="902"/>
      <c r="R21" s="903"/>
      <c r="S21" s="610"/>
      <c r="T21" s="902"/>
      <c r="U21" s="903"/>
      <c r="V21" s="612"/>
      <c r="W21" s="902"/>
      <c r="X21" s="903"/>
      <c r="Y21" s="612"/>
      <c r="Z21" s="902">
        <v>8.6574983910065182</v>
      </c>
      <c r="AA21" s="903">
        <v>4</v>
      </c>
      <c r="AB21" s="611">
        <f t="shared" si="0"/>
        <v>-53.8</v>
      </c>
      <c r="AC21" s="444"/>
      <c r="AD21" s="616"/>
      <c r="AE21" s="612"/>
      <c r="AF21" s="902"/>
      <c r="AG21" s="903"/>
      <c r="AH21" s="612"/>
      <c r="AI21" s="902">
        <v>8</v>
      </c>
      <c r="AJ21" s="903">
        <v>4</v>
      </c>
      <c r="AK21" s="611">
        <f>IF(AI21=0, "    ---- ", IF(ABS(ROUND(100/AI21*AJ21-100,1))&lt;999,ROUND(100/AI21*AJ21-100,1),IF(ROUND(100/AI21*AJ21-100,1)&gt;999,999,-999)))</f>
        <v>-50</v>
      </c>
      <c r="AL21" s="902">
        <f>1+29</f>
        <v>30</v>
      </c>
      <c r="AM21" s="903">
        <v>75.099999999999994</v>
      </c>
      <c r="AN21" s="611">
        <f>IF(AL21=0, "    ---- ", IF(ABS(ROUND(100/AL21*AM21-100,1))&lt;999,ROUND(100/AL21*AM21-100,1),IF(ROUND(100/AL21*AM21-100,1)&gt;999,999,-999)))</f>
        <v>150.30000000000001</v>
      </c>
      <c r="AO21" s="613">
        <f t="shared" si="1"/>
        <v>118.62449839100651</v>
      </c>
      <c r="AP21" s="613">
        <f t="shared" si="2"/>
        <v>108.1</v>
      </c>
      <c r="AQ21" s="611">
        <f t="shared" si="3"/>
        <v>-8.9</v>
      </c>
      <c r="AR21" s="613">
        <f t="shared" si="4"/>
        <v>118.62449839100651</v>
      </c>
      <c r="AS21" s="613">
        <f t="shared" si="5"/>
        <v>108.1</v>
      </c>
      <c r="AT21" s="611">
        <f t="shared" si="6"/>
        <v>-8.9</v>
      </c>
    </row>
    <row r="22" spans="1:46" s="581" customFormat="1" ht="18.75" customHeight="1" x14ac:dyDescent="0.3">
      <c r="A22" s="608" t="s">
        <v>376</v>
      </c>
      <c r="B22" s="902"/>
      <c r="C22" s="903"/>
      <c r="D22" s="610"/>
      <c r="E22" s="902"/>
      <c r="F22" s="903"/>
      <c r="G22" s="612"/>
      <c r="H22" s="902">
        <v>38.752000000000002</v>
      </c>
      <c r="I22" s="903">
        <v>13</v>
      </c>
      <c r="J22" s="611">
        <f>IF(H22=0, "    ---- ", IF(ABS(ROUND(100/H22*I22-100,1))&lt;999,ROUND(100/H22*I22-100,1),IF(ROUND(100/H22*I22-100,1)&gt;999,999,-999)))</f>
        <v>-66.5</v>
      </c>
      <c r="K22" s="444"/>
      <c r="L22" s="903"/>
      <c r="M22" s="612"/>
      <c r="N22" s="902"/>
      <c r="O22" s="903"/>
      <c r="P22" s="612"/>
      <c r="Q22" s="902"/>
      <c r="R22" s="903"/>
      <c r="S22" s="610"/>
      <c r="T22" s="902"/>
      <c r="U22" s="903"/>
      <c r="V22" s="612"/>
      <c r="W22" s="902"/>
      <c r="X22" s="903"/>
      <c r="Y22" s="612"/>
      <c r="Z22" s="902">
        <v>4.661729902849661</v>
      </c>
      <c r="AA22" s="903">
        <v>2</v>
      </c>
      <c r="AB22" s="611">
        <f t="shared" si="0"/>
        <v>-57.1</v>
      </c>
      <c r="AC22" s="444"/>
      <c r="AD22" s="616"/>
      <c r="AE22" s="612"/>
      <c r="AF22" s="902"/>
      <c r="AG22" s="903"/>
      <c r="AH22" s="612"/>
      <c r="AI22" s="902">
        <v>5</v>
      </c>
      <c r="AJ22" s="903">
        <v>2</v>
      </c>
      <c r="AK22" s="611">
        <f>IF(AI22=0, "    ---- ", IF(ABS(ROUND(100/AI22*AJ22-100,1))&lt;999,ROUND(100/AI22*AJ22-100,1),IF(ROUND(100/AI22*AJ22-100,1)&gt;999,999,-999)))</f>
        <v>-60</v>
      </c>
      <c r="AL22" s="902">
        <v>16</v>
      </c>
      <c r="AM22" s="903">
        <v>40.5</v>
      </c>
      <c r="AN22" s="611">
        <f>IF(AL22=0, "    ---- ", IF(ABS(ROUND(100/AL22*AM22-100,1))&lt;999,ROUND(100/AL22*AM22-100,1),IF(ROUND(100/AL22*AM22-100,1)&gt;999,999,-999)))</f>
        <v>153.1</v>
      </c>
      <c r="AO22" s="613">
        <f t="shared" si="1"/>
        <v>64.413729902849667</v>
      </c>
      <c r="AP22" s="613">
        <f t="shared" si="2"/>
        <v>57.5</v>
      </c>
      <c r="AQ22" s="611">
        <f t="shared" si="3"/>
        <v>-10.7</v>
      </c>
      <c r="AR22" s="613">
        <f t="shared" si="4"/>
        <v>64.413729902849667</v>
      </c>
      <c r="AS22" s="613">
        <f t="shared" si="5"/>
        <v>57.5</v>
      </c>
      <c r="AT22" s="611">
        <f t="shared" si="6"/>
        <v>-10.7</v>
      </c>
    </row>
    <row r="23" spans="1:46" s="581" customFormat="1" ht="18.75" customHeight="1" x14ac:dyDescent="0.3">
      <c r="A23" s="602" t="s">
        <v>377</v>
      </c>
      <c r="B23" s="900"/>
      <c r="C23" s="901"/>
      <c r="D23" s="604"/>
      <c r="E23" s="900"/>
      <c r="F23" s="901"/>
      <c r="G23" s="605"/>
      <c r="H23" s="900"/>
      <c r="I23" s="901"/>
      <c r="J23" s="606"/>
      <c r="K23" s="603"/>
      <c r="L23" s="901"/>
      <c r="M23" s="605"/>
      <c r="N23" s="900"/>
      <c r="O23" s="901"/>
      <c r="P23" s="605"/>
      <c r="Q23" s="900"/>
      <c r="R23" s="901"/>
      <c r="S23" s="604"/>
      <c r="T23" s="900"/>
      <c r="U23" s="901"/>
      <c r="V23" s="605"/>
      <c r="W23" s="900"/>
      <c r="X23" s="901"/>
      <c r="Y23" s="605"/>
      <c r="Z23" s="900"/>
      <c r="AA23" s="901"/>
      <c r="AB23" s="606"/>
      <c r="AC23" s="603"/>
      <c r="AD23" s="618"/>
      <c r="AE23" s="605"/>
      <c r="AF23" s="900"/>
      <c r="AG23" s="901"/>
      <c r="AH23" s="605"/>
      <c r="AI23" s="900"/>
      <c r="AJ23" s="901"/>
      <c r="AK23" s="606"/>
      <c r="AL23" s="900"/>
      <c r="AM23" s="901"/>
      <c r="AN23" s="606"/>
      <c r="AO23" s="614"/>
      <c r="AP23" s="614"/>
      <c r="AQ23" s="606"/>
      <c r="AR23" s="614"/>
      <c r="AS23" s="614"/>
      <c r="AT23" s="606"/>
    </row>
    <row r="24" spans="1:46" s="581" customFormat="1" ht="18.75" customHeight="1" x14ac:dyDescent="0.3">
      <c r="A24" s="608" t="s">
        <v>366</v>
      </c>
      <c r="B24" s="902"/>
      <c r="C24" s="903"/>
      <c r="D24" s="610"/>
      <c r="E24" s="902"/>
      <c r="F24" s="903"/>
      <c r="G24" s="612"/>
      <c r="H24" s="902">
        <v>234</v>
      </c>
      <c r="I24" s="903">
        <v>-14</v>
      </c>
      <c r="J24" s="611">
        <f t="shared" ref="J24:J29" si="7">IF(H24=0, "    ---- ", IF(ABS(ROUND(100/H24*I24-100,1))&lt;999,ROUND(100/H24*I24-100,1),IF(ROUND(100/H24*I24-100,1)&gt;999,999,-999)))</f>
        <v>-106</v>
      </c>
      <c r="K24" s="444"/>
      <c r="L24" s="903"/>
      <c r="M24" s="612"/>
      <c r="N24" s="902"/>
      <c r="O24" s="903"/>
      <c r="P24" s="612"/>
      <c r="Q24" s="902"/>
      <c r="R24" s="903"/>
      <c r="S24" s="610"/>
      <c r="T24" s="902"/>
      <c r="U24" s="903"/>
      <c r="V24" s="612"/>
      <c r="W24" s="902"/>
      <c r="X24" s="903"/>
      <c r="Y24" s="612"/>
      <c r="Z24" s="902">
        <v>1.5672749133162218</v>
      </c>
      <c r="AA24" s="903">
        <v>1</v>
      </c>
      <c r="AB24" s="611">
        <f t="shared" si="0"/>
        <v>-36.200000000000003</v>
      </c>
      <c r="AC24" s="444"/>
      <c r="AD24" s="616"/>
      <c r="AE24" s="612"/>
      <c r="AF24" s="902"/>
      <c r="AG24" s="903"/>
      <c r="AH24" s="612"/>
      <c r="AI24" s="902">
        <v>-11</v>
      </c>
      <c r="AJ24" s="903">
        <v>-3</v>
      </c>
      <c r="AK24" s="611">
        <f>IF(AI24=0, "    ---- ", IF(ABS(ROUND(100/AI24*AJ24-100,1))&lt;999,ROUND(100/AI24*AJ24-100,1),IF(ROUND(100/AI24*AJ24-100,1)&gt;999,999,-999)))</f>
        <v>-72.7</v>
      </c>
      <c r="AL24" s="902"/>
      <c r="AM24" s="903"/>
      <c r="AN24" s="612"/>
      <c r="AO24" s="613">
        <f t="shared" ref="AO24:AO34" si="8">B24+H24+K24+N24+Q24+W24+E24+Z24+AC24+AI24+AL24</f>
        <v>224.56727491331623</v>
      </c>
      <c r="AP24" s="613">
        <f t="shared" ref="AP24:AP34" si="9">C24+I24+L24+O24+R24+X24+F24+AA24+AD24+AJ24+AM24</f>
        <v>-16</v>
      </c>
      <c r="AQ24" s="611">
        <f t="shared" ref="AQ24:AQ87" si="10">IF(AO24=0, "    ---- ", IF(ABS(ROUND(100/AO24*AP24-100,1))&lt;999,ROUND(100/AO24*AP24-100,1),IF(ROUND(100/AO24*AP24-100,1)&gt;999,999,-999)))</f>
        <v>-107.1</v>
      </c>
      <c r="AR24" s="613">
        <f t="shared" ref="AR24:AR34" si="11">+B24+H24+K24+N24+Q24+T24+W24+E24+Z24+AC24+AF24+AI24+AL24</f>
        <v>224.56727491331623</v>
      </c>
      <c r="AS24" s="613">
        <f t="shared" ref="AS24:AS34" si="12">+C24+I24+L24+O24+R24+U24+X24+F24+AA24+AD24+AG24+AJ24+AM24</f>
        <v>-16</v>
      </c>
      <c r="AT24" s="611">
        <f t="shared" ref="AT24:AT87" si="13">IF(AR24=0, "    ---- ", IF(ABS(ROUND(100/AR24*AS24-100,1))&lt;999,ROUND(100/AR24*AS24-100,1),IF(ROUND(100/AR24*AS24-100,1)&gt;999,999,-999)))</f>
        <v>-107.1</v>
      </c>
    </row>
    <row r="25" spans="1:46" s="581" customFormat="1" ht="18.75" customHeight="1" x14ac:dyDescent="0.3">
      <c r="A25" s="608" t="s">
        <v>367</v>
      </c>
      <c r="B25" s="902"/>
      <c r="C25" s="903"/>
      <c r="D25" s="610"/>
      <c r="E25" s="902"/>
      <c r="F25" s="903"/>
      <c r="G25" s="612"/>
      <c r="H25" s="902">
        <v>-0.45100000000000001</v>
      </c>
      <c r="I25" s="903">
        <v>13</v>
      </c>
      <c r="J25" s="611">
        <f t="shared" si="7"/>
        <v>-999</v>
      </c>
      <c r="K25" s="444"/>
      <c r="L25" s="903"/>
      <c r="M25" s="612"/>
      <c r="N25" s="902"/>
      <c r="O25" s="903"/>
      <c r="P25" s="612"/>
      <c r="Q25" s="902"/>
      <c r="R25" s="903"/>
      <c r="S25" s="610"/>
      <c r="T25" s="902"/>
      <c r="U25" s="903"/>
      <c r="V25" s="612"/>
      <c r="W25" s="902"/>
      <c r="X25" s="903"/>
      <c r="Y25" s="612"/>
      <c r="Z25" s="902">
        <v>-1.5628504978480231</v>
      </c>
      <c r="AA25" s="903">
        <v>-1</v>
      </c>
      <c r="AB25" s="611">
        <f t="shared" si="0"/>
        <v>-36</v>
      </c>
      <c r="AC25" s="444"/>
      <c r="AD25" s="616"/>
      <c r="AE25" s="612"/>
      <c r="AF25" s="902"/>
      <c r="AG25" s="903"/>
      <c r="AH25" s="612"/>
      <c r="AI25" s="902"/>
      <c r="AJ25" s="903"/>
      <c r="AK25" s="611"/>
      <c r="AL25" s="902"/>
      <c r="AM25" s="903"/>
      <c r="AN25" s="612"/>
      <c r="AO25" s="613">
        <f t="shared" si="8"/>
        <v>-2.0138504978480229</v>
      </c>
      <c r="AP25" s="613">
        <f t="shared" si="9"/>
        <v>12</v>
      </c>
      <c r="AQ25" s="611">
        <f t="shared" si="10"/>
        <v>-695.9</v>
      </c>
      <c r="AR25" s="613">
        <f t="shared" si="11"/>
        <v>-2.0138504978480229</v>
      </c>
      <c r="AS25" s="613">
        <f t="shared" si="12"/>
        <v>12</v>
      </c>
      <c r="AT25" s="611">
        <f t="shared" si="13"/>
        <v>-695.9</v>
      </c>
    </row>
    <row r="26" spans="1:46" s="581" customFormat="1" ht="18.75" customHeight="1" x14ac:dyDescent="0.3">
      <c r="A26" s="608" t="s">
        <v>368</v>
      </c>
      <c r="B26" s="902"/>
      <c r="C26" s="903"/>
      <c r="D26" s="610"/>
      <c r="E26" s="902"/>
      <c r="F26" s="903"/>
      <c r="G26" s="612"/>
      <c r="H26" s="902">
        <v>42.237000000000002</v>
      </c>
      <c r="I26" s="903">
        <v>24</v>
      </c>
      <c r="J26" s="611">
        <f t="shared" si="7"/>
        <v>-43.2</v>
      </c>
      <c r="K26" s="444"/>
      <c r="L26" s="903"/>
      <c r="M26" s="612"/>
      <c r="N26" s="902"/>
      <c r="O26" s="903"/>
      <c r="P26" s="612"/>
      <c r="Q26" s="902"/>
      <c r="R26" s="903"/>
      <c r="S26" s="610"/>
      <c r="T26" s="902"/>
      <c r="U26" s="903"/>
      <c r="V26" s="612"/>
      <c r="W26" s="902"/>
      <c r="X26" s="903"/>
      <c r="Y26" s="612"/>
      <c r="Z26" s="902">
        <v>-1.4499785369937859</v>
      </c>
      <c r="AA26" s="903">
        <v>0</v>
      </c>
      <c r="AB26" s="611">
        <f t="shared" si="0"/>
        <v>-100</v>
      </c>
      <c r="AC26" s="444"/>
      <c r="AD26" s="616"/>
      <c r="AE26" s="612"/>
      <c r="AF26" s="902"/>
      <c r="AG26" s="903"/>
      <c r="AH26" s="612"/>
      <c r="AI26" s="902">
        <v>3</v>
      </c>
      <c r="AJ26" s="903">
        <v>-1</v>
      </c>
      <c r="AK26" s="611">
        <f>IF(AI26=0, "    ---- ", IF(ABS(ROUND(100/AI26*AJ26-100,1))&lt;999,ROUND(100/AI26*AJ26-100,1),IF(ROUND(100/AI26*AJ26-100,1)&gt;999,999,-999)))</f>
        <v>-133.30000000000001</v>
      </c>
      <c r="AL26" s="902"/>
      <c r="AM26" s="903"/>
      <c r="AN26" s="612"/>
      <c r="AO26" s="613">
        <f t="shared" si="8"/>
        <v>43.787021463006219</v>
      </c>
      <c r="AP26" s="613">
        <f t="shared" si="9"/>
        <v>23</v>
      </c>
      <c r="AQ26" s="611">
        <f t="shared" si="10"/>
        <v>-47.5</v>
      </c>
      <c r="AR26" s="613">
        <f t="shared" si="11"/>
        <v>43.787021463006219</v>
      </c>
      <c r="AS26" s="613">
        <f t="shared" si="12"/>
        <v>23</v>
      </c>
      <c r="AT26" s="611">
        <f t="shared" si="13"/>
        <v>-47.5</v>
      </c>
    </row>
    <row r="27" spans="1:46" s="581" customFormat="1" ht="18.75" customHeight="1" x14ac:dyDescent="0.3">
      <c r="A27" s="608" t="s">
        <v>369</v>
      </c>
      <c r="B27" s="902"/>
      <c r="C27" s="903"/>
      <c r="D27" s="610"/>
      <c r="E27" s="902"/>
      <c r="F27" s="903"/>
      <c r="G27" s="612"/>
      <c r="H27" s="902">
        <v>0.51800000000000002</v>
      </c>
      <c r="I27" s="903">
        <v>1</v>
      </c>
      <c r="J27" s="611">
        <f t="shared" si="7"/>
        <v>93.1</v>
      </c>
      <c r="K27" s="444"/>
      <c r="L27" s="903"/>
      <c r="M27" s="612"/>
      <c r="N27" s="902"/>
      <c r="O27" s="903"/>
      <c r="P27" s="612"/>
      <c r="Q27" s="902"/>
      <c r="R27" s="903"/>
      <c r="S27" s="610"/>
      <c r="T27" s="902"/>
      <c r="U27" s="903"/>
      <c r="V27" s="612"/>
      <c r="W27" s="902"/>
      <c r="X27" s="903"/>
      <c r="Y27" s="612"/>
      <c r="Z27" s="902">
        <v>0</v>
      </c>
      <c r="AA27" s="903">
        <v>0</v>
      </c>
      <c r="AB27" s="611"/>
      <c r="AC27" s="444"/>
      <c r="AD27" s="616"/>
      <c r="AE27" s="612"/>
      <c r="AF27" s="902"/>
      <c r="AG27" s="903"/>
      <c r="AH27" s="612"/>
      <c r="AI27" s="902"/>
      <c r="AJ27" s="903"/>
      <c r="AK27" s="611"/>
      <c r="AL27" s="902"/>
      <c r="AM27" s="903"/>
      <c r="AN27" s="612"/>
      <c r="AO27" s="613">
        <f t="shared" si="8"/>
        <v>0.51800000000000002</v>
      </c>
      <c r="AP27" s="613">
        <f t="shared" si="9"/>
        <v>1</v>
      </c>
      <c r="AQ27" s="611">
        <f t="shared" si="10"/>
        <v>93.1</v>
      </c>
      <c r="AR27" s="613">
        <f t="shared" si="11"/>
        <v>0.51800000000000002</v>
      </c>
      <c r="AS27" s="613">
        <f t="shared" si="12"/>
        <v>1</v>
      </c>
      <c r="AT27" s="611">
        <f t="shared" si="13"/>
        <v>93.1</v>
      </c>
    </row>
    <row r="28" spans="1:46" s="581" customFormat="1" ht="18.75" customHeight="1" x14ac:dyDescent="0.3">
      <c r="A28" s="608" t="s">
        <v>370</v>
      </c>
      <c r="B28" s="902"/>
      <c r="C28" s="903"/>
      <c r="D28" s="610"/>
      <c r="E28" s="902"/>
      <c r="F28" s="903"/>
      <c r="G28" s="612"/>
      <c r="H28" s="902">
        <v>64.242999999999995</v>
      </c>
      <c r="I28" s="903">
        <v>58</v>
      </c>
      <c r="J28" s="611">
        <f t="shared" si="7"/>
        <v>-9.6999999999999993</v>
      </c>
      <c r="K28" s="444"/>
      <c r="L28" s="903"/>
      <c r="M28" s="612"/>
      <c r="N28" s="902"/>
      <c r="O28" s="903"/>
      <c r="P28" s="612"/>
      <c r="Q28" s="902"/>
      <c r="R28" s="903"/>
      <c r="S28" s="610"/>
      <c r="T28" s="902"/>
      <c r="U28" s="903"/>
      <c r="V28" s="612"/>
      <c r="W28" s="902"/>
      <c r="X28" s="903"/>
      <c r="Y28" s="612"/>
      <c r="Z28" s="902">
        <v>0.31797740000000002</v>
      </c>
      <c r="AA28" s="903">
        <v>0</v>
      </c>
      <c r="AB28" s="611">
        <f t="shared" si="0"/>
        <v>-100</v>
      </c>
      <c r="AC28" s="444"/>
      <c r="AD28" s="616"/>
      <c r="AE28" s="612"/>
      <c r="AF28" s="902"/>
      <c r="AG28" s="903"/>
      <c r="AH28" s="612"/>
      <c r="AI28" s="902"/>
      <c r="AJ28" s="903"/>
      <c r="AK28" s="611"/>
      <c r="AL28" s="902"/>
      <c r="AM28" s="903"/>
      <c r="AN28" s="612"/>
      <c r="AO28" s="613">
        <f t="shared" si="8"/>
        <v>64.560977399999999</v>
      </c>
      <c r="AP28" s="613">
        <f t="shared" si="9"/>
        <v>58</v>
      </c>
      <c r="AQ28" s="611">
        <f t="shared" si="10"/>
        <v>-10.199999999999999</v>
      </c>
      <c r="AR28" s="613">
        <f t="shared" si="11"/>
        <v>64.560977399999999</v>
      </c>
      <c r="AS28" s="613">
        <f t="shared" si="12"/>
        <v>58</v>
      </c>
      <c r="AT28" s="611">
        <f t="shared" si="13"/>
        <v>-10.199999999999999</v>
      </c>
    </row>
    <row r="29" spans="1:46" s="581" customFormat="1" ht="18.75" customHeight="1" x14ac:dyDescent="0.3">
      <c r="A29" s="608" t="s">
        <v>371</v>
      </c>
      <c r="B29" s="902"/>
      <c r="C29" s="903"/>
      <c r="D29" s="610"/>
      <c r="E29" s="902"/>
      <c r="F29" s="903"/>
      <c r="G29" s="612"/>
      <c r="H29" s="902">
        <v>100.473</v>
      </c>
      <c r="I29" s="903">
        <v>12</v>
      </c>
      <c r="J29" s="611">
        <f t="shared" si="7"/>
        <v>-88.1</v>
      </c>
      <c r="K29" s="444"/>
      <c r="L29" s="903"/>
      <c r="M29" s="612"/>
      <c r="N29" s="902"/>
      <c r="O29" s="903"/>
      <c r="P29" s="612"/>
      <c r="Q29" s="902"/>
      <c r="R29" s="903"/>
      <c r="S29" s="610"/>
      <c r="T29" s="902"/>
      <c r="U29" s="903"/>
      <c r="V29" s="612"/>
      <c r="W29" s="902"/>
      <c r="X29" s="903"/>
      <c r="Y29" s="612"/>
      <c r="Z29" s="902">
        <v>2.3185600000000001E-2</v>
      </c>
      <c r="AA29" s="903">
        <v>0</v>
      </c>
      <c r="AB29" s="611">
        <f t="shared" si="0"/>
        <v>-100</v>
      </c>
      <c r="AC29" s="444"/>
      <c r="AD29" s="616"/>
      <c r="AE29" s="612"/>
      <c r="AF29" s="902"/>
      <c r="AG29" s="903"/>
      <c r="AH29" s="612"/>
      <c r="AI29" s="902"/>
      <c r="AJ29" s="903"/>
      <c r="AK29" s="611"/>
      <c r="AL29" s="902"/>
      <c r="AM29" s="903"/>
      <c r="AN29" s="612"/>
      <c r="AO29" s="613">
        <f t="shared" si="8"/>
        <v>100.4961856</v>
      </c>
      <c r="AP29" s="613">
        <f t="shared" si="9"/>
        <v>12</v>
      </c>
      <c r="AQ29" s="611">
        <f t="shared" si="10"/>
        <v>-88.1</v>
      </c>
      <c r="AR29" s="613">
        <f t="shared" si="11"/>
        <v>100.4961856</v>
      </c>
      <c r="AS29" s="613">
        <f t="shared" si="12"/>
        <v>12</v>
      </c>
      <c r="AT29" s="611">
        <f t="shared" si="13"/>
        <v>-88.1</v>
      </c>
    </row>
    <row r="30" spans="1:46" s="581" customFormat="1" ht="18.75" customHeight="1" x14ac:dyDescent="0.3">
      <c r="A30" s="608" t="s">
        <v>372</v>
      </c>
      <c r="B30" s="902"/>
      <c r="C30" s="903"/>
      <c r="D30" s="610"/>
      <c r="E30" s="902"/>
      <c r="F30" s="903"/>
      <c r="G30" s="612"/>
      <c r="H30" s="902"/>
      <c r="I30" s="903"/>
      <c r="J30" s="611"/>
      <c r="K30" s="444"/>
      <c r="L30" s="903"/>
      <c r="M30" s="612"/>
      <c r="N30" s="902"/>
      <c r="O30" s="903"/>
      <c r="P30" s="612"/>
      <c r="Q30" s="902"/>
      <c r="R30" s="903"/>
      <c r="S30" s="610"/>
      <c r="T30" s="902"/>
      <c r="U30" s="903"/>
      <c r="V30" s="612"/>
      <c r="W30" s="902"/>
      <c r="X30" s="903"/>
      <c r="Y30" s="612"/>
      <c r="Z30" s="902">
        <v>1.2946588224403003E-7</v>
      </c>
      <c r="AA30" s="903">
        <v>0</v>
      </c>
      <c r="AB30" s="611">
        <f t="shared" si="0"/>
        <v>-100</v>
      </c>
      <c r="AC30" s="444"/>
      <c r="AD30" s="616"/>
      <c r="AE30" s="612"/>
      <c r="AF30" s="902"/>
      <c r="AG30" s="903"/>
      <c r="AH30" s="612"/>
      <c r="AI30" s="902"/>
      <c r="AJ30" s="903"/>
      <c r="AK30" s="611"/>
      <c r="AL30" s="902"/>
      <c r="AM30" s="903"/>
      <c r="AN30" s="612"/>
      <c r="AO30" s="613">
        <f t="shared" si="8"/>
        <v>1.2946588224403003E-7</v>
      </c>
      <c r="AP30" s="613">
        <f t="shared" si="9"/>
        <v>0</v>
      </c>
      <c r="AQ30" s="611">
        <f t="shared" si="10"/>
        <v>-100</v>
      </c>
      <c r="AR30" s="613">
        <f t="shared" si="11"/>
        <v>1.2946588224403003E-7</v>
      </c>
      <c r="AS30" s="613">
        <f t="shared" si="12"/>
        <v>0</v>
      </c>
      <c r="AT30" s="611">
        <f t="shared" si="13"/>
        <v>-100</v>
      </c>
    </row>
    <row r="31" spans="1:46" s="581" customFormat="1" ht="18.75" customHeight="1" x14ac:dyDescent="0.3">
      <c r="A31" s="608" t="s">
        <v>373</v>
      </c>
      <c r="B31" s="902"/>
      <c r="C31" s="903"/>
      <c r="D31" s="616"/>
      <c r="E31" s="902"/>
      <c r="F31" s="903"/>
      <c r="G31" s="617"/>
      <c r="H31" s="902"/>
      <c r="I31" s="903"/>
      <c r="J31" s="611"/>
      <c r="K31" s="444"/>
      <c r="L31" s="903"/>
      <c r="M31" s="617"/>
      <c r="N31" s="902"/>
      <c r="O31" s="903"/>
      <c r="P31" s="617"/>
      <c r="Q31" s="902"/>
      <c r="R31" s="903"/>
      <c r="S31" s="616"/>
      <c r="T31" s="902"/>
      <c r="U31" s="903"/>
      <c r="V31" s="617"/>
      <c r="W31" s="902"/>
      <c r="X31" s="903"/>
      <c r="Y31" s="617"/>
      <c r="Z31" s="902"/>
      <c r="AA31" s="903"/>
      <c r="AB31" s="611"/>
      <c r="AC31" s="444"/>
      <c r="AD31" s="616"/>
      <c r="AE31" s="617"/>
      <c r="AF31" s="902"/>
      <c r="AG31" s="903"/>
      <c r="AH31" s="617"/>
      <c r="AI31" s="902"/>
      <c r="AJ31" s="903"/>
      <c r="AK31" s="611"/>
      <c r="AL31" s="902"/>
      <c r="AM31" s="903"/>
      <c r="AN31" s="617"/>
      <c r="AO31" s="613">
        <f t="shared" si="8"/>
        <v>0</v>
      </c>
      <c r="AP31" s="613">
        <f t="shared" si="9"/>
        <v>0</v>
      </c>
      <c r="AQ31" s="617" t="str">
        <f t="shared" si="10"/>
        <v xml:space="preserve">    ---- </v>
      </c>
      <c r="AR31" s="613">
        <f t="shared" si="11"/>
        <v>0</v>
      </c>
      <c r="AS31" s="613">
        <f t="shared" si="12"/>
        <v>0</v>
      </c>
      <c r="AT31" s="611" t="str">
        <f t="shared" si="13"/>
        <v xml:space="preserve">    ---- </v>
      </c>
    </row>
    <row r="32" spans="1:46" s="615" customFormat="1" ht="18.75" customHeight="1" x14ac:dyDescent="0.3">
      <c r="A32" s="602" t="s">
        <v>374</v>
      </c>
      <c r="B32" s="900"/>
      <c r="C32" s="901"/>
      <c r="D32" s="618"/>
      <c r="E32" s="900"/>
      <c r="F32" s="901"/>
      <c r="G32" s="619"/>
      <c r="H32" s="900">
        <f>SUM(H24:H29)+H31</f>
        <v>441.02</v>
      </c>
      <c r="I32" s="901">
        <f>SUM(I24:I29)+I31</f>
        <v>94</v>
      </c>
      <c r="J32" s="606">
        <f>IF(H32=0, "    ---- ", IF(ABS(ROUND(100/H32*I32-100,1))&lt;999,ROUND(100/H32*I32-100,1),IF(ROUND(100/H32*I32-100,1)&gt;999,999,-999)))</f>
        <v>-78.7</v>
      </c>
      <c r="K32" s="603"/>
      <c r="L32" s="901"/>
      <c r="M32" s="619"/>
      <c r="N32" s="900"/>
      <c r="O32" s="901"/>
      <c r="P32" s="619"/>
      <c r="Q32" s="900"/>
      <c r="R32" s="901"/>
      <c r="S32" s="618"/>
      <c r="T32" s="900"/>
      <c r="U32" s="901"/>
      <c r="V32" s="619"/>
      <c r="W32" s="900"/>
      <c r="X32" s="901"/>
      <c r="Y32" s="619"/>
      <c r="Z32" s="900">
        <f>SUM(Z24:Z29)+Z31</f>
        <v>-1.1043911215255873</v>
      </c>
      <c r="AA32" s="901">
        <f>SUM(AA24:AA29)+AA31</f>
        <v>0</v>
      </c>
      <c r="AB32" s="606">
        <f t="shared" si="0"/>
        <v>-100</v>
      </c>
      <c r="AC32" s="603"/>
      <c r="AD32" s="618"/>
      <c r="AE32" s="619"/>
      <c r="AF32" s="900"/>
      <c r="AG32" s="901"/>
      <c r="AH32" s="619"/>
      <c r="AI32" s="900">
        <f>SUM(AI24:AI29)+AI31</f>
        <v>-8</v>
      </c>
      <c r="AJ32" s="901">
        <f>SUM(AJ24:AJ29)+AJ31</f>
        <v>-4</v>
      </c>
      <c r="AK32" s="606">
        <f>IF(AI32=0, "    ---- ", IF(ABS(ROUND(100/AI32*AJ32-100,1))&lt;999,ROUND(100/AI32*AJ32-100,1),IF(ROUND(100/AI32*AJ32-100,1)&gt;999,999,-999)))</f>
        <v>-50</v>
      </c>
      <c r="AL32" s="900"/>
      <c r="AM32" s="901"/>
      <c r="AN32" s="619"/>
      <c r="AO32" s="614">
        <f t="shared" si="8"/>
        <v>431.91560887847442</v>
      </c>
      <c r="AP32" s="614">
        <f t="shared" si="9"/>
        <v>90</v>
      </c>
      <c r="AQ32" s="619">
        <f t="shared" si="10"/>
        <v>-79.2</v>
      </c>
      <c r="AR32" s="614">
        <f t="shared" si="11"/>
        <v>431.91560887847442</v>
      </c>
      <c r="AS32" s="614">
        <f t="shared" si="12"/>
        <v>90</v>
      </c>
      <c r="AT32" s="619">
        <f t="shared" si="13"/>
        <v>-79.2</v>
      </c>
    </row>
    <row r="33" spans="1:47" s="581" customFormat="1" ht="18.75" customHeight="1" x14ac:dyDescent="0.3">
      <c r="A33" s="608" t="s">
        <v>375</v>
      </c>
      <c r="B33" s="902"/>
      <c r="C33" s="903"/>
      <c r="D33" s="616"/>
      <c r="E33" s="902"/>
      <c r="F33" s="903"/>
      <c r="G33" s="617"/>
      <c r="H33" s="902">
        <v>251.345</v>
      </c>
      <c r="I33" s="903">
        <v>6</v>
      </c>
      <c r="J33" s="611">
        <f>IF(H33=0, "    ---- ", IF(ABS(ROUND(100/H33*I33-100,1))&lt;999,ROUND(100/H33*I33-100,1),IF(ROUND(100/H33*I33-100,1)&gt;999,999,-999)))</f>
        <v>-97.6</v>
      </c>
      <c r="K33" s="444"/>
      <c r="L33" s="903"/>
      <c r="M33" s="617"/>
      <c r="N33" s="902"/>
      <c r="O33" s="903"/>
      <c r="P33" s="617"/>
      <c r="Q33" s="902"/>
      <c r="R33" s="903"/>
      <c r="S33" s="616"/>
      <c r="T33" s="902"/>
      <c r="U33" s="903"/>
      <c r="V33" s="617"/>
      <c r="W33" s="902"/>
      <c r="X33" s="903"/>
      <c r="Y33" s="617"/>
      <c r="Z33" s="902">
        <v>1.1592800000000047E-2</v>
      </c>
      <c r="AA33" s="903">
        <v>0</v>
      </c>
      <c r="AB33" s="611">
        <f t="shared" si="0"/>
        <v>-100</v>
      </c>
      <c r="AC33" s="444"/>
      <c r="AD33" s="616"/>
      <c r="AE33" s="617"/>
      <c r="AF33" s="902"/>
      <c r="AG33" s="903"/>
      <c r="AH33" s="617"/>
      <c r="AI33" s="902"/>
      <c r="AJ33" s="903"/>
      <c r="AK33" s="611"/>
      <c r="AL33" s="902"/>
      <c r="AM33" s="903"/>
      <c r="AN33" s="617"/>
      <c r="AO33" s="613">
        <f t="shared" si="8"/>
        <v>251.35659279999999</v>
      </c>
      <c r="AP33" s="613">
        <f t="shared" si="9"/>
        <v>6</v>
      </c>
      <c r="AQ33" s="617">
        <f t="shared" si="10"/>
        <v>-97.6</v>
      </c>
      <c r="AR33" s="613">
        <f t="shared" si="11"/>
        <v>251.35659279999999</v>
      </c>
      <c r="AS33" s="613">
        <f t="shared" si="12"/>
        <v>6</v>
      </c>
      <c r="AT33" s="617">
        <f t="shared" si="13"/>
        <v>-97.6</v>
      </c>
    </row>
    <row r="34" spans="1:47" s="581" customFormat="1" ht="18.75" customHeight="1" x14ac:dyDescent="0.3">
      <c r="A34" s="608" t="s">
        <v>376</v>
      </c>
      <c r="B34" s="902"/>
      <c r="C34" s="903"/>
      <c r="D34" s="616"/>
      <c r="E34" s="902"/>
      <c r="F34" s="903"/>
      <c r="G34" s="617"/>
      <c r="H34" s="902">
        <v>189.67400000000001</v>
      </c>
      <c r="I34" s="903">
        <v>88</v>
      </c>
      <c r="J34" s="611">
        <f>IF(H34=0, "    ---- ", IF(ABS(ROUND(100/H34*I34-100,1))&lt;999,ROUND(100/H34*I34-100,1),IF(ROUND(100/H34*I34-100,1)&gt;999,999,-999)))</f>
        <v>-53.6</v>
      </c>
      <c r="K34" s="444"/>
      <c r="L34" s="903"/>
      <c r="M34" s="617"/>
      <c r="N34" s="902"/>
      <c r="O34" s="903"/>
      <c r="P34" s="617"/>
      <c r="Q34" s="902"/>
      <c r="R34" s="903"/>
      <c r="S34" s="616"/>
      <c r="T34" s="902"/>
      <c r="U34" s="903"/>
      <c r="V34" s="617"/>
      <c r="W34" s="902"/>
      <c r="X34" s="903"/>
      <c r="Y34" s="617"/>
      <c r="Z34" s="902">
        <v>-1.1159839215255869</v>
      </c>
      <c r="AA34" s="903">
        <v>0</v>
      </c>
      <c r="AB34" s="611">
        <f t="shared" si="0"/>
        <v>-100</v>
      </c>
      <c r="AC34" s="444"/>
      <c r="AD34" s="616"/>
      <c r="AE34" s="617"/>
      <c r="AF34" s="902"/>
      <c r="AG34" s="903"/>
      <c r="AH34" s="617"/>
      <c r="AI34" s="902">
        <v>-8</v>
      </c>
      <c r="AJ34" s="903">
        <v>-4</v>
      </c>
      <c r="AK34" s="611">
        <f>IF(AI34=0, "    ---- ", IF(ABS(ROUND(100/AI34*AJ34-100,1))&lt;999,ROUND(100/AI34*AJ34-100,1),IF(ROUND(100/AI34*AJ34-100,1)&gt;999,999,-999)))</f>
        <v>-50</v>
      </c>
      <c r="AL34" s="902"/>
      <c r="AM34" s="903"/>
      <c r="AN34" s="617"/>
      <c r="AO34" s="613">
        <f t="shared" si="8"/>
        <v>180.55801607847442</v>
      </c>
      <c r="AP34" s="613">
        <f t="shared" si="9"/>
        <v>84</v>
      </c>
      <c r="AQ34" s="617">
        <f t="shared" si="10"/>
        <v>-53.5</v>
      </c>
      <c r="AR34" s="613">
        <f t="shared" si="11"/>
        <v>180.55801607847442</v>
      </c>
      <c r="AS34" s="613">
        <f t="shared" si="12"/>
        <v>84</v>
      </c>
      <c r="AT34" s="617">
        <f t="shared" si="13"/>
        <v>-53.5</v>
      </c>
    </row>
    <row r="35" spans="1:47" s="581" customFormat="1" ht="18.75" customHeight="1" x14ac:dyDescent="0.3">
      <c r="A35" s="602" t="s">
        <v>378</v>
      </c>
      <c r="B35" s="902"/>
      <c r="C35" s="903"/>
      <c r="D35" s="616"/>
      <c r="E35" s="902"/>
      <c r="F35" s="903"/>
      <c r="G35" s="617"/>
      <c r="H35" s="902"/>
      <c r="I35" s="903"/>
      <c r="J35" s="611"/>
      <c r="K35" s="444"/>
      <c r="L35" s="903"/>
      <c r="M35" s="617"/>
      <c r="N35" s="902"/>
      <c r="O35" s="903"/>
      <c r="P35" s="617"/>
      <c r="Q35" s="902"/>
      <c r="R35" s="903"/>
      <c r="S35" s="616"/>
      <c r="T35" s="902"/>
      <c r="U35" s="903"/>
      <c r="V35" s="617"/>
      <c r="W35" s="902"/>
      <c r="X35" s="903"/>
      <c r="Y35" s="617"/>
      <c r="Z35" s="902"/>
      <c r="AA35" s="903"/>
      <c r="AB35" s="611"/>
      <c r="AC35" s="444"/>
      <c r="AD35" s="616"/>
      <c r="AE35" s="617"/>
      <c r="AF35" s="902"/>
      <c r="AG35" s="903"/>
      <c r="AH35" s="617"/>
      <c r="AI35" s="902"/>
      <c r="AJ35" s="903"/>
      <c r="AK35" s="611"/>
      <c r="AL35" s="902"/>
      <c r="AM35" s="903"/>
      <c r="AN35" s="617"/>
      <c r="AO35" s="616"/>
      <c r="AP35" s="616"/>
      <c r="AQ35" s="617"/>
      <c r="AR35" s="613"/>
      <c r="AS35" s="613"/>
      <c r="AT35" s="617"/>
    </row>
    <row r="36" spans="1:47" s="581" customFormat="1" ht="18.75" customHeight="1" x14ac:dyDescent="0.3">
      <c r="A36" s="608" t="s">
        <v>366</v>
      </c>
      <c r="B36" s="902">
        <v>7.99</v>
      </c>
      <c r="C36" s="903">
        <v>5.4379999999999997</v>
      </c>
      <c r="D36" s="616">
        <f>IF(B36=0, "    ---- ", IF(ABS(ROUND(100/B36*C36-100,1))&lt;999,ROUND(100/B36*C36-100,1),IF(ROUND(100/B36*C36-100,1)&gt;999,999,-999)))</f>
        <v>-31.9</v>
      </c>
      <c r="E36" s="902"/>
      <c r="F36" s="903"/>
      <c r="G36" s="617"/>
      <c r="H36" s="902"/>
      <c r="I36" s="903"/>
      <c r="J36" s="611"/>
      <c r="K36" s="444"/>
      <c r="L36" s="983">
        <v>7.9</v>
      </c>
      <c r="M36" s="617" t="str">
        <f>IF(K36=0, "    ---- ", IF(ABS(ROUND(100/K36*L36-100,1))&lt;999,ROUND(100/K36*L36-100,1),IF(ROUND(100/K36*L36-100,1)&gt;999,999,-999)))</f>
        <v xml:space="preserve">    ---- </v>
      </c>
      <c r="N36" s="902">
        <v>26.471</v>
      </c>
      <c r="O36" s="903">
        <v>22.53</v>
      </c>
      <c r="P36" s="617">
        <f>IF(N36=0, "    ---- ", IF(ABS(ROUND(100/N36*O36-100,1))&lt;999,ROUND(100/N36*O36-100,1),IF(ROUND(100/N36*O36-100,1)&gt;999,999,-999)))</f>
        <v>-14.9</v>
      </c>
      <c r="Q36" s="902"/>
      <c r="R36" s="903"/>
      <c r="S36" s="616"/>
      <c r="T36" s="902">
        <v>1.54741415520647</v>
      </c>
      <c r="U36" s="903">
        <v>1.0453437251939</v>
      </c>
      <c r="V36" s="617">
        <f>IF(T36=0, "    ---- ", IF(ABS(ROUND(100/T36*U36-100,1))&lt;999,ROUND(100/T36*U36-100,1),IF(ROUND(100/T36*U36-100,1)&gt;999,999,-999)))</f>
        <v>-32.4</v>
      </c>
      <c r="W36" s="902"/>
      <c r="X36" s="903"/>
      <c r="Y36" s="617"/>
      <c r="Z36" s="902">
        <v>7.6692853218966253</v>
      </c>
      <c r="AA36" s="903">
        <v>7.25</v>
      </c>
      <c r="AB36" s="611">
        <f t="shared" si="0"/>
        <v>-5.5</v>
      </c>
      <c r="AC36" s="444"/>
      <c r="AD36" s="616"/>
      <c r="AE36" s="617"/>
      <c r="AF36" s="902"/>
      <c r="AG36" s="903"/>
      <c r="AH36" s="617"/>
      <c r="AI36" s="902">
        <v>8</v>
      </c>
      <c r="AJ36" s="903"/>
      <c r="AK36" s="611">
        <f>IF(AI36=0, "    ---- ", IF(ABS(ROUND(100/AI36*AJ36-100,1))&lt;999,ROUND(100/AI36*AJ36-100,1),IF(ROUND(100/AI36*AJ36-100,1)&gt;999,999,-999)))</f>
        <v>-100</v>
      </c>
      <c r="AL36" s="902">
        <v>8</v>
      </c>
      <c r="AM36" s="903">
        <v>5</v>
      </c>
      <c r="AN36" s="617">
        <f>IF(AL36=0, "    ---- ", IF(ABS(ROUND(100/AL36*AM36-100,1))&lt;999,ROUND(100/AL36*AM36-100,1),IF(ROUND(100/AL36*AM36-100,1)&gt;999,999,-999)))</f>
        <v>-37.5</v>
      </c>
      <c r="AO36" s="613">
        <f t="shared" ref="AO36:AO46" si="14">B36+H36+K36+N36+Q36+W36+E36+Z36+AC36+AI36+AL36</f>
        <v>58.130285321896622</v>
      </c>
      <c r="AP36" s="613">
        <f t="shared" ref="AP36:AP46" si="15">C36+I36+L36+O36+R36+X36+F36+AA36+AD36+AJ36+AM36</f>
        <v>48.118000000000002</v>
      </c>
      <c r="AQ36" s="617">
        <f t="shared" si="10"/>
        <v>-17.2</v>
      </c>
      <c r="AR36" s="613">
        <f t="shared" ref="AR36:AR46" si="16">+B36+H36+K36+N36+Q36+T36+W36+E36+Z36+AC36+AF36+AI36+AL36</f>
        <v>59.67769947710309</v>
      </c>
      <c r="AS36" s="613">
        <f t="shared" ref="AS36:AS46" si="17">+C36+I36+L36+O36+R36+U36+X36+F36+AA36+AD36+AG36+AJ36+AM36</f>
        <v>49.163343725193904</v>
      </c>
      <c r="AT36" s="617">
        <f t="shared" si="13"/>
        <v>-17.600000000000001</v>
      </c>
    </row>
    <row r="37" spans="1:47" s="581" customFormat="1" ht="18.75" customHeight="1" x14ac:dyDescent="0.3">
      <c r="A37" s="608" t="s">
        <v>367</v>
      </c>
      <c r="B37" s="902"/>
      <c r="C37" s="903"/>
      <c r="D37" s="616"/>
      <c r="E37" s="902"/>
      <c r="F37" s="903"/>
      <c r="G37" s="617"/>
      <c r="H37" s="902"/>
      <c r="I37" s="903"/>
      <c r="J37" s="611"/>
      <c r="K37" s="444"/>
      <c r="L37" s="903"/>
      <c r="M37" s="617"/>
      <c r="N37" s="902"/>
      <c r="O37" s="903"/>
      <c r="P37" s="617"/>
      <c r="Q37" s="902"/>
      <c r="R37" s="903"/>
      <c r="S37" s="616"/>
      <c r="T37" s="902"/>
      <c r="U37" s="903"/>
      <c r="V37" s="617"/>
      <c r="W37" s="902"/>
      <c r="X37" s="903"/>
      <c r="Y37" s="617"/>
      <c r="Z37" s="902"/>
      <c r="AA37" s="903"/>
      <c r="AB37" s="611"/>
      <c r="AC37" s="444"/>
      <c r="AD37" s="616"/>
      <c r="AE37" s="617"/>
      <c r="AF37" s="902"/>
      <c r="AG37" s="903"/>
      <c r="AH37" s="617"/>
      <c r="AI37" s="902"/>
      <c r="AJ37" s="903"/>
      <c r="AK37" s="611"/>
      <c r="AL37" s="902"/>
      <c r="AM37" s="903"/>
      <c r="AN37" s="617"/>
      <c r="AO37" s="613">
        <f t="shared" si="14"/>
        <v>0</v>
      </c>
      <c r="AP37" s="613">
        <f t="shared" si="15"/>
        <v>0</v>
      </c>
      <c r="AQ37" s="617" t="str">
        <f t="shared" si="10"/>
        <v xml:space="preserve">    ---- </v>
      </c>
      <c r="AR37" s="613">
        <f t="shared" si="16"/>
        <v>0</v>
      </c>
      <c r="AS37" s="613">
        <f t="shared" si="17"/>
        <v>0</v>
      </c>
      <c r="AT37" s="617" t="str">
        <f t="shared" si="13"/>
        <v xml:space="preserve">    ---- </v>
      </c>
    </row>
    <row r="38" spans="1:47" s="581" customFormat="1" ht="18.75" customHeight="1" x14ac:dyDescent="0.3">
      <c r="A38" s="608" t="s">
        <v>368</v>
      </c>
      <c r="B38" s="902">
        <v>-3.13</v>
      </c>
      <c r="C38" s="903">
        <v>-19.652999999999999</v>
      </c>
      <c r="D38" s="616">
        <f>IF(B38=0, "    ---- ", IF(ABS(ROUND(100/B38*C38-100,1))&lt;999,ROUND(100/B38*C38-100,1),IF(ROUND(100/B38*C38-100,1)&gt;999,999,-999)))</f>
        <v>527.9</v>
      </c>
      <c r="E38" s="902"/>
      <c r="F38" s="903"/>
      <c r="G38" s="617"/>
      <c r="H38" s="902"/>
      <c r="I38" s="903"/>
      <c r="J38" s="611"/>
      <c r="K38" s="444"/>
      <c r="L38" s="903">
        <v>19</v>
      </c>
      <c r="M38" s="617" t="str">
        <f>IF(K38=0, "    ---- ", IF(ABS(ROUND(100/K38*L38-100,1))&lt;999,ROUND(100/K38*L38-100,1),IF(ROUND(100/K38*L38-100,1)&gt;999,999,-999)))</f>
        <v xml:space="preserve">    ---- </v>
      </c>
      <c r="N38" s="902">
        <v>-8.8390000000000004</v>
      </c>
      <c r="O38" s="903">
        <v>-13.707000000000001</v>
      </c>
      <c r="P38" s="617">
        <f>IF(N38=0, "    ---- ", IF(ABS(ROUND(100/N38*O38-100,1))&lt;999,ROUND(100/N38*O38-100,1),IF(ROUND(100/N38*O38-100,1)&gt;999,999,-999)))</f>
        <v>55.1</v>
      </c>
      <c r="Q38" s="902"/>
      <c r="R38" s="903"/>
      <c r="S38" s="616"/>
      <c r="T38" s="902">
        <v>6.2042582400142798</v>
      </c>
      <c r="U38" s="903">
        <v>5.7066920680922602</v>
      </c>
      <c r="V38" s="617">
        <f>IF(T38=0, "    ---- ", IF(ABS(ROUND(100/T38*U38-100,1))&lt;999,ROUND(100/T38*U38-100,1),IF(ROUND(100/T38*U38-100,1)&gt;999,999,-999)))</f>
        <v>-8</v>
      </c>
      <c r="W38" s="902"/>
      <c r="X38" s="903"/>
      <c r="Y38" s="617"/>
      <c r="Z38" s="902">
        <v>11.240384462455586</v>
      </c>
      <c r="AA38" s="903">
        <v>11.03</v>
      </c>
      <c r="AB38" s="611">
        <f t="shared" si="0"/>
        <v>-1.9</v>
      </c>
      <c r="AC38" s="444"/>
      <c r="AD38" s="616"/>
      <c r="AE38" s="617"/>
      <c r="AF38" s="902"/>
      <c r="AG38" s="903"/>
      <c r="AH38" s="617"/>
      <c r="AI38" s="902">
        <v>47</v>
      </c>
      <c r="AJ38" s="903"/>
      <c r="AK38" s="611">
        <f>IF(AI38=0, "    ---- ", IF(ABS(ROUND(100/AI38*AJ38-100,1))&lt;999,ROUND(100/AI38*AJ38-100,1),IF(ROUND(100/AI38*AJ38-100,1)&gt;999,999,-999)))</f>
        <v>-100</v>
      </c>
      <c r="AL38" s="902">
        <v>-37</v>
      </c>
      <c r="AM38" s="903">
        <v>-43</v>
      </c>
      <c r="AN38" s="617">
        <f>IF(AL38=0, "    ---- ", IF(ABS(ROUND(100/AL38*AM38-100,1))&lt;999,ROUND(100/AL38*AM38-100,1),IF(ROUND(100/AL38*AM38-100,1)&gt;999,999,-999)))</f>
        <v>16.2</v>
      </c>
      <c r="AO38" s="613">
        <f t="shared" si="14"/>
        <v>9.2713844624555861</v>
      </c>
      <c r="AP38" s="613">
        <f t="shared" si="15"/>
        <v>-46.33</v>
      </c>
      <c r="AQ38" s="617">
        <f t="shared" si="10"/>
        <v>-599.70000000000005</v>
      </c>
      <c r="AR38" s="613">
        <f t="shared" si="16"/>
        <v>15.475642702469862</v>
      </c>
      <c r="AS38" s="613">
        <f t="shared" si="17"/>
        <v>-40.623307931907739</v>
      </c>
      <c r="AT38" s="617">
        <f t="shared" si="13"/>
        <v>-362.5</v>
      </c>
    </row>
    <row r="39" spans="1:47" s="581" customFormat="1" ht="18.75" customHeight="1" x14ac:dyDescent="0.3">
      <c r="A39" s="608" t="s">
        <v>369</v>
      </c>
      <c r="B39" s="902"/>
      <c r="C39" s="903"/>
      <c r="D39" s="616"/>
      <c r="E39" s="902"/>
      <c r="F39" s="903"/>
      <c r="G39" s="617"/>
      <c r="H39" s="902"/>
      <c r="I39" s="903"/>
      <c r="J39" s="611"/>
      <c r="K39" s="444"/>
      <c r="L39" s="903"/>
      <c r="M39" s="617"/>
      <c r="N39" s="902"/>
      <c r="O39" s="903"/>
      <c r="P39" s="617"/>
      <c r="Q39" s="902"/>
      <c r="R39" s="903"/>
      <c r="S39" s="616"/>
      <c r="T39" s="902"/>
      <c r="U39" s="903"/>
      <c r="V39" s="617"/>
      <c r="W39" s="902"/>
      <c r="X39" s="903"/>
      <c r="Y39" s="617"/>
      <c r="Z39" s="902"/>
      <c r="AA39" s="903"/>
      <c r="AB39" s="611"/>
      <c r="AC39" s="444"/>
      <c r="AD39" s="616"/>
      <c r="AE39" s="617"/>
      <c r="AF39" s="902"/>
      <c r="AG39" s="903"/>
      <c r="AH39" s="617"/>
      <c r="AI39" s="902"/>
      <c r="AJ39" s="903"/>
      <c r="AK39" s="611"/>
      <c r="AL39" s="902"/>
      <c r="AM39" s="903"/>
      <c r="AN39" s="617"/>
      <c r="AO39" s="613">
        <f t="shared" si="14"/>
        <v>0</v>
      </c>
      <c r="AP39" s="613">
        <f t="shared" si="15"/>
        <v>0</v>
      </c>
      <c r="AQ39" s="617" t="str">
        <f t="shared" si="10"/>
        <v xml:space="preserve">    ---- </v>
      </c>
      <c r="AR39" s="613">
        <f t="shared" si="16"/>
        <v>0</v>
      </c>
      <c r="AS39" s="613">
        <f t="shared" si="17"/>
        <v>0</v>
      </c>
      <c r="AT39" s="617" t="str">
        <f t="shared" si="13"/>
        <v xml:space="preserve">    ---- </v>
      </c>
    </row>
    <row r="40" spans="1:47" s="581" customFormat="1" ht="18.75" customHeight="1" x14ac:dyDescent="0.3">
      <c r="A40" s="608" t="s">
        <v>370</v>
      </c>
      <c r="B40" s="902"/>
      <c r="C40" s="903"/>
      <c r="D40" s="616"/>
      <c r="E40" s="902"/>
      <c r="F40" s="903"/>
      <c r="G40" s="617"/>
      <c r="H40" s="902"/>
      <c r="I40" s="903"/>
      <c r="J40" s="611"/>
      <c r="K40" s="444"/>
      <c r="L40" s="903"/>
      <c r="M40" s="617"/>
      <c r="N40" s="902"/>
      <c r="O40" s="903"/>
      <c r="P40" s="617"/>
      <c r="Q40" s="902"/>
      <c r="R40" s="903"/>
      <c r="S40" s="616"/>
      <c r="T40" s="902"/>
      <c r="U40" s="903"/>
      <c r="V40" s="617"/>
      <c r="W40" s="902"/>
      <c r="X40" s="903"/>
      <c r="Y40" s="617"/>
      <c r="Z40" s="902"/>
      <c r="AA40" s="903"/>
      <c r="AB40" s="611"/>
      <c r="AC40" s="444"/>
      <c r="AD40" s="616"/>
      <c r="AE40" s="617"/>
      <c r="AF40" s="902"/>
      <c r="AG40" s="903"/>
      <c r="AH40" s="617"/>
      <c r="AI40" s="902"/>
      <c r="AJ40" s="903"/>
      <c r="AK40" s="611"/>
      <c r="AL40" s="902"/>
      <c r="AM40" s="903"/>
      <c r="AN40" s="617"/>
      <c r="AO40" s="613">
        <f t="shared" si="14"/>
        <v>0</v>
      </c>
      <c r="AP40" s="613">
        <f t="shared" si="15"/>
        <v>0</v>
      </c>
      <c r="AQ40" s="617" t="str">
        <f t="shared" si="10"/>
        <v xml:space="preserve">    ---- </v>
      </c>
      <c r="AR40" s="613">
        <f t="shared" si="16"/>
        <v>0</v>
      </c>
      <c r="AS40" s="613">
        <f t="shared" si="17"/>
        <v>0</v>
      </c>
      <c r="AT40" s="617" t="str">
        <f t="shared" si="13"/>
        <v xml:space="preserve">    ---- </v>
      </c>
    </row>
    <row r="41" spans="1:47" s="581" customFormat="1" ht="18.75" customHeight="1" x14ac:dyDescent="0.3">
      <c r="A41" s="608" t="s">
        <v>371</v>
      </c>
      <c r="B41" s="902">
        <v>105.88500000000001</v>
      </c>
      <c r="C41" s="903">
        <v>86.381</v>
      </c>
      <c r="D41" s="616">
        <f>IF(B41=0, "    ---- ", IF(ABS(ROUND(100/B41*C41-100,1))&lt;999,ROUND(100/B41*C41-100,1),IF(ROUND(100/B41*C41-100,1)&gt;999,999,-999)))</f>
        <v>-18.399999999999999</v>
      </c>
      <c r="E41" s="902"/>
      <c r="F41" s="903"/>
      <c r="G41" s="617"/>
      <c r="H41" s="902"/>
      <c r="I41" s="903"/>
      <c r="J41" s="611"/>
      <c r="K41" s="444"/>
      <c r="L41" s="903">
        <v>395</v>
      </c>
      <c r="M41" s="617" t="str">
        <f>IF(K41=0, "    ---- ", IF(ABS(ROUND(100/K41*L41-100,1))&lt;999,ROUND(100/K41*L41-100,1),IF(ROUND(100/K41*L41-100,1)&gt;999,999,-999)))</f>
        <v xml:space="preserve">    ---- </v>
      </c>
      <c r="N41" s="902">
        <v>89.103999999999999</v>
      </c>
      <c r="O41" s="903">
        <v>82.405000000000001</v>
      </c>
      <c r="P41" s="617">
        <f>IF(N41=0, "    ---- ", IF(ABS(ROUND(100/N41*O41-100,1))&lt;999,ROUND(100/N41*O41-100,1),IF(ROUND(100/N41*O41-100,1)&gt;999,999,-999)))</f>
        <v>-7.5</v>
      </c>
      <c r="Q41" s="902"/>
      <c r="R41" s="903"/>
      <c r="S41" s="616"/>
      <c r="T41" s="902">
        <v>1.2838224</v>
      </c>
      <c r="U41" s="903">
        <v>9.6804380000000005</v>
      </c>
      <c r="V41" s="617">
        <f>IF(T41=0, "    ---- ", IF(ABS(ROUND(100/T41*U41-100,1))&lt;999,ROUND(100/T41*U41-100,1),IF(ROUND(100/T41*U41-100,1)&gt;999,999,-999)))</f>
        <v>654</v>
      </c>
      <c r="W41" s="902"/>
      <c r="X41" s="903"/>
      <c r="Y41" s="617"/>
      <c r="Z41" s="902">
        <v>146.87909971187491</v>
      </c>
      <c r="AA41" s="903">
        <v>191.28</v>
      </c>
      <c r="AB41" s="611">
        <f t="shared" si="0"/>
        <v>30.2</v>
      </c>
      <c r="AC41" s="444"/>
      <c r="AD41" s="616"/>
      <c r="AE41" s="617"/>
      <c r="AF41" s="902"/>
      <c r="AG41" s="903"/>
      <c r="AH41" s="617"/>
      <c r="AI41" s="902">
        <v>371</v>
      </c>
      <c r="AJ41" s="903"/>
      <c r="AK41" s="611">
        <f>IF(AI41=0, "    ---- ", IF(ABS(ROUND(100/AI41*AJ41-100,1))&lt;999,ROUND(100/AI41*AJ41-100,1),IF(ROUND(100/AI41*AJ41-100,1)&gt;999,999,-999)))</f>
        <v>-100</v>
      </c>
      <c r="AL41" s="902">
        <v>191</v>
      </c>
      <c r="AM41" s="903">
        <v>150</v>
      </c>
      <c r="AN41" s="617">
        <f>IF(AL41=0, "    ---- ", IF(ABS(ROUND(100/AL41*AM41-100,1))&lt;999,ROUND(100/AL41*AM41-100,1),IF(ROUND(100/AL41*AM41-100,1)&gt;999,999,-999)))</f>
        <v>-21.5</v>
      </c>
      <c r="AO41" s="613">
        <f t="shared" si="14"/>
        <v>903.86809971187495</v>
      </c>
      <c r="AP41" s="613">
        <f t="shared" si="15"/>
        <v>905.06599999999992</v>
      </c>
      <c r="AQ41" s="617">
        <f t="shared" si="10"/>
        <v>0.1</v>
      </c>
      <c r="AR41" s="613">
        <f t="shared" si="16"/>
        <v>905.15192211187491</v>
      </c>
      <c r="AS41" s="613">
        <f t="shared" si="17"/>
        <v>914.7464379999999</v>
      </c>
      <c r="AT41" s="617">
        <f t="shared" si="13"/>
        <v>1.1000000000000001</v>
      </c>
    </row>
    <row r="42" spans="1:47" s="581" customFormat="1" ht="18.75" customHeight="1" x14ac:dyDescent="0.3">
      <c r="A42" s="608" t="s">
        <v>372</v>
      </c>
      <c r="B42" s="902"/>
      <c r="C42" s="903"/>
      <c r="D42" s="616"/>
      <c r="E42" s="902"/>
      <c r="F42" s="903"/>
      <c r="G42" s="617"/>
      <c r="H42" s="902"/>
      <c r="I42" s="903"/>
      <c r="J42" s="611"/>
      <c r="K42" s="444"/>
      <c r="L42" s="903"/>
      <c r="M42" s="617"/>
      <c r="N42" s="902"/>
      <c r="O42" s="903"/>
      <c r="P42" s="617"/>
      <c r="Q42" s="902"/>
      <c r="R42" s="903"/>
      <c r="S42" s="616"/>
      <c r="T42" s="902"/>
      <c r="U42" s="903"/>
      <c r="V42" s="617"/>
      <c r="W42" s="902"/>
      <c r="X42" s="903"/>
      <c r="Y42" s="617"/>
      <c r="Z42" s="902"/>
      <c r="AA42" s="903"/>
      <c r="AB42" s="611"/>
      <c r="AC42" s="444"/>
      <c r="AD42" s="616"/>
      <c r="AE42" s="617"/>
      <c r="AF42" s="902"/>
      <c r="AG42" s="903"/>
      <c r="AH42" s="617"/>
      <c r="AI42" s="902"/>
      <c r="AJ42" s="903"/>
      <c r="AK42" s="611"/>
      <c r="AL42" s="902"/>
      <c r="AM42" s="903"/>
      <c r="AN42" s="617"/>
      <c r="AO42" s="613">
        <f t="shared" si="14"/>
        <v>0</v>
      </c>
      <c r="AP42" s="613">
        <f t="shared" si="15"/>
        <v>0</v>
      </c>
      <c r="AQ42" s="617" t="str">
        <f t="shared" si="10"/>
        <v xml:space="preserve">    ---- </v>
      </c>
      <c r="AR42" s="613">
        <f t="shared" si="16"/>
        <v>0</v>
      </c>
      <c r="AS42" s="613">
        <f t="shared" si="17"/>
        <v>0</v>
      </c>
      <c r="AT42" s="617" t="str">
        <f t="shared" si="13"/>
        <v xml:space="preserve">    ---- </v>
      </c>
    </row>
    <row r="43" spans="1:47" s="581" customFormat="1" ht="18.75" customHeight="1" x14ac:dyDescent="0.3">
      <c r="A43" s="608" t="s">
        <v>373</v>
      </c>
      <c r="B43" s="902"/>
      <c r="C43" s="903"/>
      <c r="D43" s="616"/>
      <c r="E43" s="902"/>
      <c r="F43" s="903"/>
      <c r="G43" s="617"/>
      <c r="H43" s="902"/>
      <c r="I43" s="903"/>
      <c r="J43" s="611"/>
      <c r="K43" s="444"/>
      <c r="L43" s="903"/>
      <c r="M43" s="617"/>
      <c r="N43" s="902">
        <v>1.7999999999999999E-2</v>
      </c>
      <c r="O43" s="903">
        <v>-0.41299999999999998</v>
      </c>
      <c r="P43" s="617">
        <f>IF(N43=0, "    ---- ", IF(ABS(ROUND(100/N43*O43-100,1))&lt;999,ROUND(100/N43*O43-100,1),IF(ROUND(100/N43*O43-100,1)&gt;999,999,-999)))</f>
        <v>-999</v>
      </c>
      <c r="Q43" s="902"/>
      <c r="R43" s="903"/>
      <c r="S43" s="616"/>
      <c r="T43" s="902"/>
      <c r="U43" s="903"/>
      <c r="V43" s="617"/>
      <c r="W43" s="902"/>
      <c r="X43" s="903"/>
      <c r="Y43" s="617"/>
      <c r="Z43" s="902"/>
      <c r="AA43" s="903"/>
      <c r="AB43" s="611"/>
      <c r="AC43" s="444"/>
      <c r="AD43" s="616"/>
      <c r="AE43" s="617"/>
      <c r="AF43" s="902"/>
      <c r="AG43" s="903"/>
      <c r="AH43" s="617"/>
      <c r="AI43" s="902"/>
      <c r="AJ43" s="903"/>
      <c r="AK43" s="611"/>
      <c r="AL43" s="902"/>
      <c r="AM43" s="903"/>
      <c r="AN43" s="617"/>
      <c r="AO43" s="613">
        <f t="shared" si="14"/>
        <v>1.7999999999999999E-2</v>
      </c>
      <c r="AP43" s="613">
        <f t="shared" si="15"/>
        <v>-0.41299999999999998</v>
      </c>
      <c r="AQ43" s="617">
        <f t="shared" si="10"/>
        <v>-999</v>
      </c>
      <c r="AR43" s="613">
        <f t="shared" si="16"/>
        <v>1.7999999999999999E-2</v>
      </c>
      <c r="AS43" s="613">
        <f t="shared" si="17"/>
        <v>-0.41299999999999998</v>
      </c>
      <c r="AT43" s="617">
        <f t="shared" si="13"/>
        <v>-999</v>
      </c>
    </row>
    <row r="44" spans="1:47" s="615" customFormat="1" ht="18.75" customHeight="1" x14ac:dyDescent="0.3">
      <c r="A44" s="602" t="s">
        <v>374</v>
      </c>
      <c r="B44" s="900">
        <f>SUM(B36:B41)+B43</f>
        <v>110.745</v>
      </c>
      <c r="C44" s="901">
        <f>SUM(C36:C41)+C43</f>
        <v>72.165999999999997</v>
      </c>
      <c r="D44" s="618">
        <f>IF(B44=0, "    ---- ", IF(ABS(ROUND(100/B44*C44-100,1))&lt;999,ROUND(100/B44*C44-100,1),IF(ROUND(100/B44*C44-100,1)&gt;999,999,-999)))</f>
        <v>-34.799999999999997</v>
      </c>
      <c r="E44" s="900"/>
      <c r="F44" s="901"/>
      <c r="G44" s="619"/>
      <c r="H44" s="900"/>
      <c r="I44" s="901"/>
      <c r="J44" s="606"/>
      <c r="K44" s="603"/>
      <c r="L44" s="901">
        <f>SUM(L36:L41)+L43</f>
        <v>421.9</v>
      </c>
      <c r="M44" s="619" t="str">
        <f>IF(K44=0, "    ---- ", IF(ABS(ROUND(100/K44*L44-100,1))&lt;999,ROUND(100/K44*L44-100,1),IF(ROUND(100/K44*L44-100,1)&gt;999,999,-999)))</f>
        <v xml:space="preserve">    ---- </v>
      </c>
      <c r="N44" s="900">
        <f>SUM(N36:N41)+N43</f>
        <v>106.75399999999999</v>
      </c>
      <c r="O44" s="901">
        <f>SUM(O36:O41)+O43</f>
        <v>90.815000000000012</v>
      </c>
      <c r="P44" s="619">
        <f>IF(N44=0, "    ---- ", IF(ABS(ROUND(100/N44*O44-100,1))&lt;999,ROUND(100/N44*O44-100,1),IF(ROUND(100/N44*O44-100,1)&gt;999,999,-999)))</f>
        <v>-14.9</v>
      </c>
      <c r="Q44" s="900"/>
      <c r="R44" s="901"/>
      <c r="S44" s="618"/>
      <c r="T44" s="900">
        <f>SUM(T36:T41)+T43</f>
        <v>9.0354947952207496</v>
      </c>
      <c r="U44" s="901">
        <f>SUM(U36:U41)+U43</f>
        <v>16.43247379328616</v>
      </c>
      <c r="V44" s="619">
        <f>IF(T44=0, "    ---- ", IF(ABS(ROUND(100/T44*U44-100,1))&lt;999,ROUND(100/T44*U44-100,1),IF(ROUND(100/T44*U44-100,1)&gt;999,999,-999)))</f>
        <v>81.900000000000006</v>
      </c>
      <c r="W44" s="900"/>
      <c r="X44" s="901"/>
      <c r="Y44" s="619"/>
      <c r="Z44" s="900">
        <f>SUM(Z36:Z41)+Z43</f>
        <v>165.78876949622713</v>
      </c>
      <c r="AA44" s="901">
        <f>SUM(AA36:AA41)+AA43</f>
        <v>209.56</v>
      </c>
      <c r="AB44" s="606">
        <f t="shared" si="0"/>
        <v>26.4</v>
      </c>
      <c r="AC44" s="603"/>
      <c r="AD44" s="618"/>
      <c r="AE44" s="619"/>
      <c r="AF44" s="900"/>
      <c r="AG44" s="901"/>
      <c r="AH44" s="619"/>
      <c r="AI44" s="900">
        <f>SUM(AI36:AI41)+AI43</f>
        <v>426</v>
      </c>
      <c r="AJ44" s="901">
        <f>SUM(AJ36:AJ41)+AJ43</f>
        <v>0</v>
      </c>
      <c r="AK44" s="606">
        <f>IF(AI44=0, "    ---- ", IF(ABS(ROUND(100/AI44*AJ44-100,1))&lt;999,ROUND(100/AI44*AJ44-100,1),IF(ROUND(100/AI44*AJ44-100,1)&gt;999,999,-999)))</f>
        <v>-100</v>
      </c>
      <c r="AL44" s="900">
        <f>SUM(AL36:AL41)+AL43</f>
        <v>162</v>
      </c>
      <c r="AM44" s="901">
        <f>SUM(AM36:AM41)+AM43</f>
        <v>112</v>
      </c>
      <c r="AN44" s="619">
        <f>IF(AL44=0, "    ---- ", IF(ABS(ROUND(100/AL44*AM44-100,1))&lt;999,ROUND(100/AL44*AM44-100,1),IF(ROUND(100/AL44*AM44-100,1)&gt;999,999,-999)))</f>
        <v>-30.9</v>
      </c>
      <c r="AO44" s="614">
        <f t="shared" si="14"/>
        <v>971.28776949622716</v>
      </c>
      <c r="AP44" s="614">
        <f t="shared" si="15"/>
        <v>906.44100000000003</v>
      </c>
      <c r="AQ44" s="619">
        <f t="shared" si="10"/>
        <v>-6.7</v>
      </c>
      <c r="AR44" s="614">
        <f t="shared" si="16"/>
        <v>980.32326429144791</v>
      </c>
      <c r="AS44" s="614">
        <f t="shared" si="17"/>
        <v>922.87347379328617</v>
      </c>
      <c r="AT44" s="619">
        <f t="shared" si="13"/>
        <v>-5.9</v>
      </c>
    </row>
    <row r="45" spans="1:47" s="581" customFormat="1" ht="18.75" customHeight="1" x14ac:dyDescent="0.3">
      <c r="A45" s="608" t="s">
        <v>375</v>
      </c>
      <c r="B45" s="902"/>
      <c r="C45" s="903"/>
      <c r="D45" s="616"/>
      <c r="E45" s="902"/>
      <c r="F45" s="903"/>
      <c r="G45" s="617"/>
      <c r="H45" s="902"/>
      <c r="I45" s="903"/>
      <c r="J45" s="611"/>
      <c r="K45" s="444"/>
      <c r="L45" s="903"/>
      <c r="M45" s="617"/>
      <c r="N45" s="902"/>
      <c r="O45" s="903"/>
      <c r="P45" s="617"/>
      <c r="Q45" s="902"/>
      <c r="R45" s="903"/>
      <c r="S45" s="616"/>
      <c r="T45" s="902"/>
      <c r="U45" s="903"/>
      <c r="V45" s="617"/>
      <c r="W45" s="902"/>
      <c r="X45" s="903"/>
      <c r="Y45" s="617"/>
      <c r="Z45" s="902"/>
      <c r="AA45" s="903"/>
      <c r="AB45" s="611"/>
      <c r="AC45" s="444"/>
      <c r="AD45" s="616"/>
      <c r="AE45" s="617"/>
      <c r="AF45" s="902"/>
      <c r="AG45" s="903"/>
      <c r="AH45" s="617"/>
      <c r="AI45" s="902"/>
      <c r="AJ45" s="903"/>
      <c r="AK45" s="611"/>
      <c r="AL45" s="902"/>
      <c r="AM45" s="903"/>
      <c r="AN45" s="617"/>
      <c r="AO45" s="613">
        <f t="shared" si="14"/>
        <v>0</v>
      </c>
      <c r="AP45" s="613">
        <f t="shared" si="15"/>
        <v>0</v>
      </c>
      <c r="AQ45" s="617" t="str">
        <f t="shared" si="10"/>
        <v xml:space="preserve">    ---- </v>
      </c>
      <c r="AR45" s="613">
        <f t="shared" si="16"/>
        <v>0</v>
      </c>
      <c r="AS45" s="613">
        <f t="shared" si="17"/>
        <v>0</v>
      </c>
      <c r="AT45" s="617" t="str">
        <f t="shared" si="13"/>
        <v xml:space="preserve">    ---- </v>
      </c>
    </row>
    <row r="46" spans="1:47" s="581" customFormat="1" ht="18.75" customHeight="1" x14ac:dyDescent="0.3">
      <c r="A46" s="608" t="s">
        <v>376</v>
      </c>
      <c r="B46" s="902">
        <v>110.744</v>
      </c>
      <c r="C46" s="903">
        <v>72.165999999999997</v>
      </c>
      <c r="D46" s="616">
        <f>IF(B46=0, "    ---- ", IF(ABS(ROUND(100/B46*C46-100,1))&lt;999,ROUND(100/B46*C46-100,1),IF(ROUND(100/B46*C46-100,1)&gt;999,999,-999)))</f>
        <v>-34.799999999999997</v>
      </c>
      <c r="E46" s="902"/>
      <c r="F46" s="903"/>
      <c r="G46" s="617"/>
      <c r="H46" s="902"/>
      <c r="I46" s="903"/>
      <c r="J46" s="611"/>
      <c r="K46" s="444"/>
      <c r="L46" s="903">
        <v>422</v>
      </c>
      <c r="M46" s="617"/>
      <c r="N46" s="902">
        <v>106.753</v>
      </c>
      <c r="O46" s="903">
        <v>90.814999999999998</v>
      </c>
      <c r="P46" s="617">
        <f>IF(N46=0, "    ---- ", IF(ABS(ROUND(100/N46*O46-100,1))&lt;999,ROUND(100/N46*O46-100,1),IF(ROUND(100/N46*O46-100,1)&gt;999,999,-999)))</f>
        <v>-14.9</v>
      </c>
      <c r="Q46" s="902"/>
      <c r="R46" s="903"/>
      <c r="S46" s="616"/>
      <c r="T46" s="902">
        <v>9</v>
      </c>
      <c r="U46" s="903">
        <v>16</v>
      </c>
      <c r="V46" s="617">
        <f>IF(T46=0, "    ---- ", IF(ABS(ROUND(100/T46*U46-100,1))&lt;999,ROUND(100/T46*U46-100,1),IF(ROUND(100/T46*U46-100,1)&gt;999,999,-999)))</f>
        <v>77.8</v>
      </c>
      <c r="W46" s="902"/>
      <c r="X46" s="903"/>
      <c r="Y46" s="617"/>
      <c r="Z46" s="902">
        <v>165.78876949622713</v>
      </c>
      <c r="AA46" s="903">
        <v>209.56</v>
      </c>
      <c r="AB46" s="611">
        <f t="shared" si="0"/>
        <v>26.4</v>
      </c>
      <c r="AC46" s="444"/>
      <c r="AD46" s="616"/>
      <c r="AE46" s="617"/>
      <c r="AF46" s="902"/>
      <c r="AG46" s="903"/>
      <c r="AH46" s="617"/>
      <c r="AI46" s="902">
        <v>426</v>
      </c>
      <c r="AJ46" s="903"/>
      <c r="AK46" s="611">
        <f>IF(AI46=0, "    ---- ", IF(ABS(ROUND(100/AI46*AJ46-100,1))&lt;999,ROUND(100/AI46*AJ46-100,1),IF(ROUND(100/AI46*AJ46-100,1)&gt;999,999,-999)))</f>
        <v>-100</v>
      </c>
      <c r="AL46" s="902">
        <v>162</v>
      </c>
      <c r="AM46" s="903">
        <v>112</v>
      </c>
      <c r="AN46" s="617">
        <f>IF(AL46=0, "    ---- ", IF(ABS(ROUND(100/AL46*AM46-100,1))&lt;999,ROUND(100/AL46*AM46-100,1),IF(ROUND(100/AL46*AM46-100,1)&gt;999,999,-999)))</f>
        <v>-30.9</v>
      </c>
      <c r="AO46" s="613">
        <f t="shared" si="14"/>
        <v>971.2857694962272</v>
      </c>
      <c r="AP46" s="613">
        <f t="shared" si="15"/>
        <v>906.54099999999994</v>
      </c>
      <c r="AQ46" s="617">
        <f t="shared" si="10"/>
        <v>-6.7</v>
      </c>
      <c r="AR46" s="613">
        <f t="shared" si="16"/>
        <v>980.2857694962272</v>
      </c>
      <c r="AS46" s="613">
        <f t="shared" si="17"/>
        <v>922.54099999999994</v>
      </c>
      <c r="AT46" s="617">
        <f t="shared" si="13"/>
        <v>-5.9</v>
      </c>
      <c r="AU46" s="615"/>
    </row>
    <row r="47" spans="1:47" s="615" customFormat="1" ht="18.75" customHeight="1" x14ac:dyDescent="0.3">
      <c r="A47" s="602" t="s">
        <v>379</v>
      </c>
      <c r="B47" s="900"/>
      <c r="C47" s="901"/>
      <c r="D47" s="618"/>
      <c r="E47" s="900"/>
      <c r="F47" s="901"/>
      <c r="G47" s="619"/>
      <c r="H47" s="900"/>
      <c r="I47" s="901"/>
      <c r="J47" s="606"/>
      <c r="K47" s="603"/>
      <c r="L47" s="901"/>
      <c r="M47" s="619"/>
      <c r="N47" s="900"/>
      <c r="O47" s="901"/>
      <c r="P47" s="619"/>
      <c r="Q47" s="900"/>
      <c r="R47" s="901"/>
      <c r="S47" s="618"/>
      <c r="T47" s="900"/>
      <c r="U47" s="901"/>
      <c r="V47" s="619"/>
      <c r="W47" s="900"/>
      <c r="X47" s="901"/>
      <c r="Y47" s="619"/>
      <c r="Z47" s="900"/>
      <c r="AA47" s="901"/>
      <c r="AB47" s="606"/>
      <c r="AC47" s="603"/>
      <c r="AD47" s="618"/>
      <c r="AE47" s="619"/>
      <c r="AF47" s="900"/>
      <c r="AG47" s="901"/>
      <c r="AH47" s="619"/>
      <c r="AI47" s="900"/>
      <c r="AJ47" s="901"/>
      <c r="AK47" s="606"/>
      <c r="AL47" s="900"/>
      <c r="AM47" s="901"/>
      <c r="AN47" s="619"/>
      <c r="AO47" s="618"/>
      <c r="AP47" s="618"/>
      <c r="AQ47" s="619"/>
      <c r="AR47" s="613"/>
      <c r="AS47" s="613"/>
      <c r="AT47" s="619"/>
    </row>
    <row r="48" spans="1:47" s="581" customFormat="1" ht="18.75" customHeight="1" x14ac:dyDescent="0.3">
      <c r="A48" s="608" t="s">
        <v>366</v>
      </c>
      <c r="B48" s="902"/>
      <c r="C48" s="903"/>
      <c r="D48" s="616"/>
      <c r="E48" s="902"/>
      <c r="F48" s="903"/>
      <c r="G48" s="617"/>
      <c r="H48" s="902">
        <v>1058.3040000000001</v>
      </c>
      <c r="I48" s="903">
        <v>666</v>
      </c>
      <c r="J48" s="611">
        <f>IF(H48=0, "    ---- ", IF(ABS(ROUND(100/H48*I48-100,1))&lt;999,ROUND(100/H48*I48-100,1),IF(ROUND(100/H48*I48-100,1)&gt;999,999,-999)))</f>
        <v>-37.1</v>
      </c>
      <c r="K48" s="444"/>
      <c r="L48" s="903"/>
      <c r="M48" s="617"/>
      <c r="N48" s="902"/>
      <c r="O48" s="903"/>
      <c r="P48" s="617"/>
      <c r="Q48" s="902"/>
      <c r="R48" s="903"/>
      <c r="S48" s="616"/>
      <c r="T48" s="902"/>
      <c r="U48" s="903"/>
      <c r="V48" s="617"/>
      <c r="W48" s="902"/>
      <c r="X48" s="903"/>
      <c r="Y48" s="617"/>
      <c r="Z48" s="902"/>
      <c r="AA48" s="903"/>
      <c r="AB48" s="611"/>
      <c r="AC48" s="444"/>
      <c r="AD48" s="616"/>
      <c r="AE48" s="617"/>
      <c r="AF48" s="902"/>
      <c r="AG48" s="903"/>
      <c r="AH48" s="617"/>
      <c r="AI48" s="902">
        <v>1</v>
      </c>
      <c r="AJ48" s="903"/>
      <c r="AK48" s="611">
        <f>IF(AI48=0, "    ---- ", IF(ABS(ROUND(100/AI48*AJ48-100,1))&lt;999,ROUND(100/AI48*AJ48-100,1),IF(ROUND(100/AI48*AJ48-100,1)&gt;999,999,-999)))</f>
        <v>-100</v>
      </c>
      <c r="AL48" s="902"/>
      <c r="AM48" s="903">
        <v>-4</v>
      </c>
      <c r="AN48" s="617" t="str">
        <f>IF(AL48=0, "    ---- ", IF(ABS(ROUND(100/AL48*AM48-100,1))&lt;999,ROUND(100/AL48*AM48-100,1),IF(ROUND(100/AL48*AM48-100,1)&gt;999,999,-999)))</f>
        <v xml:space="preserve">    ---- </v>
      </c>
      <c r="AO48" s="613">
        <f t="shared" ref="AO48:AO58" si="18">B48+H48+K48+N48+Q48+W48+E48+Z48+AC48+AI48+AL48</f>
        <v>1059.3040000000001</v>
      </c>
      <c r="AP48" s="613">
        <f t="shared" ref="AP48:AP58" si="19">C48+I48+L48+O48+R48+X48+F48+AA48+AD48+AJ48+AM48</f>
        <v>662</v>
      </c>
      <c r="AQ48" s="617">
        <f t="shared" si="10"/>
        <v>-37.5</v>
      </c>
      <c r="AR48" s="613">
        <f t="shared" ref="AR48:AR58" si="20">+B48+H48+K48+N48+Q48+T48+W48+E48+Z48+AC48+AF48+AI48+AL48</f>
        <v>1059.3040000000001</v>
      </c>
      <c r="AS48" s="613">
        <f t="shared" ref="AS48:AS58" si="21">+C48+I48+L48+O48+R48+U48+X48+F48+AA48+AD48+AG48+AJ48+AM48</f>
        <v>662</v>
      </c>
      <c r="AT48" s="617">
        <f t="shared" si="13"/>
        <v>-37.5</v>
      </c>
    </row>
    <row r="49" spans="1:46" s="581" customFormat="1" ht="18.75" customHeight="1" x14ac:dyDescent="0.3">
      <c r="A49" s="608" t="s">
        <v>367</v>
      </c>
      <c r="B49" s="902"/>
      <c r="C49" s="903"/>
      <c r="D49" s="616"/>
      <c r="E49" s="902"/>
      <c r="F49" s="903"/>
      <c r="G49" s="617"/>
      <c r="H49" s="902"/>
      <c r="I49" s="903"/>
      <c r="J49" s="611"/>
      <c r="K49" s="444"/>
      <c r="L49" s="903"/>
      <c r="M49" s="617"/>
      <c r="N49" s="902"/>
      <c r="O49" s="903"/>
      <c r="P49" s="617"/>
      <c r="Q49" s="902"/>
      <c r="R49" s="903"/>
      <c r="S49" s="616"/>
      <c r="T49" s="902"/>
      <c r="U49" s="903"/>
      <c r="V49" s="617"/>
      <c r="W49" s="902"/>
      <c r="X49" s="903"/>
      <c r="Y49" s="617"/>
      <c r="Z49" s="902"/>
      <c r="AA49" s="903"/>
      <c r="AB49" s="611"/>
      <c r="AC49" s="444"/>
      <c r="AD49" s="616"/>
      <c r="AE49" s="617"/>
      <c r="AF49" s="902"/>
      <c r="AG49" s="903"/>
      <c r="AH49" s="617"/>
      <c r="AI49" s="902"/>
      <c r="AJ49" s="903"/>
      <c r="AK49" s="611"/>
      <c r="AL49" s="902"/>
      <c r="AM49" s="903"/>
      <c r="AN49" s="617"/>
      <c r="AO49" s="613">
        <f t="shared" si="18"/>
        <v>0</v>
      </c>
      <c r="AP49" s="613">
        <f t="shared" si="19"/>
        <v>0</v>
      </c>
      <c r="AQ49" s="617" t="str">
        <f t="shared" si="10"/>
        <v xml:space="preserve">    ---- </v>
      </c>
      <c r="AR49" s="613">
        <f t="shared" si="20"/>
        <v>0</v>
      </c>
      <c r="AS49" s="613">
        <f t="shared" si="21"/>
        <v>0</v>
      </c>
      <c r="AT49" s="617" t="str">
        <f t="shared" si="13"/>
        <v xml:space="preserve">    ---- </v>
      </c>
    </row>
    <row r="50" spans="1:46" s="581" customFormat="1" ht="18.75" customHeight="1" x14ac:dyDescent="0.3">
      <c r="A50" s="608" t="s">
        <v>368</v>
      </c>
      <c r="B50" s="902">
        <v>3.2890000000000001</v>
      </c>
      <c r="C50" s="903">
        <v>-4.806</v>
      </c>
      <c r="D50" s="616">
        <f>IF(B50=0, "    ---- ", IF(ABS(ROUND(100/B50*C50-100,1))&lt;999,ROUND(100/B50*C50-100,1),IF(ROUND(100/B50*C50-100,1)&gt;999,999,-999)))</f>
        <v>-246.1</v>
      </c>
      <c r="E50" s="902"/>
      <c r="F50" s="903"/>
      <c r="G50" s="617"/>
      <c r="H50" s="902">
        <v>4.468</v>
      </c>
      <c r="I50" s="903">
        <v>3</v>
      </c>
      <c r="J50" s="611">
        <f>IF(H50=0, "    ---- ", IF(ABS(ROUND(100/H50*I50-100,1))&lt;999,ROUND(100/H50*I50-100,1),IF(ROUND(100/H50*I50-100,1)&gt;999,999,-999)))</f>
        <v>-32.9</v>
      </c>
      <c r="K50" s="444"/>
      <c r="L50" s="903"/>
      <c r="M50" s="617"/>
      <c r="N50" s="902"/>
      <c r="O50" s="903"/>
      <c r="P50" s="617"/>
      <c r="Q50" s="902"/>
      <c r="R50" s="903"/>
      <c r="S50" s="616"/>
      <c r="T50" s="902"/>
      <c r="U50" s="903"/>
      <c r="V50" s="617"/>
      <c r="W50" s="902"/>
      <c r="X50" s="903"/>
      <c r="Y50" s="617"/>
      <c r="Z50" s="902">
        <v>129.6638953553088</v>
      </c>
      <c r="AA50" s="903">
        <v>144.30000000000001</v>
      </c>
      <c r="AB50" s="611">
        <f t="shared" si="0"/>
        <v>11.3</v>
      </c>
      <c r="AC50" s="444"/>
      <c r="AD50" s="616"/>
      <c r="AE50" s="617"/>
      <c r="AF50" s="902"/>
      <c r="AG50" s="903"/>
      <c r="AH50" s="617"/>
      <c r="AI50" s="902">
        <v>-1</v>
      </c>
      <c r="AJ50" s="903">
        <v>4</v>
      </c>
      <c r="AK50" s="611">
        <f>IF(AI50=0, "    ---- ", IF(ABS(ROUND(100/AI50*AJ50-100,1))&lt;999,ROUND(100/AI50*AJ50-100,1),IF(ROUND(100/AI50*AJ50-100,1)&gt;999,999,-999)))</f>
        <v>-500</v>
      </c>
      <c r="AL50" s="902">
        <v>-7</v>
      </c>
      <c r="AM50" s="903">
        <v>15</v>
      </c>
      <c r="AN50" s="617">
        <f>IF(AL50=0, "    ---- ", IF(ABS(ROUND(100/AL50*AM50-100,1))&lt;999,ROUND(100/AL50*AM50-100,1),IF(ROUND(100/AL50*AM50-100,1)&gt;999,999,-999)))</f>
        <v>-314.3</v>
      </c>
      <c r="AO50" s="613">
        <f t="shared" si="18"/>
        <v>129.4208953553088</v>
      </c>
      <c r="AP50" s="613">
        <f t="shared" si="19"/>
        <v>161.494</v>
      </c>
      <c r="AQ50" s="617">
        <f t="shared" si="10"/>
        <v>24.8</v>
      </c>
      <c r="AR50" s="613">
        <f t="shared" si="20"/>
        <v>129.4208953553088</v>
      </c>
      <c r="AS50" s="613">
        <f t="shared" si="21"/>
        <v>161.494</v>
      </c>
      <c r="AT50" s="617">
        <f t="shared" si="13"/>
        <v>24.8</v>
      </c>
    </row>
    <row r="51" spans="1:46" s="581" customFormat="1" ht="18.75" customHeight="1" x14ac:dyDescent="0.3">
      <c r="A51" s="608" t="s">
        <v>369</v>
      </c>
      <c r="B51" s="902"/>
      <c r="C51" s="903"/>
      <c r="D51" s="616"/>
      <c r="E51" s="902"/>
      <c r="F51" s="903"/>
      <c r="G51" s="617"/>
      <c r="H51" s="902"/>
      <c r="I51" s="903"/>
      <c r="J51" s="611"/>
      <c r="K51" s="444"/>
      <c r="L51" s="903"/>
      <c r="M51" s="617"/>
      <c r="N51" s="902"/>
      <c r="O51" s="903"/>
      <c r="P51" s="617"/>
      <c r="Q51" s="902"/>
      <c r="R51" s="903"/>
      <c r="S51" s="616"/>
      <c r="T51" s="902"/>
      <c r="U51" s="903"/>
      <c r="V51" s="617"/>
      <c r="W51" s="902"/>
      <c r="X51" s="903"/>
      <c r="Y51" s="617"/>
      <c r="Z51" s="902"/>
      <c r="AA51" s="903"/>
      <c r="AB51" s="611"/>
      <c r="AC51" s="444"/>
      <c r="AD51" s="616"/>
      <c r="AE51" s="617"/>
      <c r="AF51" s="902"/>
      <c r="AG51" s="903"/>
      <c r="AH51" s="617"/>
      <c r="AI51" s="902"/>
      <c r="AJ51" s="903"/>
      <c r="AK51" s="611"/>
      <c r="AL51" s="902"/>
      <c r="AM51" s="903"/>
      <c r="AN51" s="617"/>
      <c r="AO51" s="613">
        <f t="shared" si="18"/>
        <v>0</v>
      </c>
      <c r="AP51" s="613">
        <f t="shared" si="19"/>
        <v>0</v>
      </c>
      <c r="AQ51" s="617" t="str">
        <f t="shared" si="10"/>
        <v xml:space="preserve">    ---- </v>
      </c>
      <c r="AR51" s="613">
        <f t="shared" si="20"/>
        <v>0</v>
      </c>
      <c r="AS51" s="613">
        <f t="shared" si="21"/>
        <v>0</v>
      </c>
      <c r="AT51" s="617" t="str">
        <f t="shared" si="13"/>
        <v xml:space="preserve">    ---- </v>
      </c>
    </row>
    <row r="52" spans="1:46" s="581" customFormat="1" ht="18.75" customHeight="1" x14ac:dyDescent="0.3">
      <c r="A52" s="608" t="s">
        <v>370</v>
      </c>
      <c r="B52" s="902"/>
      <c r="C52" s="903"/>
      <c r="D52" s="616"/>
      <c r="E52" s="902"/>
      <c r="F52" s="903"/>
      <c r="G52" s="617"/>
      <c r="H52" s="902"/>
      <c r="I52" s="903"/>
      <c r="J52" s="611"/>
      <c r="K52" s="444"/>
      <c r="L52" s="903"/>
      <c r="M52" s="617"/>
      <c r="N52" s="902"/>
      <c r="O52" s="903"/>
      <c r="P52" s="617"/>
      <c r="Q52" s="902"/>
      <c r="R52" s="903"/>
      <c r="S52" s="616"/>
      <c r="T52" s="902"/>
      <c r="U52" s="903"/>
      <c r="V52" s="617"/>
      <c r="W52" s="902"/>
      <c r="X52" s="903"/>
      <c r="Y52" s="617"/>
      <c r="Z52" s="902"/>
      <c r="AA52" s="903"/>
      <c r="AB52" s="611"/>
      <c r="AC52" s="444"/>
      <c r="AD52" s="616"/>
      <c r="AE52" s="617"/>
      <c r="AF52" s="902"/>
      <c r="AG52" s="903"/>
      <c r="AH52" s="617"/>
      <c r="AI52" s="902"/>
      <c r="AJ52" s="903"/>
      <c r="AK52" s="611"/>
      <c r="AL52" s="902"/>
      <c r="AM52" s="903"/>
      <c r="AN52" s="617"/>
      <c r="AO52" s="613">
        <f t="shared" si="18"/>
        <v>0</v>
      </c>
      <c r="AP52" s="613">
        <f t="shared" si="19"/>
        <v>0</v>
      </c>
      <c r="AQ52" s="617" t="str">
        <f t="shared" si="10"/>
        <v xml:space="preserve">    ---- </v>
      </c>
      <c r="AR52" s="613">
        <f t="shared" si="20"/>
        <v>0</v>
      </c>
      <c r="AS52" s="613">
        <f t="shared" si="21"/>
        <v>0</v>
      </c>
      <c r="AT52" s="617" t="str">
        <f t="shared" si="13"/>
        <v xml:space="preserve">    ---- </v>
      </c>
    </row>
    <row r="53" spans="1:46" s="581" customFormat="1" ht="18.75" customHeight="1" x14ac:dyDescent="0.3">
      <c r="A53" s="608" t="s">
        <v>371</v>
      </c>
      <c r="B53" s="902">
        <v>0.16</v>
      </c>
      <c r="C53" s="903">
        <v>-0.255</v>
      </c>
      <c r="D53" s="616">
        <f>IF(B53=0, "    ---- ", IF(ABS(ROUND(100/B53*C53-100,1))&lt;999,ROUND(100/B53*C53-100,1),IF(ROUND(100/B53*C53-100,1)&gt;999,999,-999)))</f>
        <v>-259.39999999999998</v>
      </c>
      <c r="E53" s="902"/>
      <c r="F53" s="903"/>
      <c r="G53" s="617"/>
      <c r="H53" s="902">
        <v>0.183</v>
      </c>
      <c r="I53" s="903">
        <v>0</v>
      </c>
      <c r="J53" s="611">
        <f>IF(H53=0, "    ---- ", IF(ABS(ROUND(100/H53*I53-100,1))&lt;999,ROUND(100/H53*I53-100,1),IF(ROUND(100/H53*I53-100,1)&gt;999,999,-999)))</f>
        <v>-100</v>
      </c>
      <c r="K53" s="444"/>
      <c r="L53" s="903"/>
      <c r="M53" s="617"/>
      <c r="N53" s="902"/>
      <c r="O53" s="903"/>
      <c r="P53" s="617"/>
      <c r="Q53" s="902"/>
      <c r="R53" s="903"/>
      <c r="S53" s="616"/>
      <c r="T53" s="902"/>
      <c r="U53" s="903"/>
      <c r="V53" s="617"/>
      <c r="W53" s="902"/>
      <c r="X53" s="903"/>
      <c r="Y53" s="617"/>
      <c r="Z53" s="902">
        <v>4.5543994715737588</v>
      </c>
      <c r="AA53" s="903">
        <v>4.4800000000000004</v>
      </c>
      <c r="AB53" s="611">
        <f t="shared" si="0"/>
        <v>-1.6</v>
      </c>
      <c r="AC53" s="444"/>
      <c r="AD53" s="616"/>
      <c r="AE53" s="617"/>
      <c r="AF53" s="902"/>
      <c r="AG53" s="903"/>
      <c r="AH53" s="617"/>
      <c r="AI53" s="902">
        <v>-1</v>
      </c>
      <c r="AJ53" s="903">
        <v>11</v>
      </c>
      <c r="AK53" s="611">
        <f>IF(AI53=0, "    ---- ", IF(ABS(ROUND(100/AI53*AJ53-100,1))&lt;999,ROUND(100/AI53*AJ53-100,1),IF(ROUND(100/AI53*AJ53-100,1)&gt;999,999,-999)))</f>
        <v>-999</v>
      </c>
      <c r="AL53" s="902"/>
      <c r="AM53" s="903"/>
      <c r="AN53" s="617"/>
      <c r="AO53" s="613">
        <f t="shared" si="18"/>
        <v>3.8973994715737588</v>
      </c>
      <c r="AP53" s="613">
        <f t="shared" si="19"/>
        <v>15.225000000000001</v>
      </c>
      <c r="AQ53" s="617">
        <f t="shared" si="10"/>
        <v>290.60000000000002</v>
      </c>
      <c r="AR53" s="613">
        <f t="shared" si="20"/>
        <v>3.8973994715737588</v>
      </c>
      <c r="AS53" s="613">
        <f t="shared" si="21"/>
        <v>15.225000000000001</v>
      </c>
      <c r="AT53" s="617">
        <f t="shared" si="13"/>
        <v>290.60000000000002</v>
      </c>
    </row>
    <row r="54" spans="1:46" s="581" customFormat="1" ht="18.75" customHeight="1" x14ac:dyDescent="0.3">
      <c r="A54" s="608" t="s">
        <v>372</v>
      </c>
      <c r="B54" s="902"/>
      <c r="C54" s="903"/>
      <c r="D54" s="616"/>
      <c r="E54" s="902"/>
      <c r="F54" s="903"/>
      <c r="G54" s="617"/>
      <c r="H54" s="902"/>
      <c r="I54" s="903"/>
      <c r="J54" s="611"/>
      <c r="K54" s="444"/>
      <c r="L54" s="903"/>
      <c r="M54" s="617"/>
      <c r="N54" s="902"/>
      <c r="O54" s="903"/>
      <c r="P54" s="617"/>
      <c r="Q54" s="902"/>
      <c r="R54" s="903"/>
      <c r="S54" s="616"/>
      <c r="T54" s="902"/>
      <c r="U54" s="903"/>
      <c r="V54" s="617"/>
      <c r="W54" s="902"/>
      <c r="X54" s="903"/>
      <c r="Y54" s="617"/>
      <c r="Z54" s="902"/>
      <c r="AA54" s="903"/>
      <c r="AB54" s="611"/>
      <c r="AC54" s="444"/>
      <c r="AD54" s="616"/>
      <c r="AE54" s="617"/>
      <c r="AF54" s="902"/>
      <c r="AG54" s="903"/>
      <c r="AH54" s="617"/>
      <c r="AI54" s="902"/>
      <c r="AJ54" s="903"/>
      <c r="AK54" s="611"/>
      <c r="AL54" s="902"/>
      <c r="AM54" s="903"/>
      <c r="AN54" s="617"/>
      <c r="AO54" s="613">
        <f t="shared" si="18"/>
        <v>0</v>
      </c>
      <c r="AP54" s="613">
        <f t="shared" si="19"/>
        <v>0</v>
      </c>
      <c r="AQ54" s="617" t="str">
        <f t="shared" si="10"/>
        <v xml:space="preserve">    ---- </v>
      </c>
      <c r="AR54" s="613">
        <f t="shared" si="20"/>
        <v>0</v>
      </c>
      <c r="AS54" s="613">
        <f t="shared" si="21"/>
        <v>0</v>
      </c>
      <c r="AT54" s="617" t="str">
        <f t="shared" si="13"/>
        <v xml:space="preserve">    ---- </v>
      </c>
    </row>
    <row r="55" spans="1:46" s="581" customFormat="1" ht="18.75" customHeight="1" x14ac:dyDescent="0.3">
      <c r="A55" s="608" t="s">
        <v>373</v>
      </c>
      <c r="B55" s="902"/>
      <c r="C55" s="903"/>
      <c r="D55" s="616"/>
      <c r="E55" s="902"/>
      <c r="F55" s="903"/>
      <c r="G55" s="617"/>
      <c r="H55" s="902"/>
      <c r="I55" s="903"/>
      <c r="J55" s="611"/>
      <c r="K55" s="444"/>
      <c r="L55" s="903"/>
      <c r="M55" s="617"/>
      <c r="N55" s="902"/>
      <c r="O55" s="903"/>
      <c r="P55" s="617"/>
      <c r="Q55" s="902"/>
      <c r="R55" s="903"/>
      <c r="S55" s="616"/>
      <c r="T55" s="902"/>
      <c r="U55" s="903"/>
      <c r="V55" s="617"/>
      <c r="W55" s="902"/>
      <c r="X55" s="903"/>
      <c r="Y55" s="617"/>
      <c r="Z55" s="902"/>
      <c r="AA55" s="903"/>
      <c r="AB55" s="611"/>
      <c r="AC55" s="444"/>
      <c r="AD55" s="616"/>
      <c r="AE55" s="617"/>
      <c r="AF55" s="902"/>
      <c r="AG55" s="903"/>
      <c r="AH55" s="617"/>
      <c r="AI55" s="902"/>
      <c r="AJ55" s="903"/>
      <c r="AK55" s="611"/>
      <c r="AL55" s="902"/>
      <c r="AM55" s="903"/>
      <c r="AN55" s="617"/>
      <c r="AO55" s="613">
        <f t="shared" si="18"/>
        <v>0</v>
      </c>
      <c r="AP55" s="613">
        <f t="shared" si="19"/>
        <v>0</v>
      </c>
      <c r="AQ55" s="617" t="str">
        <f t="shared" si="10"/>
        <v xml:space="preserve">    ---- </v>
      </c>
      <c r="AR55" s="613">
        <f t="shared" si="20"/>
        <v>0</v>
      </c>
      <c r="AS55" s="613">
        <f t="shared" si="21"/>
        <v>0</v>
      </c>
      <c r="AT55" s="617" t="str">
        <f t="shared" si="13"/>
        <v xml:space="preserve">    ---- </v>
      </c>
    </row>
    <row r="56" spans="1:46" s="615" customFormat="1" ht="18.75" customHeight="1" x14ac:dyDescent="0.3">
      <c r="A56" s="602" t="s">
        <v>374</v>
      </c>
      <c r="B56" s="900">
        <f>SUM(B48:B53)+B55</f>
        <v>3.4490000000000003</v>
      </c>
      <c r="C56" s="901">
        <f>SUM(C48:C53)+C55</f>
        <v>-5.0609999999999999</v>
      </c>
      <c r="D56" s="618">
        <f>IF(B56=0, "    ---- ", IF(ABS(ROUND(100/B56*C56-100,1))&lt;999,ROUND(100/B56*C56-100,1),IF(ROUND(100/B56*C56-100,1)&gt;999,999,-999)))</f>
        <v>-246.7</v>
      </c>
      <c r="E56" s="900"/>
      <c r="F56" s="901"/>
      <c r="G56" s="619"/>
      <c r="H56" s="900">
        <f>SUM(H48:H53)+H55</f>
        <v>1062.9550000000002</v>
      </c>
      <c r="I56" s="901">
        <f>SUM(I48:I53)+I55</f>
        <v>669</v>
      </c>
      <c r="J56" s="606">
        <f>IF(H56=0, "    ---- ", IF(ABS(ROUND(100/H56*I56-100,1))&lt;999,ROUND(100/H56*I56-100,1),IF(ROUND(100/H56*I56-100,1)&gt;999,999,-999)))</f>
        <v>-37.1</v>
      </c>
      <c r="K56" s="603"/>
      <c r="L56" s="901"/>
      <c r="M56" s="619"/>
      <c r="N56" s="900"/>
      <c r="O56" s="901"/>
      <c r="P56" s="619"/>
      <c r="Q56" s="900"/>
      <c r="R56" s="901"/>
      <c r="S56" s="618"/>
      <c r="T56" s="900"/>
      <c r="U56" s="901"/>
      <c r="V56" s="619"/>
      <c r="W56" s="900"/>
      <c r="X56" s="901"/>
      <c r="Y56" s="619"/>
      <c r="Z56" s="900">
        <f>SUM(Z48:Z53)+Z55</f>
        <v>134.21829482688256</v>
      </c>
      <c r="AA56" s="901">
        <f>SUM(AA48:AA53)+AA55</f>
        <v>148.78</v>
      </c>
      <c r="AB56" s="606">
        <f t="shared" si="0"/>
        <v>10.8</v>
      </c>
      <c r="AC56" s="603"/>
      <c r="AD56" s="618"/>
      <c r="AE56" s="619"/>
      <c r="AF56" s="900"/>
      <c r="AG56" s="901"/>
      <c r="AH56" s="619"/>
      <c r="AI56" s="900">
        <f>SUM(AI48:AI53)+AI55</f>
        <v>-1</v>
      </c>
      <c r="AJ56" s="901">
        <f>SUM(AJ48:AJ53)+AJ55</f>
        <v>15</v>
      </c>
      <c r="AK56" s="606">
        <f>IF(AI56=0, "    ---- ", IF(ABS(ROUND(100/AI56*AJ56-100,1))&lt;999,ROUND(100/AI56*AJ56-100,1),IF(ROUND(100/AI56*AJ56-100,1)&gt;999,999,-999)))</f>
        <v>-999</v>
      </c>
      <c r="AL56" s="900">
        <f>SUM(AL48:AL53)+AL55</f>
        <v>-7</v>
      </c>
      <c r="AM56" s="901">
        <f>SUM(AM48:AM53)+AM55</f>
        <v>11</v>
      </c>
      <c r="AN56" s="619">
        <f>IF(AL56=0, "    ---- ", IF(ABS(ROUND(100/AL56*AM56-100,1))&lt;999,ROUND(100/AL56*AM56-100,1),IF(ROUND(100/AL56*AM56-100,1)&gt;999,999,-999)))</f>
        <v>-257.10000000000002</v>
      </c>
      <c r="AO56" s="614">
        <f t="shared" si="18"/>
        <v>1192.6222948268828</v>
      </c>
      <c r="AP56" s="614">
        <f t="shared" si="19"/>
        <v>838.71899999999994</v>
      </c>
      <c r="AQ56" s="619">
        <f t="shared" si="10"/>
        <v>-29.7</v>
      </c>
      <c r="AR56" s="614">
        <f t="shared" si="20"/>
        <v>1192.6222948268828</v>
      </c>
      <c r="AS56" s="614">
        <f t="shared" si="21"/>
        <v>838.71899999999994</v>
      </c>
      <c r="AT56" s="619">
        <f t="shared" si="13"/>
        <v>-29.7</v>
      </c>
    </row>
    <row r="57" spans="1:46" s="581" customFormat="1" ht="18.75" customHeight="1" x14ac:dyDescent="0.3">
      <c r="A57" s="608" t="s">
        <v>375</v>
      </c>
      <c r="B57" s="902"/>
      <c r="C57" s="903"/>
      <c r="D57" s="616"/>
      <c r="E57" s="902"/>
      <c r="F57" s="903"/>
      <c r="G57" s="617"/>
      <c r="H57" s="902">
        <v>1058.3040000000001</v>
      </c>
      <c r="I57" s="903">
        <v>666</v>
      </c>
      <c r="J57" s="606">
        <f>IF(H57=0, "    ---- ", IF(ABS(ROUND(100/H57*I57-100,1))&lt;999,ROUND(100/H57*I57-100,1),IF(ROUND(100/H57*I57-100,1)&gt;999,999,-999)))</f>
        <v>-37.1</v>
      </c>
      <c r="K57" s="444"/>
      <c r="L57" s="903"/>
      <c r="M57" s="617"/>
      <c r="N57" s="902"/>
      <c r="O57" s="903"/>
      <c r="P57" s="617"/>
      <c r="Q57" s="902"/>
      <c r="R57" s="903"/>
      <c r="S57" s="616"/>
      <c r="T57" s="902"/>
      <c r="U57" s="903"/>
      <c r="V57" s="617"/>
      <c r="W57" s="902"/>
      <c r="X57" s="903"/>
      <c r="Y57" s="617"/>
      <c r="Z57" s="902"/>
      <c r="AA57" s="903"/>
      <c r="AB57" s="611"/>
      <c r="AC57" s="444"/>
      <c r="AD57" s="616"/>
      <c r="AE57" s="617"/>
      <c r="AF57" s="902"/>
      <c r="AG57" s="903"/>
      <c r="AH57" s="617"/>
      <c r="AI57" s="902"/>
      <c r="AJ57" s="903"/>
      <c r="AK57" s="611"/>
      <c r="AL57" s="902"/>
      <c r="AM57" s="903"/>
      <c r="AN57" s="617"/>
      <c r="AO57" s="613">
        <f t="shared" si="18"/>
        <v>1058.3040000000001</v>
      </c>
      <c r="AP57" s="613">
        <f t="shared" si="19"/>
        <v>666</v>
      </c>
      <c r="AQ57" s="617">
        <f t="shared" si="10"/>
        <v>-37.1</v>
      </c>
      <c r="AR57" s="613">
        <f t="shared" si="20"/>
        <v>1058.3040000000001</v>
      </c>
      <c r="AS57" s="613">
        <f t="shared" si="21"/>
        <v>666</v>
      </c>
      <c r="AT57" s="617">
        <f t="shared" si="13"/>
        <v>-37.1</v>
      </c>
    </row>
    <row r="58" spans="1:46" s="581" customFormat="1" ht="18.75" customHeight="1" x14ac:dyDescent="0.3">
      <c r="A58" s="608" t="s">
        <v>376</v>
      </c>
      <c r="B58" s="902">
        <v>3.448</v>
      </c>
      <c r="C58" s="903">
        <v>-5.0609999999999999</v>
      </c>
      <c r="D58" s="616">
        <f>IF(B58=0, "    ---- ", IF(ABS(ROUND(100/B58*C58-100,1))&lt;999,ROUND(100/B58*C58-100,1),IF(ROUND(100/B58*C58-100,1)&gt;999,999,-999)))</f>
        <v>-246.8</v>
      </c>
      <c r="E58" s="902"/>
      <c r="F58" s="903"/>
      <c r="G58" s="617"/>
      <c r="H58" s="902">
        <v>4.6509999999999998</v>
      </c>
      <c r="I58" s="903">
        <v>3</v>
      </c>
      <c r="J58" s="611">
        <f>IF(H58=0, "    ---- ", IF(ABS(ROUND(100/H58*I58-100,1))&lt;999,ROUND(100/H58*I58-100,1),IF(ROUND(100/H58*I58-100,1)&gt;999,999,-999)))</f>
        <v>-35.5</v>
      </c>
      <c r="K58" s="444"/>
      <c r="L58" s="903"/>
      <c r="M58" s="617"/>
      <c r="N58" s="902"/>
      <c r="O58" s="903"/>
      <c r="P58" s="617"/>
      <c r="Q58" s="902"/>
      <c r="R58" s="903"/>
      <c r="S58" s="616"/>
      <c r="T58" s="902"/>
      <c r="U58" s="903"/>
      <c r="V58" s="617"/>
      <c r="W58" s="902"/>
      <c r="X58" s="903"/>
      <c r="Y58" s="617"/>
      <c r="Z58" s="902">
        <v>134.21829482688256</v>
      </c>
      <c r="AA58" s="903">
        <v>148.77000000000001</v>
      </c>
      <c r="AB58" s="611">
        <f t="shared" si="0"/>
        <v>10.8</v>
      </c>
      <c r="AC58" s="444"/>
      <c r="AD58" s="616"/>
      <c r="AE58" s="617"/>
      <c r="AF58" s="902"/>
      <c r="AG58" s="903"/>
      <c r="AH58" s="617"/>
      <c r="AI58" s="902">
        <v>-1</v>
      </c>
      <c r="AJ58" s="903">
        <v>15</v>
      </c>
      <c r="AK58" s="611">
        <f>IF(AI58=0, "    ---- ", IF(ABS(ROUND(100/AI58*AJ58-100,1))&lt;999,ROUND(100/AI58*AJ58-100,1),IF(ROUND(100/AI58*AJ58-100,1)&gt;999,999,-999)))</f>
        <v>-999</v>
      </c>
      <c r="AL58" s="902">
        <v>-7</v>
      </c>
      <c r="AM58" s="903">
        <v>11</v>
      </c>
      <c r="AN58" s="617">
        <f>IF(AL58=0, "    ---- ", IF(ABS(ROUND(100/AL58*AM58-100,1))&lt;999,ROUND(100/AL58*AM58-100,1),IF(ROUND(100/AL58*AM58-100,1)&gt;999,999,-999)))</f>
        <v>-257.10000000000002</v>
      </c>
      <c r="AO58" s="613">
        <f t="shared" si="18"/>
        <v>134.31729482688255</v>
      </c>
      <c r="AP58" s="613">
        <f t="shared" si="19"/>
        <v>172.709</v>
      </c>
      <c r="AQ58" s="617">
        <f t="shared" si="10"/>
        <v>28.6</v>
      </c>
      <c r="AR58" s="613">
        <f t="shared" si="20"/>
        <v>134.31729482688255</v>
      </c>
      <c r="AS58" s="613">
        <f t="shared" si="21"/>
        <v>172.709</v>
      </c>
      <c r="AT58" s="617">
        <f t="shared" si="13"/>
        <v>28.6</v>
      </c>
    </row>
    <row r="59" spans="1:46" s="581" customFormat="1" ht="18.75" customHeight="1" x14ac:dyDescent="0.3">
      <c r="A59" s="620"/>
      <c r="B59" s="859"/>
      <c r="C59" s="904"/>
      <c r="D59" s="622"/>
      <c r="E59" s="859"/>
      <c r="F59" s="904"/>
      <c r="G59" s="624"/>
      <c r="H59" s="859"/>
      <c r="I59" s="904"/>
      <c r="J59" s="623"/>
      <c r="K59" s="621"/>
      <c r="L59" s="904"/>
      <c r="M59" s="624"/>
      <c r="N59" s="859"/>
      <c r="O59" s="904"/>
      <c r="P59" s="624"/>
      <c r="Q59" s="859"/>
      <c r="R59" s="904"/>
      <c r="S59" s="622"/>
      <c r="T59" s="859"/>
      <c r="U59" s="904"/>
      <c r="V59" s="624"/>
      <c r="W59" s="859"/>
      <c r="X59" s="904"/>
      <c r="Y59" s="624"/>
      <c r="Z59" s="859"/>
      <c r="AA59" s="904"/>
      <c r="AB59" s="623"/>
      <c r="AC59" s="621"/>
      <c r="AD59" s="622"/>
      <c r="AE59" s="624"/>
      <c r="AF59" s="859"/>
      <c r="AG59" s="904"/>
      <c r="AH59" s="624"/>
      <c r="AI59" s="859"/>
      <c r="AJ59" s="904"/>
      <c r="AK59" s="623"/>
      <c r="AL59" s="859"/>
      <c r="AM59" s="904"/>
      <c r="AN59" s="624"/>
      <c r="AO59" s="622"/>
      <c r="AP59" s="622"/>
      <c r="AQ59" s="624"/>
      <c r="AR59" s="623"/>
      <c r="AS59" s="623"/>
      <c r="AT59" s="624"/>
    </row>
    <row r="60" spans="1:46" s="581" customFormat="1" ht="18.75" customHeight="1" x14ac:dyDescent="0.3">
      <c r="A60" s="625"/>
      <c r="B60" s="905"/>
      <c r="C60" s="906"/>
      <c r="D60" s="627"/>
      <c r="E60" s="905"/>
      <c r="F60" s="906"/>
      <c r="G60" s="629"/>
      <c r="H60" s="905"/>
      <c r="I60" s="906"/>
      <c r="J60" s="628"/>
      <c r="K60" s="626"/>
      <c r="L60" s="906"/>
      <c r="M60" s="629"/>
      <c r="N60" s="905"/>
      <c r="O60" s="906"/>
      <c r="P60" s="629"/>
      <c r="Q60" s="905"/>
      <c r="R60" s="906"/>
      <c r="S60" s="627"/>
      <c r="T60" s="905"/>
      <c r="U60" s="906"/>
      <c r="V60" s="629"/>
      <c r="W60" s="905"/>
      <c r="X60" s="906"/>
      <c r="Y60" s="629"/>
      <c r="Z60" s="905"/>
      <c r="AA60" s="906"/>
      <c r="AB60" s="628"/>
      <c r="AC60" s="626"/>
      <c r="AD60" s="627"/>
      <c r="AE60" s="629"/>
      <c r="AF60" s="905"/>
      <c r="AG60" s="906"/>
      <c r="AH60" s="629"/>
      <c r="AI60" s="905"/>
      <c r="AJ60" s="906"/>
      <c r="AK60" s="628"/>
      <c r="AL60" s="905"/>
      <c r="AM60" s="906"/>
      <c r="AN60" s="629"/>
      <c r="AO60" s="627"/>
      <c r="AP60" s="627"/>
      <c r="AQ60" s="629"/>
      <c r="AR60" s="613"/>
      <c r="AS60" s="613"/>
      <c r="AT60" s="629"/>
    </row>
    <row r="61" spans="1:46" s="615" customFormat="1" ht="18.75" customHeight="1" x14ac:dyDescent="0.3">
      <c r="A61" s="602" t="s">
        <v>380</v>
      </c>
      <c r="B61" s="900"/>
      <c r="C61" s="901"/>
      <c r="D61" s="618"/>
      <c r="E61" s="900"/>
      <c r="F61" s="901"/>
      <c r="G61" s="619"/>
      <c r="H61" s="900"/>
      <c r="I61" s="901"/>
      <c r="J61" s="606"/>
      <c r="K61" s="603"/>
      <c r="L61" s="901"/>
      <c r="M61" s="619"/>
      <c r="N61" s="900"/>
      <c r="O61" s="901"/>
      <c r="P61" s="619"/>
      <c r="Q61" s="900"/>
      <c r="R61" s="901"/>
      <c r="S61" s="618"/>
      <c r="T61" s="900"/>
      <c r="U61" s="901"/>
      <c r="V61" s="619"/>
      <c r="W61" s="900"/>
      <c r="X61" s="901"/>
      <c r="Y61" s="619"/>
      <c r="Z61" s="900"/>
      <c r="AA61" s="901"/>
      <c r="AB61" s="606"/>
      <c r="AC61" s="603"/>
      <c r="AD61" s="618"/>
      <c r="AE61" s="619"/>
      <c r="AF61" s="900"/>
      <c r="AG61" s="901"/>
      <c r="AH61" s="619"/>
      <c r="AI61" s="900"/>
      <c r="AJ61" s="901"/>
      <c r="AK61" s="606"/>
      <c r="AL61" s="900"/>
      <c r="AM61" s="901"/>
      <c r="AN61" s="619"/>
      <c r="AO61" s="618"/>
      <c r="AP61" s="618"/>
      <c r="AQ61" s="619"/>
      <c r="AR61" s="613"/>
      <c r="AS61" s="613"/>
      <c r="AT61" s="619"/>
    </row>
    <row r="62" spans="1:46" s="581" customFormat="1" ht="18.75" customHeight="1" x14ac:dyDescent="0.3">
      <c r="A62" s="608" t="s">
        <v>366</v>
      </c>
      <c r="B62" s="902"/>
      <c r="C62" s="903"/>
      <c r="D62" s="616"/>
      <c r="E62" s="902"/>
      <c r="F62" s="903"/>
      <c r="G62" s="617"/>
      <c r="H62" s="902">
        <v>422.33</v>
      </c>
      <c r="I62" s="903">
        <v>-382</v>
      </c>
      <c r="J62" s="611">
        <f>IF(H62=0, "    ---- ", IF(ABS(ROUND(100/H62*I62-100,1))&lt;999,ROUND(100/H62*I62-100,1),IF(ROUND(100/H62*I62-100,1)&gt;999,999,-999)))</f>
        <v>-190.5</v>
      </c>
      <c r="K62" s="444"/>
      <c r="L62" s="903"/>
      <c r="M62" s="617"/>
      <c r="N62" s="902"/>
      <c r="O62" s="903"/>
      <c r="P62" s="617"/>
      <c r="Q62" s="902"/>
      <c r="R62" s="903"/>
      <c r="S62" s="616"/>
      <c r="T62" s="902"/>
      <c r="U62" s="903"/>
      <c r="V62" s="617"/>
      <c r="W62" s="902"/>
      <c r="X62" s="903"/>
      <c r="Y62" s="617"/>
      <c r="Z62" s="902">
        <v>66.941857524935415</v>
      </c>
      <c r="AA62" s="903">
        <v>-2.67</v>
      </c>
      <c r="AB62" s="611">
        <f t="shared" ref="AB62:AB108" si="22">IF(Z62=0, "    ---- ", IF(ABS(ROUND(100/Z62*AA62-100,1))&lt;999,ROUND(100/Z62*AA62-100,1),IF(ROUND(100/Z62*AA62-100,1)&gt;999,999,-999)))</f>
        <v>-104</v>
      </c>
      <c r="AC62" s="444"/>
      <c r="AD62" s="616"/>
      <c r="AE62" s="617"/>
      <c r="AF62" s="902"/>
      <c r="AG62" s="903"/>
      <c r="AH62" s="617"/>
      <c r="AI62" s="902">
        <v>227</v>
      </c>
      <c r="AJ62" s="903">
        <v>47</v>
      </c>
      <c r="AK62" s="611">
        <f>IF(AI62=0, "    ---- ", IF(ABS(ROUND(100/AI62*AJ62-100,1))&lt;999,ROUND(100/AI62*AJ62-100,1),IF(ROUND(100/AI62*AJ62-100,1)&gt;999,999,-999)))</f>
        <v>-79.3</v>
      </c>
      <c r="AL62" s="902">
        <v>13</v>
      </c>
      <c r="AM62" s="903">
        <v>12</v>
      </c>
      <c r="AN62" s="617">
        <f>IF(AL62=0, "    ---- ", IF(ABS(ROUND(100/AL62*AM62-100,1))&lt;999,ROUND(100/AL62*AM62-100,1),IF(ROUND(100/AL62*AM62-100,1)&gt;999,999,-999)))</f>
        <v>-7.7</v>
      </c>
      <c r="AO62" s="613">
        <f t="shared" ref="AO62:AO72" si="23">B62+H62+K62+N62+Q62+W62+E62+Z62+AC62+AI62+AL62</f>
        <v>729.2718575249354</v>
      </c>
      <c r="AP62" s="613">
        <f t="shared" ref="AP62:AP72" si="24">C62+I62+L62+O62+R62+X62+F62+AA62+AD62+AJ62+AM62</f>
        <v>-325.67</v>
      </c>
      <c r="AQ62" s="617">
        <f t="shared" si="10"/>
        <v>-144.69999999999999</v>
      </c>
      <c r="AR62" s="613">
        <f t="shared" ref="AR62:AR72" si="25">+B62+H62+K62+N62+Q62+T62+W62+E62+Z62+AC62+AF62+AI62+AL62</f>
        <v>729.2718575249354</v>
      </c>
      <c r="AS62" s="613">
        <f t="shared" ref="AS62:AS72" si="26">+C62+I62+L62+O62+R62+U62+X62+F62+AA62+AD62+AG62+AJ62+AM62</f>
        <v>-325.67</v>
      </c>
      <c r="AT62" s="617">
        <f t="shared" si="13"/>
        <v>-144.69999999999999</v>
      </c>
    </row>
    <row r="63" spans="1:46" s="581" customFormat="1" ht="18.75" customHeight="1" x14ac:dyDescent="0.3">
      <c r="A63" s="608" t="s">
        <v>367</v>
      </c>
      <c r="B63" s="902"/>
      <c r="C63" s="903"/>
      <c r="D63" s="616"/>
      <c r="E63" s="902"/>
      <c r="F63" s="903"/>
      <c r="G63" s="617"/>
      <c r="H63" s="902">
        <v>-91.05</v>
      </c>
      <c r="I63" s="903">
        <v>366</v>
      </c>
      <c r="J63" s="611">
        <f>IF(H63=0, "    ---- ", IF(ABS(ROUND(100/H63*I63-100,1))&lt;999,ROUND(100/H63*I63-100,1),IF(ROUND(100/H63*I63-100,1)&gt;999,999,-999)))</f>
        <v>-502</v>
      </c>
      <c r="K63" s="444"/>
      <c r="L63" s="903"/>
      <c r="M63" s="617"/>
      <c r="N63" s="902"/>
      <c r="O63" s="903"/>
      <c r="P63" s="617"/>
      <c r="Q63" s="902"/>
      <c r="R63" s="903"/>
      <c r="S63" s="616"/>
      <c r="T63" s="902"/>
      <c r="U63" s="903"/>
      <c r="V63" s="617"/>
      <c r="W63" s="902"/>
      <c r="X63" s="903"/>
      <c r="Y63" s="617"/>
      <c r="Z63" s="902">
        <v>-66.941857524935415</v>
      </c>
      <c r="AA63" s="903">
        <v>2.67</v>
      </c>
      <c r="AB63" s="611">
        <f t="shared" si="22"/>
        <v>-104</v>
      </c>
      <c r="AC63" s="444"/>
      <c r="AD63" s="616"/>
      <c r="AE63" s="617"/>
      <c r="AF63" s="902"/>
      <c r="AG63" s="903"/>
      <c r="AH63" s="617"/>
      <c r="AI63" s="902"/>
      <c r="AJ63" s="903"/>
      <c r="AK63" s="611"/>
      <c r="AL63" s="902">
        <v>-5</v>
      </c>
      <c r="AM63" s="903">
        <v>-8</v>
      </c>
      <c r="AN63" s="617">
        <f>IF(AL63=0, "    ---- ", IF(ABS(ROUND(100/AL63*AM63-100,1))&lt;999,ROUND(100/AL63*AM63-100,1),IF(ROUND(100/AL63*AM63-100,1)&gt;999,999,-999)))</f>
        <v>60</v>
      </c>
      <c r="AO63" s="613">
        <f t="shared" si="23"/>
        <v>-162.99185752493543</v>
      </c>
      <c r="AP63" s="613">
        <f t="shared" si="24"/>
        <v>360.67</v>
      </c>
      <c r="AQ63" s="617">
        <f t="shared" si="10"/>
        <v>-321.3</v>
      </c>
      <c r="AR63" s="613">
        <f t="shared" si="25"/>
        <v>-162.99185752493543</v>
      </c>
      <c r="AS63" s="613">
        <f t="shared" si="26"/>
        <v>360.67</v>
      </c>
      <c r="AT63" s="617">
        <f t="shared" si="13"/>
        <v>-321.3</v>
      </c>
    </row>
    <row r="64" spans="1:46" s="581" customFormat="1" ht="18.75" customHeight="1" x14ac:dyDescent="0.3">
      <c r="A64" s="608" t="s">
        <v>368</v>
      </c>
      <c r="B64" s="902"/>
      <c r="C64" s="903"/>
      <c r="D64" s="616"/>
      <c r="E64" s="902"/>
      <c r="F64" s="903"/>
      <c r="G64" s="617"/>
      <c r="H64" s="902">
        <v>92.11</v>
      </c>
      <c r="I64" s="903">
        <v>99</v>
      </c>
      <c r="J64" s="611">
        <f>IF(H64=0, "    ---- ", IF(ABS(ROUND(100/H64*I64-100,1))&lt;999,ROUND(100/H64*I64-100,1),IF(ROUND(100/H64*I64-100,1)&gt;999,999,-999)))</f>
        <v>7.5</v>
      </c>
      <c r="K64" s="444"/>
      <c r="L64" s="903"/>
      <c r="M64" s="617"/>
      <c r="N64" s="902"/>
      <c r="O64" s="903"/>
      <c r="P64" s="617"/>
      <c r="Q64" s="902"/>
      <c r="R64" s="903"/>
      <c r="S64" s="616"/>
      <c r="T64" s="902"/>
      <c r="U64" s="903"/>
      <c r="V64" s="617"/>
      <c r="W64" s="902"/>
      <c r="X64" s="903"/>
      <c r="Y64" s="617"/>
      <c r="Z64" s="902">
        <v>5.5778013876508048</v>
      </c>
      <c r="AA64" s="903">
        <v>6.34</v>
      </c>
      <c r="AB64" s="611">
        <f t="shared" si="22"/>
        <v>13.7</v>
      </c>
      <c r="AC64" s="444"/>
      <c r="AD64" s="616"/>
      <c r="AE64" s="617"/>
      <c r="AF64" s="902"/>
      <c r="AG64" s="903"/>
      <c r="AH64" s="617"/>
      <c r="AI64" s="902">
        <v>-38</v>
      </c>
      <c r="AJ64" s="903">
        <v>4</v>
      </c>
      <c r="AK64" s="611">
        <f>IF(AI64=0, "    ---- ", IF(ABS(ROUND(100/AI64*AJ64-100,1))&lt;999,ROUND(100/AI64*AJ64-100,1),IF(ROUND(100/AI64*AJ64-100,1)&gt;999,999,-999)))</f>
        <v>-110.5</v>
      </c>
      <c r="AL64" s="902">
        <v>-13</v>
      </c>
      <c r="AM64" s="903">
        <v>-10.45</v>
      </c>
      <c r="AN64" s="617">
        <f>IF(AL64=0, "    ---- ", IF(ABS(ROUND(100/AL64*AM64-100,1))&lt;999,ROUND(100/AL64*AM64-100,1),IF(ROUND(100/AL64*AM64-100,1)&gt;999,999,-999)))</f>
        <v>-19.600000000000001</v>
      </c>
      <c r="AO64" s="613">
        <f t="shared" si="23"/>
        <v>46.687801387650808</v>
      </c>
      <c r="AP64" s="613">
        <f t="shared" si="24"/>
        <v>98.89</v>
      </c>
      <c r="AQ64" s="617">
        <f t="shared" si="10"/>
        <v>111.8</v>
      </c>
      <c r="AR64" s="613">
        <f t="shared" si="25"/>
        <v>46.687801387650808</v>
      </c>
      <c r="AS64" s="613">
        <f t="shared" si="26"/>
        <v>98.89</v>
      </c>
      <c r="AT64" s="617">
        <f t="shared" si="13"/>
        <v>111.8</v>
      </c>
    </row>
    <row r="65" spans="1:46" s="581" customFormat="1" ht="18.75" customHeight="1" x14ac:dyDescent="0.3">
      <c r="A65" s="608" t="s">
        <v>369</v>
      </c>
      <c r="B65" s="902"/>
      <c r="C65" s="903"/>
      <c r="D65" s="616"/>
      <c r="E65" s="902"/>
      <c r="F65" s="903"/>
      <c r="G65" s="617"/>
      <c r="H65" s="902"/>
      <c r="I65" s="903"/>
      <c r="J65" s="611"/>
      <c r="K65" s="444"/>
      <c r="L65" s="903"/>
      <c r="M65" s="617"/>
      <c r="N65" s="902"/>
      <c r="O65" s="903"/>
      <c r="P65" s="617"/>
      <c r="Q65" s="902"/>
      <c r="R65" s="903"/>
      <c r="S65" s="616"/>
      <c r="T65" s="902"/>
      <c r="U65" s="903"/>
      <c r="V65" s="617"/>
      <c r="W65" s="902"/>
      <c r="X65" s="903"/>
      <c r="Y65" s="617"/>
      <c r="Z65" s="902"/>
      <c r="AA65" s="903"/>
      <c r="AB65" s="611"/>
      <c r="AC65" s="444"/>
      <c r="AD65" s="616"/>
      <c r="AE65" s="617"/>
      <c r="AF65" s="902"/>
      <c r="AG65" s="903"/>
      <c r="AH65" s="617"/>
      <c r="AI65" s="902"/>
      <c r="AJ65" s="903"/>
      <c r="AK65" s="611"/>
      <c r="AL65" s="902"/>
      <c r="AM65" s="903"/>
      <c r="AN65" s="617"/>
      <c r="AO65" s="613">
        <f t="shared" si="23"/>
        <v>0</v>
      </c>
      <c r="AP65" s="613">
        <f t="shared" si="24"/>
        <v>0</v>
      </c>
      <c r="AQ65" s="617" t="str">
        <f t="shared" si="10"/>
        <v xml:space="preserve">    ---- </v>
      </c>
      <c r="AR65" s="613">
        <f t="shared" si="25"/>
        <v>0</v>
      </c>
      <c r="AS65" s="613">
        <f t="shared" si="26"/>
        <v>0</v>
      </c>
      <c r="AT65" s="617" t="str">
        <f t="shared" si="13"/>
        <v xml:space="preserve">    ---- </v>
      </c>
    </row>
    <row r="66" spans="1:46" s="581" customFormat="1" ht="18.75" customHeight="1" x14ac:dyDescent="0.3">
      <c r="A66" s="608" t="s">
        <v>370</v>
      </c>
      <c r="B66" s="902"/>
      <c r="C66" s="903"/>
      <c r="D66" s="616"/>
      <c r="E66" s="902"/>
      <c r="F66" s="903"/>
      <c r="G66" s="617"/>
      <c r="H66" s="902"/>
      <c r="I66" s="903"/>
      <c r="J66" s="611"/>
      <c r="K66" s="444"/>
      <c r="L66" s="903"/>
      <c r="M66" s="617"/>
      <c r="N66" s="902"/>
      <c r="O66" s="903"/>
      <c r="P66" s="617"/>
      <c r="Q66" s="902"/>
      <c r="R66" s="903"/>
      <c r="S66" s="616"/>
      <c r="T66" s="902"/>
      <c r="U66" s="903"/>
      <c r="V66" s="617"/>
      <c r="W66" s="902"/>
      <c r="X66" s="903"/>
      <c r="Y66" s="617"/>
      <c r="Z66" s="902"/>
      <c r="AA66" s="903"/>
      <c r="AB66" s="611"/>
      <c r="AC66" s="444"/>
      <c r="AD66" s="616"/>
      <c r="AE66" s="617"/>
      <c r="AF66" s="902"/>
      <c r="AG66" s="903"/>
      <c r="AH66" s="617"/>
      <c r="AI66" s="902"/>
      <c r="AJ66" s="903"/>
      <c r="AK66" s="611"/>
      <c r="AL66" s="902"/>
      <c r="AM66" s="903"/>
      <c r="AN66" s="617"/>
      <c r="AO66" s="613">
        <f t="shared" si="23"/>
        <v>0</v>
      </c>
      <c r="AP66" s="613">
        <f t="shared" si="24"/>
        <v>0</v>
      </c>
      <c r="AQ66" s="617" t="str">
        <f t="shared" si="10"/>
        <v xml:space="preserve">    ---- </v>
      </c>
      <c r="AR66" s="613">
        <f t="shared" si="25"/>
        <v>0</v>
      </c>
      <c r="AS66" s="613">
        <f t="shared" si="26"/>
        <v>0</v>
      </c>
      <c r="AT66" s="617" t="str">
        <f t="shared" si="13"/>
        <v xml:space="preserve">    ---- </v>
      </c>
    </row>
    <row r="67" spans="1:46" s="581" customFormat="1" ht="18.75" customHeight="1" x14ac:dyDescent="0.3">
      <c r="A67" s="608" t="s">
        <v>371</v>
      </c>
      <c r="B67" s="902"/>
      <c r="C67" s="903"/>
      <c r="D67" s="616"/>
      <c r="E67" s="902"/>
      <c r="F67" s="903"/>
      <c r="G67" s="617"/>
      <c r="H67" s="902">
        <v>34.619999999999997</v>
      </c>
      <c r="I67" s="903">
        <v>19</v>
      </c>
      <c r="J67" s="611">
        <f>IF(H67=0, "    ---- ", IF(ABS(ROUND(100/H67*I67-100,1))&lt;999,ROUND(100/H67*I67-100,1),IF(ROUND(100/H67*I67-100,1)&gt;999,999,-999)))</f>
        <v>-45.1</v>
      </c>
      <c r="K67" s="444"/>
      <c r="L67" s="903"/>
      <c r="M67" s="617"/>
      <c r="N67" s="902"/>
      <c r="O67" s="903"/>
      <c r="P67" s="617"/>
      <c r="Q67" s="902"/>
      <c r="R67" s="903"/>
      <c r="S67" s="616"/>
      <c r="T67" s="902"/>
      <c r="U67" s="903"/>
      <c r="V67" s="617"/>
      <c r="W67" s="902"/>
      <c r="X67" s="903"/>
      <c r="Y67" s="617"/>
      <c r="Z67" s="902">
        <v>9.0863062747184546</v>
      </c>
      <c r="AA67" s="903">
        <v>17.75</v>
      </c>
      <c r="AB67" s="611">
        <f t="shared" si="22"/>
        <v>95.3</v>
      </c>
      <c r="AC67" s="444"/>
      <c r="AD67" s="616"/>
      <c r="AE67" s="617"/>
      <c r="AF67" s="902"/>
      <c r="AG67" s="903"/>
      <c r="AH67" s="617"/>
      <c r="AI67" s="902">
        <v>2</v>
      </c>
      <c r="AJ67" s="903">
        <v>3</v>
      </c>
      <c r="AK67" s="611">
        <f>IF(AI67=0, "    ---- ", IF(ABS(ROUND(100/AI67*AJ67-100,1))&lt;999,ROUND(100/AI67*AJ67-100,1),IF(ROUND(100/AI67*AJ67-100,1)&gt;999,999,-999)))</f>
        <v>50</v>
      </c>
      <c r="AL67" s="902">
        <v>24</v>
      </c>
      <c r="AM67" s="903">
        <v>20.5</v>
      </c>
      <c r="AN67" s="617">
        <f>IF(AL67=0, "    ---- ", IF(ABS(ROUND(100/AL67*AM67-100,1))&lt;999,ROUND(100/AL67*AM67-100,1),IF(ROUND(100/AL67*AM67-100,1)&gt;999,999,-999)))</f>
        <v>-14.6</v>
      </c>
      <c r="AO67" s="613">
        <f t="shared" si="23"/>
        <v>69.706306274718457</v>
      </c>
      <c r="AP67" s="613">
        <f t="shared" si="24"/>
        <v>60.25</v>
      </c>
      <c r="AQ67" s="617">
        <f t="shared" si="10"/>
        <v>-13.6</v>
      </c>
      <c r="AR67" s="613">
        <f t="shared" si="25"/>
        <v>69.706306274718457</v>
      </c>
      <c r="AS67" s="613">
        <f t="shared" si="26"/>
        <v>60.25</v>
      </c>
      <c r="AT67" s="617">
        <f t="shared" si="13"/>
        <v>-13.6</v>
      </c>
    </row>
    <row r="68" spans="1:46" s="581" customFormat="1" ht="18.75" customHeight="1" x14ac:dyDescent="0.3">
      <c r="A68" s="608" t="s">
        <v>372</v>
      </c>
      <c r="B68" s="902"/>
      <c r="C68" s="903"/>
      <c r="D68" s="616"/>
      <c r="E68" s="902"/>
      <c r="F68" s="903"/>
      <c r="G68" s="617"/>
      <c r="H68" s="902"/>
      <c r="I68" s="903"/>
      <c r="J68" s="611"/>
      <c r="K68" s="444"/>
      <c r="L68" s="903"/>
      <c r="M68" s="617"/>
      <c r="N68" s="902"/>
      <c r="O68" s="903"/>
      <c r="P68" s="617"/>
      <c r="Q68" s="902"/>
      <c r="R68" s="903"/>
      <c r="S68" s="616"/>
      <c r="T68" s="902"/>
      <c r="U68" s="903"/>
      <c r="V68" s="617"/>
      <c r="W68" s="902"/>
      <c r="X68" s="903"/>
      <c r="Y68" s="617"/>
      <c r="Z68" s="902"/>
      <c r="AA68" s="903"/>
      <c r="AB68" s="611"/>
      <c r="AC68" s="444"/>
      <c r="AD68" s="616"/>
      <c r="AE68" s="617"/>
      <c r="AF68" s="902"/>
      <c r="AG68" s="903"/>
      <c r="AH68" s="617"/>
      <c r="AI68" s="902"/>
      <c r="AJ68" s="903"/>
      <c r="AK68" s="611"/>
      <c r="AL68" s="902"/>
      <c r="AM68" s="903"/>
      <c r="AN68" s="617"/>
      <c r="AO68" s="613">
        <f t="shared" si="23"/>
        <v>0</v>
      </c>
      <c r="AP68" s="613">
        <f t="shared" si="24"/>
        <v>0</v>
      </c>
      <c r="AQ68" s="617" t="str">
        <f t="shared" si="10"/>
        <v xml:space="preserve">    ---- </v>
      </c>
      <c r="AR68" s="613">
        <f t="shared" si="25"/>
        <v>0</v>
      </c>
      <c r="AS68" s="613">
        <f t="shared" si="26"/>
        <v>0</v>
      </c>
      <c r="AT68" s="617" t="str">
        <f t="shared" si="13"/>
        <v xml:space="preserve">    ---- </v>
      </c>
    </row>
    <row r="69" spans="1:46" s="581" customFormat="1" ht="18.75" customHeight="1" x14ac:dyDescent="0.3">
      <c r="A69" s="608" t="s">
        <v>373</v>
      </c>
      <c r="B69" s="902"/>
      <c r="C69" s="903"/>
      <c r="D69" s="616"/>
      <c r="E69" s="902"/>
      <c r="F69" s="903"/>
      <c r="G69" s="617"/>
      <c r="H69" s="902"/>
      <c r="I69" s="903"/>
      <c r="J69" s="611"/>
      <c r="K69" s="444"/>
      <c r="L69" s="903"/>
      <c r="M69" s="617"/>
      <c r="N69" s="902"/>
      <c r="O69" s="903"/>
      <c r="P69" s="617"/>
      <c r="Q69" s="902"/>
      <c r="R69" s="903"/>
      <c r="S69" s="616"/>
      <c r="T69" s="902"/>
      <c r="U69" s="903"/>
      <c r="V69" s="617"/>
      <c r="W69" s="902"/>
      <c r="X69" s="903"/>
      <c r="Y69" s="617"/>
      <c r="Z69" s="902"/>
      <c r="AA69" s="903"/>
      <c r="AB69" s="611"/>
      <c r="AC69" s="444"/>
      <c r="AD69" s="616"/>
      <c r="AE69" s="617"/>
      <c r="AF69" s="902"/>
      <c r="AG69" s="903"/>
      <c r="AH69" s="617"/>
      <c r="AI69" s="902"/>
      <c r="AJ69" s="903"/>
      <c r="AK69" s="611"/>
      <c r="AL69" s="902"/>
      <c r="AM69" s="903"/>
      <c r="AN69" s="617"/>
      <c r="AO69" s="613">
        <f t="shared" si="23"/>
        <v>0</v>
      </c>
      <c r="AP69" s="613">
        <f t="shared" si="24"/>
        <v>0</v>
      </c>
      <c r="AQ69" s="617" t="str">
        <f t="shared" si="10"/>
        <v xml:space="preserve">    ---- </v>
      </c>
      <c r="AR69" s="613">
        <f t="shared" si="25"/>
        <v>0</v>
      </c>
      <c r="AS69" s="613">
        <f t="shared" si="26"/>
        <v>0</v>
      </c>
      <c r="AT69" s="617" t="str">
        <f t="shared" si="13"/>
        <v xml:space="preserve">    ---- </v>
      </c>
    </row>
    <row r="70" spans="1:46" s="615" customFormat="1" ht="18.75" customHeight="1" x14ac:dyDescent="0.3">
      <c r="A70" s="602" t="s">
        <v>374</v>
      </c>
      <c r="B70" s="900"/>
      <c r="C70" s="901"/>
      <c r="D70" s="618"/>
      <c r="E70" s="900"/>
      <c r="F70" s="901"/>
      <c r="G70" s="619"/>
      <c r="H70" s="900">
        <f>SUM(H62:H67)+H69</f>
        <v>458.01</v>
      </c>
      <c r="I70" s="901">
        <f>SUM(I62:I67)+I69</f>
        <v>102</v>
      </c>
      <c r="J70" s="606">
        <f>IF(H70=0, "    ---- ", IF(ABS(ROUND(100/H70*I70-100,1))&lt;999,ROUND(100/H70*I70-100,1),IF(ROUND(100/H70*I70-100,1)&gt;999,999,-999)))</f>
        <v>-77.7</v>
      </c>
      <c r="K70" s="603"/>
      <c r="L70" s="901"/>
      <c r="M70" s="619"/>
      <c r="N70" s="900"/>
      <c r="O70" s="901"/>
      <c r="P70" s="619"/>
      <c r="Q70" s="900"/>
      <c r="R70" s="901"/>
      <c r="S70" s="618"/>
      <c r="T70" s="900"/>
      <c r="U70" s="901"/>
      <c r="V70" s="619"/>
      <c r="W70" s="900"/>
      <c r="X70" s="901"/>
      <c r="Y70" s="619"/>
      <c r="Z70" s="900">
        <f>SUM(Z62:Z67)+Z69</f>
        <v>14.664107662369259</v>
      </c>
      <c r="AA70" s="901">
        <f>SUM(AA62:AA67)+AA69</f>
        <v>24.09</v>
      </c>
      <c r="AB70" s="606">
        <f t="shared" si="22"/>
        <v>64.3</v>
      </c>
      <c r="AC70" s="603"/>
      <c r="AD70" s="618"/>
      <c r="AE70" s="619"/>
      <c r="AF70" s="900"/>
      <c r="AG70" s="901"/>
      <c r="AH70" s="619"/>
      <c r="AI70" s="900">
        <f>SUM(AI62:AI67)+AI69</f>
        <v>191</v>
      </c>
      <c r="AJ70" s="901">
        <f>SUM(AJ62:AJ67)+AJ69</f>
        <v>54</v>
      </c>
      <c r="AK70" s="606">
        <f>IF(AI70=0, "    ---- ", IF(ABS(ROUND(100/AI70*AJ70-100,1))&lt;999,ROUND(100/AI70*AJ70-100,1),IF(ROUND(100/AI70*AJ70-100,1)&gt;999,999,-999)))</f>
        <v>-71.7</v>
      </c>
      <c r="AL70" s="900">
        <f>SUM(AL62:AL67)+AL69</f>
        <v>19</v>
      </c>
      <c r="AM70" s="901">
        <f>SUM(AM62:AM67)+AM69</f>
        <v>14.05</v>
      </c>
      <c r="AN70" s="619">
        <f>IF(AL70=0, "    ---- ", IF(ABS(ROUND(100/AL70*AM70-100,1))&lt;999,ROUND(100/AL70*AM70-100,1),IF(ROUND(100/AL70*AM70-100,1)&gt;999,999,-999)))</f>
        <v>-26.1</v>
      </c>
      <c r="AO70" s="614">
        <f t="shared" si="23"/>
        <v>682.67410766236924</v>
      </c>
      <c r="AP70" s="614">
        <f t="shared" si="24"/>
        <v>194.14000000000001</v>
      </c>
      <c r="AQ70" s="619">
        <f t="shared" si="10"/>
        <v>-71.599999999999994</v>
      </c>
      <c r="AR70" s="614">
        <f t="shared" si="25"/>
        <v>682.67410766236924</v>
      </c>
      <c r="AS70" s="614">
        <f t="shared" si="26"/>
        <v>194.14000000000001</v>
      </c>
      <c r="AT70" s="619">
        <f t="shared" si="13"/>
        <v>-71.599999999999994</v>
      </c>
    </row>
    <row r="71" spans="1:46" s="581" customFormat="1" ht="18.75" customHeight="1" x14ac:dyDescent="0.3">
      <c r="A71" s="608" t="s">
        <v>375</v>
      </c>
      <c r="B71" s="902"/>
      <c r="C71" s="903"/>
      <c r="D71" s="616"/>
      <c r="E71" s="902"/>
      <c r="F71" s="903"/>
      <c r="G71" s="617"/>
      <c r="H71" s="902">
        <v>297.70999999999998</v>
      </c>
      <c r="I71" s="903">
        <v>82</v>
      </c>
      <c r="J71" s="611">
        <f>IF(H71=0, "    ---- ", IF(ABS(ROUND(100/H71*I71-100,1))&lt;999,ROUND(100/H71*I71-100,1),IF(ROUND(100/H71*I71-100,1)&gt;999,999,-999)))</f>
        <v>-72.5</v>
      </c>
      <c r="K71" s="444"/>
      <c r="L71" s="903"/>
      <c r="M71" s="617"/>
      <c r="N71" s="902"/>
      <c r="O71" s="903"/>
      <c r="P71" s="617"/>
      <c r="Q71" s="902"/>
      <c r="R71" s="903"/>
      <c r="S71" s="616"/>
      <c r="T71" s="902"/>
      <c r="U71" s="903"/>
      <c r="V71" s="617"/>
      <c r="W71" s="902"/>
      <c r="X71" s="903"/>
      <c r="Y71" s="617"/>
      <c r="Z71" s="902">
        <v>9.5316699805400216</v>
      </c>
      <c r="AA71" s="903">
        <v>15.66</v>
      </c>
      <c r="AB71" s="611">
        <f t="shared" si="22"/>
        <v>64.3</v>
      </c>
      <c r="AC71" s="444"/>
      <c r="AD71" s="616"/>
      <c r="AE71" s="617"/>
      <c r="AF71" s="902"/>
      <c r="AG71" s="903"/>
      <c r="AH71" s="617"/>
      <c r="AI71" s="902">
        <v>124</v>
      </c>
      <c r="AJ71" s="903">
        <v>35</v>
      </c>
      <c r="AK71" s="611">
        <f>IF(AI71=0, "    ---- ", IF(ABS(ROUND(100/AI71*AJ71-100,1))&lt;999,ROUND(100/AI71*AJ71-100,1),IF(ROUND(100/AI71*AJ71-100,1)&gt;999,999,-999)))</f>
        <v>-71.8</v>
      </c>
      <c r="AL71" s="902">
        <v>13.2</v>
      </c>
      <c r="AM71" s="903">
        <v>8.6999999999999993</v>
      </c>
      <c r="AN71" s="617">
        <f>IF(AL71=0, "    ---- ", IF(ABS(ROUND(100/AL71*AM71-100,1))&lt;999,ROUND(100/AL71*AM71-100,1),IF(ROUND(100/AL71*AM71-100,1)&gt;999,999,-999)))</f>
        <v>-34.1</v>
      </c>
      <c r="AO71" s="613">
        <f t="shared" si="23"/>
        <v>444.44166998053998</v>
      </c>
      <c r="AP71" s="613">
        <f t="shared" si="24"/>
        <v>141.35999999999999</v>
      </c>
      <c r="AQ71" s="617">
        <f t="shared" si="10"/>
        <v>-68.2</v>
      </c>
      <c r="AR71" s="613">
        <f t="shared" si="25"/>
        <v>444.44166998053998</v>
      </c>
      <c r="AS71" s="613">
        <f t="shared" si="26"/>
        <v>141.35999999999999</v>
      </c>
      <c r="AT71" s="617">
        <f t="shared" si="13"/>
        <v>-68.2</v>
      </c>
    </row>
    <row r="72" spans="1:46" s="581" customFormat="1" ht="18.75" customHeight="1" x14ac:dyDescent="0.3">
      <c r="A72" s="608" t="s">
        <v>376</v>
      </c>
      <c r="B72" s="902"/>
      <c r="C72" s="903"/>
      <c r="D72" s="616"/>
      <c r="E72" s="902"/>
      <c r="F72" s="903"/>
      <c r="G72" s="617"/>
      <c r="H72" s="902">
        <v>160</v>
      </c>
      <c r="I72" s="903">
        <v>20</v>
      </c>
      <c r="J72" s="611">
        <f>IF(H72=0, "    ---- ", IF(ABS(ROUND(100/H72*I72-100,1))&lt;999,ROUND(100/H72*I72-100,1),IF(ROUND(100/H72*I72-100,1)&gt;999,999,-999)))</f>
        <v>-87.5</v>
      </c>
      <c r="K72" s="444"/>
      <c r="L72" s="903"/>
      <c r="M72" s="617"/>
      <c r="N72" s="902"/>
      <c r="O72" s="903"/>
      <c r="P72" s="617"/>
      <c r="Q72" s="902"/>
      <c r="R72" s="903"/>
      <c r="S72" s="616"/>
      <c r="T72" s="902"/>
      <c r="U72" s="903"/>
      <c r="V72" s="617"/>
      <c r="W72" s="902"/>
      <c r="X72" s="903"/>
      <c r="Y72" s="617"/>
      <c r="Z72" s="902">
        <v>5.1324376818292379</v>
      </c>
      <c r="AA72" s="903">
        <v>8.43</v>
      </c>
      <c r="AB72" s="611">
        <f t="shared" si="22"/>
        <v>64.2</v>
      </c>
      <c r="AC72" s="444"/>
      <c r="AD72" s="616"/>
      <c r="AE72" s="617"/>
      <c r="AF72" s="902"/>
      <c r="AG72" s="903"/>
      <c r="AH72" s="617"/>
      <c r="AI72" s="902">
        <v>67</v>
      </c>
      <c r="AJ72" s="903">
        <v>19</v>
      </c>
      <c r="AK72" s="611">
        <f>IF(AI72=0, "    ---- ", IF(ABS(ROUND(100/AI72*AJ72-100,1))&lt;999,ROUND(100/AI72*AJ72-100,1),IF(ROUND(100/AI72*AJ72-100,1)&gt;999,999,-999)))</f>
        <v>-71.599999999999994</v>
      </c>
      <c r="AL72" s="902">
        <v>4.7</v>
      </c>
      <c r="AM72" s="903">
        <v>5.4</v>
      </c>
      <c r="AN72" s="617">
        <f>IF(AL72=0, "    ---- ", IF(ABS(ROUND(100/AL72*AM72-100,1))&lt;999,ROUND(100/AL72*AM72-100,1),IF(ROUND(100/AL72*AM72-100,1)&gt;999,999,-999)))</f>
        <v>14.9</v>
      </c>
      <c r="AO72" s="613">
        <f t="shared" si="23"/>
        <v>236.83243768182922</v>
      </c>
      <c r="AP72" s="613">
        <f t="shared" si="24"/>
        <v>52.83</v>
      </c>
      <c r="AQ72" s="617">
        <f t="shared" si="10"/>
        <v>-77.7</v>
      </c>
      <c r="AR72" s="613">
        <f t="shared" si="25"/>
        <v>236.83243768182922</v>
      </c>
      <c r="AS72" s="613">
        <f t="shared" si="26"/>
        <v>52.83</v>
      </c>
      <c r="AT72" s="617">
        <f t="shared" si="13"/>
        <v>-77.7</v>
      </c>
    </row>
    <row r="73" spans="1:46" s="615" customFormat="1" ht="18.75" customHeight="1" x14ac:dyDescent="0.3">
      <c r="A73" s="602" t="s">
        <v>381</v>
      </c>
      <c r="B73" s="900"/>
      <c r="C73" s="901"/>
      <c r="D73" s="618"/>
      <c r="E73" s="900"/>
      <c r="F73" s="901"/>
      <c r="G73" s="619"/>
      <c r="H73" s="900"/>
      <c r="I73" s="901"/>
      <c r="J73" s="606"/>
      <c r="K73" s="603"/>
      <c r="L73" s="901"/>
      <c r="M73" s="619"/>
      <c r="N73" s="900"/>
      <c r="O73" s="901"/>
      <c r="P73" s="619"/>
      <c r="Q73" s="900"/>
      <c r="R73" s="901"/>
      <c r="S73" s="618"/>
      <c r="T73" s="900"/>
      <c r="U73" s="901"/>
      <c r="V73" s="619"/>
      <c r="W73" s="900"/>
      <c r="X73" s="901"/>
      <c r="Y73" s="619"/>
      <c r="Z73" s="900"/>
      <c r="AA73" s="901"/>
      <c r="AB73" s="606"/>
      <c r="AC73" s="603"/>
      <c r="AD73" s="618"/>
      <c r="AE73" s="619"/>
      <c r="AF73" s="900"/>
      <c r="AG73" s="901"/>
      <c r="AH73" s="619"/>
      <c r="AI73" s="900"/>
      <c r="AJ73" s="901"/>
      <c r="AK73" s="606"/>
      <c r="AL73" s="900"/>
      <c r="AM73" s="901"/>
      <c r="AN73" s="619"/>
      <c r="AO73" s="618"/>
      <c r="AP73" s="618"/>
      <c r="AQ73" s="619"/>
      <c r="AR73" s="613"/>
      <c r="AS73" s="613"/>
      <c r="AT73" s="619"/>
    </row>
    <row r="74" spans="1:46" s="581" customFormat="1" ht="18.75" customHeight="1" x14ac:dyDescent="0.3">
      <c r="A74" s="608" t="s">
        <v>366</v>
      </c>
      <c r="B74" s="902">
        <v>3.5999999999999997E-2</v>
      </c>
      <c r="C74" s="903">
        <v>0.29599999999999999</v>
      </c>
      <c r="D74" s="611">
        <f>IF(B74=0, "    ---- ", IF(ABS(ROUND(100/B74*C74-100,1))&lt;999,ROUND(100/B74*C74-100,1),IF(ROUND(100/B74*C74-100,1)&gt;999,999,-999)))</f>
        <v>722.2</v>
      </c>
      <c r="E74" s="902"/>
      <c r="F74" s="903"/>
      <c r="G74" s="617"/>
      <c r="H74" s="902">
        <v>80.489999999999995</v>
      </c>
      <c r="I74" s="903">
        <v>0</v>
      </c>
      <c r="J74" s="611">
        <f t="shared" ref="J74:J79" si="27">IF(H74=0, "    ---- ", IF(ABS(ROUND(100/H74*I74-100,1))&lt;999,ROUND(100/H74*I74-100,1),IF(ROUND(100/H74*I74-100,1)&gt;999,999,-999)))</f>
        <v>-100</v>
      </c>
      <c r="K74" s="444"/>
      <c r="L74" s="903"/>
      <c r="M74" s="617"/>
      <c r="N74" s="902"/>
      <c r="O74" s="903"/>
      <c r="P74" s="617"/>
      <c r="Q74" s="902"/>
      <c r="R74" s="903"/>
      <c r="S74" s="616"/>
      <c r="T74" s="902"/>
      <c r="U74" s="903"/>
      <c r="V74" s="617"/>
      <c r="W74" s="902"/>
      <c r="X74" s="903"/>
      <c r="Y74" s="617"/>
      <c r="Z74" s="902">
        <v>6.6804590885124897</v>
      </c>
      <c r="AA74" s="903">
        <v>6.54</v>
      </c>
      <c r="AB74" s="611">
        <f t="shared" si="22"/>
        <v>-2.1</v>
      </c>
      <c r="AC74" s="444"/>
      <c r="AD74" s="616"/>
      <c r="AE74" s="617"/>
      <c r="AF74" s="902"/>
      <c r="AG74" s="903"/>
      <c r="AH74" s="617"/>
      <c r="AI74" s="902">
        <v>10</v>
      </c>
      <c r="AJ74" s="903"/>
      <c r="AK74" s="611">
        <f>IF(AI74=0, "    ---- ", IF(ABS(ROUND(100/AI74*AJ74-100,1))&lt;999,ROUND(100/AI74*AJ74-100,1),IF(ROUND(100/AI74*AJ74-100,1)&gt;999,999,-999)))</f>
        <v>-100</v>
      </c>
      <c r="AL74" s="902"/>
      <c r="AM74" s="903"/>
      <c r="AN74" s="617"/>
      <c r="AO74" s="613">
        <f t="shared" ref="AO74:AO84" si="28">B74+H74+K74+N74+Q74+W74+E74+Z74+AC74+AI74+AL74</f>
        <v>97.206459088512489</v>
      </c>
      <c r="AP74" s="613">
        <f t="shared" ref="AP74:AP84" si="29">C74+I74+L74+O74+R74+X74+F74+AA74+AD74+AJ74+AM74</f>
        <v>6.8360000000000003</v>
      </c>
      <c r="AQ74" s="617">
        <f t="shared" si="10"/>
        <v>-93</v>
      </c>
      <c r="AR74" s="613">
        <f t="shared" ref="AR74:AR84" si="30">+B74+H74+K74+N74+Q74+T74+W74+E74+Z74+AC74+AF74+AI74+AL74</f>
        <v>97.206459088512489</v>
      </c>
      <c r="AS74" s="613">
        <f t="shared" ref="AS74:AS84" si="31">+C74+I74+L74+O74+R74+U74+X74+F74+AA74+AD74+AG74+AJ74+AM74</f>
        <v>6.8360000000000003</v>
      </c>
      <c r="AT74" s="617">
        <f t="shared" si="13"/>
        <v>-93</v>
      </c>
    </row>
    <row r="75" spans="1:46" s="581" customFormat="1" ht="18.75" customHeight="1" x14ac:dyDescent="0.3">
      <c r="A75" s="608" t="s">
        <v>367</v>
      </c>
      <c r="B75" s="902"/>
      <c r="C75" s="903"/>
      <c r="D75" s="616"/>
      <c r="E75" s="902"/>
      <c r="F75" s="903"/>
      <c r="G75" s="617"/>
      <c r="H75" s="902">
        <v>-2.94</v>
      </c>
      <c r="I75" s="903">
        <v>2</v>
      </c>
      <c r="J75" s="611">
        <f t="shared" si="27"/>
        <v>-168</v>
      </c>
      <c r="K75" s="444"/>
      <c r="L75" s="903"/>
      <c r="M75" s="617"/>
      <c r="N75" s="902"/>
      <c r="O75" s="903"/>
      <c r="P75" s="617"/>
      <c r="Q75" s="902"/>
      <c r="R75" s="903"/>
      <c r="S75" s="616"/>
      <c r="T75" s="902"/>
      <c r="U75" s="903"/>
      <c r="V75" s="617"/>
      <c r="W75" s="902"/>
      <c r="X75" s="903"/>
      <c r="Y75" s="617"/>
      <c r="Z75" s="902">
        <v>-6.5467133643615751</v>
      </c>
      <c r="AA75" s="903">
        <v>-6.36</v>
      </c>
      <c r="AB75" s="611">
        <f t="shared" si="22"/>
        <v>-2.9</v>
      </c>
      <c r="AC75" s="444"/>
      <c r="AD75" s="616"/>
      <c r="AE75" s="617"/>
      <c r="AF75" s="902"/>
      <c r="AG75" s="903"/>
      <c r="AH75" s="617"/>
      <c r="AI75" s="902">
        <v>-6</v>
      </c>
      <c r="AJ75" s="903"/>
      <c r="AK75" s="611">
        <f>IF(AI75=0, "    ---- ", IF(ABS(ROUND(100/AI75*AJ75-100,1))&lt;999,ROUND(100/AI75*AJ75-100,1),IF(ROUND(100/AI75*AJ75-100,1)&gt;999,999,-999)))</f>
        <v>-100</v>
      </c>
      <c r="AL75" s="902"/>
      <c r="AM75" s="903"/>
      <c r="AN75" s="617"/>
      <c r="AO75" s="613">
        <f t="shared" si="28"/>
        <v>-15.486713364361576</v>
      </c>
      <c r="AP75" s="613">
        <f t="shared" si="29"/>
        <v>-4.3600000000000003</v>
      </c>
      <c r="AQ75" s="617">
        <f t="shared" si="10"/>
        <v>-71.8</v>
      </c>
      <c r="AR75" s="613">
        <f t="shared" si="30"/>
        <v>-15.486713364361576</v>
      </c>
      <c r="AS75" s="613">
        <f t="shared" si="31"/>
        <v>-4.3600000000000003</v>
      </c>
      <c r="AT75" s="617">
        <f t="shared" si="13"/>
        <v>-71.8</v>
      </c>
    </row>
    <row r="76" spans="1:46" s="581" customFormat="1" ht="18.75" customHeight="1" x14ac:dyDescent="0.3">
      <c r="A76" s="608" t="s">
        <v>368</v>
      </c>
      <c r="B76" s="902"/>
      <c r="C76" s="903">
        <v>-1.488</v>
      </c>
      <c r="D76" s="611" t="str">
        <f>IF(B76=0, "    ---- ", IF(ABS(ROUND(100/B76*C76-100,1))&lt;999,ROUND(100/B76*C76-100,1),IF(ROUND(100/B76*C76-100,1)&gt;999,999,-999)))</f>
        <v xml:space="preserve">    ---- </v>
      </c>
      <c r="E76" s="902"/>
      <c r="F76" s="903"/>
      <c r="G76" s="617"/>
      <c r="H76" s="902">
        <v>2.42</v>
      </c>
      <c r="I76" s="903">
        <v>10</v>
      </c>
      <c r="J76" s="611">
        <f t="shared" si="27"/>
        <v>313.2</v>
      </c>
      <c r="K76" s="444"/>
      <c r="L76" s="903"/>
      <c r="M76" s="617"/>
      <c r="N76" s="902"/>
      <c r="O76" s="903"/>
      <c r="P76" s="617"/>
      <c r="Q76" s="902"/>
      <c r="R76" s="903"/>
      <c r="S76" s="616"/>
      <c r="T76" s="902"/>
      <c r="U76" s="903"/>
      <c r="V76" s="617"/>
      <c r="W76" s="902"/>
      <c r="X76" s="903"/>
      <c r="Y76" s="617"/>
      <c r="Z76" s="902">
        <v>2.3464803851160236</v>
      </c>
      <c r="AA76" s="903">
        <v>-1.22</v>
      </c>
      <c r="AB76" s="611">
        <f t="shared" si="22"/>
        <v>-152</v>
      </c>
      <c r="AC76" s="444"/>
      <c r="AD76" s="616"/>
      <c r="AE76" s="617"/>
      <c r="AF76" s="902"/>
      <c r="AG76" s="903"/>
      <c r="AH76" s="617"/>
      <c r="AI76" s="902">
        <v>1</v>
      </c>
      <c r="AJ76" s="903">
        <v>1</v>
      </c>
      <c r="AK76" s="611">
        <f>IF(AI76=0, "    ---- ", IF(ABS(ROUND(100/AI76*AJ76-100,1))&lt;999,ROUND(100/AI76*AJ76-100,1),IF(ROUND(100/AI76*AJ76-100,1)&gt;999,999,-999)))</f>
        <v>0</v>
      </c>
      <c r="AL76" s="902"/>
      <c r="AM76" s="903"/>
      <c r="AN76" s="617"/>
      <c r="AO76" s="613">
        <f t="shared" si="28"/>
        <v>5.766480385116024</v>
      </c>
      <c r="AP76" s="613">
        <f t="shared" si="29"/>
        <v>8.2920000000000016</v>
      </c>
      <c r="AQ76" s="617">
        <f t="shared" si="10"/>
        <v>43.8</v>
      </c>
      <c r="AR76" s="613">
        <f t="shared" si="30"/>
        <v>5.766480385116024</v>
      </c>
      <c r="AS76" s="613">
        <f t="shared" si="31"/>
        <v>8.2920000000000016</v>
      </c>
      <c r="AT76" s="617">
        <f t="shared" si="13"/>
        <v>43.8</v>
      </c>
    </row>
    <row r="77" spans="1:46" s="581" customFormat="1" ht="18.75" customHeight="1" x14ac:dyDescent="0.3">
      <c r="A77" s="608" t="s">
        <v>369</v>
      </c>
      <c r="B77" s="902"/>
      <c r="C77" s="903"/>
      <c r="D77" s="616"/>
      <c r="E77" s="902"/>
      <c r="F77" s="903"/>
      <c r="G77" s="617"/>
      <c r="H77" s="902">
        <v>0.371</v>
      </c>
      <c r="I77" s="903">
        <v>0</v>
      </c>
      <c r="J77" s="611">
        <f t="shared" si="27"/>
        <v>-100</v>
      </c>
      <c r="K77" s="444"/>
      <c r="L77" s="903"/>
      <c r="M77" s="617"/>
      <c r="N77" s="902"/>
      <c r="O77" s="903"/>
      <c r="P77" s="617"/>
      <c r="Q77" s="902"/>
      <c r="R77" s="903"/>
      <c r="S77" s="616"/>
      <c r="T77" s="902"/>
      <c r="U77" s="903"/>
      <c r="V77" s="617"/>
      <c r="W77" s="902"/>
      <c r="X77" s="903"/>
      <c r="Y77" s="617"/>
      <c r="Z77" s="902"/>
      <c r="AA77" s="903"/>
      <c r="AB77" s="611"/>
      <c r="AC77" s="444"/>
      <c r="AD77" s="616"/>
      <c r="AE77" s="617"/>
      <c r="AF77" s="902"/>
      <c r="AG77" s="903"/>
      <c r="AH77" s="617"/>
      <c r="AI77" s="902"/>
      <c r="AJ77" s="903"/>
      <c r="AK77" s="611"/>
      <c r="AL77" s="902"/>
      <c r="AM77" s="903"/>
      <c r="AN77" s="617"/>
      <c r="AO77" s="613">
        <f t="shared" si="28"/>
        <v>0.371</v>
      </c>
      <c r="AP77" s="613">
        <f t="shared" si="29"/>
        <v>0</v>
      </c>
      <c r="AQ77" s="617">
        <f t="shared" si="10"/>
        <v>-100</v>
      </c>
      <c r="AR77" s="613">
        <f t="shared" si="30"/>
        <v>0.371</v>
      </c>
      <c r="AS77" s="613">
        <f t="shared" si="31"/>
        <v>0</v>
      </c>
      <c r="AT77" s="617">
        <f t="shared" si="13"/>
        <v>-100</v>
      </c>
    </row>
    <row r="78" spans="1:46" s="581" customFormat="1" ht="18.75" customHeight="1" x14ac:dyDescent="0.3">
      <c r="A78" s="608" t="s">
        <v>370</v>
      </c>
      <c r="B78" s="902"/>
      <c r="C78" s="903"/>
      <c r="D78" s="616"/>
      <c r="E78" s="902"/>
      <c r="F78" s="903"/>
      <c r="G78" s="617"/>
      <c r="H78" s="902">
        <v>19.86</v>
      </c>
      <c r="I78" s="903">
        <v>20</v>
      </c>
      <c r="J78" s="611">
        <f t="shared" si="27"/>
        <v>0.7</v>
      </c>
      <c r="K78" s="444"/>
      <c r="L78" s="903"/>
      <c r="M78" s="617"/>
      <c r="N78" s="902"/>
      <c r="O78" s="903"/>
      <c r="P78" s="617"/>
      <c r="Q78" s="902"/>
      <c r="R78" s="903"/>
      <c r="S78" s="616"/>
      <c r="T78" s="902"/>
      <c r="U78" s="903"/>
      <c r="V78" s="617"/>
      <c r="W78" s="902"/>
      <c r="X78" s="903"/>
      <c r="Y78" s="617"/>
      <c r="Z78" s="902">
        <v>2.1023126833333334</v>
      </c>
      <c r="AA78" s="903">
        <v>2.2200000000000002</v>
      </c>
      <c r="AB78" s="611">
        <f t="shared" si="22"/>
        <v>5.6</v>
      </c>
      <c r="AC78" s="444"/>
      <c r="AD78" s="616"/>
      <c r="AE78" s="617"/>
      <c r="AF78" s="902"/>
      <c r="AG78" s="903"/>
      <c r="AH78" s="617"/>
      <c r="AI78" s="902">
        <v>2</v>
      </c>
      <c r="AJ78" s="903">
        <v>1</v>
      </c>
      <c r="AK78" s="611">
        <f>IF(AI78=0, "    ---- ", IF(ABS(ROUND(100/AI78*AJ78-100,1))&lt;999,ROUND(100/AI78*AJ78-100,1),IF(ROUND(100/AI78*AJ78-100,1)&gt;999,999,-999)))</f>
        <v>-50</v>
      </c>
      <c r="AL78" s="902"/>
      <c r="AM78" s="903"/>
      <c r="AN78" s="617"/>
      <c r="AO78" s="613">
        <f t="shared" si="28"/>
        <v>23.962312683333334</v>
      </c>
      <c r="AP78" s="613">
        <f t="shared" si="29"/>
        <v>23.22</v>
      </c>
      <c r="AQ78" s="617">
        <f t="shared" si="10"/>
        <v>-3.1</v>
      </c>
      <c r="AR78" s="613">
        <f t="shared" si="30"/>
        <v>23.962312683333334</v>
      </c>
      <c r="AS78" s="613">
        <f t="shared" si="31"/>
        <v>23.22</v>
      </c>
      <c r="AT78" s="617">
        <f t="shared" si="13"/>
        <v>-3.1</v>
      </c>
    </row>
    <row r="79" spans="1:46" s="581" customFormat="1" ht="18.75" customHeight="1" x14ac:dyDescent="0.3">
      <c r="A79" s="608" t="s">
        <v>371</v>
      </c>
      <c r="B79" s="902">
        <v>-0.13500000000000001</v>
      </c>
      <c r="C79" s="903">
        <v>-1.7270000000000001</v>
      </c>
      <c r="D79" s="611">
        <f>IF(B79=0, "    ---- ", IF(ABS(ROUND(100/B79*C79-100,1))&lt;999,ROUND(100/B79*C79-100,1),IF(ROUND(100/B79*C79-100,1)&gt;999,999,-999)))</f>
        <v>999</v>
      </c>
      <c r="E79" s="902"/>
      <c r="F79" s="903"/>
      <c r="G79" s="617"/>
      <c r="H79" s="902">
        <v>0.23400000000000001</v>
      </c>
      <c r="I79" s="903">
        <v>0</v>
      </c>
      <c r="J79" s="611">
        <f t="shared" si="27"/>
        <v>-100</v>
      </c>
      <c r="K79" s="444"/>
      <c r="L79" s="903"/>
      <c r="M79" s="617"/>
      <c r="N79" s="902"/>
      <c r="O79" s="903"/>
      <c r="P79" s="617"/>
      <c r="Q79" s="902"/>
      <c r="R79" s="903"/>
      <c r="S79" s="616"/>
      <c r="T79" s="902"/>
      <c r="U79" s="903"/>
      <c r="V79" s="617"/>
      <c r="W79" s="902"/>
      <c r="X79" s="903"/>
      <c r="Y79" s="617"/>
      <c r="Z79" s="902">
        <v>2.8728412432365769</v>
      </c>
      <c r="AA79" s="903">
        <v>0.71</v>
      </c>
      <c r="AB79" s="611">
        <f t="shared" si="22"/>
        <v>-75.3</v>
      </c>
      <c r="AC79" s="444"/>
      <c r="AD79" s="616"/>
      <c r="AE79" s="617"/>
      <c r="AF79" s="902"/>
      <c r="AG79" s="903"/>
      <c r="AH79" s="617"/>
      <c r="AI79" s="902">
        <v>-3</v>
      </c>
      <c r="AJ79" s="903">
        <v>-1</v>
      </c>
      <c r="AK79" s="611">
        <f>IF(AI79=0, "    ---- ", IF(ABS(ROUND(100/AI79*AJ79-100,1))&lt;999,ROUND(100/AI79*AJ79-100,1),IF(ROUND(100/AI79*AJ79-100,1)&gt;999,999,-999)))</f>
        <v>-66.7</v>
      </c>
      <c r="AL79" s="902"/>
      <c r="AM79" s="903"/>
      <c r="AN79" s="617"/>
      <c r="AO79" s="613">
        <f t="shared" si="28"/>
        <v>-2.8158756763422943E-2</v>
      </c>
      <c r="AP79" s="613">
        <f t="shared" si="29"/>
        <v>-2.0170000000000003</v>
      </c>
      <c r="AQ79" s="617">
        <f t="shared" si="10"/>
        <v>999</v>
      </c>
      <c r="AR79" s="613">
        <f t="shared" si="30"/>
        <v>-2.8158756763422943E-2</v>
      </c>
      <c r="AS79" s="613">
        <f t="shared" si="31"/>
        <v>-2.0170000000000003</v>
      </c>
      <c r="AT79" s="617">
        <f t="shared" si="13"/>
        <v>999</v>
      </c>
    </row>
    <row r="80" spans="1:46" s="581" customFormat="1" ht="18.75" customHeight="1" x14ac:dyDescent="0.3">
      <c r="A80" s="608" t="s">
        <v>372</v>
      </c>
      <c r="B80" s="902"/>
      <c r="C80" s="903"/>
      <c r="D80" s="616"/>
      <c r="E80" s="902"/>
      <c r="F80" s="903"/>
      <c r="G80" s="617"/>
      <c r="H80" s="902"/>
      <c r="I80" s="903"/>
      <c r="J80" s="611"/>
      <c r="K80" s="444"/>
      <c r="L80" s="903"/>
      <c r="M80" s="617"/>
      <c r="N80" s="902"/>
      <c r="O80" s="903"/>
      <c r="P80" s="617"/>
      <c r="Q80" s="902"/>
      <c r="R80" s="903"/>
      <c r="S80" s="616"/>
      <c r="T80" s="902"/>
      <c r="U80" s="903"/>
      <c r="V80" s="617"/>
      <c r="W80" s="902"/>
      <c r="X80" s="903"/>
      <c r="Y80" s="617"/>
      <c r="Z80" s="902">
        <v>4.783356928404638</v>
      </c>
      <c r="AA80" s="903">
        <v>5.32</v>
      </c>
      <c r="AB80" s="611">
        <f t="shared" si="22"/>
        <v>11.2</v>
      </c>
      <c r="AC80" s="444"/>
      <c r="AD80" s="616"/>
      <c r="AE80" s="617"/>
      <c r="AF80" s="902"/>
      <c r="AG80" s="903"/>
      <c r="AH80" s="617"/>
      <c r="AI80" s="902"/>
      <c r="AJ80" s="903"/>
      <c r="AK80" s="611"/>
      <c r="AL80" s="902"/>
      <c r="AM80" s="903"/>
      <c r="AN80" s="617"/>
      <c r="AO80" s="613">
        <f t="shared" si="28"/>
        <v>4.783356928404638</v>
      </c>
      <c r="AP80" s="613">
        <f t="shared" si="29"/>
        <v>5.32</v>
      </c>
      <c r="AQ80" s="617">
        <f t="shared" si="10"/>
        <v>11.2</v>
      </c>
      <c r="AR80" s="613">
        <f t="shared" si="30"/>
        <v>4.783356928404638</v>
      </c>
      <c r="AS80" s="613">
        <f t="shared" si="31"/>
        <v>5.32</v>
      </c>
      <c r="AT80" s="617">
        <f t="shared" si="13"/>
        <v>11.2</v>
      </c>
    </row>
    <row r="81" spans="1:46" s="581" customFormat="1" ht="18.75" customHeight="1" x14ac:dyDescent="0.3">
      <c r="A81" s="608" t="s">
        <v>373</v>
      </c>
      <c r="B81" s="902"/>
      <c r="C81" s="903"/>
      <c r="D81" s="616"/>
      <c r="E81" s="902"/>
      <c r="F81" s="903"/>
      <c r="G81" s="617"/>
      <c r="H81" s="902"/>
      <c r="I81" s="903"/>
      <c r="J81" s="611"/>
      <c r="K81" s="444"/>
      <c r="L81" s="903"/>
      <c r="M81" s="617"/>
      <c r="N81" s="902"/>
      <c r="O81" s="903"/>
      <c r="P81" s="617"/>
      <c r="Q81" s="902"/>
      <c r="R81" s="903"/>
      <c r="S81" s="616"/>
      <c r="T81" s="902"/>
      <c r="U81" s="903"/>
      <c r="V81" s="617"/>
      <c r="W81" s="902"/>
      <c r="X81" s="903"/>
      <c r="Y81" s="617"/>
      <c r="Z81" s="902"/>
      <c r="AA81" s="903"/>
      <c r="AB81" s="611"/>
      <c r="AC81" s="444"/>
      <c r="AD81" s="616"/>
      <c r="AE81" s="617"/>
      <c r="AF81" s="902"/>
      <c r="AG81" s="903"/>
      <c r="AH81" s="617"/>
      <c r="AI81" s="902"/>
      <c r="AJ81" s="903"/>
      <c r="AK81" s="611"/>
      <c r="AL81" s="902"/>
      <c r="AM81" s="903"/>
      <c r="AN81" s="617"/>
      <c r="AO81" s="613">
        <f t="shared" si="28"/>
        <v>0</v>
      </c>
      <c r="AP81" s="613">
        <f t="shared" si="29"/>
        <v>0</v>
      </c>
      <c r="AQ81" s="617" t="str">
        <f t="shared" si="10"/>
        <v xml:space="preserve">    ---- </v>
      </c>
      <c r="AR81" s="613">
        <f t="shared" si="30"/>
        <v>0</v>
      </c>
      <c r="AS81" s="613">
        <f t="shared" si="31"/>
        <v>0</v>
      </c>
      <c r="AT81" s="617" t="str">
        <f t="shared" si="13"/>
        <v xml:space="preserve">    ---- </v>
      </c>
    </row>
    <row r="82" spans="1:46" s="615" customFormat="1" ht="18.75" customHeight="1" x14ac:dyDescent="0.3">
      <c r="A82" s="602" t="s">
        <v>374</v>
      </c>
      <c r="B82" s="900">
        <f>SUM(B74:B79)+B81</f>
        <v>-9.9000000000000005E-2</v>
      </c>
      <c r="C82" s="901">
        <f>SUM(C74:C79)+C81</f>
        <v>-2.919</v>
      </c>
      <c r="D82" s="611">
        <f>IF(B82=0, "    ---- ", IF(ABS(ROUND(100/B82*C82-100,1))&lt;999,ROUND(100/B82*C82-100,1),IF(ROUND(100/B82*C82-100,1)&gt;999,999,-999)))</f>
        <v>999</v>
      </c>
      <c r="E82" s="900"/>
      <c r="F82" s="901"/>
      <c r="G82" s="619"/>
      <c r="H82" s="900">
        <f>SUM(H74:H79)+H81</f>
        <v>100.43499999999999</v>
      </c>
      <c r="I82" s="901">
        <f>SUM(I74:I79)+I81</f>
        <v>32</v>
      </c>
      <c r="J82" s="606">
        <f>IF(H82=0, "    ---- ", IF(ABS(ROUND(100/H82*I82-100,1))&lt;999,ROUND(100/H82*I82-100,1),IF(ROUND(100/H82*I82-100,1)&gt;999,999,-999)))</f>
        <v>-68.099999999999994</v>
      </c>
      <c r="K82" s="603"/>
      <c r="L82" s="901"/>
      <c r="M82" s="619"/>
      <c r="N82" s="900"/>
      <c r="O82" s="901"/>
      <c r="P82" s="619"/>
      <c r="Q82" s="900"/>
      <c r="R82" s="901"/>
      <c r="S82" s="618"/>
      <c r="T82" s="900"/>
      <c r="U82" s="901"/>
      <c r="V82" s="619"/>
      <c r="W82" s="900"/>
      <c r="X82" s="901"/>
      <c r="Y82" s="619"/>
      <c r="Z82" s="900">
        <f>SUM(Z74:Z79)+Z81</f>
        <v>7.4553800358368481</v>
      </c>
      <c r="AA82" s="901">
        <f>SUM(AA74:AA79)+AA81</f>
        <v>1.89</v>
      </c>
      <c r="AB82" s="606">
        <f t="shared" si="22"/>
        <v>-74.599999999999994</v>
      </c>
      <c r="AC82" s="603"/>
      <c r="AD82" s="618"/>
      <c r="AE82" s="619"/>
      <c r="AF82" s="900"/>
      <c r="AG82" s="901"/>
      <c r="AH82" s="619"/>
      <c r="AI82" s="900">
        <f>SUM(AI74:AI79)+AI81</f>
        <v>4</v>
      </c>
      <c r="AJ82" s="901">
        <f>SUM(AJ74:AJ79)+AJ81</f>
        <v>1</v>
      </c>
      <c r="AK82" s="606">
        <f>IF(AI82=0, "    ---- ", IF(ABS(ROUND(100/AI82*AJ82-100,1))&lt;999,ROUND(100/AI82*AJ82-100,1),IF(ROUND(100/AI82*AJ82-100,1)&gt;999,999,-999)))</f>
        <v>-75</v>
      </c>
      <c r="AL82" s="900"/>
      <c r="AM82" s="901"/>
      <c r="AN82" s="619"/>
      <c r="AO82" s="614">
        <f t="shared" si="28"/>
        <v>111.79138003583684</v>
      </c>
      <c r="AP82" s="614">
        <f t="shared" si="29"/>
        <v>31.971</v>
      </c>
      <c r="AQ82" s="619">
        <f t="shared" si="10"/>
        <v>-71.400000000000006</v>
      </c>
      <c r="AR82" s="614">
        <f t="shared" si="30"/>
        <v>111.79138003583684</v>
      </c>
      <c r="AS82" s="614">
        <f t="shared" si="31"/>
        <v>31.971</v>
      </c>
      <c r="AT82" s="619">
        <f t="shared" si="13"/>
        <v>-71.400000000000006</v>
      </c>
    </row>
    <row r="83" spans="1:46" s="581" customFormat="1" ht="18.75" customHeight="1" x14ac:dyDescent="0.3">
      <c r="A83" s="608" t="s">
        <v>375</v>
      </c>
      <c r="B83" s="902"/>
      <c r="C83" s="903">
        <v>0.29599999999999999</v>
      </c>
      <c r="D83" s="611" t="str">
        <f>IF(B83=0, "    ---- ", IF(ABS(ROUND(100/B83*C83-100,1))&lt;999,ROUND(100/B83*C83-100,1),IF(ROUND(100/B83*C83-100,1)&gt;999,999,-999)))</f>
        <v xml:space="preserve">    ---- </v>
      </c>
      <c r="E83" s="902"/>
      <c r="F83" s="903"/>
      <c r="G83" s="617"/>
      <c r="H83" s="902">
        <v>77.67</v>
      </c>
      <c r="I83" s="903">
        <v>2</v>
      </c>
      <c r="J83" s="611">
        <f>IF(H83=0, "    ---- ", IF(ABS(ROUND(100/H83*I83-100,1))&lt;999,ROUND(100/H83*I83-100,1),IF(ROUND(100/H83*I83-100,1)&gt;999,999,-999)))</f>
        <v>-97.4</v>
      </c>
      <c r="K83" s="444"/>
      <c r="L83" s="903"/>
      <c r="M83" s="617"/>
      <c r="N83" s="902"/>
      <c r="O83" s="903"/>
      <c r="P83" s="617"/>
      <c r="Q83" s="902"/>
      <c r="R83" s="903"/>
      <c r="S83" s="616"/>
      <c r="T83" s="902"/>
      <c r="U83" s="903"/>
      <c r="V83" s="617"/>
      <c r="W83" s="902"/>
      <c r="X83" s="903"/>
      <c r="Y83" s="617"/>
      <c r="Z83" s="902">
        <v>1.4364206216182887</v>
      </c>
      <c r="AA83" s="903">
        <v>0.35</v>
      </c>
      <c r="AB83" s="611">
        <f t="shared" si="22"/>
        <v>-75.599999999999994</v>
      </c>
      <c r="AC83" s="444"/>
      <c r="AD83" s="616"/>
      <c r="AE83" s="617"/>
      <c r="AF83" s="902"/>
      <c r="AG83" s="903"/>
      <c r="AH83" s="617"/>
      <c r="AI83" s="902">
        <v>4</v>
      </c>
      <c r="AJ83" s="903"/>
      <c r="AK83" s="611">
        <f>IF(AI83=0, "    ---- ", IF(ABS(ROUND(100/AI83*AJ83-100,1))&lt;999,ROUND(100/AI83*AJ83-100,1),IF(ROUND(100/AI83*AJ83-100,1)&gt;999,999,-999)))</f>
        <v>-100</v>
      </c>
      <c r="AL83" s="902"/>
      <c r="AM83" s="903"/>
      <c r="AN83" s="617"/>
      <c r="AO83" s="613">
        <f t="shared" si="28"/>
        <v>83.106420621618284</v>
      </c>
      <c r="AP83" s="613">
        <f t="shared" si="29"/>
        <v>2.6459999999999999</v>
      </c>
      <c r="AQ83" s="617">
        <f t="shared" si="10"/>
        <v>-96.8</v>
      </c>
      <c r="AR83" s="613">
        <f t="shared" si="30"/>
        <v>83.106420621618284</v>
      </c>
      <c r="AS83" s="613">
        <f t="shared" si="31"/>
        <v>2.6459999999999999</v>
      </c>
      <c r="AT83" s="617">
        <f t="shared" si="13"/>
        <v>-96.8</v>
      </c>
    </row>
    <row r="84" spans="1:46" s="581" customFormat="1" ht="18.75" customHeight="1" x14ac:dyDescent="0.3">
      <c r="A84" s="608" t="s">
        <v>376</v>
      </c>
      <c r="B84" s="902">
        <v>-8.3000000000000004E-2</v>
      </c>
      <c r="C84" s="903">
        <v>-3.2149999999999999</v>
      </c>
      <c r="D84" s="611">
        <f>IF(B84=0, "    ---- ", IF(ABS(ROUND(100/B84*C84-100,1))&lt;999,ROUND(100/B84*C84-100,1),IF(ROUND(100/B84*C84-100,1)&gt;999,999,-999)))</f>
        <v>999</v>
      </c>
      <c r="E84" s="902"/>
      <c r="F84" s="903"/>
      <c r="G84" s="617"/>
      <c r="H84" s="902">
        <v>22.78</v>
      </c>
      <c r="I84" s="903">
        <v>30</v>
      </c>
      <c r="J84" s="611">
        <f>IF(H84=0, "    ---- ", IF(ABS(ROUND(100/H84*I84-100,1))&lt;999,ROUND(100/H84*I84-100,1),IF(ROUND(100/H84*I84-100,1)&gt;999,999,-999)))</f>
        <v>31.7</v>
      </c>
      <c r="K84" s="444"/>
      <c r="L84" s="903"/>
      <c r="M84" s="617"/>
      <c r="N84" s="902"/>
      <c r="O84" s="903"/>
      <c r="P84" s="617"/>
      <c r="Q84" s="902"/>
      <c r="R84" s="903"/>
      <c r="S84" s="616"/>
      <c r="T84" s="902"/>
      <c r="U84" s="903"/>
      <c r="V84" s="617"/>
      <c r="W84" s="902"/>
      <c r="X84" s="903"/>
      <c r="Y84" s="617"/>
      <c r="Z84" s="902">
        <v>6.0189594142185596</v>
      </c>
      <c r="AA84" s="903">
        <v>1.54</v>
      </c>
      <c r="AB84" s="611">
        <f t="shared" si="22"/>
        <v>-74.400000000000006</v>
      </c>
      <c r="AC84" s="444"/>
      <c r="AD84" s="616"/>
      <c r="AE84" s="617"/>
      <c r="AF84" s="902"/>
      <c r="AG84" s="903"/>
      <c r="AH84" s="617"/>
      <c r="AI84" s="902"/>
      <c r="AJ84" s="903">
        <v>1</v>
      </c>
      <c r="AK84" s="611" t="str">
        <f>IF(AI84=0, "    ---- ", IF(ABS(ROUND(100/AI84*AJ84-100,1))&lt;999,ROUND(100/AI84*AJ84-100,1),IF(ROUND(100/AI84*AJ84-100,1)&gt;999,999,-999)))</f>
        <v xml:space="preserve">    ---- </v>
      </c>
      <c r="AL84" s="902"/>
      <c r="AM84" s="903"/>
      <c r="AN84" s="617"/>
      <c r="AO84" s="613">
        <f t="shared" si="28"/>
        <v>28.715959414218563</v>
      </c>
      <c r="AP84" s="613">
        <f t="shared" si="29"/>
        <v>29.324999999999999</v>
      </c>
      <c r="AQ84" s="617">
        <f t="shared" si="10"/>
        <v>2.1</v>
      </c>
      <c r="AR84" s="613">
        <f t="shared" si="30"/>
        <v>28.715959414218563</v>
      </c>
      <c r="AS84" s="613">
        <f t="shared" si="31"/>
        <v>29.324999999999999</v>
      </c>
      <c r="AT84" s="617">
        <f t="shared" si="13"/>
        <v>2.1</v>
      </c>
    </row>
    <row r="85" spans="1:46" s="615" customFormat="1" ht="18.75" customHeight="1" x14ac:dyDescent="0.3">
      <c r="A85" s="602" t="s">
        <v>382</v>
      </c>
      <c r="B85" s="900"/>
      <c r="C85" s="901"/>
      <c r="D85" s="618"/>
      <c r="E85" s="900"/>
      <c r="F85" s="901"/>
      <c r="G85" s="619"/>
      <c r="H85" s="900"/>
      <c r="I85" s="901"/>
      <c r="J85" s="606"/>
      <c r="K85" s="603"/>
      <c r="L85" s="901"/>
      <c r="M85" s="619"/>
      <c r="N85" s="900"/>
      <c r="O85" s="901"/>
      <c r="P85" s="619"/>
      <c r="Q85" s="900"/>
      <c r="R85" s="901"/>
      <c r="S85" s="618"/>
      <c r="T85" s="900"/>
      <c r="U85" s="901"/>
      <c r="V85" s="619"/>
      <c r="W85" s="900"/>
      <c r="X85" s="901"/>
      <c r="Y85" s="619"/>
      <c r="Z85" s="900"/>
      <c r="AA85" s="901"/>
      <c r="AB85" s="606"/>
      <c r="AC85" s="603"/>
      <c r="AD85" s="618"/>
      <c r="AE85" s="619"/>
      <c r="AF85" s="900"/>
      <c r="AG85" s="901"/>
      <c r="AH85" s="619"/>
      <c r="AI85" s="900"/>
      <c r="AJ85" s="901"/>
      <c r="AK85" s="606"/>
      <c r="AL85" s="900"/>
      <c r="AM85" s="901"/>
      <c r="AN85" s="619"/>
      <c r="AO85" s="618"/>
      <c r="AP85" s="618"/>
      <c r="AQ85" s="619"/>
      <c r="AR85" s="613"/>
      <c r="AS85" s="613"/>
      <c r="AT85" s="619"/>
    </row>
    <row r="86" spans="1:46" s="581" customFormat="1" ht="18.75" customHeight="1" x14ac:dyDescent="0.3">
      <c r="A86" s="608" t="s">
        <v>366</v>
      </c>
      <c r="B86" s="902">
        <v>1.3660000000000001</v>
      </c>
      <c r="C86" s="903">
        <v>0.99</v>
      </c>
      <c r="D86" s="611">
        <f>IF(B86=0, "    ---- ", IF(ABS(ROUND(100/B86*C86-100,1))&lt;999,ROUND(100/B86*C86-100,1),IF(ROUND(100/B86*C86-100,1)&gt;999,999,-999)))</f>
        <v>-27.5</v>
      </c>
      <c r="E86" s="902"/>
      <c r="F86" s="903"/>
      <c r="G86" s="631"/>
      <c r="H86" s="902"/>
      <c r="I86" s="903"/>
      <c r="J86" s="611"/>
      <c r="K86" s="444"/>
      <c r="L86" s="903"/>
      <c r="M86" s="611" t="str">
        <f>IF(K86=0, "    ---- ", IF(ABS(ROUND(100/K86*L86-100,1))&lt;999,ROUND(100/K86*L86-100,1),IF(ROUND(100/K86*L86-100,1)&gt;999,999,-999)))</f>
        <v xml:space="preserve">    ---- </v>
      </c>
      <c r="N86" s="902">
        <v>24.754999999999999</v>
      </c>
      <c r="O86" s="903">
        <v>21.108000000000001</v>
      </c>
      <c r="P86" s="611">
        <f>IF(N86=0, "    ---- ", IF(ABS(ROUND(100/N86*O86-100,1))&lt;999,ROUND(100/N86*O86-100,1),IF(ROUND(100/N86*O86-100,1)&gt;999,999,-999)))</f>
        <v>-14.7</v>
      </c>
      <c r="Q86" s="902">
        <v>27.7</v>
      </c>
      <c r="R86" s="903">
        <v>23.8</v>
      </c>
      <c r="S86" s="613">
        <f>IF(Q86=0, "    ---- ", IF(ABS(ROUND(100/Q86*R86-100,1))&lt;999,ROUND(100/Q86*R86-100,1),IF(ROUND(100/Q86*R86-100,1)&gt;999,999,-999)))</f>
        <v>-14.1</v>
      </c>
      <c r="T86" s="902"/>
      <c r="U86" s="903"/>
      <c r="V86" s="631"/>
      <c r="W86" s="902"/>
      <c r="X86" s="903"/>
      <c r="Y86" s="631"/>
      <c r="Z86" s="902">
        <v>7.2395453881816154</v>
      </c>
      <c r="AA86" s="903">
        <v>7.77</v>
      </c>
      <c r="AB86" s="611">
        <f t="shared" si="22"/>
        <v>7.3</v>
      </c>
      <c r="AC86" s="444"/>
      <c r="AD86" s="616"/>
      <c r="AE86" s="611"/>
      <c r="AF86" s="902"/>
      <c r="AG86" s="903"/>
      <c r="AH86" s="631"/>
      <c r="AI86" s="902">
        <v>27</v>
      </c>
      <c r="AJ86" s="903"/>
      <c r="AK86" s="611">
        <f>IF(AI86=0, "    ---- ", IF(ABS(ROUND(100/AI86*AJ86-100,1))&lt;999,ROUND(100/AI86*AJ86-100,1),IF(ROUND(100/AI86*AJ86-100,1)&gt;999,999,-999)))</f>
        <v>-100</v>
      </c>
      <c r="AL86" s="902"/>
      <c r="AM86" s="903"/>
      <c r="AN86" s="611"/>
      <c r="AO86" s="613">
        <f t="shared" ref="AO86:AO96" si="32">B86+H86+K86+N86+Q86+W86+E86+Z86+AC86+AI86+AL86</f>
        <v>88.060545388181623</v>
      </c>
      <c r="AP86" s="613">
        <f t="shared" ref="AP86:AP96" si="33">C86+I86+L86+O86+R86+X86+F86+AA86+AD86+AJ86+AM86</f>
        <v>53.667999999999992</v>
      </c>
      <c r="AQ86" s="611">
        <f t="shared" si="10"/>
        <v>-39.1</v>
      </c>
      <c r="AR86" s="613">
        <f t="shared" ref="AR86:AR96" si="34">+B86+H86+K86+N86+Q86+T86+W86+E86+Z86+AC86+AF86+AI86+AL86</f>
        <v>88.060545388181623</v>
      </c>
      <c r="AS86" s="613">
        <f t="shared" ref="AS86:AS96" si="35">+C86+I86+L86+O86+R86+U86+X86+F86+AA86+AD86+AG86+AJ86+AM86</f>
        <v>53.667999999999992</v>
      </c>
      <c r="AT86" s="611">
        <f t="shared" si="13"/>
        <v>-39.1</v>
      </c>
    </row>
    <row r="87" spans="1:46" s="581" customFormat="1" ht="18.75" customHeight="1" x14ac:dyDescent="0.3">
      <c r="A87" s="608" t="s">
        <v>367</v>
      </c>
      <c r="B87" s="902"/>
      <c r="C87" s="903"/>
      <c r="D87" s="630"/>
      <c r="E87" s="902"/>
      <c r="F87" s="903"/>
      <c r="G87" s="631"/>
      <c r="H87" s="902"/>
      <c r="I87" s="903"/>
      <c r="J87" s="611"/>
      <c r="K87" s="444"/>
      <c r="L87" s="903"/>
      <c r="M87" s="631"/>
      <c r="N87" s="902"/>
      <c r="O87" s="903"/>
      <c r="P87" s="631"/>
      <c r="Q87" s="902"/>
      <c r="R87" s="903"/>
      <c r="S87" s="630"/>
      <c r="T87" s="902"/>
      <c r="U87" s="903"/>
      <c r="V87" s="631"/>
      <c r="W87" s="902"/>
      <c r="X87" s="903"/>
      <c r="Y87" s="631"/>
      <c r="Z87" s="902"/>
      <c r="AA87" s="903"/>
      <c r="AB87" s="611"/>
      <c r="AC87" s="444"/>
      <c r="AD87" s="616"/>
      <c r="AE87" s="631"/>
      <c r="AF87" s="902"/>
      <c r="AG87" s="903"/>
      <c r="AH87" s="631"/>
      <c r="AI87" s="902"/>
      <c r="AJ87" s="903"/>
      <c r="AK87" s="611"/>
      <c r="AL87" s="902"/>
      <c r="AM87" s="903"/>
      <c r="AN87" s="631"/>
      <c r="AO87" s="613">
        <f t="shared" si="32"/>
        <v>0</v>
      </c>
      <c r="AP87" s="613">
        <f t="shared" si="33"/>
        <v>0</v>
      </c>
      <c r="AQ87" s="631" t="str">
        <f t="shared" si="10"/>
        <v xml:space="preserve">    ---- </v>
      </c>
      <c r="AR87" s="613">
        <f t="shared" si="34"/>
        <v>0</v>
      </c>
      <c r="AS87" s="613">
        <f t="shared" si="35"/>
        <v>0</v>
      </c>
      <c r="AT87" s="631" t="str">
        <f t="shared" si="13"/>
        <v xml:space="preserve">    ---- </v>
      </c>
    </row>
    <row r="88" spans="1:46" s="581" customFormat="1" ht="18.75" customHeight="1" x14ac:dyDescent="0.3">
      <c r="A88" s="608" t="s">
        <v>368</v>
      </c>
      <c r="B88" s="902">
        <v>-1.5820000000000001</v>
      </c>
      <c r="C88" s="903">
        <v>-1.7889999999999999</v>
      </c>
      <c r="D88" s="611">
        <f>IF(B88=0, "    ---- ", IF(ABS(ROUND(100/B88*C88-100,1))&lt;999,ROUND(100/B88*C88-100,1),IF(ROUND(100/B88*C88-100,1)&gt;999,999,-999)))</f>
        <v>13.1</v>
      </c>
      <c r="E88" s="902"/>
      <c r="F88" s="903"/>
      <c r="G88" s="617"/>
      <c r="H88" s="902"/>
      <c r="I88" s="903"/>
      <c r="J88" s="611"/>
      <c r="K88" s="444"/>
      <c r="L88" s="903"/>
      <c r="M88" s="617" t="str">
        <f>IF(K88=0, "    ---- ", IF(ABS(ROUND(100/K88*L88-100,1))&lt;999,ROUND(100/K88*L88-100,1),IF(ROUND(100/K88*L88-100,1)&gt;999,999,-999)))</f>
        <v xml:space="preserve">    ---- </v>
      </c>
      <c r="N88" s="902">
        <v>-21.734000000000002</v>
      </c>
      <c r="O88" s="903">
        <v>-29.998999999999999</v>
      </c>
      <c r="P88" s="617">
        <f>IF(N88=0, "    ---- ", IF(ABS(ROUND(100/N88*O88-100,1))&lt;999,ROUND(100/N88*O88-100,1),IF(ROUND(100/N88*O88-100,1)&gt;999,999,-999)))</f>
        <v>38</v>
      </c>
      <c r="Q88" s="902">
        <v>34.9</v>
      </c>
      <c r="R88" s="903">
        <v>40</v>
      </c>
      <c r="S88" s="616">
        <f>IF(Q88=0, "    ---- ", IF(ABS(ROUND(100/Q88*R88-100,1))&lt;999,ROUND(100/Q88*R88-100,1),IF(ROUND(100/Q88*R88-100,1)&gt;999,999,-999)))</f>
        <v>14.6</v>
      </c>
      <c r="T88" s="902"/>
      <c r="U88" s="903"/>
      <c r="V88" s="617"/>
      <c r="W88" s="902"/>
      <c r="X88" s="903"/>
      <c r="Y88" s="617"/>
      <c r="Z88" s="902">
        <v>2.3811251496922599</v>
      </c>
      <c r="AA88" s="903">
        <v>10.78</v>
      </c>
      <c r="AB88" s="611">
        <f t="shared" si="22"/>
        <v>352.7</v>
      </c>
      <c r="AC88" s="444"/>
      <c r="AD88" s="616"/>
      <c r="AE88" s="617"/>
      <c r="AF88" s="902"/>
      <c r="AG88" s="903"/>
      <c r="AH88" s="617"/>
      <c r="AI88" s="902">
        <v>63</v>
      </c>
      <c r="AJ88" s="903"/>
      <c r="AK88" s="611">
        <f>IF(AI88=0, "    ---- ", IF(ABS(ROUND(100/AI88*AJ88-100,1))&lt;999,ROUND(100/AI88*AJ88-100,1),IF(ROUND(100/AI88*AJ88-100,1)&gt;999,999,-999)))</f>
        <v>-100</v>
      </c>
      <c r="AL88" s="902"/>
      <c r="AM88" s="903"/>
      <c r="AN88" s="617"/>
      <c r="AO88" s="613">
        <f t="shared" si="32"/>
        <v>76.965125149692255</v>
      </c>
      <c r="AP88" s="613">
        <f t="shared" si="33"/>
        <v>18.991999999999997</v>
      </c>
      <c r="AQ88" s="617">
        <f t="shared" ref="AQ88:AQ108" si="36">IF(AO88=0, "    ---- ", IF(ABS(ROUND(100/AO88*AP88-100,1))&lt;999,ROUND(100/AO88*AP88-100,1),IF(ROUND(100/AO88*AP88-100,1)&gt;999,999,-999)))</f>
        <v>-75.3</v>
      </c>
      <c r="AR88" s="613">
        <f t="shared" si="34"/>
        <v>76.965125149692255</v>
      </c>
      <c r="AS88" s="613">
        <f t="shared" si="35"/>
        <v>18.991999999999997</v>
      </c>
      <c r="AT88" s="617">
        <f t="shared" ref="AT88:AT108" si="37">IF(AR88=0, "    ---- ", IF(ABS(ROUND(100/AR88*AS88-100,1))&lt;999,ROUND(100/AR88*AS88-100,1),IF(ROUND(100/AR88*AS88-100,1)&gt;999,999,-999)))</f>
        <v>-75.3</v>
      </c>
    </row>
    <row r="89" spans="1:46" s="581" customFormat="1" ht="18.75" customHeight="1" x14ac:dyDescent="0.3">
      <c r="A89" s="608" t="s">
        <v>369</v>
      </c>
      <c r="B89" s="902"/>
      <c r="C89" s="903"/>
      <c r="D89" s="616"/>
      <c r="E89" s="902"/>
      <c r="F89" s="903"/>
      <c r="G89" s="617"/>
      <c r="H89" s="902"/>
      <c r="I89" s="903"/>
      <c r="J89" s="611"/>
      <c r="K89" s="444"/>
      <c r="L89" s="903"/>
      <c r="M89" s="617"/>
      <c r="N89" s="902"/>
      <c r="O89" s="903"/>
      <c r="P89" s="617"/>
      <c r="Q89" s="902"/>
      <c r="R89" s="903"/>
      <c r="S89" s="616"/>
      <c r="T89" s="902"/>
      <c r="U89" s="903"/>
      <c r="V89" s="617"/>
      <c r="W89" s="902"/>
      <c r="X89" s="903"/>
      <c r="Y89" s="617"/>
      <c r="Z89" s="902"/>
      <c r="AA89" s="903"/>
      <c r="AB89" s="611"/>
      <c r="AC89" s="444"/>
      <c r="AD89" s="616"/>
      <c r="AE89" s="617"/>
      <c r="AF89" s="902"/>
      <c r="AG89" s="903"/>
      <c r="AH89" s="617"/>
      <c r="AI89" s="902"/>
      <c r="AJ89" s="903"/>
      <c r="AK89" s="611"/>
      <c r="AL89" s="902"/>
      <c r="AM89" s="903"/>
      <c r="AN89" s="617"/>
      <c r="AO89" s="613">
        <f t="shared" si="32"/>
        <v>0</v>
      </c>
      <c r="AP89" s="613">
        <f t="shared" si="33"/>
        <v>0</v>
      </c>
      <c r="AQ89" s="617" t="str">
        <f t="shared" si="36"/>
        <v xml:space="preserve">    ---- </v>
      </c>
      <c r="AR89" s="613">
        <f t="shared" si="34"/>
        <v>0</v>
      </c>
      <c r="AS89" s="613">
        <f t="shared" si="35"/>
        <v>0</v>
      </c>
      <c r="AT89" s="617" t="str">
        <f t="shared" si="37"/>
        <v xml:space="preserve">    ---- </v>
      </c>
    </row>
    <row r="90" spans="1:46" s="581" customFormat="1" ht="18.75" customHeight="1" x14ac:dyDescent="0.3">
      <c r="A90" s="608" t="s">
        <v>370</v>
      </c>
      <c r="B90" s="902"/>
      <c r="C90" s="903"/>
      <c r="D90" s="616"/>
      <c r="E90" s="902"/>
      <c r="F90" s="903"/>
      <c r="G90" s="617"/>
      <c r="H90" s="902"/>
      <c r="I90" s="903"/>
      <c r="J90" s="611"/>
      <c r="K90" s="444"/>
      <c r="L90" s="903"/>
      <c r="M90" s="617"/>
      <c r="N90" s="902"/>
      <c r="O90" s="903"/>
      <c r="P90" s="617"/>
      <c r="Q90" s="902"/>
      <c r="R90" s="903"/>
      <c r="S90" s="616"/>
      <c r="T90" s="902"/>
      <c r="U90" s="903"/>
      <c r="V90" s="617"/>
      <c r="W90" s="902"/>
      <c r="X90" s="903"/>
      <c r="Y90" s="617"/>
      <c r="Z90" s="902"/>
      <c r="AA90" s="903"/>
      <c r="AB90" s="611"/>
      <c r="AC90" s="444"/>
      <c r="AD90" s="616"/>
      <c r="AE90" s="617"/>
      <c r="AF90" s="902"/>
      <c r="AG90" s="903"/>
      <c r="AH90" s="617"/>
      <c r="AI90" s="902"/>
      <c r="AJ90" s="903"/>
      <c r="AK90" s="611"/>
      <c r="AL90" s="902"/>
      <c r="AM90" s="903"/>
      <c r="AN90" s="617"/>
      <c r="AO90" s="613">
        <f t="shared" si="32"/>
        <v>0</v>
      </c>
      <c r="AP90" s="613">
        <f t="shared" si="33"/>
        <v>0</v>
      </c>
      <c r="AQ90" s="617" t="str">
        <f t="shared" si="36"/>
        <v xml:space="preserve">    ---- </v>
      </c>
      <c r="AR90" s="613">
        <f t="shared" si="34"/>
        <v>0</v>
      </c>
      <c r="AS90" s="613">
        <f t="shared" si="35"/>
        <v>0</v>
      </c>
      <c r="AT90" s="617" t="str">
        <f t="shared" si="37"/>
        <v xml:space="preserve">    ---- </v>
      </c>
    </row>
    <row r="91" spans="1:46" s="581" customFormat="1" ht="18.75" customHeight="1" x14ac:dyDescent="0.3">
      <c r="A91" s="608" t="s">
        <v>371</v>
      </c>
      <c r="B91" s="902">
        <v>21.838000000000001</v>
      </c>
      <c r="C91" s="903">
        <v>3.5390000000000001</v>
      </c>
      <c r="D91" s="611">
        <f>IF(B91=0, "    ---- ", IF(ABS(ROUND(100/B91*C91-100,1))&lt;999,ROUND(100/B91*C91-100,1),IF(ROUND(100/B91*C91-100,1)&gt;999,999,-999)))</f>
        <v>-83.8</v>
      </c>
      <c r="E91" s="902"/>
      <c r="F91" s="903"/>
      <c r="G91" s="617"/>
      <c r="H91" s="902"/>
      <c r="I91" s="903"/>
      <c r="J91" s="611"/>
      <c r="K91" s="444"/>
      <c r="L91" s="903"/>
      <c r="M91" s="617" t="str">
        <f>IF(K91=0, "    ---- ", IF(ABS(ROUND(100/K91*L91-100,1))&lt;999,ROUND(100/K91*L91-100,1),IF(ROUND(100/K91*L91-100,1)&gt;999,999,-999)))</f>
        <v xml:space="preserve">    ---- </v>
      </c>
      <c r="N91" s="902">
        <v>14.602</v>
      </c>
      <c r="O91" s="903">
        <v>-5.6000000000000001E-2</v>
      </c>
      <c r="P91" s="617">
        <f>IF(N91=0, "    ---- ", IF(ABS(ROUND(100/N91*O91-100,1))&lt;999,ROUND(100/N91*O91-100,1),IF(ROUND(100/N91*O91-100,1)&gt;999,999,-999)))</f>
        <v>-100.4</v>
      </c>
      <c r="Q91" s="902">
        <v>9.1999999999999993</v>
      </c>
      <c r="R91" s="903">
        <v>1.6</v>
      </c>
      <c r="S91" s="616">
        <f>IF(Q91=0, "    ---- ", IF(ABS(ROUND(100/Q91*R91-100,1))&lt;999,ROUND(100/Q91*R91-100,1),IF(ROUND(100/Q91*R91-100,1)&gt;999,999,-999)))</f>
        <v>-82.6</v>
      </c>
      <c r="T91" s="902"/>
      <c r="U91" s="903"/>
      <c r="V91" s="617"/>
      <c r="W91" s="902"/>
      <c r="X91" s="903"/>
      <c r="Y91" s="617"/>
      <c r="Z91" s="902">
        <v>40.621260562310034</v>
      </c>
      <c r="AA91" s="903">
        <v>-17.45</v>
      </c>
      <c r="AB91" s="611">
        <f t="shared" si="22"/>
        <v>-143</v>
      </c>
      <c r="AC91" s="444"/>
      <c r="AD91" s="616"/>
      <c r="AE91" s="617"/>
      <c r="AF91" s="902"/>
      <c r="AG91" s="903"/>
      <c r="AH91" s="617"/>
      <c r="AI91" s="902">
        <v>59</v>
      </c>
      <c r="AJ91" s="903"/>
      <c r="AK91" s="611">
        <f>IF(AI91=0, "    ---- ", IF(ABS(ROUND(100/AI91*AJ91-100,1))&lt;999,ROUND(100/AI91*AJ91-100,1),IF(ROUND(100/AI91*AJ91-100,1)&gt;999,999,-999)))</f>
        <v>-100</v>
      </c>
      <c r="AL91" s="902"/>
      <c r="AM91" s="903"/>
      <c r="AN91" s="617"/>
      <c r="AO91" s="613">
        <f t="shared" si="32"/>
        <v>145.26126056231004</v>
      </c>
      <c r="AP91" s="613">
        <f t="shared" si="33"/>
        <v>-12.366999999999999</v>
      </c>
      <c r="AQ91" s="617">
        <f t="shared" si="36"/>
        <v>-108.5</v>
      </c>
      <c r="AR91" s="613">
        <f t="shared" si="34"/>
        <v>145.26126056231004</v>
      </c>
      <c r="AS91" s="613">
        <f t="shared" si="35"/>
        <v>-12.366999999999999</v>
      </c>
      <c r="AT91" s="617">
        <f t="shared" si="37"/>
        <v>-108.5</v>
      </c>
    </row>
    <row r="92" spans="1:46" s="581" customFormat="1" ht="18.75" customHeight="1" x14ac:dyDescent="0.3">
      <c r="A92" s="608" t="s">
        <v>372</v>
      </c>
      <c r="B92" s="902"/>
      <c r="C92" s="903"/>
      <c r="D92" s="616"/>
      <c r="E92" s="902"/>
      <c r="F92" s="903"/>
      <c r="G92" s="617"/>
      <c r="H92" s="902"/>
      <c r="I92" s="903"/>
      <c r="J92" s="611"/>
      <c r="K92" s="444"/>
      <c r="L92" s="903"/>
      <c r="M92" s="617"/>
      <c r="N92" s="902"/>
      <c r="O92" s="903"/>
      <c r="P92" s="617"/>
      <c r="Q92" s="902"/>
      <c r="R92" s="903"/>
      <c r="S92" s="616"/>
      <c r="T92" s="902"/>
      <c r="U92" s="903"/>
      <c r="V92" s="617"/>
      <c r="W92" s="902"/>
      <c r="X92" s="903"/>
      <c r="Y92" s="617"/>
      <c r="Z92" s="902"/>
      <c r="AA92" s="903"/>
      <c r="AB92" s="611"/>
      <c r="AC92" s="444"/>
      <c r="AD92" s="616"/>
      <c r="AE92" s="617"/>
      <c r="AF92" s="902"/>
      <c r="AG92" s="903"/>
      <c r="AH92" s="617"/>
      <c r="AI92" s="902"/>
      <c r="AJ92" s="903"/>
      <c r="AK92" s="611"/>
      <c r="AL92" s="902"/>
      <c r="AM92" s="903"/>
      <c r="AN92" s="617"/>
      <c r="AO92" s="613">
        <f t="shared" si="32"/>
        <v>0</v>
      </c>
      <c r="AP92" s="613">
        <f t="shared" si="33"/>
        <v>0</v>
      </c>
      <c r="AQ92" s="617" t="str">
        <f t="shared" si="36"/>
        <v xml:space="preserve">    ---- </v>
      </c>
      <c r="AR92" s="613">
        <f t="shared" si="34"/>
        <v>0</v>
      </c>
      <c r="AS92" s="613">
        <f t="shared" si="35"/>
        <v>0</v>
      </c>
      <c r="AT92" s="617" t="str">
        <f t="shared" si="37"/>
        <v xml:space="preserve">    ---- </v>
      </c>
    </row>
    <row r="93" spans="1:46" s="581" customFormat="1" ht="18.75" customHeight="1" x14ac:dyDescent="0.3">
      <c r="A93" s="608" t="s">
        <v>373</v>
      </c>
      <c r="B93" s="902"/>
      <c r="C93" s="903"/>
      <c r="D93" s="616"/>
      <c r="E93" s="902"/>
      <c r="F93" s="903"/>
      <c r="G93" s="617"/>
      <c r="H93" s="902"/>
      <c r="I93" s="903"/>
      <c r="J93" s="611"/>
      <c r="K93" s="444"/>
      <c r="L93" s="903"/>
      <c r="M93" s="617" t="str">
        <f>IF(K93=0, "    ---- ", IF(ABS(ROUND(100/K93*L93-100,1))&lt;999,ROUND(100/K93*L93-100,1),IF(ROUND(100/K93*L93-100,1)&gt;999,999,-999)))</f>
        <v xml:space="preserve">    ---- </v>
      </c>
      <c r="N93" s="902">
        <v>1.6E-2</v>
      </c>
      <c r="O93" s="903">
        <v>-0.38</v>
      </c>
      <c r="P93" s="617">
        <f>IF(N93=0, "    ---- ", IF(ABS(ROUND(100/N93*O93-100,1))&lt;999,ROUND(100/N93*O93-100,1),IF(ROUND(100/N93*O93-100,1)&gt;999,999,-999)))</f>
        <v>-999</v>
      </c>
      <c r="Q93" s="902"/>
      <c r="R93" s="903"/>
      <c r="S93" s="616"/>
      <c r="T93" s="902"/>
      <c r="U93" s="903"/>
      <c r="V93" s="617"/>
      <c r="W93" s="902"/>
      <c r="X93" s="903"/>
      <c r="Y93" s="617"/>
      <c r="Z93" s="902"/>
      <c r="AA93" s="903"/>
      <c r="AB93" s="611"/>
      <c r="AC93" s="444"/>
      <c r="AD93" s="616"/>
      <c r="AE93" s="617"/>
      <c r="AF93" s="902"/>
      <c r="AG93" s="903"/>
      <c r="AH93" s="617"/>
      <c r="AI93" s="902"/>
      <c r="AJ93" s="903"/>
      <c r="AK93" s="611"/>
      <c r="AL93" s="902"/>
      <c r="AM93" s="903"/>
      <c r="AN93" s="617"/>
      <c r="AO93" s="613">
        <f t="shared" si="32"/>
        <v>1.6E-2</v>
      </c>
      <c r="AP93" s="613">
        <f t="shared" si="33"/>
        <v>-0.38</v>
      </c>
      <c r="AQ93" s="617">
        <f t="shared" si="36"/>
        <v>-999</v>
      </c>
      <c r="AR93" s="613">
        <f t="shared" si="34"/>
        <v>1.6E-2</v>
      </c>
      <c r="AS93" s="613">
        <f t="shared" si="35"/>
        <v>-0.38</v>
      </c>
      <c r="AT93" s="617">
        <f t="shared" si="37"/>
        <v>-999</v>
      </c>
    </row>
    <row r="94" spans="1:46" s="615" customFormat="1" ht="18.75" customHeight="1" x14ac:dyDescent="0.3">
      <c r="A94" s="602" t="s">
        <v>374</v>
      </c>
      <c r="B94" s="900">
        <f>SUM(B86:B91)+B93</f>
        <v>21.622</v>
      </c>
      <c r="C94" s="901">
        <f>SUM(C86:C91)+C93</f>
        <v>2.74</v>
      </c>
      <c r="D94" s="611">
        <f>IF(B94=0, "    ---- ", IF(ABS(ROUND(100/B94*C94-100,1))&lt;999,ROUND(100/B94*C94-100,1),IF(ROUND(100/B94*C94-100,1)&gt;999,999,-999)))</f>
        <v>-87.3</v>
      </c>
      <c r="E94" s="900"/>
      <c r="F94" s="901"/>
      <c r="G94" s="619"/>
      <c r="H94" s="900"/>
      <c r="I94" s="901"/>
      <c r="J94" s="606"/>
      <c r="K94" s="603"/>
      <c r="L94" s="901"/>
      <c r="M94" s="619" t="str">
        <f>IF(K94=0, "    ---- ", IF(ABS(ROUND(100/K94*L94-100,1))&lt;999,ROUND(100/K94*L94-100,1),IF(ROUND(100/K94*L94-100,1)&gt;999,999,-999)))</f>
        <v xml:space="preserve">    ---- </v>
      </c>
      <c r="N94" s="900">
        <f>SUM(N86:N91)+N93</f>
        <v>17.638999999999996</v>
      </c>
      <c r="O94" s="901">
        <f>SUM(O86:O91)+O93</f>
        <v>-9.3269999999999982</v>
      </c>
      <c r="P94" s="619">
        <f>IF(N94=0, "    ---- ", IF(ABS(ROUND(100/N94*O94-100,1))&lt;999,ROUND(100/N94*O94-100,1),IF(ROUND(100/N94*O94-100,1)&gt;999,999,-999)))</f>
        <v>-152.9</v>
      </c>
      <c r="Q94" s="900">
        <f>SUM(Q86:Q91)+Q93</f>
        <v>71.8</v>
      </c>
      <c r="R94" s="901">
        <f>SUM(R86:R91)+R93</f>
        <v>65.399999999999991</v>
      </c>
      <c r="S94" s="618">
        <f>IF(Q94=0, "    ---- ", IF(ABS(ROUND(100/Q94*R94-100,1))&lt;999,ROUND(100/Q94*R94-100,1),IF(ROUND(100/Q94*R94-100,1)&gt;999,999,-999)))</f>
        <v>-8.9</v>
      </c>
      <c r="T94" s="900"/>
      <c r="U94" s="901"/>
      <c r="V94" s="619"/>
      <c r="W94" s="900"/>
      <c r="X94" s="901"/>
      <c r="Y94" s="619"/>
      <c r="Z94" s="900">
        <f>SUM(Z86:Z91)+Z93</f>
        <v>50.241931100183912</v>
      </c>
      <c r="AA94" s="901">
        <f>SUM(AA86:AA91)+AA93</f>
        <v>1.0999999999999979</v>
      </c>
      <c r="AB94" s="606">
        <f t="shared" si="22"/>
        <v>-97.8</v>
      </c>
      <c r="AC94" s="603"/>
      <c r="AD94" s="618"/>
      <c r="AE94" s="619"/>
      <c r="AF94" s="900"/>
      <c r="AG94" s="901"/>
      <c r="AH94" s="619"/>
      <c r="AI94" s="900">
        <f>SUM(AI86:AI91)+AI93</f>
        <v>149</v>
      </c>
      <c r="AJ94" s="901">
        <f>SUM(AJ86:AJ91)+AJ93</f>
        <v>0</v>
      </c>
      <c r="AK94" s="606">
        <f>IF(AI94=0, "    ---- ", IF(ABS(ROUND(100/AI94*AJ94-100,1))&lt;999,ROUND(100/AI94*AJ94-100,1),IF(ROUND(100/AI94*AJ94-100,1)&gt;999,999,-999)))</f>
        <v>-100</v>
      </c>
      <c r="AL94" s="900"/>
      <c r="AM94" s="901"/>
      <c r="AN94" s="619"/>
      <c r="AO94" s="614">
        <f t="shared" si="32"/>
        <v>310.30293110018391</v>
      </c>
      <c r="AP94" s="614">
        <f t="shared" si="33"/>
        <v>59.912999999999997</v>
      </c>
      <c r="AQ94" s="619">
        <f t="shared" si="36"/>
        <v>-80.7</v>
      </c>
      <c r="AR94" s="614">
        <f t="shared" si="34"/>
        <v>310.30293110018391</v>
      </c>
      <c r="AS94" s="614">
        <f t="shared" si="35"/>
        <v>59.912999999999997</v>
      </c>
      <c r="AT94" s="619">
        <f t="shared" si="37"/>
        <v>-80.7</v>
      </c>
    </row>
    <row r="95" spans="1:46" s="581" customFormat="1" ht="18.75" customHeight="1" x14ac:dyDescent="0.3">
      <c r="A95" s="608" t="s">
        <v>375</v>
      </c>
      <c r="B95" s="902"/>
      <c r="C95" s="903"/>
      <c r="D95" s="616"/>
      <c r="E95" s="902"/>
      <c r="F95" s="903"/>
      <c r="G95" s="617"/>
      <c r="H95" s="902"/>
      <c r="I95" s="903"/>
      <c r="J95" s="611"/>
      <c r="K95" s="444"/>
      <c r="L95" s="903"/>
      <c r="M95" s="617"/>
      <c r="N95" s="902"/>
      <c r="O95" s="903"/>
      <c r="P95" s="617"/>
      <c r="Q95" s="902">
        <v>2</v>
      </c>
      <c r="R95" s="903">
        <v>0.6</v>
      </c>
      <c r="S95" s="616">
        <f>IF(Q95=0, "    ---- ", IF(ABS(ROUND(100/Q95*R95-100,1))&lt;999,ROUND(100/Q95*R95-100,1),IF(ROUND(100/Q95*R95-100,1)&gt;999,999,-999)))</f>
        <v>-70</v>
      </c>
      <c r="T95" s="902"/>
      <c r="U95" s="903"/>
      <c r="V95" s="617"/>
      <c r="W95" s="902"/>
      <c r="X95" s="903"/>
      <c r="Y95" s="617"/>
      <c r="Z95" s="902">
        <v>-2.5961919130886559</v>
      </c>
      <c r="AA95" s="903">
        <v>-2.67</v>
      </c>
      <c r="AB95" s="611">
        <f t="shared" si="22"/>
        <v>2.8</v>
      </c>
      <c r="AC95" s="444"/>
      <c r="AD95" s="616"/>
      <c r="AE95" s="617"/>
      <c r="AF95" s="902"/>
      <c r="AG95" s="903"/>
      <c r="AH95" s="617"/>
      <c r="AI95" s="902"/>
      <c r="AJ95" s="903"/>
      <c r="AK95" s="611"/>
      <c r="AL95" s="902"/>
      <c r="AM95" s="903"/>
      <c r="AN95" s="617"/>
      <c r="AO95" s="613">
        <f t="shared" si="32"/>
        <v>-0.59619191308865593</v>
      </c>
      <c r="AP95" s="613">
        <f t="shared" si="33"/>
        <v>-2.0699999999999998</v>
      </c>
      <c r="AQ95" s="617">
        <f t="shared" si="36"/>
        <v>247.2</v>
      </c>
      <c r="AR95" s="613">
        <f t="shared" si="34"/>
        <v>-0.59619191308865593</v>
      </c>
      <c r="AS95" s="613">
        <f t="shared" si="35"/>
        <v>-2.0699999999999998</v>
      </c>
      <c r="AT95" s="617">
        <f t="shared" si="37"/>
        <v>247.2</v>
      </c>
    </row>
    <row r="96" spans="1:46" s="581" customFormat="1" ht="18.75" customHeight="1" x14ac:dyDescent="0.3">
      <c r="A96" s="608" t="s">
        <v>376</v>
      </c>
      <c r="B96" s="902">
        <v>21.622</v>
      </c>
      <c r="C96" s="903">
        <v>2.74</v>
      </c>
      <c r="D96" s="611">
        <f>IF(B96=0, "    ---- ", IF(ABS(ROUND(100/B96*C96-100,1))&lt;999,ROUND(100/B96*C96-100,1),IF(ROUND(100/B96*C96-100,1)&gt;999,999,-999)))</f>
        <v>-87.3</v>
      </c>
      <c r="E96" s="902"/>
      <c r="F96" s="903"/>
      <c r="G96" s="617"/>
      <c r="H96" s="902"/>
      <c r="I96" s="903"/>
      <c r="J96" s="611"/>
      <c r="K96" s="444"/>
      <c r="L96" s="903"/>
      <c r="M96" s="617" t="str">
        <f>IF(K96=0, "    ---- ", IF(ABS(ROUND(100/K96*L96-100,1))&lt;999,ROUND(100/K96*L96-100,1),IF(ROUND(100/K96*L96-100,1)&gt;999,999,-999)))</f>
        <v xml:space="preserve">    ---- </v>
      </c>
      <c r="N96" s="902">
        <v>17.64</v>
      </c>
      <c r="O96" s="903">
        <v>-9.327</v>
      </c>
      <c r="P96" s="617">
        <f>IF(N96=0, "    ---- ", IF(ABS(ROUND(100/N96*O96-100,1))&lt;999,ROUND(100/N96*O96-100,1),IF(ROUND(100/N96*O96-100,1)&gt;999,999,-999)))</f>
        <v>-152.9</v>
      </c>
      <c r="Q96" s="902">
        <v>69.8</v>
      </c>
      <c r="R96" s="903">
        <v>64.8</v>
      </c>
      <c r="S96" s="616">
        <f>IF(Q96=0, "    ---- ", IF(ABS(ROUND(100/Q96*R96-100,1))&lt;999,ROUND(100/Q96*R96-100,1),IF(ROUND(100/Q96*R96-100,1)&gt;999,999,-999)))</f>
        <v>-7.2</v>
      </c>
      <c r="T96" s="902"/>
      <c r="U96" s="903"/>
      <c r="V96" s="617"/>
      <c r="W96" s="902"/>
      <c r="X96" s="903"/>
      <c r="Y96" s="617"/>
      <c r="Z96" s="902">
        <v>52.838123013272565</v>
      </c>
      <c r="AA96" s="903">
        <v>3.77</v>
      </c>
      <c r="AB96" s="611">
        <f t="shared" si="22"/>
        <v>-92.9</v>
      </c>
      <c r="AC96" s="444"/>
      <c r="AD96" s="616"/>
      <c r="AE96" s="617"/>
      <c r="AF96" s="902"/>
      <c r="AG96" s="903"/>
      <c r="AH96" s="617"/>
      <c r="AI96" s="902">
        <v>149</v>
      </c>
      <c r="AJ96" s="903"/>
      <c r="AK96" s="611">
        <f>IF(AI96=0, "    ---- ", IF(ABS(ROUND(100/AI96*AJ96-100,1))&lt;999,ROUND(100/AI96*AJ96-100,1),IF(ROUND(100/AI96*AJ96-100,1)&gt;999,999,-999)))</f>
        <v>-100</v>
      </c>
      <c r="AL96" s="902"/>
      <c r="AM96" s="903"/>
      <c r="AN96" s="617"/>
      <c r="AO96" s="613">
        <f t="shared" si="32"/>
        <v>310.90012301327255</v>
      </c>
      <c r="AP96" s="613">
        <f t="shared" si="33"/>
        <v>61.982999999999997</v>
      </c>
      <c r="AQ96" s="617">
        <f t="shared" si="36"/>
        <v>-80.099999999999994</v>
      </c>
      <c r="AR96" s="613">
        <f t="shared" si="34"/>
        <v>310.90012301327255</v>
      </c>
      <c r="AS96" s="613">
        <f t="shared" si="35"/>
        <v>61.982999999999997</v>
      </c>
      <c r="AT96" s="617">
        <f t="shared" si="37"/>
        <v>-80.099999999999994</v>
      </c>
    </row>
    <row r="97" spans="1:47" s="581" customFormat="1" ht="18.75" customHeight="1" x14ac:dyDescent="0.3">
      <c r="A97" s="602" t="s">
        <v>383</v>
      </c>
      <c r="B97" s="902"/>
      <c r="C97" s="903"/>
      <c r="D97" s="616"/>
      <c r="E97" s="902"/>
      <c r="F97" s="903"/>
      <c r="G97" s="617"/>
      <c r="H97" s="902"/>
      <c r="I97" s="903"/>
      <c r="J97" s="611"/>
      <c r="K97" s="444"/>
      <c r="L97" s="903"/>
      <c r="M97" s="617"/>
      <c r="N97" s="902"/>
      <c r="O97" s="903"/>
      <c r="P97" s="617"/>
      <c r="Q97" s="902"/>
      <c r="R97" s="903"/>
      <c r="S97" s="616"/>
      <c r="T97" s="902"/>
      <c r="U97" s="903"/>
      <c r="V97" s="617"/>
      <c r="W97" s="902"/>
      <c r="X97" s="903"/>
      <c r="Y97" s="617"/>
      <c r="Z97" s="902"/>
      <c r="AA97" s="903"/>
      <c r="AB97" s="611"/>
      <c r="AC97" s="444"/>
      <c r="AD97" s="616"/>
      <c r="AE97" s="617"/>
      <c r="AF97" s="902"/>
      <c r="AG97" s="903"/>
      <c r="AH97" s="617"/>
      <c r="AI97" s="902"/>
      <c r="AJ97" s="903"/>
      <c r="AK97" s="611"/>
      <c r="AL97" s="902"/>
      <c r="AM97" s="903"/>
      <c r="AN97" s="617"/>
      <c r="AO97" s="616"/>
      <c r="AP97" s="616"/>
      <c r="AQ97" s="617"/>
      <c r="AR97" s="613"/>
      <c r="AS97" s="613"/>
      <c r="AT97" s="617"/>
    </row>
    <row r="98" spans="1:47" s="581" customFormat="1" ht="18.75" customHeight="1" x14ac:dyDescent="0.3">
      <c r="A98" s="608" t="s">
        <v>366</v>
      </c>
      <c r="B98" s="902"/>
      <c r="C98" s="903"/>
      <c r="D98" s="616"/>
      <c r="E98" s="902"/>
      <c r="F98" s="903"/>
      <c r="G98" s="617"/>
      <c r="H98" s="902">
        <v>941.29399999999998</v>
      </c>
      <c r="I98" s="903">
        <v>567</v>
      </c>
      <c r="J98" s="611">
        <f>IF(H98=0, "    ---- ", IF(ABS(ROUND(100/H98*I98-100,1))&lt;999,ROUND(100/H98*I98-100,1),IF(ROUND(100/H98*I98-100,1)&gt;999,999,-999)))</f>
        <v>-39.799999999999997</v>
      </c>
      <c r="K98" s="444"/>
      <c r="L98" s="903"/>
      <c r="M98" s="617"/>
      <c r="N98" s="902"/>
      <c r="O98" s="903"/>
      <c r="P98" s="617"/>
      <c r="Q98" s="902"/>
      <c r="R98" s="903"/>
      <c r="S98" s="616"/>
      <c r="T98" s="902"/>
      <c r="U98" s="903"/>
      <c r="V98" s="617"/>
      <c r="W98" s="902"/>
      <c r="X98" s="903"/>
      <c r="Y98" s="617"/>
      <c r="Z98" s="902"/>
      <c r="AA98" s="903"/>
      <c r="AB98" s="611"/>
      <c r="AC98" s="444"/>
      <c r="AD98" s="616"/>
      <c r="AE98" s="617"/>
      <c r="AF98" s="902"/>
      <c r="AG98" s="903"/>
      <c r="AH98" s="617"/>
      <c r="AI98" s="902"/>
      <c r="AJ98" s="903"/>
      <c r="AK98" s="611"/>
      <c r="AL98" s="902"/>
      <c r="AM98" s="903">
        <v>-3</v>
      </c>
      <c r="AN98" s="617" t="str">
        <f>IF(AL98=0, "    ---- ", IF(ABS(ROUND(100/AL98*AM98-100,1))&lt;999,ROUND(100/AL98*AM98-100,1),IF(ROUND(100/AL98*AM98-100,1)&gt;999,999,-999)))</f>
        <v xml:space="preserve">    ---- </v>
      </c>
      <c r="AO98" s="613">
        <f t="shared" ref="AO98:AO108" si="38">B98+H98+K98+N98+Q98+W98+E98+Z98+AC98+AI98+AL98</f>
        <v>941.29399999999998</v>
      </c>
      <c r="AP98" s="613">
        <f t="shared" ref="AP98:AP108" si="39">C98+I98+L98+O98+R98+X98+F98+AA98+AD98+AJ98+AM98</f>
        <v>564</v>
      </c>
      <c r="AQ98" s="617">
        <f t="shared" si="36"/>
        <v>-40.1</v>
      </c>
      <c r="AR98" s="613">
        <f t="shared" ref="AR98:AR108" si="40">+B98+H98+K98+N98+Q98+T98+W98+E98+Z98+AC98+AF98+AI98+AL98</f>
        <v>941.29399999999998</v>
      </c>
      <c r="AS98" s="613">
        <f t="shared" ref="AS98:AS108" si="41">+C98+I98+L98+O98+R98+U98+X98+F98+AA98+AD98+AG98+AJ98+AM98</f>
        <v>564</v>
      </c>
      <c r="AT98" s="617">
        <f t="shared" si="37"/>
        <v>-40.1</v>
      </c>
    </row>
    <row r="99" spans="1:47" s="581" customFormat="1" ht="18.75" customHeight="1" x14ac:dyDescent="0.3">
      <c r="A99" s="608" t="s">
        <v>367</v>
      </c>
      <c r="B99" s="902"/>
      <c r="C99" s="903"/>
      <c r="D99" s="616"/>
      <c r="E99" s="902"/>
      <c r="F99" s="903"/>
      <c r="G99" s="617"/>
      <c r="H99" s="902"/>
      <c r="I99" s="903"/>
      <c r="J99" s="611"/>
      <c r="K99" s="444"/>
      <c r="L99" s="903"/>
      <c r="M99" s="617"/>
      <c r="N99" s="902"/>
      <c r="O99" s="903"/>
      <c r="P99" s="617"/>
      <c r="Q99" s="902"/>
      <c r="R99" s="903"/>
      <c r="S99" s="616"/>
      <c r="T99" s="902"/>
      <c r="U99" s="903"/>
      <c r="V99" s="617"/>
      <c r="W99" s="902"/>
      <c r="X99" s="903"/>
      <c r="Y99" s="617"/>
      <c r="Z99" s="902"/>
      <c r="AA99" s="903"/>
      <c r="AB99" s="611"/>
      <c r="AC99" s="444"/>
      <c r="AD99" s="616"/>
      <c r="AE99" s="617"/>
      <c r="AF99" s="902"/>
      <c r="AG99" s="903"/>
      <c r="AH99" s="617"/>
      <c r="AI99" s="902"/>
      <c r="AJ99" s="903"/>
      <c r="AK99" s="611"/>
      <c r="AL99" s="902"/>
      <c r="AM99" s="903"/>
      <c r="AN99" s="617"/>
      <c r="AO99" s="613">
        <f t="shared" si="38"/>
        <v>0</v>
      </c>
      <c r="AP99" s="613">
        <f t="shared" si="39"/>
        <v>0</v>
      </c>
      <c r="AQ99" s="617" t="str">
        <f t="shared" si="36"/>
        <v xml:space="preserve">    ---- </v>
      </c>
      <c r="AR99" s="613">
        <f t="shared" si="40"/>
        <v>0</v>
      </c>
      <c r="AS99" s="613">
        <f t="shared" si="41"/>
        <v>0</v>
      </c>
      <c r="AT99" s="617" t="str">
        <f t="shared" si="37"/>
        <v xml:space="preserve">    ---- </v>
      </c>
    </row>
    <row r="100" spans="1:47" s="581" customFormat="1" ht="18.75" customHeight="1" x14ac:dyDescent="0.3">
      <c r="A100" s="608" t="s">
        <v>368</v>
      </c>
      <c r="B100" s="902">
        <v>11.592000000000001</v>
      </c>
      <c r="C100" s="903">
        <v>6.8620000000000001</v>
      </c>
      <c r="D100" s="616">
        <f>IF(B100=0, "    ---- ", IF(ABS(ROUND(100/B100*C100-100,1))&lt;999,ROUND(100/B100*C100-100,1),IF(ROUND(100/B100*C100-100,1)&gt;999,999,-999)))</f>
        <v>-40.799999999999997</v>
      </c>
      <c r="E100" s="902"/>
      <c r="F100" s="903"/>
      <c r="G100" s="617"/>
      <c r="H100" s="902">
        <v>15.646000000000001</v>
      </c>
      <c r="I100" s="903">
        <v>24</v>
      </c>
      <c r="J100" s="611">
        <f>IF(H100=0, "    ---- ", IF(ABS(ROUND(100/H100*I100-100,1))&lt;999,ROUND(100/H100*I100-100,1),IF(ROUND(100/H100*I100-100,1)&gt;999,999,-999)))</f>
        <v>53.4</v>
      </c>
      <c r="K100" s="444"/>
      <c r="L100" s="903"/>
      <c r="M100" s="617"/>
      <c r="N100" s="902"/>
      <c r="O100" s="903"/>
      <c r="P100" s="617"/>
      <c r="Q100" s="902">
        <v>1</v>
      </c>
      <c r="R100" s="903">
        <v>-1.9</v>
      </c>
      <c r="S100" s="616">
        <f>IF(Q100=0, "    ---- ", IF(ABS(ROUND(100/Q100*R100-100,1))&lt;999,ROUND(100/Q100*R100-100,1),IF(ROUND(100/Q100*R100-100,1)&gt;999,999,-999)))</f>
        <v>-290</v>
      </c>
      <c r="T100" s="902"/>
      <c r="U100" s="903"/>
      <c r="V100" s="617"/>
      <c r="W100" s="902"/>
      <c r="X100" s="903"/>
      <c r="Y100" s="617"/>
      <c r="Z100" s="902">
        <v>13.811562749412756</v>
      </c>
      <c r="AA100" s="903">
        <v>21.71</v>
      </c>
      <c r="AB100" s="611">
        <f t="shared" si="22"/>
        <v>57.2</v>
      </c>
      <c r="AC100" s="444"/>
      <c r="AD100" s="616"/>
      <c r="AE100" s="617"/>
      <c r="AF100" s="902">
        <v>12.9566504863111</v>
      </c>
      <c r="AG100" s="903">
        <v>14.7300291669755</v>
      </c>
      <c r="AH100" s="617">
        <f>IF(AF100=0, "    ---- ", IF(ABS(ROUND(100/AF100*AG100-100,1))&lt;999,ROUND(100/AF100*AG100-100,1),IF(ROUND(100/AF100*AG100-100,1)&gt;999,999,-999)))</f>
        <v>13.7</v>
      </c>
      <c r="AI100" s="902">
        <v>4</v>
      </c>
      <c r="AJ100" s="903">
        <v>4</v>
      </c>
      <c r="AK100" s="611">
        <f>IF(AI100=0, "    ---- ", IF(ABS(ROUND(100/AI100*AJ100-100,1))&lt;999,ROUND(100/AI100*AJ100-100,1),IF(ROUND(100/AI100*AJ100-100,1)&gt;999,999,-999)))</f>
        <v>0</v>
      </c>
      <c r="AL100" s="902">
        <v>-34</v>
      </c>
      <c r="AM100" s="903">
        <v>1</v>
      </c>
      <c r="AN100" s="617">
        <f>IF(AL100=0, "    ---- ", IF(ABS(ROUND(100/AL100*AM100-100,1))&lt;999,ROUND(100/AL100*AM100-100,1),IF(ROUND(100/AL100*AM100-100,1)&gt;999,999,-999)))</f>
        <v>-102.9</v>
      </c>
      <c r="AO100" s="613">
        <f t="shared" si="38"/>
        <v>12.049562749412758</v>
      </c>
      <c r="AP100" s="613">
        <f t="shared" si="39"/>
        <v>55.672000000000004</v>
      </c>
      <c r="AQ100" s="617">
        <f t="shared" si="36"/>
        <v>362</v>
      </c>
      <c r="AR100" s="613">
        <f t="shared" si="40"/>
        <v>25.006213235723855</v>
      </c>
      <c r="AS100" s="613">
        <f t="shared" si="41"/>
        <v>70.40202916697551</v>
      </c>
      <c r="AT100" s="617">
        <f t="shared" si="37"/>
        <v>181.5</v>
      </c>
    </row>
    <row r="101" spans="1:47" s="581" customFormat="1" ht="18.75" customHeight="1" x14ac:dyDescent="0.3">
      <c r="A101" s="608" t="s">
        <v>369</v>
      </c>
      <c r="B101" s="902"/>
      <c r="C101" s="903"/>
      <c r="D101" s="616"/>
      <c r="E101" s="902"/>
      <c r="F101" s="903"/>
      <c r="G101" s="617"/>
      <c r="H101" s="902"/>
      <c r="I101" s="903"/>
      <c r="J101" s="611"/>
      <c r="K101" s="444"/>
      <c r="L101" s="903"/>
      <c r="M101" s="617"/>
      <c r="N101" s="902"/>
      <c r="O101" s="903"/>
      <c r="P101" s="617"/>
      <c r="Q101" s="902"/>
      <c r="R101" s="903"/>
      <c r="S101" s="616"/>
      <c r="T101" s="902"/>
      <c r="U101" s="903"/>
      <c r="V101" s="617"/>
      <c r="W101" s="902"/>
      <c r="X101" s="903"/>
      <c r="Y101" s="617"/>
      <c r="Z101" s="902"/>
      <c r="AA101" s="903"/>
      <c r="AB101" s="611"/>
      <c r="AC101" s="444"/>
      <c r="AD101" s="616"/>
      <c r="AE101" s="617"/>
      <c r="AF101" s="902"/>
      <c r="AG101" s="903"/>
      <c r="AH101" s="617"/>
      <c r="AI101" s="902"/>
      <c r="AJ101" s="903"/>
      <c r="AK101" s="611"/>
      <c r="AL101" s="902"/>
      <c r="AM101" s="903"/>
      <c r="AN101" s="617"/>
      <c r="AO101" s="613">
        <f t="shared" si="38"/>
        <v>0</v>
      </c>
      <c r="AP101" s="613">
        <f t="shared" si="39"/>
        <v>0</v>
      </c>
      <c r="AQ101" s="617" t="str">
        <f t="shared" si="36"/>
        <v xml:space="preserve">    ---- </v>
      </c>
      <c r="AR101" s="613">
        <f t="shared" si="40"/>
        <v>0</v>
      </c>
      <c r="AS101" s="613">
        <f t="shared" si="41"/>
        <v>0</v>
      </c>
      <c r="AT101" s="617" t="str">
        <f t="shared" si="37"/>
        <v xml:space="preserve">    ---- </v>
      </c>
    </row>
    <row r="102" spans="1:47" s="581" customFormat="1" ht="18.75" customHeight="1" x14ac:dyDescent="0.3">
      <c r="A102" s="608" t="s">
        <v>370</v>
      </c>
      <c r="B102" s="902"/>
      <c r="C102" s="903"/>
      <c r="D102" s="616"/>
      <c r="E102" s="902"/>
      <c r="F102" s="903"/>
      <c r="G102" s="617"/>
      <c r="H102" s="902"/>
      <c r="I102" s="903"/>
      <c r="J102" s="611"/>
      <c r="K102" s="444"/>
      <c r="L102" s="903"/>
      <c r="M102" s="617"/>
      <c r="N102" s="902"/>
      <c r="O102" s="903"/>
      <c r="P102" s="617"/>
      <c r="Q102" s="902"/>
      <c r="R102" s="903"/>
      <c r="S102" s="616"/>
      <c r="T102" s="902"/>
      <c r="U102" s="903"/>
      <c r="V102" s="617"/>
      <c r="W102" s="902"/>
      <c r="X102" s="903"/>
      <c r="Y102" s="617"/>
      <c r="Z102" s="902"/>
      <c r="AA102" s="903"/>
      <c r="AB102" s="611"/>
      <c r="AC102" s="444"/>
      <c r="AD102" s="616"/>
      <c r="AE102" s="617"/>
      <c r="AF102" s="902"/>
      <c r="AG102" s="903"/>
      <c r="AH102" s="617"/>
      <c r="AI102" s="902"/>
      <c r="AJ102" s="903"/>
      <c r="AK102" s="611"/>
      <c r="AL102" s="902"/>
      <c r="AM102" s="903"/>
      <c r="AN102" s="617"/>
      <c r="AO102" s="613">
        <f t="shared" si="38"/>
        <v>0</v>
      </c>
      <c r="AP102" s="613">
        <f t="shared" si="39"/>
        <v>0</v>
      </c>
      <c r="AQ102" s="617" t="str">
        <f t="shared" si="36"/>
        <v xml:space="preserve">    ---- </v>
      </c>
      <c r="AR102" s="613">
        <f t="shared" si="40"/>
        <v>0</v>
      </c>
      <c r="AS102" s="613">
        <f t="shared" si="41"/>
        <v>0</v>
      </c>
      <c r="AT102" s="617" t="str">
        <f t="shared" si="37"/>
        <v xml:space="preserve">    ---- </v>
      </c>
    </row>
    <row r="103" spans="1:47" s="581" customFormat="1" ht="18.75" customHeight="1" x14ac:dyDescent="0.3">
      <c r="A103" s="608" t="s">
        <v>371</v>
      </c>
      <c r="B103" s="902">
        <v>-2.9740000000000002</v>
      </c>
      <c r="C103" s="903">
        <v>-2.9940000000000002</v>
      </c>
      <c r="D103" s="616">
        <f>IF(B103=0, "    ---- ", IF(ABS(ROUND(100/B103*C103-100,1))&lt;999,ROUND(100/B103*C103-100,1),IF(ROUND(100/B103*C103-100,1)&gt;999,999,-999)))</f>
        <v>0.7</v>
      </c>
      <c r="E103" s="902"/>
      <c r="F103" s="903"/>
      <c r="G103" s="617"/>
      <c r="H103" s="902">
        <v>0.12</v>
      </c>
      <c r="I103" s="903">
        <v>-3</v>
      </c>
      <c r="J103" s="611">
        <f>IF(H103=0, "    ---- ", IF(ABS(ROUND(100/H103*I103-100,1))&lt;999,ROUND(100/H103*I103-100,1),IF(ROUND(100/H103*I103-100,1)&gt;999,999,-999)))</f>
        <v>-999</v>
      </c>
      <c r="K103" s="444"/>
      <c r="L103" s="903"/>
      <c r="M103" s="617"/>
      <c r="N103" s="902"/>
      <c r="O103" s="903"/>
      <c r="P103" s="617"/>
      <c r="Q103" s="902">
        <v>1.6</v>
      </c>
      <c r="R103" s="903">
        <v>2.2000000000000002</v>
      </c>
      <c r="S103" s="616">
        <f>IF(Q103=0, "    ---- ", IF(ABS(ROUND(100/Q103*R103-100,1))&lt;999,ROUND(100/Q103*R103-100,1),IF(ROUND(100/Q103*R103-100,1)&gt;999,999,-999)))</f>
        <v>37.5</v>
      </c>
      <c r="T103" s="902"/>
      <c r="U103" s="903"/>
      <c r="V103" s="617"/>
      <c r="W103" s="902"/>
      <c r="X103" s="903"/>
      <c r="Y103" s="617"/>
      <c r="Z103" s="902">
        <v>-4.5543994715737588</v>
      </c>
      <c r="AA103" s="903">
        <v>-4.4800000000000004</v>
      </c>
      <c r="AB103" s="611">
        <f t="shared" si="22"/>
        <v>-1.6</v>
      </c>
      <c r="AC103" s="444"/>
      <c r="AD103" s="616"/>
      <c r="AE103" s="617"/>
      <c r="AF103" s="902"/>
      <c r="AG103" s="903"/>
      <c r="AH103" s="617"/>
      <c r="AI103" s="902">
        <v>-1</v>
      </c>
      <c r="AJ103" s="903">
        <v>-2</v>
      </c>
      <c r="AK103" s="611">
        <f>IF(AI103=0, "    ---- ", IF(ABS(ROUND(100/AI103*AJ103-100,1))&lt;999,ROUND(100/AI103*AJ103-100,1),IF(ROUND(100/AI103*AJ103-100,1)&gt;999,999,-999)))</f>
        <v>100</v>
      </c>
      <c r="AL103" s="902">
        <v>-1</v>
      </c>
      <c r="AM103" s="903">
        <v>-1</v>
      </c>
      <c r="AN103" s="617">
        <f>IF(AL103=0, "    ---- ", IF(ABS(ROUND(100/AL103*AM103-100,1))&lt;999,ROUND(100/AL103*AM103-100,1),IF(ROUND(100/AL103*AM103-100,1)&gt;999,999,-999)))</f>
        <v>0</v>
      </c>
      <c r="AO103" s="613">
        <f t="shared" si="38"/>
        <v>-7.8083994715737592</v>
      </c>
      <c r="AP103" s="613">
        <f t="shared" si="39"/>
        <v>-11.274000000000001</v>
      </c>
      <c r="AQ103" s="617">
        <f t="shared" si="36"/>
        <v>44.4</v>
      </c>
      <c r="AR103" s="613">
        <f t="shared" si="40"/>
        <v>-7.8083994715737592</v>
      </c>
      <c r="AS103" s="613">
        <f t="shared" si="41"/>
        <v>-11.274000000000001</v>
      </c>
      <c r="AT103" s="617">
        <f t="shared" si="37"/>
        <v>44.4</v>
      </c>
    </row>
    <row r="104" spans="1:47" s="581" customFormat="1" ht="18.75" customHeight="1" x14ac:dyDescent="0.3">
      <c r="A104" s="608" t="s">
        <v>372</v>
      </c>
      <c r="B104" s="902"/>
      <c r="C104" s="903"/>
      <c r="D104" s="616"/>
      <c r="E104" s="902"/>
      <c r="F104" s="903"/>
      <c r="G104" s="617"/>
      <c r="H104" s="902"/>
      <c r="I104" s="903"/>
      <c r="J104" s="611"/>
      <c r="K104" s="444"/>
      <c r="L104" s="903"/>
      <c r="M104" s="617"/>
      <c r="N104" s="902"/>
      <c r="O104" s="903"/>
      <c r="P104" s="617"/>
      <c r="Q104" s="902"/>
      <c r="R104" s="903"/>
      <c r="S104" s="616"/>
      <c r="T104" s="902"/>
      <c r="U104" s="903"/>
      <c r="V104" s="617"/>
      <c r="W104" s="902"/>
      <c r="X104" s="903"/>
      <c r="Y104" s="617"/>
      <c r="Z104" s="902"/>
      <c r="AA104" s="903"/>
      <c r="AB104" s="611"/>
      <c r="AC104" s="444"/>
      <c r="AD104" s="616"/>
      <c r="AE104" s="617"/>
      <c r="AF104" s="902"/>
      <c r="AG104" s="903"/>
      <c r="AH104" s="617"/>
      <c r="AI104" s="902"/>
      <c r="AJ104" s="903"/>
      <c r="AK104" s="611"/>
      <c r="AL104" s="902"/>
      <c r="AM104" s="903"/>
      <c r="AN104" s="617"/>
      <c r="AO104" s="613">
        <f t="shared" si="38"/>
        <v>0</v>
      </c>
      <c r="AP104" s="613">
        <f t="shared" si="39"/>
        <v>0</v>
      </c>
      <c r="AQ104" s="617" t="str">
        <f t="shared" si="36"/>
        <v xml:space="preserve">    ---- </v>
      </c>
      <c r="AR104" s="613">
        <f t="shared" si="40"/>
        <v>0</v>
      </c>
      <c r="AS104" s="613">
        <f t="shared" si="41"/>
        <v>0</v>
      </c>
      <c r="AT104" s="617" t="str">
        <f t="shared" si="37"/>
        <v xml:space="preserve">    ---- </v>
      </c>
    </row>
    <row r="105" spans="1:47" s="581" customFormat="1" ht="18.75" customHeight="1" x14ac:dyDescent="0.3">
      <c r="A105" s="608" t="s">
        <v>373</v>
      </c>
      <c r="B105" s="902"/>
      <c r="C105" s="903"/>
      <c r="D105" s="616"/>
      <c r="E105" s="902"/>
      <c r="F105" s="903"/>
      <c r="G105" s="617"/>
      <c r="H105" s="902"/>
      <c r="I105" s="903"/>
      <c r="J105" s="611"/>
      <c r="K105" s="444"/>
      <c r="L105" s="903"/>
      <c r="M105" s="617"/>
      <c r="N105" s="902"/>
      <c r="O105" s="903"/>
      <c r="P105" s="617"/>
      <c r="Q105" s="902"/>
      <c r="R105" s="903"/>
      <c r="S105" s="616"/>
      <c r="T105" s="902"/>
      <c r="U105" s="903"/>
      <c r="V105" s="617"/>
      <c r="W105" s="902"/>
      <c r="X105" s="903"/>
      <c r="Y105" s="617"/>
      <c r="Z105" s="902"/>
      <c r="AA105" s="903">
        <v>-0.09</v>
      </c>
      <c r="AB105" s="611" t="str">
        <f t="shared" si="22"/>
        <v xml:space="preserve">    ---- </v>
      </c>
      <c r="AC105" s="444"/>
      <c r="AD105" s="616"/>
      <c r="AE105" s="617"/>
      <c r="AF105" s="902"/>
      <c r="AG105" s="903"/>
      <c r="AH105" s="617"/>
      <c r="AI105" s="902"/>
      <c r="AJ105" s="903"/>
      <c r="AK105" s="611"/>
      <c r="AL105" s="902"/>
      <c r="AM105" s="903"/>
      <c r="AN105" s="617"/>
      <c r="AO105" s="613">
        <f t="shared" si="38"/>
        <v>0</v>
      </c>
      <c r="AP105" s="613">
        <f t="shared" si="39"/>
        <v>-0.09</v>
      </c>
      <c r="AQ105" s="617" t="str">
        <f t="shared" si="36"/>
        <v xml:space="preserve">    ---- </v>
      </c>
      <c r="AR105" s="613">
        <f t="shared" si="40"/>
        <v>0</v>
      </c>
      <c r="AS105" s="613">
        <f t="shared" si="41"/>
        <v>-0.09</v>
      </c>
      <c r="AT105" s="617" t="str">
        <f t="shared" si="37"/>
        <v xml:space="preserve">    ---- </v>
      </c>
    </row>
    <row r="106" spans="1:47" s="615" customFormat="1" ht="18.75" customHeight="1" x14ac:dyDescent="0.3">
      <c r="A106" s="602" t="s">
        <v>374</v>
      </c>
      <c r="B106" s="900">
        <f>SUM(B98:B103)+B105</f>
        <v>8.6180000000000003</v>
      </c>
      <c r="C106" s="901">
        <f>SUM(C98:C103)+C105</f>
        <v>3.8679999999999999</v>
      </c>
      <c r="D106" s="618">
        <f>IF(B106=0, "    ---- ", IF(ABS(ROUND(100/B106*C106-100,1))&lt;999,ROUND(100/B106*C106-100,1),IF(ROUND(100/B106*C106-100,1)&gt;999,999,-999)))</f>
        <v>-55.1</v>
      </c>
      <c r="E106" s="900"/>
      <c r="F106" s="901"/>
      <c r="G106" s="619"/>
      <c r="H106" s="900">
        <f>SUM(H98:H103)+H105</f>
        <v>957.06</v>
      </c>
      <c r="I106" s="901">
        <f>SUM(I98:I103)+I105</f>
        <v>588</v>
      </c>
      <c r="J106" s="606">
        <f>IF(H106=0, "    ---- ", IF(ABS(ROUND(100/H106*I106-100,1))&lt;999,ROUND(100/H106*I106-100,1),IF(ROUND(100/H106*I106-100,1)&gt;999,999,-999)))</f>
        <v>-38.6</v>
      </c>
      <c r="K106" s="603"/>
      <c r="L106" s="901"/>
      <c r="M106" s="619"/>
      <c r="N106" s="900"/>
      <c r="O106" s="901"/>
      <c r="P106" s="619"/>
      <c r="Q106" s="900">
        <f>SUM(Q98:Q103)+Q105</f>
        <v>2.6</v>
      </c>
      <c r="R106" s="901">
        <f>SUM(R98:R103)+R105</f>
        <v>0.30000000000000027</v>
      </c>
      <c r="S106" s="618">
        <f>IF(Q106=0, "    ---- ", IF(ABS(ROUND(100/Q106*R106-100,1))&lt;999,ROUND(100/Q106*R106-100,1),IF(ROUND(100/Q106*R106-100,1)&gt;999,999,-999)))</f>
        <v>-88.5</v>
      </c>
      <c r="T106" s="900"/>
      <c r="U106" s="901"/>
      <c r="V106" s="619"/>
      <c r="W106" s="900"/>
      <c r="X106" s="901"/>
      <c r="Y106" s="619"/>
      <c r="Z106" s="900">
        <f>SUM(Z98:Z103)+Z105</f>
        <v>9.2571632778389983</v>
      </c>
      <c r="AA106" s="901">
        <f>SUM(AA98:AA103)+AA105</f>
        <v>17.14</v>
      </c>
      <c r="AB106" s="606">
        <f t="shared" si="22"/>
        <v>85.2</v>
      </c>
      <c r="AC106" s="603"/>
      <c r="AD106" s="618"/>
      <c r="AE106" s="619"/>
      <c r="AF106" s="900">
        <f>SUM(AF98:AF103)+AF105</f>
        <v>12.9566504863111</v>
      </c>
      <c r="AG106" s="901">
        <f>SUM(AG98:AG103)+AG105</f>
        <v>14.7300291669755</v>
      </c>
      <c r="AH106" s="619">
        <f>IF(AF106=0, "    ---- ", IF(ABS(ROUND(100/AF106*AG106-100,1))&lt;999,ROUND(100/AF106*AG106-100,1),IF(ROUND(100/AF106*AG106-100,1)&gt;999,999,-999)))</f>
        <v>13.7</v>
      </c>
      <c r="AI106" s="900">
        <f>SUM(AI98:AI103)+AI105</f>
        <v>3</v>
      </c>
      <c r="AJ106" s="901">
        <f>SUM(AJ98:AJ103)+AJ105</f>
        <v>2</v>
      </c>
      <c r="AK106" s="606">
        <f>IF(AI106=0, "    ---- ", IF(ABS(ROUND(100/AI106*AJ106-100,1))&lt;999,ROUND(100/AI106*AJ106-100,1),IF(ROUND(100/AI106*AJ106-100,1)&gt;999,999,-999)))</f>
        <v>-33.299999999999997</v>
      </c>
      <c r="AL106" s="900">
        <f>SUM(AL98:AL103)+AL105</f>
        <v>-35</v>
      </c>
      <c r="AM106" s="901">
        <f>SUM(AM98:AM103)+AM105</f>
        <v>-3</v>
      </c>
      <c r="AN106" s="619">
        <f>IF(AL106=0, "    ---- ", IF(ABS(ROUND(100/AL106*AM106-100,1))&lt;999,ROUND(100/AL106*AM106-100,1),IF(ROUND(100/AL106*AM106-100,1)&gt;999,999,-999)))</f>
        <v>-91.4</v>
      </c>
      <c r="AO106" s="614">
        <f t="shared" si="38"/>
        <v>945.53516327783905</v>
      </c>
      <c r="AP106" s="614">
        <f t="shared" si="39"/>
        <v>608.30799999999999</v>
      </c>
      <c r="AQ106" s="619">
        <f t="shared" si="36"/>
        <v>-35.700000000000003</v>
      </c>
      <c r="AR106" s="614">
        <f t="shared" si="40"/>
        <v>958.49181376415015</v>
      </c>
      <c r="AS106" s="614">
        <f t="shared" si="41"/>
        <v>623.03802916697555</v>
      </c>
      <c r="AT106" s="619">
        <f t="shared" si="37"/>
        <v>-35</v>
      </c>
    </row>
    <row r="107" spans="1:47" s="581" customFormat="1" ht="18.75" customHeight="1" x14ac:dyDescent="0.3">
      <c r="A107" s="608" t="s">
        <v>375</v>
      </c>
      <c r="B107" s="902"/>
      <c r="C107" s="903"/>
      <c r="D107" s="616"/>
      <c r="E107" s="902"/>
      <c r="F107" s="903"/>
      <c r="G107" s="617"/>
      <c r="H107" s="902">
        <v>941.35299999999995</v>
      </c>
      <c r="I107" s="903">
        <v>567</v>
      </c>
      <c r="J107" s="611">
        <f>IF(H107=0, "    ---- ", IF(ABS(ROUND(100/H107*I107-100,1))&lt;999,ROUND(100/H107*I107-100,1),IF(ROUND(100/H107*I107-100,1)&gt;999,999,-999)))</f>
        <v>-39.799999999999997</v>
      </c>
      <c r="K107" s="444"/>
      <c r="L107" s="903"/>
      <c r="M107" s="617"/>
      <c r="N107" s="902"/>
      <c r="O107" s="903"/>
      <c r="P107" s="617"/>
      <c r="Q107" s="902"/>
      <c r="R107" s="903"/>
      <c r="S107" s="616"/>
      <c r="T107" s="902"/>
      <c r="U107" s="903"/>
      <c r="V107" s="617"/>
      <c r="W107" s="902"/>
      <c r="X107" s="903"/>
      <c r="Y107" s="617"/>
      <c r="Z107" s="902"/>
      <c r="AA107" s="903"/>
      <c r="AB107" s="611"/>
      <c r="AC107" s="444"/>
      <c r="AD107" s="616"/>
      <c r="AE107" s="617"/>
      <c r="AF107" s="902"/>
      <c r="AG107" s="903"/>
      <c r="AH107" s="617"/>
      <c r="AI107" s="902"/>
      <c r="AJ107" s="903"/>
      <c r="AK107" s="611"/>
      <c r="AL107" s="902"/>
      <c r="AM107" s="903"/>
      <c r="AN107" s="617"/>
      <c r="AO107" s="613">
        <f t="shared" si="38"/>
        <v>941.35299999999995</v>
      </c>
      <c r="AP107" s="613">
        <f t="shared" si="39"/>
        <v>567</v>
      </c>
      <c r="AQ107" s="617">
        <f t="shared" si="36"/>
        <v>-39.799999999999997</v>
      </c>
      <c r="AR107" s="613">
        <f t="shared" si="40"/>
        <v>941.35299999999995</v>
      </c>
      <c r="AS107" s="613">
        <f t="shared" si="41"/>
        <v>567</v>
      </c>
      <c r="AT107" s="617">
        <f t="shared" si="37"/>
        <v>-39.799999999999997</v>
      </c>
    </row>
    <row r="108" spans="1:47" s="581" customFormat="1" ht="18.75" customHeight="1" x14ac:dyDescent="0.3">
      <c r="A108" s="620" t="s">
        <v>376</v>
      </c>
      <c r="B108" s="859">
        <v>8.6170000000000009</v>
      </c>
      <c r="C108" s="904">
        <v>3.8679999999999999</v>
      </c>
      <c r="D108" s="622">
        <f>IF(B108=0, "    ---- ", IF(ABS(ROUND(100/B108*C108-100,1))&lt;999,ROUND(100/B108*C108-100,1),IF(ROUND(100/B108*C108-100,1)&gt;999,999,-999)))</f>
        <v>-55.1</v>
      </c>
      <c r="E108" s="859"/>
      <c r="F108" s="904"/>
      <c r="G108" s="624"/>
      <c r="H108" s="859">
        <v>15.707000000000001</v>
      </c>
      <c r="I108" s="904">
        <v>21</v>
      </c>
      <c r="J108" s="623">
        <f>IF(H108=0, "    ---- ", IF(ABS(ROUND(100/H108*I108-100,1))&lt;999,ROUND(100/H108*I108-100,1),IF(ROUND(100/H108*I108-100,1)&gt;999,999,-999)))</f>
        <v>33.700000000000003</v>
      </c>
      <c r="K108" s="621"/>
      <c r="L108" s="904"/>
      <c r="M108" s="624"/>
      <c r="N108" s="859"/>
      <c r="O108" s="904"/>
      <c r="P108" s="624"/>
      <c r="Q108" s="859">
        <v>2.6</v>
      </c>
      <c r="R108" s="904">
        <v>0.2</v>
      </c>
      <c r="S108" s="622">
        <f>IF(Q108=0, "    ---- ", IF(ABS(ROUND(100/Q108*R108-100,1))&lt;999,ROUND(100/Q108*R108-100,1),IF(ROUND(100/Q108*R108-100,1)&gt;999,999,-999)))</f>
        <v>-92.3</v>
      </c>
      <c r="T108" s="859"/>
      <c r="U108" s="904"/>
      <c r="V108" s="624"/>
      <c r="W108" s="859"/>
      <c r="X108" s="904"/>
      <c r="Y108" s="624"/>
      <c r="Z108" s="859">
        <v>9.2571632778389983</v>
      </c>
      <c r="AA108" s="904">
        <v>17.14</v>
      </c>
      <c r="AB108" s="623">
        <f t="shared" si="22"/>
        <v>85.2</v>
      </c>
      <c r="AC108" s="621"/>
      <c r="AD108" s="622"/>
      <c r="AE108" s="624"/>
      <c r="AF108" s="859">
        <v>13</v>
      </c>
      <c r="AG108" s="904">
        <v>15</v>
      </c>
      <c r="AH108" s="623">
        <f>IF(AF108=0, "    ---- ", IF(ABS(ROUND(100/AF108*AG108-100,1))&lt;999,ROUND(100/AF108*AG108-100,1),IF(ROUND(100/AF108*AG108-100,1)&gt;999,999,-999)))</f>
        <v>15.4</v>
      </c>
      <c r="AI108" s="859">
        <v>3</v>
      </c>
      <c r="AJ108" s="904">
        <v>2</v>
      </c>
      <c r="AK108" s="623">
        <f>IF(AI108=0, "    ---- ", IF(ABS(ROUND(100/AI108*AJ108-100,1))&lt;999,ROUND(100/AI108*AJ108-100,1),IF(ROUND(100/AI108*AJ108-100,1)&gt;999,999,-999)))</f>
        <v>-33.299999999999997</v>
      </c>
      <c r="AL108" s="859">
        <v>-35</v>
      </c>
      <c r="AM108" s="904">
        <v>-3</v>
      </c>
      <c r="AN108" s="624">
        <f>IF(AL108=0, "    ---- ", IF(ABS(ROUND(100/AL108*AM108-100,1))&lt;999,ROUND(100/AL108*AM108-100,1),IF(ROUND(100/AL108*AM108-100,1)&gt;999,999,-999)))</f>
        <v>-91.4</v>
      </c>
      <c r="AO108" s="623">
        <f t="shared" si="38"/>
        <v>4.1811632778390049</v>
      </c>
      <c r="AP108" s="623">
        <f t="shared" si="39"/>
        <v>41.207999999999998</v>
      </c>
      <c r="AQ108" s="624">
        <f t="shared" si="36"/>
        <v>885.6</v>
      </c>
      <c r="AR108" s="623">
        <f t="shared" si="40"/>
        <v>17.181163277839005</v>
      </c>
      <c r="AS108" s="623">
        <f t="shared" si="41"/>
        <v>56.207999999999998</v>
      </c>
      <c r="AT108" s="624">
        <f t="shared" si="37"/>
        <v>227.1</v>
      </c>
    </row>
    <row r="109" spans="1:47" s="581" customFormat="1" ht="18.75" customHeight="1" x14ac:dyDescent="0.3">
      <c r="A109" s="581" t="s">
        <v>250</v>
      </c>
      <c r="B109" s="633"/>
      <c r="C109" s="633"/>
      <c r="D109" s="633"/>
      <c r="E109" s="633"/>
      <c r="F109" s="633"/>
      <c r="G109" s="633"/>
      <c r="H109" s="634"/>
      <c r="I109" s="633"/>
      <c r="J109" s="633"/>
      <c r="K109" s="633"/>
      <c r="L109" s="633"/>
      <c r="M109" s="633"/>
      <c r="N109" s="633"/>
      <c r="O109" s="633"/>
      <c r="P109" s="633"/>
      <c r="Q109" s="633"/>
      <c r="R109" s="633"/>
      <c r="S109" s="633"/>
      <c r="T109" s="633"/>
      <c r="U109" s="633"/>
      <c r="V109" s="633"/>
      <c r="W109" s="633"/>
      <c r="X109" s="633"/>
      <c r="Y109" s="633"/>
      <c r="Z109" s="633"/>
      <c r="AA109" s="633"/>
      <c r="AB109" s="633"/>
      <c r="AC109" s="633"/>
      <c r="AD109" s="633"/>
      <c r="AE109" s="633"/>
      <c r="AF109" s="633"/>
      <c r="AG109" s="633"/>
      <c r="AH109" s="633"/>
      <c r="AI109" s="633"/>
      <c r="AJ109" s="633"/>
      <c r="AK109" s="633"/>
      <c r="AL109" s="633"/>
      <c r="AM109" s="633"/>
      <c r="AN109" s="633"/>
      <c r="AO109" s="633"/>
      <c r="AP109" s="633"/>
      <c r="AQ109" s="633"/>
      <c r="AR109" s="633"/>
      <c r="AS109" s="633"/>
      <c r="AT109" s="633"/>
    </row>
    <row r="110" spans="1:47" s="548" customFormat="1" ht="18.75" customHeight="1" x14ac:dyDescent="0.3">
      <c r="A110" s="576"/>
      <c r="B110" s="635"/>
      <c r="C110" s="635"/>
      <c r="D110" s="635"/>
      <c r="E110" s="635"/>
      <c r="F110" s="635"/>
      <c r="G110" s="635"/>
      <c r="H110" s="635"/>
      <c r="I110" s="635"/>
      <c r="J110" s="635"/>
      <c r="K110" s="635"/>
      <c r="L110" s="635"/>
      <c r="M110" s="635"/>
      <c r="N110" s="635"/>
      <c r="O110" s="635"/>
      <c r="P110" s="635"/>
      <c r="Q110" s="635"/>
      <c r="R110" s="635"/>
      <c r="S110" s="635"/>
      <c r="T110" s="635"/>
      <c r="U110" s="635"/>
      <c r="V110" s="635"/>
      <c r="W110" s="635"/>
      <c r="X110" s="635"/>
      <c r="Y110" s="635"/>
      <c r="Z110" s="635"/>
      <c r="AA110" s="635"/>
      <c r="AB110" s="635"/>
      <c r="AC110" s="635"/>
      <c r="AD110" s="635"/>
      <c r="AE110" s="635"/>
      <c r="AF110" s="635"/>
      <c r="AG110" s="635"/>
      <c r="AH110" s="635"/>
      <c r="AI110" s="635"/>
      <c r="AJ110" s="635"/>
      <c r="AK110" s="635"/>
      <c r="AL110" s="635"/>
      <c r="AM110" s="635"/>
      <c r="AN110" s="635"/>
      <c r="AO110" s="635"/>
      <c r="AP110" s="635"/>
      <c r="AQ110" s="635"/>
      <c r="AR110" s="635"/>
      <c r="AS110" s="635"/>
      <c r="AT110" s="635"/>
      <c r="AU110" s="576"/>
    </row>
    <row r="111" spans="1:47" ht="18.75" x14ac:dyDescent="0.3">
      <c r="A111" s="581"/>
    </row>
    <row r="112" spans="1:47" ht="18.75" x14ac:dyDescent="0.3">
      <c r="A112" s="581"/>
    </row>
    <row r="113" spans="1:1" ht="18.75" x14ac:dyDescent="0.3">
      <c r="A113" s="581"/>
    </row>
    <row r="114" spans="1:1" ht="18.75" x14ac:dyDescent="0.3">
      <c r="A114" s="581"/>
    </row>
    <row r="115" spans="1:1" ht="18.75" x14ac:dyDescent="0.3">
      <c r="A115" s="581"/>
    </row>
    <row r="116" spans="1:1" ht="18.75" x14ac:dyDescent="0.3">
      <c r="A116" s="581"/>
    </row>
    <row r="117" spans="1:1" ht="18.75" x14ac:dyDescent="0.3">
      <c r="A117" s="581"/>
    </row>
    <row r="118" spans="1:1" ht="18.75" x14ac:dyDescent="0.3">
      <c r="A118" s="581"/>
    </row>
    <row r="119" spans="1:1" ht="18.75" x14ac:dyDescent="0.3">
      <c r="A119" s="581"/>
    </row>
    <row r="120" spans="1:1" ht="18.75" x14ac:dyDescent="0.3">
      <c r="A120" s="581"/>
    </row>
    <row r="121" spans="1:1" ht="18.75" x14ac:dyDescent="0.3">
      <c r="A121" s="581"/>
    </row>
    <row r="122" spans="1:1" ht="18.75" x14ac:dyDescent="0.3">
      <c r="A122" s="581"/>
    </row>
    <row r="123" spans="1:1" ht="18.75" x14ac:dyDescent="0.3">
      <c r="A123" s="581"/>
    </row>
    <row r="124" spans="1:1" ht="18.75" x14ac:dyDescent="0.3">
      <c r="A124" s="581"/>
    </row>
    <row r="125" spans="1:1" ht="18.75" x14ac:dyDescent="0.3">
      <c r="A125" s="581"/>
    </row>
    <row r="126" spans="1:1" ht="18.75" x14ac:dyDescent="0.3">
      <c r="A126" s="581"/>
    </row>
    <row r="127" spans="1:1" ht="18.75" x14ac:dyDescent="0.3">
      <c r="A127" s="581"/>
    </row>
    <row r="128" spans="1:1" ht="18.75" x14ac:dyDescent="0.3">
      <c r="A128" s="581"/>
    </row>
    <row r="129" spans="1:1" ht="18.75" x14ac:dyDescent="0.3">
      <c r="A129" s="581"/>
    </row>
    <row r="130" spans="1:1" ht="18.75" x14ac:dyDescent="0.3">
      <c r="A130" s="581"/>
    </row>
    <row r="131" spans="1:1" ht="18.75" x14ac:dyDescent="0.3">
      <c r="A131" s="581"/>
    </row>
    <row r="132" spans="1:1" ht="18.75" x14ac:dyDescent="0.3">
      <c r="A132" s="581"/>
    </row>
    <row r="133" spans="1:1" ht="18.75" x14ac:dyDescent="0.3">
      <c r="A133" s="581"/>
    </row>
    <row r="134" spans="1:1" ht="18.75" x14ac:dyDescent="0.3">
      <c r="A134" s="581"/>
    </row>
    <row r="135" spans="1:1" ht="18.75" x14ac:dyDescent="0.3">
      <c r="A135" s="581"/>
    </row>
    <row r="136" spans="1:1" ht="18.75" x14ac:dyDescent="0.3">
      <c r="A136" s="581"/>
    </row>
    <row r="137" spans="1:1" ht="18.75" x14ac:dyDescent="0.3">
      <c r="A137" s="581"/>
    </row>
    <row r="138" spans="1:1" ht="18.75" x14ac:dyDescent="0.3">
      <c r="A138" s="581"/>
    </row>
    <row r="139" spans="1:1" ht="18.75" x14ac:dyDescent="0.3">
      <c r="A139" s="581"/>
    </row>
    <row r="140" spans="1:1" ht="18.75" x14ac:dyDescent="0.3">
      <c r="A140" s="581"/>
    </row>
    <row r="141" spans="1:1" ht="18.75" x14ac:dyDescent="0.3">
      <c r="A141" s="581"/>
    </row>
    <row r="142" spans="1:1" ht="18.75" x14ac:dyDescent="0.3">
      <c r="A142" s="581"/>
    </row>
    <row r="143" spans="1:1" ht="18.75" x14ac:dyDescent="0.3">
      <c r="A143" s="581"/>
    </row>
    <row r="144" spans="1:1" ht="18.75" x14ac:dyDescent="0.3">
      <c r="A144" s="581"/>
    </row>
    <row r="145" spans="1:1" ht="18.75" x14ac:dyDescent="0.3">
      <c r="A145" s="581"/>
    </row>
    <row r="146" spans="1:1" ht="18.75" x14ac:dyDescent="0.3">
      <c r="A146" s="581"/>
    </row>
    <row r="147" spans="1:1" ht="18.75" x14ac:dyDescent="0.3">
      <c r="A147" s="581"/>
    </row>
    <row r="148" spans="1:1" ht="18.75" x14ac:dyDescent="0.3">
      <c r="A148" s="581"/>
    </row>
    <row r="149" spans="1:1" ht="18.75" x14ac:dyDescent="0.3">
      <c r="A149" s="581"/>
    </row>
    <row r="150" spans="1:1" ht="18.75" x14ac:dyDescent="0.3">
      <c r="A150" s="581"/>
    </row>
    <row r="151" spans="1:1" ht="18.75" x14ac:dyDescent="0.3">
      <c r="A151" s="581"/>
    </row>
    <row r="152" spans="1:1" ht="18.75" x14ac:dyDescent="0.3">
      <c r="A152" s="581"/>
    </row>
    <row r="153" spans="1:1" ht="18.75" x14ac:dyDescent="0.3">
      <c r="A153" s="581"/>
    </row>
    <row r="154" spans="1:1" ht="18.75" x14ac:dyDescent="0.3">
      <c r="A154" s="581"/>
    </row>
    <row r="155" spans="1:1" ht="18.75" x14ac:dyDescent="0.3">
      <c r="A155" s="581"/>
    </row>
    <row r="156" spans="1:1" ht="18.75" x14ac:dyDescent="0.3">
      <c r="A156" s="581"/>
    </row>
    <row r="157" spans="1:1" ht="18.75" x14ac:dyDescent="0.3">
      <c r="A157" s="581"/>
    </row>
    <row r="158" spans="1:1" ht="18.75" x14ac:dyDescent="0.3">
      <c r="A158" s="581"/>
    </row>
    <row r="159" spans="1:1" ht="18.75" x14ac:dyDescent="0.3">
      <c r="A159" s="581"/>
    </row>
    <row r="160" spans="1:1" ht="18.75" x14ac:dyDescent="0.3">
      <c r="A160" s="581"/>
    </row>
    <row r="161" spans="1:1" ht="18.75" x14ac:dyDescent="0.3">
      <c r="A161" s="581"/>
    </row>
    <row r="162" spans="1:1" ht="18.75" x14ac:dyDescent="0.3">
      <c r="A162" s="581"/>
    </row>
    <row r="163" spans="1:1" ht="18.75" x14ac:dyDescent="0.3">
      <c r="A163" s="581"/>
    </row>
    <row r="164" spans="1:1" ht="18.75" x14ac:dyDescent="0.3">
      <c r="A164" s="581"/>
    </row>
    <row r="165" spans="1:1" ht="18.75" x14ac:dyDescent="0.3">
      <c r="A165" s="581"/>
    </row>
    <row r="166" spans="1:1" ht="18.75" x14ac:dyDescent="0.3">
      <c r="A166" s="581"/>
    </row>
    <row r="167" spans="1:1" ht="18.75" x14ac:dyDescent="0.3">
      <c r="A167" s="581"/>
    </row>
    <row r="168" spans="1:1" ht="18.75" x14ac:dyDescent="0.3">
      <c r="A168" s="581"/>
    </row>
    <row r="169" spans="1:1" ht="18.75" x14ac:dyDescent="0.3">
      <c r="A169" s="581"/>
    </row>
    <row r="170" spans="1:1" ht="18.75" x14ac:dyDescent="0.3">
      <c r="A170" s="581"/>
    </row>
    <row r="171" spans="1:1" ht="18.75" x14ac:dyDescent="0.3">
      <c r="A171" s="581"/>
    </row>
    <row r="172" spans="1:1" ht="18.75" x14ac:dyDescent="0.3">
      <c r="A172" s="581"/>
    </row>
    <row r="173" spans="1:1" ht="18.75" x14ac:dyDescent="0.3">
      <c r="A173" s="581"/>
    </row>
    <row r="174" spans="1:1" ht="18.75" x14ac:dyDescent="0.3">
      <c r="A174" s="581"/>
    </row>
    <row r="175" spans="1:1" ht="18.75" x14ac:dyDescent="0.3">
      <c r="A175" s="581"/>
    </row>
    <row r="176" spans="1:1" ht="18.75" x14ac:dyDescent="0.3">
      <c r="A176" s="581"/>
    </row>
    <row r="177" spans="1:1" ht="18.75" x14ac:dyDescent="0.3">
      <c r="A177" s="581"/>
    </row>
    <row r="178" spans="1:1" ht="18.75" x14ac:dyDescent="0.3">
      <c r="A178" s="581"/>
    </row>
    <row r="179" spans="1:1" ht="18.75" x14ac:dyDescent="0.3">
      <c r="A179" s="581"/>
    </row>
    <row r="180" spans="1:1" ht="18.75" x14ac:dyDescent="0.3">
      <c r="A180" s="581"/>
    </row>
    <row r="181" spans="1:1" ht="18.75" x14ac:dyDescent="0.3">
      <c r="A181" s="581"/>
    </row>
    <row r="182" spans="1:1" ht="18.75" x14ac:dyDescent="0.3">
      <c r="A182" s="581"/>
    </row>
    <row r="183" spans="1:1" ht="18.75" x14ac:dyDescent="0.3">
      <c r="A183" s="581"/>
    </row>
    <row r="184" spans="1:1" ht="18.75" x14ac:dyDescent="0.3">
      <c r="A184" s="581"/>
    </row>
    <row r="185" spans="1:1" ht="18.75" x14ac:dyDescent="0.3">
      <c r="A185" s="581"/>
    </row>
    <row r="186" spans="1:1" ht="18.75" x14ac:dyDescent="0.3">
      <c r="A186" s="581"/>
    </row>
    <row r="187" spans="1:1" ht="18.75" x14ac:dyDescent="0.3">
      <c r="A187" s="581"/>
    </row>
    <row r="188" spans="1:1" ht="18.75" x14ac:dyDescent="0.3">
      <c r="A188" s="581"/>
    </row>
    <row r="189" spans="1:1" ht="18.75" x14ac:dyDescent="0.3">
      <c r="A189" s="581"/>
    </row>
    <row r="190" spans="1:1" ht="18.75" x14ac:dyDescent="0.3">
      <c r="A190" s="581"/>
    </row>
  </sheetData>
  <mergeCells count="27">
    <mergeCell ref="AR6:AT6"/>
    <mergeCell ref="B6:D6"/>
    <mergeCell ref="H6:J6"/>
    <mergeCell ref="N6:P6"/>
    <mergeCell ref="Q6:S6"/>
    <mergeCell ref="T6:V6"/>
    <mergeCell ref="E6:G6"/>
    <mergeCell ref="K6:M6"/>
    <mergeCell ref="AC6:AE6"/>
    <mergeCell ref="AI6:AK6"/>
    <mergeCell ref="AL6:AN6"/>
    <mergeCell ref="AL7:AN7"/>
    <mergeCell ref="AO6:AQ6"/>
    <mergeCell ref="B7:D7"/>
    <mergeCell ref="H7:J7"/>
    <mergeCell ref="N7:P7"/>
    <mergeCell ref="Q7:S7"/>
    <mergeCell ref="T7:V7"/>
    <mergeCell ref="K7:M7"/>
    <mergeCell ref="AO7:AQ7"/>
    <mergeCell ref="AR7:AT7"/>
    <mergeCell ref="E7:G7"/>
    <mergeCell ref="Z7:AB7"/>
    <mergeCell ref="AC7:AE7"/>
    <mergeCell ref="AF7:AH7"/>
    <mergeCell ref="AI7:AK7"/>
    <mergeCell ref="W7:Y7"/>
  </mergeCells>
  <conditionalFormatting sqref="AC20">
    <cfRule type="expression" dxfId="857" priority="689">
      <formula>#REF!="20≠21+22"</formula>
    </cfRule>
    <cfRule type="expression" dxfId="856" priority="690">
      <formula>#REF!="20≠12+13+14+15+16+17+19"</formula>
    </cfRule>
  </conditionalFormatting>
  <conditionalFormatting sqref="AC32">
    <cfRule type="expression" dxfId="855" priority="691">
      <formula>#REF!="32≠33+34"</formula>
    </cfRule>
  </conditionalFormatting>
  <conditionalFormatting sqref="AC44">
    <cfRule type="expression" dxfId="854" priority="692">
      <formula>#REF!="44≠45+46"</formula>
    </cfRule>
  </conditionalFormatting>
  <conditionalFormatting sqref="AC56">
    <cfRule type="expression" dxfId="853" priority="693">
      <formula>#REF!="56≠57+58"</formula>
    </cfRule>
  </conditionalFormatting>
  <conditionalFormatting sqref="AC70">
    <cfRule type="expression" dxfId="852" priority="694">
      <formula>#REF!="70≠62+63+64+65+66+67+69"</formula>
    </cfRule>
  </conditionalFormatting>
  <conditionalFormatting sqref="AC82">
    <cfRule type="expression" dxfId="851" priority="695">
      <formula>#REF!="82≠83+84"</formula>
    </cfRule>
  </conditionalFormatting>
  <conditionalFormatting sqref="AC94">
    <cfRule type="expression" dxfId="850" priority="696">
      <formula>#REF!="94≠95+96"</formula>
    </cfRule>
  </conditionalFormatting>
  <conditionalFormatting sqref="AC106">
    <cfRule type="expression" dxfId="849" priority="697">
      <formula>#REF!="106≠107+108"</formula>
    </cfRule>
  </conditionalFormatting>
  <conditionalFormatting sqref="AC32">
    <cfRule type="expression" dxfId="848" priority="698">
      <formula>#REF!="32≠24+25+26+27+28+29+31"</formula>
    </cfRule>
  </conditionalFormatting>
  <conditionalFormatting sqref="AC44">
    <cfRule type="expression" dxfId="847" priority="699">
      <formula>#REF!="44≠36+37+38+39+40+41+43"</formula>
    </cfRule>
  </conditionalFormatting>
  <conditionalFormatting sqref="AC56">
    <cfRule type="expression" dxfId="846" priority="700">
      <formula>#REF!="56≠48+49+50+51+52+53+55"</formula>
    </cfRule>
  </conditionalFormatting>
  <conditionalFormatting sqref="AC70">
    <cfRule type="expression" dxfId="845" priority="701">
      <formula>#REF!="70≠71+72"</formula>
    </cfRule>
  </conditionalFormatting>
  <conditionalFormatting sqref="AC82">
    <cfRule type="expression" dxfId="844" priority="702">
      <formula>#REF!="82≠74+75+76+77+78+79+81"</formula>
    </cfRule>
  </conditionalFormatting>
  <conditionalFormatting sqref="AC94">
    <cfRule type="expression" dxfId="843" priority="703">
      <formula>#REF!="94≠86+87+88+89+90+91+93"</formula>
    </cfRule>
  </conditionalFormatting>
  <conditionalFormatting sqref="AC106">
    <cfRule type="expression" dxfId="842" priority="704">
      <formula>#REF!="106≠98+99+100+101+102+103+105"</formula>
    </cfRule>
  </conditionalFormatting>
  <conditionalFormatting sqref="K20">
    <cfRule type="expression" dxfId="841" priority="369">
      <formula>#REF!="20≠21+22"</formula>
    </cfRule>
    <cfRule type="expression" dxfId="840" priority="370">
      <formula>#REF!="20≠12+13+14+15+16+17+19"</formula>
    </cfRule>
  </conditionalFormatting>
  <conditionalFormatting sqref="K32">
    <cfRule type="expression" dxfId="839" priority="371">
      <formula>#REF!="32≠33+34"</formula>
    </cfRule>
  </conditionalFormatting>
  <conditionalFormatting sqref="K44">
    <cfRule type="expression" dxfId="838" priority="372">
      <formula>#REF!="44≠45+46"</formula>
    </cfRule>
  </conditionalFormatting>
  <conditionalFormatting sqref="K56">
    <cfRule type="expression" dxfId="837" priority="373">
      <formula>#REF!="56≠57+58"</formula>
    </cfRule>
  </conditionalFormatting>
  <conditionalFormatting sqref="K70">
    <cfRule type="expression" dxfId="836" priority="374">
      <formula>#REF!="70≠62+63+64+65+66+67+69"</formula>
    </cfRule>
  </conditionalFormatting>
  <conditionalFormatting sqref="K82">
    <cfRule type="expression" dxfId="835" priority="375">
      <formula>#REF!="82≠83+84"</formula>
    </cfRule>
  </conditionalFormatting>
  <conditionalFormatting sqref="K94">
    <cfRule type="expression" dxfId="834" priority="376">
      <formula>#REF!="94≠95+96"</formula>
    </cfRule>
  </conditionalFormatting>
  <conditionalFormatting sqref="K106">
    <cfRule type="expression" dxfId="833" priority="377">
      <formula>#REF!="106≠107+108"</formula>
    </cfRule>
  </conditionalFormatting>
  <conditionalFormatting sqref="K32">
    <cfRule type="expression" dxfId="832" priority="378">
      <formula>#REF!="32≠24+25+26+27+28+29+31"</formula>
    </cfRule>
  </conditionalFormatting>
  <conditionalFormatting sqref="K44">
    <cfRule type="expression" dxfId="831" priority="379">
      <formula>#REF!="44≠36+37+38+39+40+41+43"</formula>
    </cfRule>
  </conditionalFormatting>
  <conditionalFormatting sqref="K56">
    <cfRule type="expression" dxfId="830" priority="380">
      <formula>#REF!="56≠48+49+50+51+52+53+55"</formula>
    </cfRule>
  </conditionalFormatting>
  <conditionalFormatting sqref="K70">
    <cfRule type="expression" dxfId="829" priority="381">
      <formula>#REF!="70≠71+72"</formula>
    </cfRule>
  </conditionalFormatting>
  <conditionalFormatting sqref="K82">
    <cfRule type="expression" dxfId="828" priority="382">
      <formula>#REF!="82≠74+75+76+77+78+79+81"</formula>
    </cfRule>
  </conditionalFormatting>
  <conditionalFormatting sqref="K94">
    <cfRule type="expression" dxfId="827" priority="383">
      <formula>#REF!="94≠86+87+88+89+90+91+93"</formula>
    </cfRule>
  </conditionalFormatting>
  <conditionalFormatting sqref="K106">
    <cfRule type="expression" dxfId="826" priority="384">
      <formula>#REF!="106≠98+99+100+101+102+103+105"</formula>
    </cfRule>
  </conditionalFormatting>
  <conditionalFormatting sqref="Z20">
    <cfRule type="expression" dxfId="825" priority="337">
      <formula>#REF!="20≠21+22"</formula>
    </cfRule>
    <cfRule type="expression" dxfId="824" priority="338">
      <formula>#REF!="20≠12+13+14+15+16+17+19"</formula>
    </cfRule>
  </conditionalFormatting>
  <conditionalFormatting sqref="Z32">
    <cfRule type="expression" dxfId="823" priority="339">
      <formula>#REF!="32≠33+34"</formula>
    </cfRule>
  </conditionalFormatting>
  <conditionalFormatting sqref="Z44">
    <cfRule type="expression" dxfId="822" priority="340">
      <formula>#REF!="44≠45+46"</formula>
    </cfRule>
  </conditionalFormatting>
  <conditionalFormatting sqref="Z56">
    <cfRule type="expression" dxfId="821" priority="341">
      <formula>#REF!="56≠57+58"</formula>
    </cfRule>
  </conditionalFormatting>
  <conditionalFormatting sqref="Z70">
    <cfRule type="expression" dxfId="820" priority="342">
      <formula>#REF!="70≠62+63+64+65+66+67+69"</formula>
    </cfRule>
  </conditionalFormatting>
  <conditionalFormatting sqref="Z82">
    <cfRule type="expression" dxfId="819" priority="343">
      <formula>#REF!="82≠83+84"</formula>
    </cfRule>
  </conditionalFormatting>
  <conditionalFormatting sqref="Z94">
    <cfRule type="expression" dxfId="818" priority="344">
      <formula>#REF!="94≠95+96"</formula>
    </cfRule>
  </conditionalFormatting>
  <conditionalFormatting sqref="Z106">
    <cfRule type="expression" dxfId="817" priority="345">
      <formula>#REF!="106≠107+108"</formula>
    </cfRule>
  </conditionalFormatting>
  <conditionalFormatting sqref="Z32">
    <cfRule type="expression" dxfId="816" priority="346">
      <formula>#REF!="32≠24+25+26+27+28+29+31"</formula>
    </cfRule>
  </conditionalFormatting>
  <conditionalFormatting sqref="Z44">
    <cfRule type="expression" dxfId="815" priority="347">
      <formula>#REF!="44≠36+37+38+39+40+41+43"</formula>
    </cfRule>
  </conditionalFormatting>
  <conditionalFormatting sqref="Z56">
    <cfRule type="expression" dxfId="814" priority="348">
      <formula>#REF!="56≠48+49+50+51+52+53+55"</formula>
    </cfRule>
  </conditionalFormatting>
  <conditionalFormatting sqref="Z70">
    <cfRule type="expression" dxfId="813" priority="349">
      <formula>#REF!="70≠71+72"</formula>
    </cfRule>
  </conditionalFormatting>
  <conditionalFormatting sqref="Z82">
    <cfRule type="expression" dxfId="812" priority="350">
      <formula>#REF!="82≠74+75+76+77+78+79+81"</formula>
    </cfRule>
  </conditionalFormatting>
  <conditionalFormatting sqref="Z94">
    <cfRule type="expression" dxfId="811" priority="351">
      <formula>#REF!="94≠86+87+88+89+90+91+93"</formula>
    </cfRule>
  </conditionalFormatting>
  <conditionalFormatting sqref="Z106">
    <cfRule type="expression" dxfId="810" priority="352">
      <formula>#REF!="106≠98+99+100+101+102+103+105"</formula>
    </cfRule>
  </conditionalFormatting>
  <conditionalFormatting sqref="B20">
    <cfRule type="expression" dxfId="809" priority="305">
      <formula>#REF!="20≠21+22"</formula>
    </cfRule>
    <cfRule type="expression" dxfId="808" priority="306">
      <formula>#REF!="20≠12+13+14+15+16+17+19"</formula>
    </cfRule>
  </conditionalFormatting>
  <conditionalFormatting sqref="B32">
    <cfRule type="expression" dxfId="807" priority="307">
      <formula>#REF!="32≠33+34"</formula>
    </cfRule>
  </conditionalFormatting>
  <conditionalFormatting sqref="B44">
    <cfRule type="expression" dxfId="806" priority="308">
      <formula>#REF!="44≠45+46"</formula>
    </cfRule>
  </conditionalFormatting>
  <conditionalFormatting sqref="B56">
    <cfRule type="expression" dxfId="805" priority="309">
      <formula>#REF!="56≠57+58"</formula>
    </cfRule>
  </conditionalFormatting>
  <conditionalFormatting sqref="B70">
    <cfRule type="expression" dxfId="804" priority="310">
      <formula>#REF!="70≠62+63+64+65+66+67+69"</formula>
    </cfRule>
  </conditionalFormatting>
  <conditionalFormatting sqref="B82">
    <cfRule type="expression" dxfId="803" priority="311">
      <formula>#REF!="82≠83+84"</formula>
    </cfRule>
  </conditionalFormatting>
  <conditionalFormatting sqref="B94">
    <cfRule type="expression" dxfId="802" priority="312">
      <formula>#REF!="94≠95+96"</formula>
    </cfRule>
  </conditionalFormatting>
  <conditionalFormatting sqref="B106">
    <cfRule type="expression" dxfId="801" priority="313">
      <formula>#REF!="106≠107+108"</formula>
    </cfRule>
  </conditionalFormatting>
  <conditionalFormatting sqref="B32">
    <cfRule type="expression" dxfId="800" priority="314">
      <formula>#REF!="32≠24+25+26+27+28+29+31"</formula>
    </cfRule>
  </conditionalFormatting>
  <conditionalFormatting sqref="B44">
    <cfRule type="expression" dxfId="799" priority="315">
      <formula>#REF!="44≠36+37+38+39+40+41+43"</formula>
    </cfRule>
  </conditionalFormatting>
  <conditionalFormatting sqref="B56">
    <cfRule type="expression" dxfId="798" priority="316">
      <formula>#REF!="56≠48+49+50+51+52+53+55"</formula>
    </cfRule>
  </conditionalFormatting>
  <conditionalFormatting sqref="B70">
    <cfRule type="expression" dxfId="797" priority="317">
      <formula>#REF!="70≠71+72"</formula>
    </cfRule>
  </conditionalFormatting>
  <conditionalFormatting sqref="B82">
    <cfRule type="expression" dxfId="796" priority="318">
      <formula>#REF!="82≠74+75+76+77+78+79+81"</formula>
    </cfRule>
  </conditionalFormatting>
  <conditionalFormatting sqref="B94">
    <cfRule type="expression" dxfId="795" priority="319">
      <formula>#REF!="94≠86+87+88+89+90+91+93"</formula>
    </cfRule>
  </conditionalFormatting>
  <conditionalFormatting sqref="B106">
    <cfRule type="expression" dxfId="794" priority="320">
      <formula>#REF!="106≠98+99+100+101+102+103+105"</formula>
    </cfRule>
  </conditionalFormatting>
  <conditionalFormatting sqref="Q20">
    <cfRule type="expression" dxfId="793" priority="273">
      <formula>#REF!="20≠21+22"</formula>
    </cfRule>
    <cfRule type="expression" dxfId="792" priority="274">
      <formula>#REF!="20≠12+13+14+15+16+17+19"</formula>
    </cfRule>
  </conditionalFormatting>
  <conditionalFormatting sqref="Q32">
    <cfRule type="expression" dxfId="791" priority="275">
      <formula>#REF!="32≠33+34"</formula>
    </cfRule>
  </conditionalFormatting>
  <conditionalFormatting sqref="Q44">
    <cfRule type="expression" dxfId="790" priority="276">
      <formula>#REF!="44≠45+46"</formula>
    </cfRule>
  </conditionalFormatting>
  <conditionalFormatting sqref="Q56">
    <cfRule type="expression" dxfId="789" priority="277">
      <formula>#REF!="56≠57+58"</formula>
    </cfRule>
  </conditionalFormatting>
  <conditionalFormatting sqref="Q70">
    <cfRule type="expression" dxfId="788" priority="278">
      <formula>#REF!="70≠62+63+64+65+66+67+69"</formula>
    </cfRule>
  </conditionalFormatting>
  <conditionalFormatting sqref="Q82">
    <cfRule type="expression" dxfId="787" priority="279">
      <formula>#REF!="82≠83+84"</formula>
    </cfRule>
  </conditionalFormatting>
  <conditionalFormatting sqref="Q94">
    <cfRule type="expression" dxfId="786" priority="280">
      <formula>#REF!="94≠95+96"</formula>
    </cfRule>
  </conditionalFormatting>
  <conditionalFormatting sqref="Q106">
    <cfRule type="expression" dxfId="785" priority="281">
      <formula>#REF!="106≠107+108"</formula>
    </cfRule>
  </conditionalFormatting>
  <conditionalFormatting sqref="Q32">
    <cfRule type="expression" dxfId="784" priority="282">
      <formula>#REF!="32≠24+25+26+27+28+29+31"</formula>
    </cfRule>
  </conditionalFormatting>
  <conditionalFormatting sqref="Q44">
    <cfRule type="expression" dxfId="783" priority="283">
      <formula>#REF!="44≠36+37+38+39+40+41+43"</formula>
    </cfRule>
  </conditionalFormatting>
  <conditionalFormatting sqref="Q56">
    <cfRule type="expression" dxfId="782" priority="284">
      <formula>#REF!="56≠48+49+50+51+52+53+55"</formula>
    </cfRule>
  </conditionalFormatting>
  <conditionalFormatting sqref="Q70">
    <cfRule type="expression" dxfId="781" priority="285">
      <formula>#REF!="70≠71+72"</formula>
    </cfRule>
  </conditionalFormatting>
  <conditionalFormatting sqref="Q82">
    <cfRule type="expression" dxfId="780" priority="286">
      <formula>#REF!="82≠74+75+76+77+78+79+81"</formula>
    </cfRule>
  </conditionalFormatting>
  <conditionalFormatting sqref="Q94">
    <cfRule type="expression" dxfId="779" priority="287">
      <formula>#REF!="94≠86+87+88+89+90+91+93"</formula>
    </cfRule>
  </conditionalFormatting>
  <conditionalFormatting sqref="Q106">
    <cfRule type="expression" dxfId="778" priority="288">
      <formula>#REF!="106≠98+99+100+101+102+103+105"</formula>
    </cfRule>
  </conditionalFormatting>
  <conditionalFormatting sqref="AL20">
    <cfRule type="expression" dxfId="777" priority="241">
      <formula>#REF!="20≠21+22"</formula>
    </cfRule>
    <cfRule type="expression" dxfId="776" priority="242">
      <formula>#REF!="20≠12+13+14+15+16+17+19"</formula>
    </cfRule>
  </conditionalFormatting>
  <conditionalFormatting sqref="AL32">
    <cfRule type="expression" dxfId="775" priority="243">
      <formula>#REF!="32≠33+34"</formula>
    </cfRule>
  </conditionalFormatting>
  <conditionalFormatting sqref="AL44">
    <cfRule type="expression" dxfId="774" priority="244">
      <formula>#REF!="44≠45+46"</formula>
    </cfRule>
  </conditionalFormatting>
  <conditionalFormatting sqref="AL56">
    <cfRule type="expression" dxfId="773" priority="245">
      <formula>#REF!="56≠57+58"</formula>
    </cfRule>
  </conditionalFormatting>
  <conditionalFormatting sqref="AL70">
    <cfRule type="expression" dxfId="772" priority="246">
      <formula>#REF!="70≠62+63+64+65+66+67+69"</formula>
    </cfRule>
  </conditionalFormatting>
  <conditionalFormatting sqref="AL82">
    <cfRule type="expression" dxfId="771" priority="247">
      <formula>#REF!="82≠83+84"</formula>
    </cfRule>
  </conditionalFormatting>
  <conditionalFormatting sqref="AL94">
    <cfRule type="expression" dxfId="770" priority="248">
      <formula>#REF!="94≠95+96"</formula>
    </cfRule>
  </conditionalFormatting>
  <conditionalFormatting sqref="AL106">
    <cfRule type="expression" dxfId="769" priority="249">
      <formula>#REF!="106≠107+108"</formula>
    </cfRule>
  </conditionalFormatting>
  <conditionalFormatting sqref="AL32">
    <cfRule type="expression" dxfId="768" priority="250">
      <formula>#REF!="32≠24+25+26+27+28+29+31"</formula>
    </cfRule>
  </conditionalFormatting>
  <conditionalFormatting sqref="AL44">
    <cfRule type="expression" dxfId="767" priority="251">
      <formula>#REF!="44≠36+37+38+39+40+41+43"</formula>
    </cfRule>
  </conditionalFormatting>
  <conditionalFormatting sqref="AL56">
    <cfRule type="expression" dxfId="766" priority="252">
      <formula>#REF!="56≠48+49+50+51+52+53+55"</formula>
    </cfRule>
  </conditionalFormatting>
  <conditionalFormatting sqref="AL70">
    <cfRule type="expression" dxfId="765" priority="253">
      <formula>#REF!="70≠71+72"</formula>
    </cfRule>
  </conditionalFormatting>
  <conditionalFormatting sqref="AL82">
    <cfRule type="expression" dxfId="764" priority="254">
      <formula>#REF!="82≠74+75+76+77+78+79+81"</formula>
    </cfRule>
  </conditionalFormatting>
  <conditionalFormatting sqref="AL94">
    <cfRule type="expression" dxfId="763" priority="255">
      <formula>#REF!="94≠86+87+88+89+90+91+93"</formula>
    </cfRule>
  </conditionalFormatting>
  <conditionalFormatting sqref="AL106">
    <cfRule type="expression" dxfId="762" priority="256">
      <formula>#REF!="106≠98+99+100+101+102+103+105"</formula>
    </cfRule>
  </conditionalFormatting>
  <conditionalFormatting sqref="W20">
    <cfRule type="expression" dxfId="761" priority="209">
      <formula>#REF!="20≠21+22"</formula>
    </cfRule>
    <cfRule type="expression" dxfId="760" priority="210">
      <formula>#REF!="20≠12+13+14+15+16+17+19"</formula>
    </cfRule>
  </conditionalFormatting>
  <conditionalFormatting sqref="W32">
    <cfRule type="expression" dxfId="759" priority="211">
      <formula>#REF!="32≠33+34"</formula>
    </cfRule>
  </conditionalFormatting>
  <conditionalFormatting sqref="W44">
    <cfRule type="expression" dxfId="758" priority="212">
      <formula>#REF!="44≠45+46"</formula>
    </cfRule>
  </conditionalFormatting>
  <conditionalFormatting sqref="W56">
    <cfRule type="expression" dxfId="757" priority="213">
      <formula>#REF!="56≠57+58"</formula>
    </cfRule>
  </conditionalFormatting>
  <conditionalFormatting sqref="W70">
    <cfRule type="expression" dxfId="756" priority="214">
      <formula>#REF!="70≠62+63+64+65+66+67+69"</formula>
    </cfRule>
  </conditionalFormatting>
  <conditionalFormatting sqref="W82">
    <cfRule type="expression" dxfId="755" priority="215">
      <formula>#REF!="82≠83+84"</formula>
    </cfRule>
  </conditionalFormatting>
  <conditionalFormatting sqref="W94">
    <cfRule type="expression" dxfId="754" priority="216">
      <formula>#REF!="94≠95+96"</formula>
    </cfRule>
  </conditionalFormatting>
  <conditionalFormatting sqref="W106">
    <cfRule type="expression" dxfId="753" priority="217">
      <formula>#REF!="106≠107+108"</formula>
    </cfRule>
  </conditionalFormatting>
  <conditionalFormatting sqref="W32">
    <cfRule type="expression" dxfId="752" priority="218">
      <formula>#REF!="32≠24+25+26+27+28+29+31"</formula>
    </cfRule>
  </conditionalFormatting>
  <conditionalFormatting sqref="W44">
    <cfRule type="expression" dxfId="751" priority="219">
      <formula>#REF!="44≠36+37+38+39+40+41+43"</formula>
    </cfRule>
  </conditionalFormatting>
  <conditionalFormatting sqref="W56">
    <cfRule type="expression" dxfId="750" priority="220">
      <formula>#REF!="56≠48+49+50+51+52+53+55"</formula>
    </cfRule>
  </conditionalFormatting>
  <conditionalFormatting sqref="W70">
    <cfRule type="expression" dxfId="749" priority="221">
      <formula>#REF!="70≠71+72"</formula>
    </cfRule>
  </conditionalFormatting>
  <conditionalFormatting sqref="W82">
    <cfRule type="expression" dxfId="748" priority="222">
      <formula>#REF!="82≠74+75+76+77+78+79+81"</formula>
    </cfRule>
  </conditionalFormatting>
  <conditionalFormatting sqref="W94">
    <cfRule type="expression" dxfId="747" priority="223">
      <formula>#REF!="94≠86+87+88+89+90+91+93"</formula>
    </cfRule>
  </conditionalFormatting>
  <conditionalFormatting sqref="W106">
    <cfRule type="expression" dxfId="746" priority="224">
      <formula>#REF!="106≠98+99+100+101+102+103+105"</formula>
    </cfRule>
  </conditionalFormatting>
  <conditionalFormatting sqref="AI20">
    <cfRule type="expression" dxfId="745" priority="177">
      <formula>#REF!="20≠21+22"</formula>
    </cfRule>
    <cfRule type="expression" dxfId="744" priority="178">
      <formula>#REF!="20≠12+13+14+15+16+17+19"</formula>
    </cfRule>
  </conditionalFormatting>
  <conditionalFormatting sqref="AI32">
    <cfRule type="expression" dxfId="743" priority="179">
      <formula>#REF!="32≠33+34"</formula>
    </cfRule>
  </conditionalFormatting>
  <conditionalFormatting sqref="AI44">
    <cfRule type="expression" dxfId="742" priority="180">
      <formula>#REF!="44≠45+46"</formula>
    </cfRule>
  </conditionalFormatting>
  <conditionalFormatting sqref="AI56">
    <cfRule type="expression" dxfId="741" priority="181">
      <formula>#REF!="56≠57+58"</formula>
    </cfRule>
  </conditionalFormatting>
  <conditionalFormatting sqref="AI70">
    <cfRule type="expression" dxfId="740" priority="182">
      <formula>#REF!="70≠62+63+64+65+66+67+69"</formula>
    </cfRule>
  </conditionalFormatting>
  <conditionalFormatting sqref="AI82">
    <cfRule type="expression" dxfId="739" priority="183">
      <formula>#REF!="82≠83+84"</formula>
    </cfRule>
  </conditionalFormatting>
  <conditionalFormatting sqref="AI94">
    <cfRule type="expression" dxfId="738" priority="184">
      <formula>#REF!="94≠95+96"</formula>
    </cfRule>
  </conditionalFormatting>
  <conditionalFormatting sqref="AI106">
    <cfRule type="expression" dxfId="737" priority="185">
      <formula>#REF!="106≠107+108"</formula>
    </cfRule>
  </conditionalFormatting>
  <conditionalFormatting sqref="AI32">
    <cfRule type="expression" dxfId="736" priority="186">
      <formula>#REF!="32≠24+25+26+27+28+29+31"</formula>
    </cfRule>
  </conditionalFormatting>
  <conditionalFormatting sqref="AI44">
    <cfRule type="expression" dxfId="735" priority="187">
      <formula>#REF!="44≠36+37+38+39+40+41+43"</formula>
    </cfRule>
  </conditionalFormatting>
  <conditionalFormatting sqref="AI56">
    <cfRule type="expression" dxfId="734" priority="188">
      <formula>#REF!="56≠48+49+50+51+52+53+55"</formula>
    </cfRule>
  </conditionalFormatting>
  <conditionalFormatting sqref="AI70">
    <cfRule type="expression" dxfId="733" priority="189">
      <formula>#REF!="70≠71+72"</formula>
    </cfRule>
  </conditionalFormatting>
  <conditionalFormatting sqref="AI82">
    <cfRule type="expression" dxfId="732" priority="190">
      <formula>#REF!="82≠74+75+76+77+78+79+81"</formula>
    </cfRule>
  </conditionalFormatting>
  <conditionalFormatting sqref="AI94">
    <cfRule type="expression" dxfId="731" priority="191">
      <formula>#REF!="94≠86+87+88+89+90+91+93"</formula>
    </cfRule>
  </conditionalFormatting>
  <conditionalFormatting sqref="AI106">
    <cfRule type="expression" dxfId="730" priority="192">
      <formula>#REF!="106≠98+99+100+101+102+103+105"</formula>
    </cfRule>
  </conditionalFormatting>
  <conditionalFormatting sqref="N20">
    <cfRule type="expression" dxfId="729" priority="145">
      <formula>#REF!="20≠21+22"</formula>
    </cfRule>
    <cfRule type="expression" dxfId="728" priority="146">
      <formula>#REF!="20≠12+13+14+15+16+17+19"</formula>
    </cfRule>
  </conditionalFormatting>
  <conditionalFormatting sqref="N32">
    <cfRule type="expression" dxfId="727" priority="147">
      <formula>#REF!="32≠33+34"</formula>
    </cfRule>
  </conditionalFormatting>
  <conditionalFormatting sqref="N44">
    <cfRule type="expression" dxfId="726" priority="148">
      <formula>#REF!="44≠45+46"</formula>
    </cfRule>
  </conditionalFormatting>
  <conditionalFormatting sqref="N56">
    <cfRule type="expression" dxfId="725" priority="149">
      <formula>#REF!="56≠57+58"</formula>
    </cfRule>
  </conditionalFormatting>
  <conditionalFormatting sqref="N70">
    <cfRule type="expression" dxfId="724" priority="150">
      <formula>#REF!="70≠62+63+64+65+66+67+69"</formula>
    </cfRule>
  </conditionalFormatting>
  <conditionalFormatting sqref="N82">
    <cfRule type="expression" dxfId="723" priority="151">
      <formula>#REF!="82≠83+84"</formula>
    </cfRule>
  </conditionalFormatting>
  <conditionalFormatting sqref="N94">
    <cfRule type="expression" dxfId="722" priority="152">
      <formula>#REF!="94≠95+96"</formula>
    </cfRule>
  </conditionalFormatting>
  <conditionalFormatting sqref="N106">
    <cfRule type="expression" dxfId="721" priority="153">
      <formula>#REF!="106≠107+108"</formula>
    </cfRule>
  </conditionalFormatting>
  <conditionalFormatting sqref="N32">
    <cfRule type="expression" dxfId="720" priority="154">
      <formula>#REF!="32≠24+25+26+27+28+29+31"</formula>
    </cfRule>
  </conditionalFormatting>
  <conditionalFormatting sqref="N44">
    <cfRule type="expression" dxfId="719" priority="155">
      <formula>#REF!="44≠36+37+38+39+40+41+43"</formula>
    </cfRule>
  </conditionalFormatting>
  <conditionalFormatting sqref="N56">
    <cfRule type="expression" dxfId="718" priority="156">
      <formula>#REF!="56≠48+49+50+51+52+53+55"</formula>
    </cfRule>
  </conditionalFormatting>
  <conditionalFormatting sqref="N70">
    <cfRule type="expression" dxfId="717" priority="157">
      <formula>#REF!="70≠71+72"</formula>
    </cfRule>
  </conditionalFormatting>
  <conditionalFormatting sqref="N82">
    <cfRule type="expression" dxfId="716" priority="158">
      <formula>#REF!="82≠74+75+76+77+78+79+81"</formula>
    </cfRule>
  </conditionalFormatting>
  <conditionalFormatting sqref="N94">
    <cfRule type="expression" dxfId="715" priority="159">
      <formula>#REF!="94≠86+87+88+89+90+91+93"</formula>
    </cfRule>
  </conditionalFormatting>
  <conditionalFormatting sqref="N106">
    <cfRule type="expression" dxfId="714" priority="160">
      <formula>#REF!="106≠98+99+100+101+102+103+105"</formula>
    </cfRule>
  </conditionalFormatting>
  <conditionalFormatting sqref="T20">
    <cfRule type="expression" dxfId="713" priority="113">
      <formula>#REF!="20≠21+22"</formula>
    </cfRule>
    <cfRule type="expression" dxfId="712" priority="114">
      <formula>#REF!="20≠12+13+14+15+16+17+19"</formula>
    </cfRule>
  </conditionalFormatting>
  <conditionalFormatting sqref="T32">
    <cfRule type="expression" dxfId="711" priority="115">
      <formula>#REF!="32≠33+34"</formula>
    </cfRule>
  </conditionalFormatting>
  <conditionalFormatting sqref="T44">
    <cfRule type="expression" dxfId="710" priority="116">
      <formula>#REF!="44≠45+46"</formula>
    </cfRule>
  </conditionalFormatting>
  <conditionalFormatting sqref="T56">
    <cfRule type="expression" dxfId="709" priority="117">
      <formula>#REF!="56≠57+58"</formula>
    </cfRule>
  </conditionalFormatting>
  <conditionalFormatting sqref="T70">
    <cfRule type="expression" dxfId="708" priority="118">
      <formula>#REF!="70≠62+63+64+65+66+67+69"</formula>
    </cfRule>
  </conditionalFormatting>
  <conditionalFormatting sqref="T82">
    <cfRule type="expression" dxfId="707" priority="119">
      <formula>#REF!="82≠83+84"</formula>
    </cfRule>
  </conditionalFormatting>
  <conditionalFormatting sqref="T94">
    <cfRule type="expression" dxfId="706" priority="120">
      <formula>#REF!="94≠95+96"</formula>
    </cfRule>
  </conditionalFormatting>
  <conditionalFormatting sqref="T106">
    <cfRule type="expression" dxfId="705" priority="121">
      <formula>#REF!="106≠107+108"</formula>
    </cfRule>
  </conditionalFormatting>
  <conditionalFormatting sqref="T32">
    <cfRule type="expression" dxfId="704" priority="122">
      <formula>#REF!="32≠24+25+26+27+28+29+31"</formula>
    </cfRule>
  </conditionalFormatting>
  <conditionalFormatting sqref="T44">
    <cfRule type="expression" dxfId="703" priority="123">
      <formula>#REF!="44≠36+37+38+39+40+41+43"</formula>
    </cfRule>
  </conditionalFormatting>
  <conditionalFormatting sqref="T56">
    <cfRule type="expression" dxfId="702" priority="124">
      <formula>#REF!="56≠48+49+50+51+52+53+55"</formula>
    </cfRule>
  </conditionalFormatting>
  <conditionalFormatting sqref="T70">
    <cfRule type="expression" dxfId="701" priority="125">
      <formula>#REF!="70≠71+72"</formula>
    </cfRule>
  </conditionalFormatting>
  <conditionalFormatting sqref="T82">
    <cfRule type="expression" dxfId="700" priority="126">
      <formula>#REF!="82≠74+75+76+77+78+79+81"</formula>
    </cfRule>
  </conditionalFormatting>
  <conditionalFormatting sqref="T94">
    <cfRule type="expression" dxfId="699" priority="127">
      <formula>#REF!="94≠86+87+88+89+90+91+93"</formula>
    </cfRule>
  </conditionalFormatting>
  <conditionalFormatting sqref="T106">
    <cfRule type="expression" dxfId="698" priority="128">
      <formula>#REF!="106≠98+99+100+101+102+103+105"</formula>
    </cfRule>
  </conditionalFormatting>
  <conditionalFormatting sqref="AF20">
    <cfRule type="expression" dxfId="697" priority="81">
      <formula>#REF!="20≠21+22"</formula>
    </cfRule>
    <cfRule type="expression" dxfId="696" priority="82">
      <formula>#REF!="20≠12+13+14+15+16+17+19"</formula>
    </cfRule>
  </conditionalFormatting>
  <conditionalFormatting sqref="AF32">
    <cfRule type="expression" dxfId="695" priority="83">
      <formula>#REF!="32≠33+34"</formula>
    </cfRule>
  </conditionalFormatting>
  <conditionalFormatting sqref="AF44">
    <cfRule type="expression" dxfId="694" priority="84">
      <formula>#REF!="44≠45+46"</formula>
    </cfRule>
  </conditionalFormatting>
  <conditionalFormatting sqref="AF56">
    <cfRule type="expression" dxfId="693" priority="85">
      <formula>#REF!="56≠57+58"</formula>
    </cfRule>
  </conditionalFormatting>
  <conditionalFormatting sqref="AF70">
    <cfRule type="expression" dxfId="692" priority="86">
      <formula>#REF!="70≠62+63+64+65+66+67+69"</formula>
    </cfRule>
  </conditionalFormatting>
  <conditionalFormatting sqref="AF82">
    <cfRule type="expression" dxfId="691" priority="87">
      <formula>#REF!="82≠83+84"</formula>
    </cfRule>
  </conditionalFormatting>
  <conditionalFormatting sqref="AF94">
    <cfRule type="expression" dxfId="690" priority="88">
      <formula>#REF!="94≠95+96"</formula>
    </cfRule>
  </conditionalFormatting>
  <conditionalFormatting sqref="AF106">
    <cfRule type="expression" dxfId="689" priority="89">
      <formula>#REF!="106≠107+108"</formula>
    </cfRule>
  </conditionalFormatting>
  <conditionalFormatting sqref="AF32">
    <cfRule type="expression" dxfId="688" priority="90">
      <formula>#REF!="32≠24+25+26+27+28+29+31"</formula>
    </cfRule>
  </conditionalFormatting>
  <conditionalFormatting sqref="AF44">
    <cfRule type="expression" dxfId="687" priority="91">
      <formula>#REF!="44≠36+37+38+39+40+41+43"</formula>
    </cfRule>
  </conditionalFormatting>
  <conditionalFormatting sqref="AF56">
    <cfRule type="expression" dxfId="686" priority="92">
      <formula>#REF!="56≠48+49+50+51+52+53+55"</formula>
    </cfRule>
  </conditionalFormatting>
  <conditionalFormatting sqref="AF70">
    <cfRule type="expression" dxfId="685" priority="93">
      <formula>#REF!="70≠71+72"</formula>
    </cfRule>
  </conditionalFormatting>
  <conditionalFormatting sqref="AF82">
    <cfRule type="expression" dxfId="684" priority="94">
      <formula>#REF!="82≠74+75+76+77+78+79+81"</formula>
    </cfRule>
  </conditionalFormatting>
  <conditionalFormatting sqref="AF94">
    <cfRule type="expression" dxfId="683" priority="95">
      <formula>#REF!="94≠86+87+88+89+90+91+93"</formula>
    </cfRule>
  </conditionalFormatting>
  <conditionalFormatting sqref="AF106">
    <cfRule type="expression" dxfId="682" priority="96">
      <formula>#REF!="106≠98+99+100+101+102+103+105"</formula>
    </cfRule>
  </conditionalFormatting>
  <conditionalFormatting sqref="E20">
    <cfRule type="expression" dxfId="681" priority="49">
      <formula>#REF!="20≠21+22"</formula>
    </cfRule>
    <cfRule type="expression" dxfId="680" priority="50">
      <formula>#REF!="20≠12+13+14+15+16+17+19"</formula>
    </cfRule>
  </conditionalFormatting>
  <conditionalFormatting sqref="E32">
    <cfRule type="expression" dxfId="679" priority="51">
      <formula>#REF!="32≠33+34"</formula>
    </cfRule>
  </conditionalFormatting>
  <conditionalFormatting sqref="E44">
    <cfRule type="expression" dxfId="678" priority="52">
      <formula>#REF!="44≠45+46"</formula>
    </cfRule>
  </conditionalFormatting>
  <conditionalFormatting sqref="E56">
    <cfRule type="expression" dxfId="677" priority="53">
      <formula>#REF!="56≠57+58"</formula>
    </cfRule>
  </conditionalFormatting>
  <conditionalFormatting sqref="E70">
    <cfRule type="expression" dxfId="676" priority="54">
      <formula>#REF!="70≠62+63+64+65+66+67+69"</formula>
    </cfRule>
  </conditionalFormatting>
  <conditionalFormatting sqref="E82">
    <cfRule type="expression" dxfId="675" priority="55">
      <formula>#REF!="82≠83+84"</formula>
    </cfRule>
  </conditionalFormatting>
  <conditionalFormatting sqref="E94">
    <cfRule type="expression" dxfId="674" priority="56">
      <formula>#REF!="94≠95+96"</formula>
    </cfRule>
  </conditionalFormatting>
  <conditionalFormatting sqref="E106">
    <cfRule type="expression" dxfId="673" priority="57">
      <formula>#REF!="106≠107+108"</formula>
    </cfRule>
  </conditionalFormatting>
  <conditionalFormatting sqref="E32">
    <cfRule type="expression" dxfId="672" priority="58">
      <formula>#REF!="32≠24+25+26+27+28+29+31"</formula>
    </cfRule>
  </conditionalFormatting>
  <conditionalFormatting sqref="E44">
    <cfRule type="expression" dxfId="671" priority="59">
      <formula>#REF!="44≠36+37+38+39+40+41+43"</formula>
    </cfRule>
  </conditionalFormatting>
  <conditionalFormatting sqref="E56">
    <cfRule type="expression" dxfId="670" priority="60">
      <formula>#REF!="56≠48+49+50+51+52+53+55"</formula>
    </cfRule>
  </conditionalFormatting>
  <conditionalFormatting sqref="E70">
    <cfRule type="expression" dxfId="669" priority="61">
      <formula>#REF!="70≠71+72"</formula>
    </cfRule>
  </conditionalFormatting>
  <conditionalFormatting sqref="E82">
    <cfRule type="expression" dxfId="668" priority="62">
      <formula>#REF!="82≠74+75+76+77+78+79+81"</formula>
    </cfRule>
  </conditionalFormatting>
  <conditionalFormatting sqref="E94">
    <cfRule type="expression" dxfId="667" priority="63">
      <formula>#REF!="94≠86+87+88+89+90+91+93"</formula>
    </cfRule>
  </conditionalFormatting>
  <conditionalFormatting sqref="E106">
    <cfRule type="expression" dxfId="666" priority="64">
      <formula>#REF!="106≠98+99+100+101+102+103+105"</formula>
    </cfRule>
  </conditionalFormatting>
  <conditionalFormatting sqref="H20">
    <cfRule type="expression" dxfId="665" priority="17">
      <formula>#REF!="20≠21+22"</formula>
    </cfRule>
    <cfRule type="expression" dxfId="664" priority="18">
      <formula>#REF!="20≠12+13+14+15+16+17+19"</formula>
    </cfRule>
  </conditionalFormatting>
  <conditionalFormatting sqref="H32">
    <cfRule type="expression" dxfId="663" priority="19">
      <formula>#REF!="32≠33+34"</formula>
    </cfRule>
  </conditionalFormatting>
  <conditionalFormatting sqref="H44">
    <cfRule type="expression" dxfId="662" priority="20">
      <formula>#REF!="44≠45+46"</formula>
    </cfRule>
  </conditionalFormatting>
  <conditionalFormatting sqref="H56">
    <cfRule type="expression" dxfId="661" priority="21">
      <formula>#REF!="56≠57+58"</formula>
    </cfRule>
  </conditionalFormatting>
  <conditionalFormatting sqref="H70">
    <cfRule type="expression" dxfId="660" priority="22">
      <formula>#REF!="70≠62+63+64+65+66+67+69"</formula>
    </cfRule>
  </conditionalFormatting>
  <conditionalFormatting sqref="H82">
    <cfRule type="expression" dxfId="659" priority="23">
      <formula>#REF!="82≠83+84"</formula>
    </cfRule>
  </conditionalFormatting>
  <conditionalFormatting sqref="H94">
    <cfRule type="expression" dxfId="658" priority="24">
      <formula>#REF!="94≠95+96"</formula>
    </cfRule>
  </conditionalFormatting>
  <conditionalFormatting sqref="H106">
    <cfRule type="expression" dxfId="657" priority="25">
      <formula>#REF!="106≠107+108"</formula>
    </cfRule>
  </conditionalFormatting>
  <conditionalFormatting sqref="H32">
    <cfRule type="expression" dxfId="656" priority="26">
      <formula>#REF!="32≠24+25+26+27+28+29+31"</formula>
    </cfRule>
  </conditionalFormatting>
  <conditionalFormatting sqref="H44">
    <cfRule type="expression" dxfId="655" priority="27">
      <formula>#REF!="44≠36+37+38+39+40+41+43"</formula>
    </cfRule>
  </conditionalFormatting>
  <conditionalFormatting sqref="H56">
    <cfRule type="expression" dxfId="654" priority="28">
      <formula>#REF!="56≠48+49+50+51+52+53+55"</formula>
    </cfRule>
  </conditionalFormatting>
  <conditionalFormatting sqref="H70">
    <cfRule type="expression" dxfId="653" priority="29">
      <formula>#REF!="70≠71+72"</formula>
    </cfRule>
  </conditionalFormatting>
  <conditionalFormatting sqref="H82">
    <cfRule type="expression" dxfId="652" priority="30">
      <formula>#REF!="82≠74+75+76+77+78+79+81"</formula>
    </cfRule>
  </conditionalFormatting>
  <conditionalFormatting sqref="H94">
    <cfRule type="expression" dxfId="651" priority="31">
      <formula>#REF!="94≠86+87+88+89+90+91+93"</formula>
    </cfRule>
  </conditionalFormatting>
  <conditionalFormatting sqref="H106">
    <cfRule type="expression" dxfId="650" priority="32">
      <formula>#REF!="106≠98+99+100+101+102+103+105"</formula>
    </cfRule>
  </conditionalFormatting>
  <conditionalFormatting sqref="AD20 AA20 C20 R20 AM20 X20 AJ20 O20 U20 AG20 F20 I20 L20">
    <cfRule type="expression" dxfId="649" priority="1091">
      <formula>#REF!="20≠21+22"</formula>
    </cfRule>
    <cfRule type="expression" dxfId="648" priority="1092">
      <formula>#REF!="20≠12+13+14+15+16+17+19"</formula>
    </cfRule>
  </conditionalFormatting>
  <conditionalFormatting sqref="AD32 AA32 C32 R32 AM32 X32 AJ32 O32 U32 AG32 F32 I32 L32">
    <cfRule type="expression" dxfId="647" priority="1093">
      <formula>#REF!="32≠33+34"</formula>
    </cfRule>
  </conditionalFormatting>
  <conditionalFormatting sqref="AD44 AA44 C44 R44 AM44 X44 AJ44 O44 U44 AG44 F44 I44 L44">
    <cfRule type="expression" dxfId="646" priority="1094">
      <formula>#REF!="44≠45+46"</formula>
    </cfRule>
  </conditionalFormatting>
  <conditionalFormatting sqref="AD56 AA56 C56 R56 AM56 X56 AJ56 O56 U56 AG56 F56 I56 L56">
    <cfRule type="expression" dxfId="645" priority="1095">
      <formula>#REF!="56≠57+58"</formula>
    </cfRule>
  </conditionalFormatting>
  <conditionalFormatting sqref="AD70 AA70 C70 R70 AM70 X70 AJ70 O70 U70 AG70 F70 I70 L70">
    <cfRule type="expression" dxfId="644" priority="1096">
      <formula>#REF!="70≠62+63+64+65+66+67+69"</formula>
    </cfRule>
  </conditionalFormatting>
  <conditionalFormatting sqref="AD82 AA82 C82 R82 AM82 X82 AJ82 O82 U82 AG82 F82 I82 L82">
    <cfRule type="expression" dxfId="643" priority="1097">
      <formula>#REF!="82≠83+84"</formula>
    </cfRule>
  </conditionalFormatting>
  <conditionalFormatting sqref="AD94 AA94 C94 R94 AM94 X94 AJ94 O94 U94 AG94 F94 I94 L94">
    <cfRule type="expression" dxfId="642" priority="1098">
      <formula>#REF!="94≠95+96"</formula>
    </cfRule>
  </conditionalFormatting>
  <conditionalFormatting sqref="AD106 AA106 C106 R106 AM106 X106 AJ106 O106 U106 AG106 F106 I106 L106">
    <cfRule type="expression" dxfId="641" priority="1099">
      <formula>#REF!="106≠107+108"</formula>
    </cfRule>
  </conditionalFormatting>
  <conditionalFormatting sqref="AD32 AA32 C32 R32 AM32 X32 AJ32 O32 U32 AG32 F32 I32 L32">
    <cfRule type="expression" dxfId="640" priority="1100">
      <formula>#REF!="32≠24+25+26+27+28+29+31"</formula>
    </cfRule>
  </conditionalFormatting>
  <conditionalFormatting sqref="AD44 AA44 C44 R44 AM44 X44 AJ44 O44 U44 AG44 F44 I44 L44">
    <cfRule type="expression" dxfId="639" priority="1101">
      <formula>#REF!="44≠36+37+38+39+40+41+43"</formula>
    </cfRule>
  </conditionalFormatting>
  <conditionalFormatting sqref="AD56 AA56 C56 R56 AM56 X56 AJ56 O56 U56 AG56 F56 I56 L56">
    <cfRule type="expression" dxfId="638" priority="1102">
      <formula>#REF!="56≠48+49+50+51+52+53+55"</formula>
    </cfRule>
  </conditionalFormatting>
  <conditionalFormatting sqref="AD70 AA70 C70 R70 AM70 X70 AJ70 O70 U70 AG70 F70 I70 L70">
    <cfRule type="expression" dxfId="637" priority="1103">
      <formula>#REF!="70≠71+72"</formula>
    </cfRule>
  </conditionalFormatting>
  <conditionalFormatting sqref="AD82 AA82 C82 R82 AM82 X82 AJ82 O82 U82 AG82 F82 I82 L82">
    <cfRule type="expression" dxfId="636" priority="1104">
      <formula>#REF!="82≠74+75+76+77+78+79+81"</formula>
    </cfRule>
  </conditionalFormatting>
  <conditionalFormatting sqref="AD94 AA94 C94 R94 AM94 X94 AJ94 O94 U94 AG94 F94 I94 L94">
    <cfRule type="expression" dxfId="635" priority="1105">
      <formula>#REF!="94≠86+87+88+89+90+91+93"</formula>
    </cfRule>
  </conditionalFormatting>
  <conditionalFormatting sqref="AD106 AA106 C106 R106 AM106 X106 AJ106 O106 U106 AG106 F106 I106 L106">
    <cfRule type="expression" dxfId="634" priority="1106">
      <formula>#REF!="106≠98+99+100+101+102+103+105"</formula>
    </cfRule>
  </conditionalFormatting>
  <hyperlinks>
    <hyperlink ref="B1" location="Innhold!A1" display="Tilbake" xr:uid="{00000000-0004-0000-1F00-000000000000}"/>
  </hyperlinks>
  <pageMargins left="0.78740157480314965" right="0.78740157480314965" top="1.5748031496062993" bottom="0.98425196850393704" header="0.51181102362204722" footer="0.51181102362204722"/>
  <pageSetup paperSize="9" scale="45" fitToWidth="4" orientation="portrait" r:id="rId1"/>
  <headerFooter alignWithMargins="0"/>
  <rowBreaks count="1" manualBreakCount="1">
    <brk id="59" max="39" man="1"/>
  </rowBreaks>
  <colBreaks count="4" manualBreakCount="4">
    <brk id="16" min="1" max="108" man="1"/>
    <brk id="4" min="1" max="108" man="1"/>
    <brk id="31" min="1" max="108" man="1"/>
    <brk id="37" min="1" max="108"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X222"/>
  <sheetViews>
    <sheetView showGridLines="0" zoomScale="80" zoomScaleNormal="80" workbookViewId="0">
      <pane xSplit="1" ySplit="9" topLeftCell="B10" activePane="bottomRight" state="frozen"/>
      <selection activeCell="AU39" sqref="AU39"/>
      <selection pane="topRight" activeCell="AU39" sqref="AU39"/>
      <selection pane="bottomLeft" activeCell="AU39" sqref="AU39"/>
      <selection pane="bottomRight" activeCell="A5" sqref="A5"/>
    </sheetView>
  </sheetViews>
  <sheetFormatPr baseColWidth="10" defaultColWidth="12.5703125" defaultRowHeight="15.75" x14ac:dyDescent="0.25"/>
  <cols>
    <col min="1" max="1" width="90.7109375" style="637" customWidth="1"/>
    <col min="2" max="46" width="11.7109375" style="637" customWidth="1"/>
    <col min="47" max="47" width="0" style="637" hidden="1" customWidth="1"/>
    <col min="48" max="16384" width="12.5703125" style="637"/>
  </cols>
  <sheetData>
    <row r="1" spans="1:50" ht="20.25" customHeight="1" x14ac:dyDescent="0.3">
      <c r="A1" s="580" t="s">
        <v>170</v>
      </c>
      <c r="B1" s="474" t="s">
        <v>52</v>
      </c>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c r="AK1" s="636"/>
      <c r="AL1" s="636"/>
      <c r="AM1" s="636"/>
      <c r="AN1" s="636"/>
      <c r="AO1" s="636"/>
      <c r="AP1" s="636"/>
      <c r="AQ1" s="636"/>
      <c r="AR1" s="636"/>
      <c r="AS1" s="636"/>
      <c r="AT1" s="636"/>
      <c r="AU1" s="636"/>
      <c r="AV1" s="636"/>
      <c r="AW1" s="636"/>
      <c r="AX1" s="636"/>
    </row>
    <row r="2" spans="1:50" ht="20.100000000000001" customHeight="1" x14ac:dyDescent="0.3">
      <c r="A2" s="638" t="s">
        <v>258</v>
      </c>
      <c r="B2" s="636"/>
      <c r="C2" s="636"/>
      <c r="D2" s="636"/>
      <c r="E2" s="636"/>
      <c r="F2" s="636"/>
      <c r="G2" s="636"/>
      <c r="H2" s="636"/>
      <c r="I2" s="636"/>
      <c r="J2" s="636"/>
      <c r="K2" s="636"/>
      <c r="L2" s="636"/>
      <c r="M2" s="636"/>
      <c r="N2" s="636"/>
      <c r="O2" s="636"/>
      <c r="P2" s="636"/>
      <c r="Q2" s="636"/>
      <c r="R2" s="636"/>
      <c r="S2" s="636"/>
      <c r="T2" s="636"/>
      <c r="U2" s="636"/>
      <c r="V2" s="636"/>
      <c r="W2" s="636"/>
      <c r="X2" s="636"/>
      <c r="Y2" s="636"/>
      <c r="Z2" s="636"/>
      <c r="AA2" s="636"/>
      <c r="AB2" s="636"/>
      <c r="AC2" s="636"/>
      <c r="AD2" s="636"/>
      <c r="AE2" s="636"/>
      <c r="AF2" s="636"/>
      <c r="AG2" s="636"/>
      <c r="AH2" s="636"/>
      <c r="AI2" s="636"/>
      <c r="AJ2" s="636"/>
      <c r="AK2" s="636"/>
      <c r="AL2" s="636"/>
      <c r="AM2" s="636"/>
      <c r="AN2" s="636"/>
      <c r="AO2" s="636"/>
      <c r="AP2" s="636"/>
      <c r="AQ2" s="636"/>
      <c r="AR2" s="636"/>
      <c r="AS2" s="636"/>
      <c r="AT2" s="636"/>
      <c r="AU2" s="636"/>
      <c r="AV2" s="636"/>
      <c r="AW2" s="636"/>
      <c r="AX2" s="636"/>
    </row>
    <row r="3" spans="1:50" ht="20.100000000000001" customHeight="1" x14ac:dyDescent="0.3">
      <c r="A3" s="639" t="s">
        <v>384</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6"/>
      <c r="AP3" s="636"/>
      <c r="AQ3" s="636"/>
      <c r="AR3" s="636"/>
      <c r="AS3" s="636"/>
      <c r="AT3" s="636"/>
      <c r="AU3" s="636"/>
      <c r="AV3" s="636"/>
      <c r="AW3" s="636"/>
      <c r="AX3" s="636"/>
    </row>
    <row r="4" spans="1:50" ht="20.100000000000001" customHeight="1" x14ac:dyDescent="0.3">
      <c r="A4" s="640" t="s">
        <v>385</v>
      </c>
      <c r="B4" s="641"/>
      <c r="C4" s="636"/>
      <c r="D4" s="636"/>
      <c r="E4" s="636"/>
      <c r="F4" s="636"/>
      <c r="G4" s="636"/>
      <c r="H4" s="636"/>
      <c r="I4" s="636"/>
      <c r="J4" s="636"/>
      <c r="K4" s="636"/>
      <c r="L4" s="636"/>
      <c r="M4" s="636"/>
      <c r="N4" s="636"/>
      <c r="O4" s="636"/>
      <c r="P4" s="636"/>
      <c r="Q4" s="636"/>
      <c r="R4" s="636"/>
      <c r="S4" s="636"/>
      <c r="T4" s="636"/>
      <c r="U4" s="636"/>
      <c r="V4" s="636"/>
      <c r="W4" s="636"/>
      <c r="X4" s="636"/>
      <c r="Y4" s="636"/>
      <c r="Z4" s="636"/>
      <c r="AA4" s="636"/>
      <c r="AB4" s="636"/>
      <c r="AC4" s="636"/>
      <c r="AD4" s="636"/>
      <c r="AE4" s="636"/>
      <c r="AF4" s="641"/>
      <c r="AG4" s="641"/>
      <c r="AH4" s="641"/>
      <c r="AI4" s="636"/>
      <c r="AJ4" s="636"/>
      <c r="AK4" s="636"/>
      <c r="AL4" s="636"/>
      <c r="AM4" s="636"/>
      <c r="AN4" s="636"/>
      <c r="AO4" s="636"/>
      <c r="AP4" s="636"/>
      <c r="AQ4" s="636"/>
      <c r="AR4" s="636"/>
      <c r="AS4" s="636"/>
      <c r="AT4" s="636"/>
      <c r="AU4" s="641"/>
      <c r="AV4" s="636"/>
      <c r="AW4" s="636"/>
      <c r="AX4" s="636"/>
    </row>
    <row r="5" spans="1:50" ht="18.75" customHeight="1" x14ac:dyDescent="0.3">
      <c r="A5" s="642" t="s">
        <v>360</v>
      </c>
      <c r="B5" s="643"/>
      <c r="C5" s="643"/>
      <c r="D5" s="644"/>
      <c r="E5" s="645"/>
      <c r="F5" s="643"/>
      <c r="G5" s="644"/>
      <c r="H5" s="645"/>
      <c r="I5" s="643"/>
      <c r="J5" s="644"/>
      <c r="K5" s="645"/>
      <c r="L5" s="643"/>
      <c r="M5" s="644"/>
      <c r="N5" s="645"/>
      <c r="O5" s="643"/>
      <c r="P5" s="644"/>
      <c r="Q5" s="643"/>
      <c r="R5" s="643"/>
      <c r="S5" s="643"/>
      <c r="T5" s="643"/>
      <c r="U5" s="643"/>
      <c r="V5" s="644"/>
      <c r="W5" s="645"/>
      <c r="X5" s="643"/>
      <c r="Y5" s="644"/>
      <c r="Z5" s="645"/>
      <c r="AA5" s="643"/>
      <c r="AB5" s="644"/>
      <c r="AC5" s="645"/>
      <c r="AD5" s="643"/>
      <c r="AE5" s="644"/>
      <c r="AF5" s="645"/>
      <c r="AG5" s="643"/>
      <c r="AH5" s="644"/>
      <c r="AI5" s="645"/>
      <c r="AJ5" s="643"/>
      <c r="AK5" s="644"/>
      <c r="AL5" s="645"/>
      <c r="AM5" s="643"/>
      <c r="AN5" s="644"/>
      <c r="AO5" s="645"/>
      <c r="AP5" s="643"/>
      <c r="AQ5" s="644"/>
      <c r="AR5" s="645"/>
      <c r="AS5" s="643"/>
      <c r="AT5" s="644"/>
      <c r="AU5" s="641"/>
      <c r="AV5" s="641"/>
      <c r="AW5" s="636"/>
      <c r="AX5" s="636"/>
    </row>
    <row r="6" spans="1:50" ht="18.75" customHeight="1" x14ac:dyDescent="0.3">
      <c r="A6" s="646" t="s">
        <v>99</v>
      </c>
      <c r="B6" s="1050" t="s">
        <v>173</v>
      </c>
      <c r="C6" s="1051"/>
      <c r="D6" s="1052"/>
      <c r="E6" s="1050" t="s">
        <v>174</v>
      </c>
      <c r="F6" s="1051"/>
      <c r="G6" s="1052"/>
      <c r="H6" s="1050" t="s">
        <v>174</v>
      </c>
      <c r="I6" s="1051"/>
      <c r="J6" s="1052"/>
      <c r="K6" s="1050" t="s">
        <v>487</v>
      </c>
      <c r="L6" s="1051"/>
      <c r="M6" s="1052"/>
      <c r="N6" s="1050" t="s">
        <v>175</v>
      </c>
      <c r="O6" s="1051"/>
      <c r="P6" s="1052"/>
      <c r="Q6" s="1050" t="s">
        <v>176</v>
      </c>
      <c r="R6" s="1051"/>
      <c r="S6" s="1052"/>
      <c r="T6" s="1050" t="s">
        <v>177</v>
      </c>
      <c r="U6" s="1051"/>
      <c r="V6" s="1052"/>
      <c r="W6" s="944" t="s">
        <v>177</v>
      </c>
      <c r="X6" s="945"/>
      <c r="Y6" s="946"/>
      <c r="Z6" s="888"/>
      <c r="AA6" s="889"/>
      <c r="AB6" s="890"/>
      <c r="AC6" s="1050" t="s">
        <v>178</v>
      </c>
      <c r="AD6" s="1051"/>
      <c r="AE6" s="1052"/>
      <c r="AF6" s="959"/>
      <c r="AG6" s="960"/>
      <c r="AH6" s="961"/>
      <c r="AI6" s="1050"/>
      <c r="AJ6" s="1051"/>
      <c r="AK6" s="1052"/>
      <c r="AL6" s="1050" t="s">
        <v>72</v>
      </c>
      <c r="AM6" s="1051"/>
      <c r="AN6" s="1052"/>
      <c r="AO6" s="1053" t="s">
        <v>2</v>
      </c>
      <c r="AP6" s="1054"/>
      <c r="AQ6" s="1055"/>
      <c r="AR6" s="1050" t="s">
        <v>2</v>
      </c>
      <c r="AS6" s="1051"/>
      <c r="AT6" s="1052"/>
      <c r="AU6" s="641"/>
      <c r="AV6" s="641"/>
      <c r="AW6" s="636"/>
      <c r="AX6" s="636"/>
    </row>
    <row r="7" spans="1:50" ht="18.75" customHeight="1" x14ac:dyDescent="0.3">
      <c r="A7" s="647"/>
      <c r="B7" s="1047" t="s">
        <v>179</v>
      </c>
      <c r="C7" s="1048"/>
      <c r="D7" s="1049"/>
      <c r="E7" s="1047" t="s">
        <v>498</v>
      </c>
      <c r="F7" s="1048"/>
      <c r="G7" s="1049"/>
      <c r="H7" s="1047" t="s">
        <v>180</v>
      </c>
      <c r="I7" s="1048"/>
      <c r="J7" s="1049"/>
      <c r="K7" s="1047" t="s">
        <v>180</v>
      </c>
      <c r="L7" s="1048"/>
      <c r="M7" s="1049"/>
      <c r="N7" s="1047" t="s">
        <v>180</v>
      </c>
      <c r="O7" s="1048"/>
      <c r="P7" s="1049"/>
      <c r="Q7" s="1047" t="s">
        <v>181</v>
      </c>
      <c r="R7" s="1048"/>
      <c r="S7" s="1049"/>
      <c r="T7" s="1047" t="s">
        <v>90</v>
      </c>
      <c r="U7" s="1048"/>
      <c r="V7" s="1049"/>
      <c r="W7" s="1047" t="s">
        <v>63</v>
      </c>
      <c r="X7" s="1048"/>
      <c r="Y7" s="1049"/>
      <c r="Z7" s="1047" t="s">
        <v>65</v>
      </c>
      <c r="AA7" s="1048"/>
      <c r="AB7" s="1049"/>
      <c r="AC7" s="1047" t="s">
        <v>179</v>
      </c>
      <c r="AD7" s="1048"/>
      <c r="AE7" s="1049"/>
      <c r="AF7" s="1047" t="s">
        <v>71</v>
      </c>
      <c r="AG7" s="1048"/>
      <c r="AH7" s="1049"/>
      <c r="AI7" s="1047" t="s">
        <v>67</v>
      </c>
      <c r="AJ7" s="1048"/>
      <c r="AK7" s="1049"/>
      <c r="AL7" s="1047" t="s">
        <v>180</v>
      </c>
      <c r="AM7" s="1048"/>
      <c r="AN7" s="1049"/>
      <c r="AO7" s="1041" t="s">
        <v>284</v>
      </c>
      <c r="AP7" s="1042"/>
      <c r="AQ7" s="1043"/>
      <c r="AR7" s="1044" t="s">
        <v>285</v>
      </c>
      <c r="AS7" s="1045"/>
      <c r="AT7" s="1046"/>
      <c r="AU7" s="641"/>
      <c r="AV7" s="641"/>
      <c r="AW7" s="636"/>
      <c r="AX7" s="636"/>
    </row>
    <row r="8" spans="1:50" ht="18.75" customHeight="1" x14ac:dyDescent="0.3">
      <c r="A8" s="647"/>
      <c r="B8" s="592"/>
      <c r="C8" s="592"/>
      <c r="D8" s="593" t="s">
        <v>80</v>
      </c>
      <c r="E8" s="592"/>
      <c r="F8" s="592"/>
      <c r="G8" s="593" t="s">
        <v>80</v>
      </c>
      <c r="H8" s="592"/>
      <c r="I8" s="592"/>
      <c r="J8" s="593" t="s">
        <v>80</v>
      </c>
      <c r="K8" s="592"/>
      <c r="L8" s="592"/>
      <c r="M8" s="593" t="s">
        <v>80</v>
      </c>
      <c r="N8" s="592"/>
      <c r="O8" s="592"/>
      <c r="P8" s="593" t="s">
        <v>80</v>
      </c>
      <c r="Q8" s="592"/>
      <c r="R8" s="592"/>
      <c r="S8" s="593" t="s">
        <v>80</v>
      </c>
      <c r="T8" s="592"/>
      <c r="U8" s="592"/>
      <c r="V8" s="593" t="s">
        <v>80</v>
      </c>
      <c r="W8" s="592"/>
      <c r="X8" s="592"/>
      <c r="Y8" s="593" t="s">
        <v>80</v>
      </c>
      <c r="Z8" s="592"/>
      <c r="AA8" s="592"/>
      <c r="AB8" s="593" t="s">
        <v>80</v>
      </c>
      <c r="AC8" s="592"/>
      <c r="AD8" s="592"/>
      <c r="AE8" s="593" t="s">
        <v>80</v>
      </c>
      <c r="AF8" s="592"/>
      <c r="AG8" s="592"/>
      <c r="AH8" s="593" t="s">
        <v>80</v>
      </c>
      <c r="AI8" s="592"/>
      <c r="AJ8" s="592"/>
      <c r="AK8" s="593" t="s">
        <v>80</v>
      </c>
      <c r="AL8" s="592"/>
      <c r="AM8" s="592"/>
      <c r="AN8" s="593" t="s">
        <v>80</v>
      </c>
      <c r="AO8" s="592"/>
      <c r="AP8" s="592"/>
      <c r="AQ8" s="593" t="s">
        <v>80</v>
      </c>
      <c r="AR8" s="592"/>
      <c r="AS8" s="592"/>
      <c r="AT8" s="593" t="s">
        <v>80</v>
      </c>
      <c r="AU8" s="641"/>
      <c r="AV8" s="641"/>
      <c r="AW8" s="636"/>
      <c r="AX8" s="636"/>
    </row>
    <row r="9" spans="1:50" ht="18.75" customHeight="1" x14ac:dyDescent="0.3">
      <c r="A9" s="648" t="s">
        <v>286</v>
      </c>
      <c r="B9" s="595">
        <v>2019</v>
      </c>
      <c r="C9" s="595">
        <v>2020</v>
      </c>
      <c r="D9" s="596" t="s">
        <v>82</v>
      </c>
      <c r="E9" s="595">
        <f>$B$9</f>
        <v>2019</v>
      </c>
      <c r="F9" s="595">
        <f>$C$9</f>
        <v>2020</v>
      </c>
      <c r="G9" s="596" t="s">
        <v>82</v>
      </c>
      <c r="H9" s="595">
        <f>$B$9</f>
        <v>2019</v>
      </c>
      <c r="I9" s="595">
        <f>$C$9</f>
        <v>2020</v>
      </c>
      <c r="J9" s="596" t="s">
        <v>82</v>
      </c>
      <c r="K9" s="595">
        <f>$B$9</f>
        <v>2019</v>
      </c>
      <c r="L9" s="595">
        <f>$C$9</f>
        <v>2020</v>
      </c>
      <c r="M9" s="596" t="s">
        <v>82</v>
      </c>
      <c r="N9" s="595">
        <f>$B$9</f>
        <v>2019</v>
      </c>
      <c r="O9" s="595">
        <f>$C$9</f>
        <v>2020</v>
      </c>
      <c r="P9" s="596" t="s">
        <v>82</v>
      </c>
      <c r="Q9" s="595">
        <f>$B$9</f>
        <v>2019</v>
      </c>
      <c r="R9" s="595">
        <f>$C$9</f>
        <v>2020</v>
      </c>
      <c r="S9" s="596" t="s">
        <v>82</v>
      </c>
      <c r="T9" s="595">
        <f>$B$9</f>
        <v>2019</v>
      </c>
      <c r="U9" s="595">
        <f>$C$9</f>
        <v>2020</v>
      </c>
      <c r="V9" s="596" t="s">
        <v>82</v>
      </c>
      <c r="W9" s="595">
        <f>$B$9</f>
        <v>2019</v>
      </c>
      <c r="X9" s="595">
        <f>$C$9</f>
        <v>2020</v>
      </c>
      <c r="Y9" s="596" t="s">
        <v>82</v>
      </c>
      <c r="Z9" s="595">
        <f>$B$9</f>
        <v>2019</v>
      </c>
      <c r="AA9" s="595">
        <f>$C$9</f>
        <v>2020</v>
      </c>
      <c r="AB9" s="596" t="s">
        <v>82</v>
      </c>
      <c r="AC9" s="595">
        <f>$B$9</f>
        <v>2019</v>
      </c>
      <c r="AD9" s="595">
        <f>$C$9</f>
        <v>2020</v>
      </c>
      <c r="AE9" s="596" t="s">
        <v>82</v>
      </c>
      <c r="AF9" s="595">
        <f>$B$9</f>
        <v>2019</v>
      </c>
      <c r="AG9" s="595">
        <f>$C$9</f>
        <v>2020</v>
      </c>
      <c r="AH9" s="596" t="s">
        <v>82</v>
      </c>
      <c r="AI9" s="595">
        <f>$B$9</f>
        <v>2019</v>
      </c>
      <c r="AJ9" s="595">
        <f>$C$9</f>
        <v>2020</v>
      </c>
      <c r="AK9" s="596" t="s">
        <v>82</v>
      </c>
      <c r="AL9" s="595">
        <f>$B$9</f>
        <v>2019</v>
      </c>
      <c r="AM9" s="595">
        <f>$C$9</f>
        <v>2020</v>
      </c>
      <c r="AN9" s="596" t="s">
        <v>82</v>
      </c>
      <c r="AO9" s="595">
        <f>$B$9</f>
        <v>2019</v>
      </c>
      <c r="AP9" s="595">
        <f>$C$9</f>
        <v>2020</v>
      </c>
      <c r="AQ9" s="596" t="s">
        <v>82</v>
      </c>
      <c r="AR9" s="595">
        <f>$B$9</f>
        <v>2019</v>
      </c>
      <c r="AS9" s="595">
        <f>$C$9</f>
        <v>2020</v>
      </c>
      <c r="AT9" s="596" t="s">
        <v>82</v>
      </c>
      <c r="AU9" s="641"/>
      <c r="AV9" s="641"/>
      <c r="AW9" s="636"/>
      <c r="AX9" s="636"/>
    </row>
    <row r="10" spans="1:50" ht="18.75" customHeight="1" x14ac:dyDescent="0.3">
      <c r="A10" s="649"/>
      <c r="B10" s="907"/>
      <c r="C10" s="908"/>
      <c r="D10" s="650"/>
      <c r="E10" s="907"/>
      <c r="F10" s="908"/>
      <c r="G10" s="654"/>
      <c r="H10" s="907"/>
      <c r="I10" s="908"/>
      <c r="J10" s="651"/>
      <c r="K10" s="652"/>
      <c r="L10" s="655"/>
      <c r="M10" s="653"/>
      <c r="N10" s="907"/>
      <c r="O10" s="908"/>
      <c r="P10" s="653"/>
      <c r="Q10" s="907"/>
      <c r="R10" s="908"/>
      <c r="S10" s="650"/>
      <c r="T10" s="907"/>
      <c r="U10" s="908"/>
      <c r="V10" s="654"/>
      <c r="W10" s="908"/>
      <c r="X10" s="908"/>
      <c r="Y10" s="651"/>
      <c r="Z10" s="907"/>
      <c r="AA10" s="908"/>
      <c r="AB10" s="651"/>
      <c r="AC10" s="907"/>
      <c r="AD10" s="908"/>
      <c r="AE10" s="651"/>
      <c r="AF10" s="907"/>
      <c r="AG10" s="908"/>
      <c r="AH10" s="651"/>
      <c r="AI10" s="907"/>
      <c r="AJ10" s="908"/>
      <c r="AK10" s="651"/>
      <c r="AL10" s="907"/>
      <c r="AM10" s="908"/>
      <c r="AN10" s="651"/>
      <c r="AO10" s="650"/>
      <c r="AP10" s="650"/>
      <c r="AQ10" s="651"/>
      <c r="AR10" s="650"/>
      <c r="AS10" s="650"/>
      <c r="AT10" s="651"/>
      <c r="AU10" s="641"/>
      <c r="AV10" s="641"/>
      <c r="AW10" s="636"/>
      <c r="AX10" s="636"/>
    </row>
    <row r="11" spans="1:50" ht="18.75" customHeight="1" x14ac:dyDescent="0.3">
      <c r="A11" s="602" t="s">
        <v>386</v>
      </c>
      <c r="B11" s="900"/>
      <c r="C11" s="901"/>
      <c r="D11" s="656"/>
      <c r="E11" s="900"/>
      <c r="F11" s="901"/>
      <c r="G11" s="657"/>
      <c r="H11" s="900"/>
      <c r="I11" s="901"/>
      <c r="J11" s="657"/>
      <c r="K11" s="603"/>
      <c r="L11" s="618"/>
      <c r="M11" s="657"/>
      <c r="N11" s="900"/>
      <c r="O11" s="901"/>
      <c r="P11" s="657"/>
      <c r="Q11" s="900"/>
      <c r="R11" s="901"/>
      <c r="S11" s="656"/>
      <c r="T11" s="900"/>
      <c r="U11" s="901"/>
      <c r="V11" s="657"/>
      <c r="W11" s="901"/>
      <c r="X11" s="901"/>
      <c r="Y11" s="657"/>
      <c r="Z11" s="900"/>
      <c r="AA11" s="901"/>
      <c r="AB11" s="657"/>
      <c r="AC11" s="900"/>
      <c r="AD11" s="901"/>
      <c r="AE11" s="657"/>
      <c r="AF11" s="900"/>
      <c r="AG11" s="901"/>
      <c r="AH11" s="657"/>
      <c r="AI11" s="900"/>
      <c r="AJ11" s="901"/>
      <c r="AK11" s="657"/>
      <c r="AL11" s="900"/>
      <c r="AM11" s="901"/>
      <c r="AN11" s="657"/>
      <c r="AO11" s="656"/>
      <c r="AP11" s="656"/>
      <c r="AQ11" s="657"/>
      <c r="AR11" s="656"/>
      <c r="AS11" s="656"/>
      <c r="AT11" s="657"/>
      <c r="AU11" s="641"/>
      <c r="AV11" s="641"/>
      <c r="AW11" s="636"/>
      <c r="AX11" s="636"/>
    </row>
    <row r="12" spans="1:50" s="660" customFormat="1" ht="18.75" customHeight="1" x14ac:dyDescent="0.3">
      <c r="A12" s="608" t="s">
        <v>366</v>
      </c>
      <c r="B12" s="902">
        <f>0.171+0.102</f>
        <v>0.27300000000000002</v>
      </c>
      <c r="C12" s="903">
        <f>1.291+0.544</f>
        <v>1.835</v>
      </c>
      <c r="D12" s="658">
        <f>IF(B12=0, "    ---- ", IF(ABS(ROUND(100/B12*C12-100,1))&lt;999,ROUND(100/B12*C12-100,1),IF(ROUND(100/B12*C12-100,1)&gt;999,999,-999)))</f>
        <v>572.20000000000005</v>
      </c>
      <c r="E12" s="902">
        <v>5</v>
      </c>
      <c r="F12" s="903">
        <v>7</v>
      </c>
      <c r="G12" s="659">
        <f t="shared" ref="G12:G18" si="0">IF(E12=0, "    ---- ", IF(ABS(ROUND(100/E12*F12-100,1))&lt;999,ROUND(100/E12*F12-100,1),IF(ROUND(100/E12*F12-100,1)&gt;999,999,-999)))</f>
        <v>40</v>
      </c>
      <c r="H12" s="902">
        <f>156.51+48.38</f>
        <v>204.89</v>
      </c>
      <c r="I12" s="903">
        <f>133.6-63.3</f>
        <v>70.3</v>
      </c>
      <c r="J12" s="659">
        <f t="shared" ref="J12:J17" si="1">IF(H12=0, "    ---- ", IF(ABS(ROUND(100/H12*I12-100,1))&lt;999,ROUND(100/H12*I12-100,1),IF(ROUND(100/H12*I12-100,1)&gt;999,999,-999)))</f>
        <v>-65.7</v>
      </c>
      <c r="K12" s="444"/>
      <c r="L12" s="616"/>
      <c r="M12" s="659"/>
      <c r="N12" s="902"/>
      <c r="O12" s="903"/>
      <c r="P12" s="659"/>
      <c r="Q12" s="902"/>
      <c r="R12" s="903"/>
      <c r="S12" s="658"/>
      <c r="T12" s="902"/>
      <c r="U12" s="903"/>
      <c r="V12" s="659"/>
      <c r="W12" s="903"/>
      <c r="X12" s="903"/>
      <c r="Y12" s="659"/>
      <c r="Z12" s="902">
        <v>106.18869109101105</v>
      </c>
      <c r="AA12" s="903">
        <v>92.59</v>
      </c>
      <c r="AB12" s="659">
        <f>IF(Z12=0, "    ---- ", IF(ABS(ROUND(100/Z12*AA12-100,1))&lt;999,ROUND(100/Z12*AA12-100,1),IF(ROUND(100/Z12*AA12-100,1)&gt;999,999,-999)))</f>
        <v>-12.8</v>
      </c>
      <c r="AC12" s="902"/>
      <c r="AD12" s="903"/>
      <c r="AE12" s="659"/>
      <c r="AF12" s="902"/>
      <c r="AG12" s="903"/>
      <c r="AH12" s="659"/>
      <c r="AI12" s="902">
        <v>143</v>
      </c>
      <c r="AJ12" s="903">
        <v>-11</v>
      </c>
      <c r="AK12" s="659">
        <f>IF(AI12=0, "    ---- ", IF(ABS(ROUND(100/AI12*AJ12-100,1))&lt;999,ROUND(100/AI12*AJ12-100,1),IF(ROUND(100/AI12*AJ12-100,1)&gt;999,999,-999)))</f>
        <v>-107.7</v>
      </c>
      <c r="AL12" s="902">
        <v>210</v>
      </c>
      <c r="AM12" s="903">
        <v>448</v>
      </c>
      <c r="AN12" s="659">
        <f t="shared" ref="AN12:AN22" si="2">IF(AL12=0, "    ---- ", IF(ABS(ROUND(100/AL12*AM12-100,1))&lt;999,ROUND(100/AL12*AM12-100,1),IF(ROUND(100/AL12*AM12-100,1)&gt;999,999,-999)))</f>
        <v>113.3</v>
      </c>
      <c r="AO12" s="658">
        <f t="shared" ref="AO12:AO22" si="3">B12+H12+K12+N12+Q12+W12+E12+Z12+AC12+AI12+AL12</f>
        <v>669.35169109101105</v>
      </c>
      <c r="AP12" s="658">
        <f t="shared" ref="AP12:AP22" si="4">C12+I12+L12+O12+R12+X12+F12+AA12+AD12+AJ12+AM12</f>
        <v>608.72500000000002</v>
      </c>
      <c r="AQ12" s="659">
        <f t="shared" ref="AQ12:AQ43" si="5">IF(AO12=0, "    ---- ", IF(ABS(ROUND(100/AO12*AP12-100,1))&lt;999,ROUND(100/AO12*AP12-100,1),IF(ROUND(100/AO12*AP12-100,1)&gt;999,999,-999)))</f>
        <v>-9.1</v>
      </c>
      <c r="AR12" s="658">
        <f t="shared" ref="AR12:AR43" si="6">+B12+H12+K12+N12+Q12+T12+W12+E12+Z12+AC12+AF12+AI12+AL12</f>
        <v>669.35169109101105</v>
      </c>
      <c r="AS12" s="658">
        <f t="shared" ref="AS12:AS43" si="7">+C12+I12+L12+O12+R12+U12+X12+F12+AA12+AD12+AG12+AJ12+AM12</f>
        <v>608.72500000000002</v>
      </c>
      <c r="AT12" s="659">
        <f t="shared" ref="AT12:AT43" si="8">IF(AR12=0, "    ---- ", IF(ABS(ROUND(100/AR12*AS12-100,1))&lt;999,ROUND(100/AR12*AS12-100,1),IF(ROUND(100/AR12*AS12-100,1)&gt;999,999,-999)))</f>
        <v>-9.1</v>
      </c>
      <c r="AU12" s="641"/>
      <c r="AV12" s="641"/>
      <c r="AW12" s="636"/>
      <c r="AX12" s="636"/>
    </row>
    <row r="13" spans="1:50" s="660" customFormat="1" ht="18.75" customHeight="1" x14ac:dyDescent="0.3">
      <c r="A13" s="608" t="s">
        <v>367</v>
      </c>
      <c r="B13" s="902"/>
      <c r="C13" s="903"/>
      <c r="D13" s="658"/>
      <c r="E13" s="902"/>
      <c r="F13" s="903"/>
      <c r="G13" s="659"/>
      <c r="H13" s="902">
        <f>-10.55-14.786</f>
        <v>-25.335999999999999</v>
      </c>
      <c r="I13" s="903">
        <f>1.6+63.7</f>
        <v>65.3</v>
      </c>
      <c r="J13" s="659">
        <f t="shared" si="1"/>
        <v>-357.7</v>
      </c>
      <c r="K13" s="444"/>
      <c r="L13" s="616"/>
      <c r="M13" s="659"/>
      <c r="N13" s="902"/>
      <c r="O13" s="903"/>
      <c r="P13" s="659"/>
      <c r="Q13" s="902"/>
      <c r="R13" s="903"/>
      <c r="S13" s="658"/>
      <c r="T13" s="902"/>
      <c r="U13" s="903"/>
      <c r="V13" s="659"/>
      <c r="W13" s="903"/>
      <c r="X13" s="903"/>
      <c r="Y13" s="659"/>
      <c r="Z13" s="902">
        <v>-77.548491999999996</v>
      </c>
      <c r="AA13" s="903">
        <v>-56.43</v>
      </c>
      <c r="AB13" s="659">
        <f>IF(Z13=0, "    ---- ", IF(ABS(ROUND(100/Z13*AA13-100,1))&lt;999,ROUND(100/Z13*AA13-100,1),IF(ROUND(100/Z13*AA13-100,1)&gt;999,999,-999)))</f>
        <v>-27.2</v>
      </c>
      <c r="AC13" s="902"/>
      <c r="AD13" s="903"/>
      <c r="AE13" s="659"/>
      <c r="AF13" s="902"/>
      <c r="AG13" s="903"/>
      <c r="AH13" s="659"/>
      <c r="AI13" s="902">
        <v>-61</v>
      </c>
      <c r="AJ13" s="903">
        <v>11</v>
      </c>
      <c r="AK13" s="659">
        <f>IF(AI13=0, "    ---- ", IF(ABS(ROUND(100/AI13*AJ13-100,1))&lt;999,ROUND(100/AI13*AJ13-100,1),IF(ROUND(100/AI13*AJ13-100,1)&gt;999,999,-999)))</f>
        <v>-118</v>
      </c>
      <c r="AL13" s="902">
        <v>-167</v>
      </c>
      <c r="AM13" s="903">
        <v>-293.3</v>
      </c>
      <c r="AN13" s="659">
        <f t="shared" si="2"/>
        <v>75.599999999999994</v>
      </c>
      <c r="AO13" s="658">
        <f t="shared" si="3"/>
        <v>-330.88449200000002</v>
      </c>
      <c r="AP13" s="658">
        <f t="shared" si="4"/>
        <v>-273.43</v>
      </c>
      <c r="AQ13" s="659">
        <f t="shared" si="5"/>
        <v>-17.399999999999999</v>
      </c>
      <c r="AR13" s="658">
        <f t="shared" si="6"/>
        <v>-330.88449200000002</v>
      </c>
      <c r="AS13" s="658">
        <f t="shared" si="7"/>
        <v>-273.43</v>
      </c>
      <c r="AT13" s="659">
        <f t="shared" si="8"/>
        <v>-17.399999999999999</v>
      </c>
      <c r="AU13" s="641"/>
      <c r="AV13" s="641"/>
      <c r="AW13" s="636"/>
      <c r="AX13" s="636"/>
    </row>
    <row r="14" spans="1:50" s="660" customFormat="1" ht="18.75" customHeight="1" x14ac:dyDescent="0.3">
      <c r="A14" s="608" t="s">
        <v>368</v>
      </c>
      <c r="B14" s="902">
        <f>-2.549-0.092</f>
        <v>-2.641</v>
      </c>
      <c r="C14" s="903">
        <f>-2.784-1.035</f>
        <v>-3.819</v>
      </c>
      <c r="D14" s="658">
        <f>IF(B14=0, "    ---- ", IF(ABS(ROUND(100/B14*C14-100,1))&lt;999,ROUND(100/B14*C14-100,1),IF(ROUND(100/B14*C14-100,1)&gt;999,999,-999)))</f>
        <v>44.6</v>
      </c>
      <c r="E14" s="902">
        <v>-2</v>
      </c>
      <c r="F14" s="903">
        <v>-2</v>
      </c>
      <c r="G14" s="659">
        <f t="shared" si="0"/>
        <v>0</v>
      </c>
      <c r="H14" s="902">
        <f>8.034+3.125</f>
        <v>11.159000000000001</v>
      </c>
      <c r="I14" s="903">
        <f>36+4.7</f>
        <v>40.700000000000003</v>
      </c>
      <c r="J14" s="659">
        <f t="shared" si="1"/>
        <v>264.7</v>
      </c>
      <c r="K14" s="444"/>
      <c r="L14" s="616"/>
      <c r="M14" s="659"/>
      <c r="N14" s="902"/>
      <c r="O14" s="903"/>
      <c r="P14" s="659"/>
      <c r="Q14" s="902"/>
      <c r="R14" s="903"/>
      <c r="S14" s="658"/>
      <c r="T14" s="902"/>
      <c r="U14" s="903"/>
      <c r="V14" s="659"/>
      <c r="W14" s="903"/>
      <c r="X14" s="903"/>
      <c r="Y14" s="659"/>
      <c r="Z14" s="902">
        <v>2.4832603043745158</v>
      </c>
      <c r="AA14" s="903">
        <v>12.3</v>
      </c>
      <c r="AB14" s="659">
        <f t="shared" ref="AB14:AB21" si="9">IF(Z14=0, "    ---- ", IF(ABS(ROUND(100/Z14*AA14-100,1))&lt;999,ROUND(100/Z14*AA14-100,1),IF(ROUND(100/Z14*AA14-100,1)&gt;999,999,-999)))</f>
        <v>395.3</v>
      </c>
      <c r="AC14" s="902"/>
      <c r="AD14" s="903"/>
      <c r="AE14" s="659"/>
      <c r="AF14" s="902"/>
      <c r="AG14" s="903"/>
      <c r="AH14" s="659"/>
      <c r="AI14" s="902">
        <v>-15</v>
      </c>
      <c r="AJ14" s="903">
        <v>-11</v>
      </c>
      <c r="AK14" s="659">
        <f>IF(AI14=0, "    ---- ", IF(ABS(ROUND(100/AI14*AJ14-100,1))&lt;999,ROUND(100/AI14*AJ14-100,1),IF(ROUND(100/AI14*AJ14-100,1)&gt;999,999,-999)))</f>
        <v>-26.7</v>
      </c>
      <c r="AL14" s="902">
        <v>0</v>
      </c>
      <c r="AM14" s="903">
        <v>-38</v>
      </c>
      <c r="AN14" s="659" t="str">
        <f t="shared" si="2"/>
        <v xml:space="preserve">    ---- </v>
      </c>
      <c r="AO14" s="658">
        <f t="shared" si="3"/>
        <v>-5.998739695625483</v>
      </c>
      <c r="AP14" s="658">
        <f t="shared" si="4"/>
        <v>-1.8190000000000026</v>
      </c>
      <c r="AQ14" s="659">
        <f t="shared" si="5"/>
        <v>-69.7</v>
      </c>
      <c r="AR14" s="658">
        <f t="shared" si="6"/>
        <v>-5.998739695625483</v>
      </c>
      <c r="AS14" s="658">
        <f t="shared" si="7"/>
        <v>-1.8190000000000026</v>
      </c>
      <c r="AT14" s="659">
        <f t="shared" si="8"/>
        <v>-69.7</v>
      </c>
      <c r="AU14" s="641"/>
      <c r="AV14" s="641"/>
      <c r="AW14" s="636"/>
      <c r="AX14" s="636"/>
    </row>
    <row r="15" spans="1:50" s="660" customFormat="1" ht="18.75" customHeight="1" x14ac:dyDescent="0.3">
      <c r="A15" s="608" t="s">
        <v>369</v>
      </c>
      <c r="B15" s="902"/>
      <c r="C15" s="903"/>
      <c r="D15" s="658"/>
      <c r="E15" s="902">
        <v>1</v>
      </c>
      <c r="F15" s="903">
        <v>1</v>
      </c>
      <c r="G15" s="659">
        <f t="shared" si="0"/>
        <v>0</v>
      </c>
      <c r="H15" s="902">
        <v>23.449000000000002</v>
      </c>
      <c r="I15" s="903">
        <f>21.3</f>
        <v>21.3</v>
      </c>
      <c r="J15" s="659">
        <f t="shared" si="1"/>
        <v>-9.1999999999999993</v>
      </c>
      <c r="K15" s="444"/>
      <c r="L15" s="616"/>
      <c r="M15" s="659"/>
      <c r="N15" s="902"/>
      <c r="O15" s="903"/>
      <c r="P15" s="659"/>
      <c r="Q15" s="902"/>
      <c r="R15" s="903"/>
      <c r="S15" s="658"/>
      <c r="T15" s="902"/>
      <c r="U15" s="903"/>
      <c r="V15" s="659"/>
      <c r="W15" s="903"/>
      <c r="X15" s="903"/>
      <c r="Y15" s="659"/>
      <c r="Z15" s="902">
        <v>0.86702040000000002</v>
      </c>
      <c r="AA15" s="903">
        <v>0.62</v>
      </c>
      <c r="AB15" s="659">
        <f t="shared" si="9"/>
        <v>-28.5</v>
      </c>
      <c r="AC15" s="902"/>
      <c r="AD15" s="903"/>
      <c r="AE15" s="659"/>
      <c r="AF15" s="902"/>
      <c r="AG15" s="903"/>
      <c r="AH15" s="659"/>
      <c r="AI15" s="902"/>
      <c r="AJ15" s="903"/>
      <c r="AK15" s="659"/>
      <c r="AL15" s="902">
        <v>34</v>
      </c>
      <c r="AM15" s="903">
        <v>29</v>
      </c>
      <c r="AN15" s="659">
        <f t="shared" si="2"/>
        <v>-14.7</v>
      </c>
      <c r="AO15" s="658">
        <f t="shared" si="3"/>
        <v>59.316020399999999</v>
      </c>
      <c r="AP15" s="658">
        <f t="shared" si="4"/>
        <v>51.92</v>
      </c>
      <c r="AQ15" s="659">
        <f t="shared" si="5"/>
        <v>-12.5</v>
      </c>
      <c r="AR15" s="658">
        <f t="shared" si="6"/>
        <v>59.316020399999999</v>
      </c>
      <c r="AS15" s="658">
        <f t="shared" si="7"/>
        <v>51.92</v>
      </c>
      <c r="AT15" s="659">
        <f t="shared" si="8"/>
        <v>-12.5</v>
      </c>
      <c r="AU15" s="641"/>
      <c r="AV15" s="641"/>
      <c r="AW15" s="636"/>
      <c r="AX15" s="636"/>
    </row>
    <row r="16" spans="1:50" s="660" customFormat="1" ht="18.75" customHeight="1" x14ac:dyDescent="0.3">
      <c r="A16" s="608" t="s">
        <v>370</v>
      </c>
      <c r="B16" s="902">
        <v>1.339</v>
      </c>
      <c r="C16" s="903">
        <v>1.552</v>
      </c>
      <c r="D16" s="658">
        <f>IF(B16=0, "    ---- ", IF(ABS(ROUND(100/B16*C16-100,1))&lt;999,ROUND(100/B16*C16-100,1),IF(ROUND(100/B16*C16-100,1)&gt;999,999,-999)))</f>
        <v>15.9</v>
      </c>
      <c r="E16" s="902">
        <v>2</v>
      </c>
      <c r="F16" s="903">
        <v>2</v>
      </c>
      <c r="G16" s="659">
        <f t="shared" si="0"/>
        <v>0</v>
      </c>
      <c r="H16" s="902">
        <v>82.373999999999995</v>
      </c>
      <c r="I16" s="903">
        <f>71.2</f>
        <v>71.2</v>
      </c>
      <c r="J16" s="659">
        <f t="shared" si="1"/>
        <v>-13.6</v>
      </c>
      <c r="K16" s="444"/>
      <c r="L16" s="616"/>
      <c r="M16" s="659"/>
      <c r="N16" s="902"/>
      <c r="O16" s="903"/>
      <c r="P16" s="659"/>
      <c r="Q16" s="902"/>
      <c r="R16" s="903"/>
      <c r="S16" s="658"/>
      <c r="T16" s="902"/>
      <c r="U16" s="903"/>
      <c r="V16" s="659"/>
      <c r="W16" s="903"/>
      <c r="X16" s="903"/>
      <c r="Y16" s="659"/>
      <c r="Z16" s="902">
        <v>85.551824999999994</v>
      </c>
      <c r="AA16" s="903">
        <v>67.56</v>
      </c>
      <c r="AB16" s="659">
        <f t="shared" si="9"/>
        <v>-21</v>
      </c>
      <c r="AC16" s="902"/>
      <c r="AD16" s="903"/>
      <c r="AE16" s="659"/>
      <c r="AF16" s="902"/>
      <c r="AG16" s="903"/>
      <c r="AH16" s="659"/>
      <c r="AI16" s="902">
        <v>15</v>
      </c>
      <c r="AJ16" s="903">
        <v>14</v>
      </c>
      <c r="AK16" s="659">
        <f>IF(AI16=0, "    ---- ", IF(ABS(ROUND(100/AI16*AJ16-100,1))&lt;999,ROUND(100/AI16*AJ16-100,1),IF(ROUND(100/AI16*AJ16-100,1)&gt;999,999,-999)))</f>
        <v>-6.7</v>
      </c>
      <c r="AL16" s="902">
        <v>237</v>
      </c>
      <c r="AM16" s="903">
        <v>197</v>
      </c>
      <c r="AN16" s="659">
        <f t="shared" si="2"/>
        <v>-16.899999999999999</v>
      </c>
      <c r="AO16" s="658">
        <f t="shared" si="3"/>
        <v>423.26482499999997</v>
      </c>
      <c r="AP16" s="658">
        <f t="shared" si="4"/>
        <v>353.31200000000001</v>
      </c>
      <c r="AQ16" s="659">
        <f t="shared" si="5"/>
        <v>-16.5</v>
      </c>
      <c r="AR16" s="658">
        <f t="shared" si="6"/>
        <v>423.26482499999997</v>
      </c>
      <c r="AS16" s="658">
        <f t="shared" si="7"/>
        <v>353.31200000000001</v>
      </c>
      <c r="AT16" s="659">
        <f t="shared" si="8"/>
        <v>-16.5</v>
      </c>
      <c r="AU16" s="641"/>
      <c r="AV16" s="641"/>
      <c r="AW16" s="636"/>
      <c r="AX16" s="636"/>
    </row>
    <row r="17" spans="1:50" s="660" customFormat="1" ht="18.75" customHeight="1" x14ac:dyDescent="0.3">
      <c r="A17" s="608" t="s">
        <v>371</v>
      </c>
      <c r="B17" s="902">
        <f>-4.226-1.126</f>
        <v>-5.3520000000000003</v>
      </c>
      <c r="C17" s="903">
        <f>-4.909+0.348</f>
        <v>-4.5609999999999999</v>
      </c>
      <c r="D17" s="658">
        <f>IF(B17=0, "    ---- ", IF(ABS(ROUND(100/B17*C17-100,1))&lt;999,ROUND(100/B17*C17-100,1),IF(ROUND(100/B17*C17-100,1)&gt;999,999,-999)))</f>
        <v>-14.8</v>
      </c>
      <c r="E17" s="902">
        <v>2</v>
      </c>
      <c r="F17" s="903">
        <v>-1</v>
      </c>
      <c r="G17" s="659">
        <f t="shared" si="0"/>
        <v>-150</v>
      </c>
      <c r="H17" s="902">
        <f>-0.983+4.855</f>
        <v>3.8720000000000003</v>
      </c>
      <c r="I17" s="903">
        <f>3.3+11.3</f>
        <v>14.600000000000001</v>
      </c>
      <c r="J17" s="659">
        <f t="shared" si="1"/>
        <v>277.10000000000002</v>
      </c>
      <c r="K17" s="444"/>
      <c r="L17" s="616"/>
      <c r="M17" s="659"/>
      <c r="N17" s="902"/>
      <c r="O17" s="903"/>
      <c r="P17" s="659"/>
      <c r="Q17" s="902"/>
      <c r="R17" s="903"/>
      <c r="S17" s="658"/>
      <c r="T17" s="902"/>
      <c r="U17" s="903"/>
      <c r="V17" s="659"/>
      <c r="W17" s="903"/>
      <c r="X17" s="903"/>
      <c r="Y17" s="659"/>
      <c r="Z17" s="902">
        <v>-2.2998246663571047</v>
      </c>
      <c r="AA17" s="903">
        <v>-0.49</v>
      </c>
      <c r="AB17" s="659">
        <f t="shared" si="9"/>
        <v>-78.7</v>
      </c>
      <c r="AC17" s="902"/>
      <c r="AD17" s="903"/>
      <c r="AE17" s="659"/>
      <c r="AF17" s="902"/>
      <c r="AG17" s="903"/>
      <c r="AH17" s="659"/>
      <c r="AI17" s="902">
        <v>2</v>
      </c>
      <c r="AJ17" s="903">
        <v>4</v>
      </c>
      <c r="AK17" s="659">
        <f>IF(AI17=0, "    ---- ", IF(ABS(ROUND(100/AI17*AJ17-100,1))&lt;999,ROUND(100/AI17*AJ17-100,1),IF(ROUND(100/AI17*AJ17-100,1)&gt;999,999,-999)))</f>
        <v>100</v>
      </c>
      <c r="AL17" s="902">
        <v>-30</v>
      </c>
      <c r="AM17" s="903">
        <v>-147</v>
      </c>
      <c r="AN17" s="659">
        <f t="shared" si="2"/>
        <v>390</v>
      </c>
      <c r="AO17" s="658">
        <f t="shared" si="3"/>
        <v>-29.779824666357104</v>
      </c>
      <c r="AP17" s="658">
        <f t="shared" si="4"/>
        <v>-134.45099999999999</v>
      </c>
      <c r="AQ17" s="659">
        <f t="shared" si="5"/>
        <v>351.5</v>
      </c>
      <c r="AR17" s="658">
        <f t="shared" si="6"/>
        <v>-29.779824666357104</v>
      </c>
      <c r="AS17" s="658">
        <f t="shared" si="7"/>
        <v>-134.45099999999999</v>
      </c>
      <c r="AT17" s="659">
        <f t="shared" si="8"/>
        <v>351.5</v>
      </c>
      <c r="AU17" s="641"/>
      <c r="AV17" s="641"/>
      <c r="AW17" s="636"/>
      <c r="AX17" s="636"/>
    </row>
    <row r="18" spans="1:50" s="660" customFormat="1" ht="18.75" customHeight="1" x14ac:dyDescent="0.3">
      <c r="A18" s="608" t="s">
        <v>372</v>
      </c>
      <c r="B18" s="902"/>
      <c r="C18" s="903"/>
      <c r="D18" s="658"/>
      <c r="E18" s="902">
        <v>1</v>
      </c>
      <c r="F18" s="903"/>
      <c r="G18" s="659">
        <f t="shared" si="0"/>
        <v>-100</v>
      </c>
      <c r="H18" s="902"/>
      <c r="I18" s="903"/>
      <c r="J18" s="659"/>
      <c r="K18" s="444"/>
      <c r="L18" s="616"/>
      <c r="M18" s="659"/>
      <c r="N18" s="902"/>
      <c r="O18" s="903"/>
      <c r="P18" s="659"/>
      <c r="Q18" s="902"/>
      <c r="R18" s="903"/>
      <c r="S18" s="658"/>
      <c r="T18" s="902"/>
      <c r="U18" s="903"/>
      <c r="V18" s="659"/>
      <c r="W18" s="903"/>
      <c r="X18" s="903"/>
      <c r="Y18" s="659"/>
      <c r="Z18" s="902">
        <v>15.574069166215221</v>
      </c>
      <c r="AA18" s="903">
        <v>15.65</v>
      </c>
      <c r="AB18" s="659">
        <f t="shared" si="9"/>
        <v>0.5</v>
      </c>
      <c r="AC18" s="902"/>
      <c r="AD18" s="903"/>
      <c r="AE18" s="659"/>
      <c r="AF18" s="902"/>
      <c r="AG18" s="903"/>
      <c r="AH18" s="659"/>
      <c r="AI18" s="902"/>
      <c r="AJ18" s="903"/>
      <c r="AK18" s="659"/>
      <c r="AL18" s="902">
        <v>2</v>
      </c>
      <c r="AM18" s="903">
        <v>-144</v>
      </c>
      <c r="AN18" s="659">
        <f t="shared" si="2"/>
        <v>-999</v>
      </c>
      <c r="AO18" s="658">
        <f t="shared" si="3"/>
        <v>18.574069166215221</v>
      </c>
      <c r="AP18" s="658">
        <f t="shared" si="4"/>
        <v>-128.35</v>
      </c>
      <c r="AQ18" s="659">
        <f t="shared" si="5"/>
        <v>-791</v>
      </c>
      <c r="AR18" s="658">
        <f t="shared" si="6"/>
        <v>18.574069166215221</v>
      </c>
      <c r="AS18" s="658">
        <f t="shared" si="7"/>
        <v>-128.35</v>
      </c>
      <c r="AT18" s="659">
        <f t="shared" si="8"/>
        <v>-791</v>
      </c>
      <c r="AU18" s="641"/>
      <c r="AV18" s="641"/>
      <c r="AW18" s="636"/>
      <c r="AX18" s="636"/>
    </row>
    <row r="19" spans="1:50" s="660" customFormat="1" ht="18.75" customHeight="1" x14ac:dyDescent="0.3">
      <c r="A19" s="608" t="s">
        <v>373</v>
      </c>
      <c r="B19" s="902"/>
      <c r="C19" s="903"/>
      <c r="D19" s="658"/>
      <c r="E19" s="902">
        <v>-1</v>
      </c>
      <c r="F19" s="903">
        <v>0</v>
      </c>
      <c r="G19" s="659">
        <f>IF(E19=0, "    ---- ", IF(ABS(ROUND(100/E19*F19-100,1))&lt;999,ROUND(100/E19*F19-100,1),IF(ROUND(100/E19*F19-100,1)&gt;999,999,-999)))</f>
        <v>-100</v>
      </c>
      <c r="H19" s="902"/>
      <c r="I19" s="903"/>
      <c r="J19" s="659"/>
      <c r="K19" s="444"/>
      <c r="L19" s="616"/>
      <c r="M19" s="659"/>
      <c r="N19" s="902"/>
      <c r="O19" s="903"/>
      <c r="P19" s="659"/>
      <c r="Q19" s="902"/>
      <c r="R19" s="903"/>
      <c r="S19" s="658"/>
      <c r="T19" s="902"/>
      <c r="U19" s="903"/>
      <c r="V19" s="659"/>
      <c r="W19" s="903"/>
      <c r="X19" s="903"/>
      <c r="Y19" s="659"/>
      <c r="Z19" s="902"/>
      <c r="AA19" s="903"/>
      <c r="AB19" s="659"/>
      <c r="AC19" s="902"/>
      <c r="AD19" s="903"/>
      <c r="AE19" s="659"/>
      <c r="AF19" s="902"/>
      <c r="AG19" s="903"/>
      <c r="AH19" s="659"/>
      <c r="AI19" s="902"/>
      <c r="AJ19" s="903"/>
      <c r="AK19" s="659"/>
      <c r="AL19" s="902"/>
      <c r="AM19" s="903"/>
      <c r="AN19" s="659"/>
      <c r="AO19" s="658">
        <f t="shared" si="3"/>
        <v>-1</v>
      </c>
      <c r="AP19" s="658">
        <f t="shared" si="4"/>
        <v>0</v>
      </c>
      <c r="AQ19" s="659">
        <f t="shared" si="5"/>
        <v>-100</v>
      </c>
      <c r="AR19" s="658">
        <f t="shared" si="6"/>
        <v>-1</v>
      </c>
      <c r="AS19" s="658">
        <f t="shared" si="7"/>
        <v>0</v>
      </c>
      <c r="AT19" s="659">
        <f t="shared" si="8"/>
        <v>-100</v>
      </c>
      <c r="AU19" s="641"/>
      <c r="AV19" s="641"/>
      <c r="AW19" s="636"/>
      <c r="AX19" s="636"/>
    </row>
    <row r="20" spans="1:50" s="663" customFormat="1" ht="18.75" customHeight="1" x14ac:dyDescent="0.3">
      <c r="A20" s="602" t="s">
        <v>374</v>
      </c>
      <c r="B20" s="900">
        <f>SUM(B12:B17)+B19</f>
        <v>-6.3810000000000002</v>
      </c>
      <c r="C20" s="901">
        <f>SUM(C12:C17)+C19</f>
        <v>-4.9930000000000003</v>
      </c>
      <c r="D20" s="656">
        <f>IF(B20=0, "    ---- ", IF(ABS(ROUND(100/B20*C20-100,1))&lt;999,ROUND(100/B20*C20-100,1),IF(ROUND(100/B20*C20-100,1)&gt;999,999,-999)))</f>
        <v>-21.8</v>
      </c>
      <c r="E20" s="900">
        <f>SUM(E12:E17)+E19</f>
        <v>7</v>
      </c>
      <c r="F20" s="901">
        <f>SUM(F12:F17)+F19</f>
        <v>7</v>
      </c>
      <c r="G20" s="657">
        <f>IF(E20=0, "    ---- ", IF(ABS(ROUND(100/E20*F20-100,1))&lt;999,ROUND(100/E20*F20-100,1),IF(ROUND(100/E20*F20-100,1)&gt;999,999,-999)))</f>
        <v>0</v>
      </c>
      <c r="H20" s="900">
        <f>SUM(H12:H17)+H19</f>
        <v>300.40799999999996</v>
      </c>
      <c r="I20" s="901">
        <f>SUM(I12:I17)+I19</f>
        <v>283.40000000000003</v>
      </c>
      <c r="J20" s="657">
        <f>IF(H20=0, "    ---- ", IF(ABS(ROUND(100/H20*I20-100,1))&lt;999,ROUND(100/H20*I20-100,1),IF(ROUND(100/H20*I20-100,1)&gt;999,999,-999)))</f>
        <v>-5.7</v>
      </c>
      <c r="K20" s="603"/>
      <c r="L20" s="618"/>
      <c r="M20" s="657"/>
      <c r="N20" s="900"/>
      <c r="O20" s="901"/>
      <c r="P20" s="657"/>
      <c r="Q20" s="900"/>
      <c r="R20" s="901"/>
      <c r="S20" s="656"/>
      <c r="T20" s="900"/>
      <c r="U20" s="901"/>
      <c r="V20" s="657"/>
      <c r="W20" s="901"/>
      <c r="X20" s="901"/>
      <c r="Y20" s="657"/>
      <c r="Z20" s="900">
        <f>SUM(Z12:Z17)+Z19</f>
        <v>115.24248012902845</v>
      </c>
      <c r="AA20" s="901">
        <f>SUM(AA12:AA17)+AA19</f>
        <v>116.15000000000002</v>
      </c>
      <c r="AB20" s="657">
        <f t="shared" si="9"/>
        <v>0.8</v>
      </c>
      <c r="AC20" s="900"/>
      <c r="AD20" s="901"/>
      <c r="AE20" s="657"/>
      <c r="AF20" s="900"/>
      <c r="AG20" s="901"/>
      <c r="AH20" s="657"/>
      <c r="AI20" s="900">
        <f>SUM(AI12:AI17)+AI19</f>
        <v>84</v>
      </c>
      <c r="AJ20" s="901">
        <f>SUM(AJ12:AJ17)+AJ19</f>
        <v>7</v>
      </c>
      <c r="AK20" s="657">
        <f>IF(AI20=0, "    ---- ", IF(ABS(ROUND(100/AI20*AJ20-100,1))&lt;999,ROUND(100/AI20*AJ20-100,1),IF(ROUND(100/AI20*AJ20-100,1)&gt;999,999,-999)))</f>
        <v>-91.7</v>
      </c>
      <c r="AL20" s="900">
        <f>SUM(AL12:AL17)+AL19</f>
        <v>284</v>
      </c>
      <c r="AM20" s="901">
        <v>195.7</v>
      </c>
      <c r="AN20" s="657">
        <f t="shared" si="2"/>
        <v>-31.1</v>
      </c>
      <c r="AO20" s="656">
        <f t="shared" si="3"/>
        <v>784.26948012902835</v>
      </c>
      <c r="AP20" s="656">
        <f t="shared" si="4"/>
        <v>604.25700000000006</v>
      </c>
      <c r="AQ20" s="657">
        <f t="shared" si="5"/>
        <v>-23</v>
      </c>
      <c r="AR20" s="656">
        <f t="shared" si="6"/>
        <v>784.26948012902835</v>
      </c>
      <c r="AS20" s="656">
        <f t="shared" si="7"/>
        <v>604.25700000000006</v>
      </c>
      <c r="AT20" s="657">
        <f t="shared" si="8"/>
        <v>-23</v>
      </c>
      <c r="AU20" s="661"/>
      <c r="AV20" s="639"/>
      <c r="AW20" s="662"/>
      <c r="AX20" s="662"/>
    </row>
    <row r="21" spans="1:50" s="660" customFormat="1" ht="18.75" customHeight="1" x14ac:dyDescent="0.3">
      <c r="A21" s="608" t="s">
        <v>375</v>
      </c>
      <c r="B21" s="902">
        <f>0.171+0.102</f>
        <v>0.27300000000000002</v>
      </c>
      <c r="C21" s="903">
        <f>1.291+0.544</f>
        <v>1.835</v>
      </c>
      <c r="D21" s="658">
        <f>IF(B21=0, "    ---- ", IF(ABS(ROUND(100/B21*C21-100,1))&lt;999,ROUND(100/B21*C21-100,1),IF(ROUND(100/B21*C21-100,1)&gt;999,999,-999)))</f>
        <v>572.20000000000005</v>
      </c>
      <c r="E21" s="902">
        <v>6</v>
      </c>
      <c r="F21" s="903">
        <v>6</v>
      </c>
      <c r="G21" s="659">
        <f>IF(E21=0, "    ---- ", IF(ABS(ROUND(100/E21*F21-100,1))&lt;999,ROUND(100/E21*F21-100,1),IF(ROUND(100/E21*F21-100,1)&gt;999,999,-999)))</f>
        <v>0</v>
      </c>
      <c r="H21" s="902">
        <f>145.96+27.02</f>
        <v>172.98000000000002</v>
      </c>
      <c r="I21" s="903">
        <f>139.4+11.3</f>
        <v>150.70000000000002</v>
      </c>
      <c r="J21" s="659">
        <f>IF(H21=0, "    ---- ", IF(ABS(ROUND(100/H21*I21-100,1))&lt;999,ROUND(100/H21*I21-100,1),IF(ROUND(100/H21*I21-100,1)&gt;999,999,-999)))</f>
        <v>-12.9</v>
      </c>
      <c r="K21" s="444"/>
      <c r="L21" s="616"/>
      <c r="M21" s="659"/>
      <c r="N21" s="902"/>
      <c r="O21" s="903"/>
      <c r="P21" s="659"/>
      <c r="Q21" s="902"/>
      <c r="R21" s="903"/>
      <c r="S21" s="658"/>
      <c r="T21" s="902"/>
      <c r="U21" s="903"/>
      <c r="V21" s="659"/>
      <c r="W21" s="903"/>
      <c r="X21" s="903"/>
      <c r="Y21" s="659"/>
      <c r="Z21" s="902">
        <v>28.131732333642901</v>
      </c>
      <c r="AA21" s="903">
        <v>61.09</v>
      </c>
      <c r="AB21" s="659">
        <f t="shared" si="9"/>
        <v>117.2</v>
      </c>
      <c r="AC21" s="902"/>
      <c r="AD21" s="903"/>
      <c r="AE21" s="659"/>
      <c r="AF21" s="902"/>
      <c r="AG21" s="903"/>
      <c r="AH21" s="659"/>
      <c r="AI21" s="902">
        <v>83</v>
      </c>
      <c r="AJ21" s="903">
        <v>2</v>
      </c>
      <c r="AK21" s="659">
        <f>IF(AI21=0, "    ---- ", IF(ABS(ROUND(100/AI21*AJ21-100,1))&lt;999,ROUND(100/AI21*AJ21-100,1),IF(ROUND(100/AI21*AJ21-100,1)&gt;999,999,-999)))</f>
        <v>-97.6</v>
      </c>
      <c r="AL21" s="902">
        <v>63</v>
      </c>
      <c r="AM21" s="903">
        <v>152.02000000000001</v>
      </c>
      <c r="AN21" s="659">
        <f t="shared" si="2"/>
        <v>141.30000000000001</v>
      </c>
      <c r="AO21" s="658">
        <f t="shared" si="3"/>
        <v>353.38473233364289</v>
      </c>
      <c r="AP21" s="658">
        <f t="shared" si="4"/>
        <v>373.64500000000004</v>
      </c>
      <c r="AQ21" s="659">
        <f t="shared" si="5"/>
        <v>5.7</v>
      </c>
      <c r="AR21" s="658">
        <f t="shared" si="6"/>
        <v>353.38473233364289</v>
      </c>
      <c r="AS21" s="658">
        <f t="shared" si="7"/>
        <v>373.64500000000004</v>
      </c>
      <c r="AT21" s="659">
        <f t="shared" si="8"/>
        <v>5.7</v>
      </c>
      <c r="AU21" s="641"/>
      <c r="AV21" s="641"/>
      <c r="AW21" s="636"/>
      <c r="AX21" s="636"/>
    </row>
    <row r="22" spans="1:50" s="660" customFormat="1" ht="18.75" customHeight="1" x14ac:dyDescent="0.3">
      <c r="A22" s="608" t="s">
        <v>376</v>
      </c>
      <c r="B22" s="902">
        <f>-5.436-1.218</f>
        <v>-6.6539999999999999</v>
      </c>
      <c r="C22" s="903">
        <f>-6.141-0.667</f>
        <v>-6.8079999999999998</v>
      </c>
      <c r="D22" s="658">
        <f>IF(B22=0, "    ---- ", IF(ABS(ROUND(100/B22*C22-100,1))&lt;999,ROUND(100/B22*C22-100,1),IF(ROUND(100/B22*C22-100,1)&gt;999,999,-999)))</f>
        <v>2.2999999999999998</v>
      </c>
      <c r="E22" s="902">
        <v>1</v>
      </c>
      <c r="F22" s="903">
        <v>1</v>
      </c>
      <c r="G22" s="659">
        <f>IF(E22=0, "    ---- ", IF(ABS(ROUND(100/E22*F22-100,1))&lt;999,ROUND(100/E22*F22-100,1),IF(ROUND(100/E22*F22-100,1)&gt;999,999,-999)))</f>
        <v>0</v>
      </c>
      <c r="H22" s="902">
        <f>112.874+14.55</f>
        <v>127.42399999999999</v>
      </c>
      <c r="I22" s="903">
        <f>127.6+5.1</f>
        <v>132.69999999999999</v>
      </c>
      <c r="J22" s="659">
        <f>IF(H22=0, "    ---- ", IF(ABS(ROUND(100/H22*I22-100,1))&lt;999,ROUND(100/H22*I22-100,1),IF(ROUND(100/H22*I22-100,1)&gt;999,999,-999)))</f>
        <v>4.0999999999999996</v>
      </c>
      <c r="K22" s="444"/>
      <c r="L22" s="616"/>
      <c r="M22" s="659"/>
      <c r="N22" s="902"/>
      <c r="O22" s="903"/>
      <c r="P22" s="659"/>
      <c r="Q22" s="902"/>
      <c r="R22" s="903"/>
      <c r="S22" s="658"/>
      <c r="T22" s="902"/>
      <c r="U22" s="903"/>
      <c r="V22" s="659"/>
      <c r="W22" s="903"/>
      <c r="X22" s="903"/>
      <c r="Y22" s="659"/>
      <c r="Z22" s="902">
        <v>87.110747795385549</v>
      </c>
      <c r="AA22" s="903">
        <v>55.05</v>
      </c>
      <c r="AB22" s="659">
        <f>IF(Z22=0, "    ---- ", IF(ABS(ROUND(100/Z22*AA22-100,1))&lt;999,ROUND(100/Z22*AA22-100,1),IF(ROUND(100/Z22*AA22-100,1)&gt;999,999,-999)))</f>
        <v>-36.799999999999997</v>
      </c>
      <c r="AC22" s="902"/>
      <c r="AD22" s="903"/>
      <c r="AE22" s="659"/>
      <c r="AF22" s="902"/>
      <c r="AG22" s="903"/>
      <c r="AH22" s="659"/>
      <c r="AI22" s="902">
        <v>1</v>
      </c>
      <c r="AJ22" s="903">
        <v>5</v>
      </c>
      <c r="AK22" s="659">
        <f>IF(AI22=0, "    ---- ", IF(ABS(ROUND(100/AI22*AJ22-100,1))&lt;999,ROUND(100/AI22*AJ22-100,1),IF(ROUND(100/AI22*AJ22-100,1)&gt;999,999,-999)))</f>
        <v>400</v>
      </c>
      <c r="AL22" s="902">
        <v>220</v>
      </c>
      <c r="AM22" s="903">
        <v>43.49</v>
      </c>
      <c r="AN22" s="659">
        <f t="shared" si="2"/>
        <v>-80.2</v>
      </c>
      <c r="AO22" s="658">
        <f t="shared" si="3"/>
        <v>429.88074779538556</v>
      </c>
      <c r="AP22" s="658">
        <f t="shared" si="4"/>
        <v>230.43200000000002</v>
      </c>
      <c r="AQ22" s="659">
        <f t="shared" si="5"/>
        <v>-46.4</v>
      </c>
      <c r="AR22" s="658">
        <f t="shared" si="6"/>
        <v>429.88074779538556</v>
      </c>
      <c r="AS22" s="658">
        <f t="shared" si="7"/>
        <v>230.43200000000002</v>
      </c>
      <c r="AT22" s="659">
        <f t="shared" si="8"/>
        <v>-46.4</v>
      </c>
      <c r="AU22" s="641"/>
      <c r="AV22" s="641"/>
      <c r="AW22" s="636"/>
      <c r="AX22" s="636"/>
    </row>
    <row r="23" spans="1:50" ht="18.75" customHeight="1" x14ac:dyDescent="0.3">
      <c r="A23" s="602" t="s">
        <v>387</v>
      </c>
      <c r="B23" s="900"/>
      <c r="C23" s="901"/>
      <c r="D23" s="656"/>
      <c r="E23" s="900"/>
      <c r="F23" s="901"/>
      <c r="G23" s="657"/>
      <c r="H23" s="900"/>
      <c r="I23" s="901"/>
      <c r="J23" s="657"/>
      <c r="K23" s="603"/>
      <c r="L23" s="618"/>
      <c r="M23" s="657"/>
      <c r="N23" s="900"/>
      <c r="O23" s="901"/>
      <c r="P23" s="657"/>
      <c r="Q23" s="900"/>
      <c r="R23" s="901"/>
      <c r="S23" s="656"/>
      <c r="T23" s="900"/>
      <c r="U23" s="901"/>
      <c r="V23" s="657"/>
      <c r="W23" s="901"/>
      <c r="X23" s="901"/>
      <c r="Y23" s="657"/>
      <c r="Z23" s="900"/>
      <c r="AA23" s="901"/>
      <c r="AB23" s="657"/>
      <c r="AC23" s="900"/>
      <c r="AD23" s="901"/>
      <c r="AE23" s="657"/>
      <c r="AF23" s="900"/>
      <c r="AG23" s="901"/>
      <c r="AH23" s="657"/>
      <c r="AI23" s="900"/>
      <c r="AJ23" s="901"/>
      <c r="AK23" s="657"/>
      <c r="AL23" s="900"/>
      <c r="AM23" s="901"/>
      <c r="AN23" s="657"/>
      <c r="AO23" s="658"/>
      <c r="AP23" s="658"/>
      <c r="AQ23" s="657"/>
      <c r="AR23" s="658">
        <f t="shared" si="6"/>
        <v>0</v>
      </c>
      <c r="AS23" s="658">
        <f t="shared" si="7"/>
        <v>0</v>
      </c>
      <c r="AT23" s="657"/>
      <c r="AU23" s="641"/>
      <c r="AV23" s="641"/>
      <c r="AW23" s="636"/>
      <c r="AX23" s="636"/>
    </row>
    <row r="24" spans="1:50" s="660" customFormat="1" ht="18.75" customHeight="1" x14ac:dyDescent="0.3">
      <c r="A24" s="608" t="s">
        <v>366</v>
      </c>
      <c r="B24" s="902"/>
      <c r="C24" s="903"/>
      <c r="D24" s="658"/>
      <c r="E24" s="902"/>
      <c r="F24" s="903"/>
      <c r="G24" s="659"/>
      <c r="H24" s="902"/>
      <c r="I24" s="903"/>
      <c r="J24" s="659"/>
      <c r="K24" s="444"/>
      <c r="L24" s="616"/>
      <c r="M24" s="659"/>
      <c r="N24" s="902"/>
      <c r="O24" s="903"/>
      <c r="P24" s="659"/>
      <c r="Q24" s="902"/>
      <c r="R24" s="903"/>
      <c r="S24" s="658"/>
      <c r="T24" s="902"/>
      <c r="U24" s="903"/>
      <c r="V24" s="659"/>
      <c r="W24" s="903"/>
      <c r="X24" s="903"/>
      <c r="Y24" s="659"/>
      <c r="Z24" s="902"/>
      <c r="AA24" s="903"/>
      <c r="AB24" s="659"/>
      <c r="AC24" s="902"/>
      <c r="AD24" s="903"/>
      <c r="AE24" s="659"/>
      <c r="AF24" s="902"/>
      <c r="AG24" s="903"/>
      <c r="AH24" s="659"/>
      <c r="AI24" s="902"/>
      <c r="AJ24" s="903"/>
      <c r="AK24" s="659"/>
      <c r="AL24" s="902"/>
      <c r="AM24" s="903"/>
      <c r="AN24" s="659"/>
      <c r="AO24" s="658">
        <f t="shared" ref="AO24:AO34" si="10">B24+H24+K24+N24+Q24+W24+E24+Z24+AC24+AI24+AL24</f>
        <v>0</v>
      </c>
      <c r="AP24" s="658">
        <f t="shared" ref="AP24:AP34" si="11">C24+I24+L24+O24+R24+X24+F24+AA24+AD24+AJ24+AM24</f>
        <v>0</v>
      </c>
      <c r="AQ24" s="659" t="str">
        <f t="shared" si="5"/>
        <v xml:space="preserve">    ---- </v>
      </c>
      <c r="AR24" s="658">
        <f t="shared" si="6"/>
        <v>0</v>
      </c>
      <c r="AS24" s="658">
        <f t="shared" si="7"/>
        <v>0</v>
      </c>
      <c r="AT24" s="659" t="str">
        <f t="shared" si="8"/>
        <v xml:space="preserve">    ---- </v>
      </c>
      <c r="AU24" s="641"/>
      <c r="AV24" s="641"/>
      <c r="AW24" s="636"/>
      <c r="AX24" s="636"/>
    </row>
    <row r="25" spans="1:50" s="660" customFormat="1" ht="18.75" customHeight="1" x14ac:dyDescent="0.3">
      <c r="A25" s="608" t="s">
        <v>367</v>
      </c>
      <c r="B25" s="902"/>
      <c r="C25" s="903"/>
      <c r="D25" s="658"/>
      <c r="E25" s="902"/>
      <c r="F25" s="903"/>
      <c r="G25" s="659"/>
      <c r="H25" s="902"/>
      <c r="I25" s="903"/>
      <c r="J25" s="659"/>
      <c r="K25" s="444"/>
      <c r="L25" s="616"/>
      <c r="M25" s="659"/>
      <c r="N25" s="902"/>
      <c r="O25" s="903"/>
      <c r="P25" s="659"/>
      <c r="Q25" s="902"/>
      <c r="R25" s="903"/>
      <c r="S25" s="658"/>
      <c r="T25" s="902"/>
      <c r="U25" s="903"/>
      <c r="V25" s="659"/>
      <c r="W25" s="903"/>
      <c r="X25" s="903"/>
      <c r="Y25" s="659"/>
      <c r="Z25" s="902"/>
      <c r="AA25" s="903"/>
      <c r="AB25" s="659"/>
      <c r="AC25" s="902"/>
      <c r="AD25" s="903"/>
      <c r="AE25" s="659"/>
      <c r="AF25" s="902"/>
      <c r="AG25" s="903"/>
      <c r="AH25" s="659"/>
      <c r="AI25" s="902"/>
      <c r="AJ25" s="903"/>
      <c r="AK25" s="659"/>
      <c r="AL25" s="902"/>
      <c r="AM25" s="903"/>
      <c r="AN25" s="659"/>
      <c r="AO25" s="658">
        <f t="shared" si="10"/>
        <v>0</v>
      </c>
      <c r="AP25" s="658">
        <f t="shared" si="11"/>
        <v>0</v>
      </c>
      <c r="AQ25" s="659" t="str">
        <f t="shared" si="5"/>
        <v xml:space="preserve">    ---- </v>
      </c>
      <c r="AR25" s="658">
        <f t="shared" si="6"/>
        <v>0</v>
      </c>
      <c r="AS25" s="658">
        <f t="shared" si="7"/>
        <v>0</v>
      </c>
      <c r="AT25" s="659" t="str">
        <f t="shared" si="8"/>
        <v xml:space="preserve">    ---- </v>
      </c>
      <c r="AU25" s="641"/>
      <c r="AV25" s="641"/>
      <c r="AW25" s="636"/>
      <c r="AX25" s="636"/>
    </row>
    <row r="26" spans="1:50" s="660" customFormat="1" ht="18.75" customHeight="1" x14ac:dyDescent="0.3">
      <c r="A26" s="608" t="s">
        <v>368</v>
      </c>
      <c r="B26" s="902"/>
      <c r="C26" s="903"/>
      <c r="D26" s="658"/>
      <c r="E26" s="902"/>
      <c r="F26" s="903"/>
      <c r="G26" s="659"/>
      <c r="H26" s="902"/>
      <c r="I26" s="903"/>
      <c r="J26" s="659"/>
      <c r="K26" s="444"/>
      <c r="L26" s="616"/>
      <c r="M26" s="659"/>
      <c r="N26" s="902"/>
      <c r="O26" s="903"/>
      <c r="P26" s="659"/>
      <c r="Q26" s="902"/>
      <c r="R26" s="903"/>
      <c r="S26" s="658"/>
      <c r="T26" s="902"/>
      <c r="U26" s="903"/>
      <c r="V26" s="659"/>
      <c r="W26" s="903"/>
      <c r="X26" s="903"/>
      <c r="Y26" s="659"/>
      <c r="Z26" s="902"/>
      <c r="AA26" s="903"/>
      <c r="AB26" s="659"/>
      <c r="AC26" s="902"/>
      <c r="AD26" s="903"/>
      <c r="AE26" s="659"/>
      <c r="AF26" s="902"/>
      <c r="AG26" s="903"/>
      <c r="AH26" s="659"/>
      <c r="AI26" s="902"/>
      <c r="AJ26" s="903"/>
      <c r="AK26" s="659"/>
      <c r="AL26" s="902"/>
      <c r="AM26" s="903"/>
      <c r="AN26" s="659"/>
      <c r="AO26" s="658">
        <f t="shared" si="10"/>
        <v>0</v>
      </c>
      <c r="AP26" s="658">
        <f t="shared" si="11"/>
        <v>0</v>
      </c>
      <c r="AQ26" s="659" t="str">
        <f t="shared" si="5"/>
        <v xml:space="preserve">    ---- </v>
      </c>
      <c r="AR26" s="658">
        <f t="shared" si="6"/>
        <v>0</v>
      </c>
      <c r="AS26" s="658">
        <f t="shared" si="7"/>
        <v>0</v>
      </c>
      <c r="AT26" s="659" t="str">
        <f t="shared" si="8"/>
        <v xml:space="preserve">    ---- </v>
      </c>
      <c r="AU26" s="641"/>
      <c r="AV26" s="641"/>
      <c r="AW26" s="636"/>
      <c r="AX26" s="636"/>
    </row>
    <row r="27" spans="1:50" s="660" customFormat="1" ht="18.75" customHeight="1" x14ac:dyDescent="0.3">
      <c r="A27" s="608" t="s">
        <v>369</v>
      </c>
      <c r="B27" s="902"/>
      <c r="C27" s="903"/>
      <c r="D27" s="658"/>
      <c r="E27" s="902"/>
      <c r="F27" s="903"/>
      <c r="G27" s="659"/>
      <c r="H27" s="902"/>
      <c r="I27" s="903"/>
      <c r="J27" s="659"/>
      <c r="K27" s="444"/>
      <c r="L27" s="616"/>
      <c r="M27" s="659"/>
      <c r="N27" s="902"/>
      <c r="O27" s="903"/>
      <c r="P27" s="659"/>
      <c r="Q27" s="902"/>
      <c r="R27" s="903"/>
      <c r="S27" s="658"/>
      <c r="T27" s="902"/>
      <c r="U27" s="903"/>
      <c r="V27" s="659"/>
      <c r="W27" s="903"/>
      <c r="X27" s="903"/>
      <c r="Y27" s="659"/>
      <c r="Z27" s="902"/>
      <c r="AA27" s="903"/>
      <c r="AB27" s="659"/>
      <c r="AC27" s="902"/>
      <c r="AD27" s="903"/>
      <c r="AE27" s="659"/>
      <c r="AF27" s="902"/>
      <c r="AG27" s="903"/>
      <c r="AH27" s="659"/>
      <c r="AI27" s="902"/>
      <c r="AJ27" s="903"/>
      <c r="AK27" s="659"/>
      <c r="AL27" s="902"/>
      <c r="AM27" s="903"/>
      <c r="AN27" s="659"/>
      <c r="AO27" s="658">
        <f t="shared" si="10"/>
        <v>0</v>
      </c>
      <c r="AP27" s="658">
        <f t="shared" si="11"/>
        <v>0</v>
      </c>
      <c r="AQ27" s="659" t="str">
        <f t="shared" si="5"/>
        <v xml:space="preserve">    ---- </v>
      </c>
      <c r="AR27" s="658">
        <f t="shared" si="6"/>
        <v>0</v>
      </c>
      <c r="AS27" s="658">
        <f t="shared" si="7"/>
        <v>0</v>
      </c>
      <c r="AT27" s="659" t="str">
        <f t="shared" si="8"/>
        <v xml:space="preserve">    ---- </v>
      </c>
      <c r="AU27" s="641"/>
      <c r="AV27" s="641"/>
      <c r="AW27" s="636"/>
      <c r="AX27" s="636"/>
    </row>
    <row r="28" spans="1:50" s="660" customFormat="1" ht="18.75" customHeight="1" x14ac:dyDescent="0.3">
      <c r="A28" s="608" t="s">
        <v>370</v>
      </c>
      <c r="B28" s="902"/>
      <c r="C28" s="903"/>
      <c r="D28" s="658"/>
      <c r="E28" s="902"/>
      <c r="F28" s="903"/>
      <c r="G28" s="659"/>
      <c r="H28" s="902"/>
      <c r="I28" s="903"/>
      <c r="J28" s="659"/>
      <c r="K28" s="444"/>
      <c r="L28" s="616"/>
      <c r="M28" s="659"/>
      <c r="N28" s="902"/>
      <c r="O28" s="903"/>
      <c r="P28" s="659"/>
      <c r="Q28" s="902"/>
      <c r="R28" s="903"/>
      <c r="S28" s="658"/>
      <c r="T28" s="902"/>
      <c r="U28" s="903"/>
      <c r="V28" s="659"/>
      <c r="W28" s="903"/>
      <c r="X28" s="903"/>
      <c r="Y28" s="659"/>
      <c r="Z28" s="902"/>
      <c r="AA28" s="903"/>
      <c r="AB28" s="659"/>
      <c r="AC28" s="902"/>
      <c r="AD28" s="903"/>
      <c r="AE28" s="659"/>
      <c r="AF28" s="902"/>
      <c r="AG28" s="903"/>
      <c r="AH28" s="659"/>
      <c r="AI28" s="902"/>
      <c r="AJ28" s="903"/>
      <c r="AK28" s="659"/>
      <c r="AL28" s="902"/>
      <c r="AM28" s="903"/>
      <c r="AN28" s="659"/>
      <c r="AO28" s="658">
        <f t="shared" si="10"/>
        <v>0</v>
      </c>
      <c r="AP28" s="658">
        <f t="shared" si="11"/>
        <v>0</v>
      </c>
      <c r="AQ28" s="659" t="str">
        <f t="shared" si="5"/>
        <v xml:space="preserve">    ---- </v>
      </c>
      <c r="AR28" s="658">
        <f t="shared" si="6"/>
        <v>0</v>
      </c>
      <c r="AS28" s="658">
        <f t="shared" si="7"/>
        <v>0</v>
      </c>
      <c r="AT28" s="659" t="str">
        <f t="shared" si="8"/>
        <v xml:space="preserve">    ---- </v>
      </c>
      <c r="AU28" s="641"/>
      <c r="AV28" s="641"/>
      <c r="AW28" s="636"/>
      <c r="AX28" s="636"/>
    </row>
    <row r="29" spans="1:50" s="660" customFormat="1" ht="18.75" customHeight="1" x14ac:dyDescent="0.3">
      <c r="A29" s="608" t="s">
        <v>371</v>
      </c>
      <c r="B29" s="902"/>
      <c r="C29" s="903"/>
      <c r="D29" s="658"/>
      <c r="E29" s="902"/>
      <c r="F29" s="903"/>
      <c r="G29" s="659"/>
      <c r="H29" s="902"/>
      <c r="I29" s="903"/>
      <c r="J29" s="659"/>
      <c r="K29" s="444"/>
      <c r="L29" s="616"/>
      <c r="M29" s="659"/>
      <c r="N29" s="902"/>
      <c r="O29" s="903"/>
      <c r="P29" s="659"/>
      <c r="Q29" s="902"/>
      <c r="R29" s="903"/>
      <c r="S29" s="658"/>
      <c r="T29" s="902"/>
      <c r="U29" s="903"/>
      <c r="V29" s="659"/>
      <c r="W29" s="903"/>
      <c r="X29" s="903"/>
      <c r="Y29" s="659"/>
      <c r="Z29" s="902"/>
      <c r="AA29" s="903"/>
      <c r="AB29" s="659"/>
      <c r="AC29" s="902"/>
      <c r="AD29" s="903"/>
      <c r="AE29" s="659"/>
      <c r="AF29" s="902"/>
      <c r="AG29" s="903"/>
      <c r="AH29" s="659"/>
      <c r="AI29" s="902"/>
      <c r="AJ29" s="903"/>
      <c r="AK29" s="659"/>
      <c r="AL29" s="902"/>
      <c r="AM29" s="903"/>
      <c r="AN29" s="659"/>
      <c r="AO29" s="658">
        <f t="shared" si="10"/>
        <v>0</v>
      </c>
      <c r="AP29" s="658">
        <f t="shared" si="11"/>
        <v>0</v>
      </c>
      <c r="AQ29" s="659" t="str">
        <f t="shared" si="5"/>
        <v xml:space="preserve">    ---- </v>
      </c>
      <c r="AR29" s="658">
        <f t="shared" si="6"/>
        <v>0</v>
      </c>
      <c r="AS29" s="658">
        <f t="shared" si="7"/>
        <v>0</v>
      </c>
      <c r="AT29" s="659" t="str">
        <f t="shared" si="8"/>
        <v xml:space="preserve">    ---- </v>
      </c>
      <c r="AU29" s="641"/>
      <c r="AV29" s="641"/>
      <c r="AW29" s="636"/>
      <c r="AX29" s="636"/>
    </row>
    <row r="30" spans="1:50" s="660" customFormat="1" ht="18.75" customHeight="1" x14ac:dyDescent="0.3">
      <c r="A30" s="608" t="s">
        <v>372</v>
      </c>
      <c r="B30" s="902"/>
      <c r="C30" s="903"/>
      <c r="D30" s="658"/>
      <c r="E30" s="902"/>
      <c r="F30" s="903"/>
      <c r="G30" s="659"/>
      <c r="H30" s="902"/>
      <c r="I30" s="903"/>
      <c r="J30" s="659"/>
      <c r="K30" s="444"/>
      <c r="L30" s="616"/>
      <c r="M30" s="659"/>
      <c r="N30" s="902"/>
      <c r="O30" s="903"/>
      <c r="P30" s="659"/>
      <c r="Q30" s="902"/>
      <c r="R30" s="903"/>
      <c r="S30" s="658"/>
      <c r="T30" s="902"/>
      <c r="U30" s="903"/>
      <c r="V30" s="659"/>
      <c r="W30" s="903"/>
      <c r="X30" s="903"/>
      <c r="Y30" s="659"/>
      <c r="Z30" s="902"/>
      <c r="AA30" s="903"/>
      <c r="AB30" s="659"/>
      <c r="AC30" s="902"/>
      <c r="AD30" s="903"/>
      <c r="AE30" s="659"/>
      <c r="AF30" s="902"/>
      <c r="AG30" s="903"/>
      <c r="AH30" s="659"/>
      <c r="AI30" s="902"/>
      <c r="AJ30" s="903"/>
      <c r="AK30" s="659"/>
      <c r="AL30" s="902"/>
      <c r="AM30" s="903"/>
      <c r="AN30" s="659"/>
      <c r="AO30" s="658">
        <f t="shared" si="10"/>
        <v>0</v>
      </c>
      <c r="AP30" s="658">
        <f t="shared" si="11"/>
        <v>0</v>
      </c>
      <c r="AQ30" s="659" t="str">
        <f t="shared" si="5"/>
        <v xml:space="preserve">    ---- </v>
      </c>
      <c r="AR30" s="658">
        <f t="shared" si="6"/>
        <v>0</v>
      </c>
      <c r="AS30" s="658">
        <f t="shared" si="7"/>
        <v>0</v>
      </c>
      <c r="AT30" s="659" t="str">
        <f t="shared" si="8"/>
        <v xml:space="preserve">    ---- </v>
      </c>
      <c r="AU30" s="641"/>
      <c r="AV30" s="641"/>
      <c r="AW30" s="636"/>
      <c r="AX30" s="636"/>
    </row>
    <row r="31" spans="1:50" s="660" customFormat="1" ht="18.75" customHeight="1" x14ac:dyDescent="0.3">
      <c r="A31" s="608" t="s">
        <v>373</v>
      </c>
      <c r="B31" s="902"/>
      <c r="C31" s="903"/>
      <c r="D31" s="658"/>
      <c r="E31" s="902"/>
      <c r="F31" s="903"/>
      <c r="G31" s="659"/>
      <c r="H31" s="902"/>
      <c r="I31" s="903"/>
      <c r="J31" s="659"/>
      <c r="K31" s="444"/>
      <c r="L31" s="616"/>
      <c r="M31" s="659"/>
      <c r="N31" s="902"/>
      <c r="O31" s="903"/>
      <c r="P31" s="659"/>
      <c r="Q31" s="902"/>
      <c r="R31" s="903"/>
      <c r="S31" s="658"/>
      <c r="T31" s="902"/>
      <c r="U31" s="903"/>
      <c r="V31" s="659"/>
      <c r="W31" s="903"/>
      <c r="X31" s="903"/>
      <c r="Y31" s="659"/>
      <c r="Z31" s="902"/>
      <c r="AA31" s="903"/>
      <c r="AB31" s="659"/>
      <c r="AC31" s="902"/>
      <c r="AD31" s="903"/>
      <c r="AE31" s="659"/>
      <c r="AF31" s="902"/>
      <c r="AG31" s="903"/>
      <c r="AH31" s="659"/>
      <c r="AI31" s="902"/>
      <c r="AJ31" s="903"/>
      <c r="AK31" s="659"/>
      <c r="AL31" s="902"/>
      <c r="AM31" s="903"/>
      <c r="AN31" s="659"/>
      <c r="AO31" s="658">
        <f t="shared" si="10"/>
        <v>0</v>
      </c>
      <c r="AP31" s="658">
        <f t="shared" si="11"/>
        <v>0</v>
      </c>
      <c r="AQ31" s="659" t="str">
        <f t="shared" si="5"/>
        <v xml:space="preserve">    ---- </v>
      </c>
      <c r="AR31" s="658">
        <f t="shared" si="6"/>
        <v>0</v>
      </c>
      <c r="AS31" s="658">
        <f t="shared" si="7"/>
        <v>0</v>
      </c>
      <c r="AT31" s="659" t="str">
        <f t="shared" si="8"/>
        <v xml:space="preserve">    ---- </v>
      </c>
      <c r="AU31" s="641"/>
      <c r="AV31" s="641"/>
      <c r="AW31" s="636"/>
      <c r="AX31" s="636"/>
    </row>
    <row r="32" spans="1:50" s="663" customFormat="1" ht="18.75" customHeight="1" x14ac:dyDescent="0.3">
      <c r="A32" s="602" t="s">
        <v>374</v>
      </c>
      <c r="B32" s="900"/>
      <c r="C32" s="901"/>
      <c r="D32" s="656"/>
      <c r="E32" s="900"/>
      <c r="F32" s="901"/>
      <c r="G32" s="657"/>
      <c r="H32" s="900"/>
      <c r="I32" s="901"/>
      <c r="J32" s="657"/>
      <c r="K32" s="603"/>
      <c r="L32" s="618"/>
      <c r="M32" s="657"/>
      <c r="N32" s="900"/>
      <c r="O32" s="901"/>
      <c r="P32" s="657"/>
      <c r="Q32" s="900"/>
      <c r="R32" s="901"/>
      <c r="S32" s="656"/>
      <c r="T32" s="900"/>
      <c r="U32" s="901"/>
      <c r="V32" s="657"/>
      <c r="W32" s="901"/>
      <c r="X32" s="901"/>
      <c r="Y32" s="657"/>
      <c r="Z32" s="900"/>
      <c r="AA32" s="901"/>
      <c r="AB32" s="657"/>
      <c r="AC32" s="900"/>
      <c r="AD32" s="901"/>
      <c r="AE32" s="657"/>
      <c r="AF32" s="900"/>
      <c r="AG32" s="901"/>
      <c r="AH32" s="657"/>
      <c r="AI32" s="900"/>
      <c r="AJ32" s="901"/>
      <c r="AK32" s="657"/>
      <c r="AL32" s="900"/>
      <c r="AM32" s="901"/>
      <c r="AN32" s="657"/>
      <c r="AO32" s="656">
        <f t="shared" si="10"/>
        <v>0</v>
      </c>
      <c r="AP32" s="656">
        <f t="shared" si="11"/>
        <v>0</v>
      </c>
      <c r="AQ32" s="657" t="str">
        <f t="shared" si="5"/>
        <v xml:space="preserve">    ---- </v>
      </c>
      <c r="AR32" s="656">
        <f t="shared" si="6"/>
        <v>0</v>
      </c>
      <c r="AS32" s="656">
        <f t="shared" si="7"/>
        <v>0</v>
      </c>
      <c r="AT32" s="657" t="str">
        <f t="shared" si="8"/>
        <v xml:space="preserve">    ---- </v>
      </c>
      <c r="AU32" s="639"/>
      <c r="AV32" s="639"/>
      <c r="AW32" s="662"/>
      <c r="AX32" s="662"/>
    </row>
    <row r="33" spans="1:50" s="660" customFormat="1" ht="18.75" customHeight="1" x14ac:dyDescent="0.3">
      <c r="A33" s="608" t="s">
        <v>375</v>
      </c>
      <c r="B33" s="902"/>
      <c r="C33" s="903"/>
      <c r="D33" s="658"/>
      <c r="E33" s="902"/>
      <c r="F33" s="903"/>
      <c r="G33" s="659"/>
      <c r="H33" s="902"/>
      <c r="I33" s="903"/>
      <c r="J33" s="659"/>
      <c r="K33" s="444"/>
      <c r="L33" s="616"/>
      <c r="M33" s="659"/>
      <c r="N33" s="902"/>
      <c r="O33" s="903"/>
      <c r="P33" s="659"/>
      <c r="Q33" s="902"/>
      <c r="R33" s="903"/>
      <c r="S33" s="658"/>
      <c r="T33" s="902"/>
      <c r="U33" s="903"/>
      <c r="V33" s="659"/>
      <c r="W33" s="903"/>
      <c r="X33" s="903"/>
      <c r="Y33" s="659"/>
      <c r="Z33" s="902"/>
      <c r="AA33" s="903"/>
      <c r="AB33" s="659"/>
      <c r="AC33" s="902"/>
      <c r="AD33" s="903"/>
      <c r="AE33" s="659"/>
      <c r="AF33" s="902"/>
      <c r="AG33" s="903"/>
      <c r="AH33" s="659"/>
      <c r="AI33" s="902"/>
      <c r="AJ33" s="903"/>
      <c r="AK33" s="659"/>
      <c r="AL33" s="902"/>
      <c r="AM33" s="903"/>
      <c r="AN33" s="659"/>
      <c r="AO33" s="658">
        <f t="shared" si="10"/>
        <v>0</v>
      </c>
      <c r="AP33" s="658">
        <f t="shared" si="11"/>
        <v>0</v>
      </c>
      <c r="AQ33" s="659" t="str">
        <f t="shared" si="5"/>
        <v xml:space="preserve">    ---- </v>
      </c>
      <c r="AR33" s="658">
        <f t="shared" si="6"/>
        <v>0</v>
      </c>
      <c r="AS33" s="658">
        <f t="shared" si="7"/>
        <v>0</v>
      </c>
      <c r="AT33" s="659" t="str">
        <f t="shared" si="8"/>
        <v xml:space="preserve">    ---- </v>
      </c>
      <c r="AU33" s="641"/>
      <c r="AV33" s="641"/>
      <c r="AW33" s="636"/>
      <c r="AX33" s="636"/>
    </row>
    <row r="34" spans="1:50" s="660" customFormat="1" ht="18.75" customHeight="1" x14ac:dyDescent="0.3">
      <c r="A34" s="608" t="s">
        <v>376</v>
      </c>
      <c r="B34" s="902"/>
      <c r="C34" s="903"/>
      <c r="D34" s="658"/>
      <c r="E34" s="902"/>
      <c r="F34" s="903"/>
      <c r="G34" s="659"/>
      <c r="H34" s="902"/>
      <c r="I34" s="903"/>
      <c r="J34" s="659"/>
      <c r="K34" s="444"/>
      <c r="L34" s="616"/>
      <c r="M34" s="659"/>
      <c r="N34" s="902"/>
      <c r="O34" s="903"/>
      <c r="P34" s="659"/>
      <c r="Q34" s="902"/>
      <c r="R34" s="903"/>
      <c r="S34" s="658"/>
      <c r="T34" s="902"/>
      <c r="U34" s="903"/>
      <c r="V34" s="659"/>
      <c r="W34" s="903"/>
      <c r="X34" s="903"/>
      <c r="Y34" s="659"/>
      <c r="Z34" s="902"/>
      <c r="AA34" s="903"/>
      <c r="AB34" s="659"/>
      <c r="AC34" s="902"/>
      <c r="AD34" s="903"/>
      <c r="AE34" s="659"/>
      <c r="AF34" s="902"/>
      <c r="AG34" s="903"/>
      <c r="AH34" s="659"/>
      <c r="AI34" s="902"/>
      <c r="AJ34" s="903"/>
      <c r="AK34" s="659"/>
      <c r="AL34" s="902"/>
      <c r="AM34" s="903"/>
      <c r="AN34" s="659"/>
      <c r="AO34" s="658">
        <f t="shared" si="10"/>
        <v>0</v>
      </c>
      <c r="AP34" s="658">
        <f t="shared" si="11"/>
        <v>0</v>
      </c>
      <c r="AQ34" s="659" t="str">
        <f t="shared" si="5"/>
        <v xml:space="preserve">    ---- </v>
      </c>
      <c r="AR34" s="658">
        <f t="shared" si="6"/>
        <v>0</v>
      </c>
      <c r="AS34" s="658">
        <f t="shared" si="7"/>
        <v>0</v>
      </c>
      <c r="AT34" s="659" t="str">
        <f t="shared" si="8"/>
        <v xml:space="preserve">    ---- </v>
      </c>
      <c r="AU34" s="641"/>
      <c r="AV34" s="641"/>
      <c r="AW34" s="636"/>
      <c r="AX34" s="636"/>
    </row>
    <row r="35" spans="1:50" ht="18.75" customHeight="1" x14ac:dyDescent="0.3">
      <c r="A35" s="602" t="s">
        <v>388</v>
      </c>
      <c r="B35" s="900"/>
      <c r="C35" s="901"/>
      <c r="D35" s="656"/>
      <c r="E35" s="900"/>
      <c r="F35" s="901"/>
      <c r="G35" s="657"/>
      <c r="H35" s="900"/>
      <c r="I35" s="901"/>
      <c r="J35" s="657"/>
      <c r="K35" s="603"/>
      <c r="L35" s="618"/>
      <c r="M35" s="657"/>
      <c r="N35" s="900"/>
      <c r="O35" s="901"/>
      <c r="P35" s="657"/>
      <c r="Q35" s="900"/>
      <c r="R35" s="901"/>
      <c r="S35" s="656"/>
      <c r="T35" s="900"/>
      <c r="U35" s="901"/>
      <c r="V35" s="657"/>
      <c r="W35" s="901"/>
      <c r="X35" s="901"/>
      <c r="Y35" s="657"/>
      <c r="Z35" s="900"/>
      <c r="AA35" s="901"/>
      <c r="AB35" s="657"/>
      <c r="AC35" s="900"/>
      <c r="AD35" s="901"/>
      <c r="AE35" s="657"/>
      <c r="AF35" s="900"/>
      <c r="AG35" s="901"/>
      <c r="AH35" s="657"/>
      <c r="AI35" s="900"/>
      <c r="AJ35" s="901"/>
      <c r="AK35" s="657"/>
      <c r="AL35" s="900"/>
      <c r="AM35" s="901"/>
      <c r="AN35" s="657"/>
      <c r="AO35" s="658"/>
      <c r="AP35" s="658"/>
      <c r="AQ35" s="657"/>
      <c r="AR35" s="658">
        <f t="shared" si="6"/>
        <v>0</v>
      </c>
      <c r="AS35" s="658">
        <f t="shared" si="7"/>
        <v>0</v>
      </c>
      <c r="AT35" s="657"/>
      <c r="AU35" s="641"/>
      <c r="AV35" s="641"/>
      <c r="AW35" s="636"/>
      <c r="AX35" s="636"/>
    </row>
    <row r="36" spans="1:50" s="660" customFormat="1" ht="18.75" customHeight="1" x14ac:dyDescent="0.3">
      <c r="A36" s="608" t="s">
        <v>366</v>
      </c>
      <c r="B36" s="902"/>
      <c r="C36" s="903"/>
      <c r="D36" s="658"/>
      <c r="E36" s="902"/>
      <c r="F36" s="903"/>
      <c r="G36" s="659"/>
      <c r="H36" s="902"/>
      <c r="I36" s="903"/>
      <c r="J36" s="659"/>
      <c r="K36" s="444"/>
      <c r="L36" s="616"/>
      <c r="M36" s="659"/>
      <c r="N36" s="902"/>
      <c r="O36" s="903"/>
      <c r="P36" s="659"/>
      <c r="Q36" s="902"/>
      <c r="R36" s="903"/>
      <c r="S36" s="658"/>
      <c r="T36" s="902"/>
      <c r="U36" s="903"/>
      <c r="V36" s="659"/>
      <c r="W36" s="903"/>
      <c r="X36" s="903"/>
      <c r="Y36" s="659"/>
      <c r="Z36" s="902"/>
      <c r="AA36" s="903"/>
      <c r="AB36" s="659"/>
      <c r="AC36" s="902"/>
      <c r="AD36" s="903"/>
      <c r="AE36" s="659"/>
      <c r="AF36" s="902"/>
      <c r="AG36" s="903"/>
      <c r="AH36" s="659"/>
      <c r="AI36" s="902">
        <v>51</v>
      </c>
      <c r="AJ36" s="903">
        <v>13</v>
      </c>
      <c r="AK36" s="659">
        <f>IF(AI36=0, "    ---- ", IF(ABS(ROUND(100/AI36*AJ36-100,1))&lt;999,ROUND(100/AI36*AJ36-100,1),IF(ROUND(100/AI36*AJ36-100,1)&gt;999,999,-999)))</f>
        <v>-74.5</v>
      </c>
      <c r="AL36" s="902">
        <f>2-2</f>
        <v>0</v>
      </c>
      <c r="AM36" s="903">
        <v>6</v>
      </c>
      <c r="AN36" s="659" t="str">
        <f t="shared" ref="AN36:AN38" si="12">IF(AL36=0, "    ---- ", IF(ABS(ROUND(100/AL36*AM36-100,1))&lt;999,ROUND(100/AL36*AM36-100,1),IF(ROUND(100/AL36*AM36-100,1)&gt;999,999,-999)))</f>
        <v xml:space="preserve">    ---- </v>
      </c>
      <c r="AO36" s="658">
        <f t="shared" ref="AO36:AO46" si="13">B36+H36+K36+N36+Q36+W36+E36+Z36+AC36+AI36+AL36</f>
        <v>51</v>
      </c>
      <c r="AP36" s="658">
        <f t="shared" ref="AP36:AP46" si="14">C36+I36+L36+O36+R36+X36+F36+AA36+AD36+AJ36+AM36</f>
        <v>19</v>
      </c>
      <c r="AQ36" s="659">
        <f t="shared" si="5"/>
        <v>-62.7</v>
      </c>
      <c r="AR36" s="658">
        <f t="shared" si="6"/>
        <v>51</v>
      </c>
      <c r="AS36" s="658">
        <f t="shared" si="7"/>
        <v>19</v>
      </c>
      <c r="AT36" s="659">
        <f t="shared" si="8"/>
        <v>-62.7</v>
      </c>
      <c r="AU36" s="641"/>
      <c r="AV36" s="641"/>
      <c r="AW36" s="636"/>
      <c r="AX36" s="636"/>
    </row>
    <row r="37" spans="1:50" s="660" customFormat="1" ht="18.75" customHeight="1" x14ac:dyDescent="0.3">
      <c r="A37" s="608" t="s">
        <v>367</v>
      </c>
      <c r="B37" s="902"/>
      <c r="C37" s="903"/>
      <c r="D37" s="658"/>
      <c r="E37" s="902"/>
      <c r="F37" s="903"/>
      <c r="G37" s="659"/>
      <c r="H37" s="902"/>
      <c r="I37" s="903"/>
      <c r="J37" s="659"/>
      <c r="K37" s="444"/>
      <c r="L37" s="616"/>
      <c r="M37" s="659"/>
      <c r="N37" s="902"/>
      <c r="O37" s="903"/>
      <c r="P37" s="659"/>
      <c r="Q37" s="902"/>
      <c r="R37" s="903"/>
      <c r="S37" s="658"/>
      <c r="T37" s="902"/>
      <c r="U37" s="903"/>
      <c r="V37" s="659"/>
      <c r="W37" s="903"/>
      <c r="X37" s="903"/>
      <c r="Y37" s="659"/>
      <c r="Z37" s="902"/>
      <c r="AA37" s="903"/>
      <c r="AB37" s="659"/>
      <c r="AC37" s="902"/>
      <c r="AD37" s="903"/>
      <c r="AE37" s="659"/>
      <c r="AF37" s="902"/>
      <c r="AG37" s="903"/>
      <c r="AH37" s="659"/>
      <c r="AI37" s="902"/>
      <c r="AJ37" s="903"/>
      <c r="AK37" s="659"/>
      <c r="AL37" s="902"/>
      <c r="AM37" s="903">
        <v>-6</v>
      </c>
      <c r="AN37" s="659" t="str">
        <f t="shared" si="12"/>
        <v xml:space="preserve">    ---- </v>
      </c>
      <c r="AO37" s="658">
        <f t="shared" si="13"/>
        <v>0</v>
      </c>
      <c r="AP37" s="658">
        <f t="shared" si="14"/>
        <v>-6</v>
      </c>
      <c r="AQ37" s="659" t="str">
        <f t="shared" si="5"/>
        <v xml:space="preserve">    ---- </v>
      </c>
      <c r="AR37" s="658">
        <f t="shared" si="6"/>
        <v>0</v>
      </c>
      <c r="AS37" s="658">
        <f t="shared" si="7"/>
        <v>-6</v>
      </c>
      <c r="AT37" s="659" t="str">
        <f t="shared" si="8"/>
        <v xml:space="preserve">    ---- </v>
      </c>
      <c r="AU37" s="641"/>
      <c r="AV37" s="641"/>
      <c r="AW37" s="636"/>
      <c r="AX37" s="636"/>
    </row>
    <row r="38" spans="1:50" s="660" customFormat="1" ht="18.75" customHeight="1" x14ac:dyDescent="0.3">
      <c r="A38" s="608" t="s">
        <v>368</v>
      </c>
      <c r="B38" s="902"/>
      <c r="C38" s="903"/>
      <c r="D38" s="658"/>
      <c r="E38" s="902"/>
      <c r="F38" s="903"/>
      <c r="G38" s="659"/>
      <c r="H38" s="902"/>
      <c r="I38" s="903"/>
      <c r="J38" s="659"/>
      <c r="K38" s="444"/>
      <c r="L38" s="616"/>
      <c r="M38" s="659"/>
      <c r="N38" s="902"/>
      <c r="O38" s="903"/>
      <c r="P38" s="659"/>
      <c r="Q38" s="902"/>
      <c r="R38" s="903"/>
      <c r="S38" s="658"/>
      <c r="T38" s="902"/>
      <c r="U38" s="903"/>
      <c r="V38" s="659"/>
      <c r="W38" s="903"/>
      <c r="X38" s="903"/>
      <c r="Y38" s="659"/>
      <c r="Z38" s="902"/>
      <c r="AA38" s="903"/>
      <c r="AB38" s="659"/>
      <c r="AC38" s="902"/>
      <c r="AD38" s="903"/>
      <c r="AE38" s="659"/>
      <c r="AF38" s="902"/>
      <c r="AG38" s="903"/>
      <c r="AH38" s="659"/>
      <c r="AI38" s="902">
        <v>-2</v>
      </c>
      <c r="AJ38" s="903">
        <v>-5</v>
      </c>
      <c r="AK38" s="659">
        <f>IF(AI38=0, "    ---- ", IF(ABS(ROUND(100/AI38*AJ38-100,1))&lt;999,ROUND(100/AI38*AJ38-100,1),IF(ROUND(100/AI38*AJ38-100,1)&gt;999,999,-999)))</f>
        <v>150</v>
      </c>
      <c r="AL38" s="902">
        <v>2</v>
      </c>
      <c r="AM38" s="903">
        <v>3</v>
      </c>
      <c r="AN38" s="659">
        <f t="shared" si="12"/>
        <v>50</v>
      </c>
      <c r="AO38" s="658">
        <f t="shared" si="13"/>
        <v>0</v>
      </c>
      <c r="AP38" s="658">
        <f t="shared" si="14"/>
        <v>-2</v>
      </c>
      <c r="AQ38" s="659" t="str">
        <f t="shared" si="5"/>
        <v xml:space="preserve">    ---- </v>
      </c>
      <c r="AR38" s="658">
        <f t="shared" si="6"/>
        <v>0</v>
      </c>
      <c r="AS38" s="658">
        <f t="shared" si="7"/>
        <v>-2</v>
      </c>
      <c r="AT38" s="659" t="str">
        <f t="shared" si="8"/>
        <v xml:space="preserve">    ---- </v>
      </c>
      <c r="AU38" s="641"/>
      <c r="AV38" s="641"/>
      <c r="AW38" s="636"/>
      <c r="AX38" s="636"/>
    </row>
    <row r="39" spans="1:50" s="660" customFormat="1" ht="18.75" customHeight="1" x14ac:dyDescent="0.3">
      <c r="A39" s="608" t="s">
        <v>369</v>
      </c>
      <c r="B39" s="902"/>
      <c r="C39" s="903"/>
      <c r="D39" s="658"/>
      <c r="E39" s="902"/>
      <c r="F39" s="903"/>
      <c r="G39" s="659"/>
      <c r="H39" s="902"/>
      <c r="I39" s="903"/>
      <c r="J39" s="659"/>
      <c r="K39" s="444"/>
      <c r="L39" s="616"/>
      <c r="M39" s="659"/>
      <c r="N39" s="902"/>
      <c r="O39" s="903"/>
      <c r="P39" s="659"/>
      <c r="Q39" s="902"/>
      <c r="R39" s="903"/>
      <c r="S39" s="658"/>
      <c r="T39" s="902"/>
      <c r="U39" s="903"/>
      <c r="V39" s="659"/>
      <c r="W39" s="903"/>
      <c r="X39" s="903"/>
      <c r="Y39" s="659"/>
      <c r="Z39" s="902"/>
      <c r="AA39" s="903"/>
      <c r="AB39" s="659"/>
      <c r="AC39" s="902"/>
      <c r="AD39" s="903"/>
      <c r="AE39" s="659"/>
      <c r="AF39" s="902"/>
      <c r="AG39" s="903"/>
      <c r="AH39" s="659"/>
      <c r="AI39" s="902"/>
      <c r="AJ39" s="903"/>
      <c r="AK39" s="659"/>
      <c r="AL39" s="902"/>
      <c r="AM39" s="903"/>
      <c r="AN39" s="659"/>
      <c r="AO39" s="658">
        <f t="shared" si="13"/>
        <v>0</v>
      </c>
      <c r="AP39" s="658">
        <f t="shared" si="14"/>
        <v>0</v>
      </c>
      <c r="AQ39" s="659" t="str">
        <f t="shared" si="5"/>
        <v xml:space="preserve">    ---- </v>
      </c>
      <c r="AR39" s="658">
        <f t="shared" si="6"/>
        <v>0</v>
      </c>
      <c r="AS39" s="658">
        <f t="shared" si="7"/>
        <v>0</v>
      </c>
      <c r="AT39" s="659" t="str">
        <f t="shared" si="8"/>
        <v xml:space="preserve">    ---- </v>
      </c>
      <c r="AU39" s="641"/>
      <c r="AV39" s="641"/>
      <c r="AW39" s="636"/>
      <c r="AX39" s="636"/>
    </row>
    <row r="40" spans="1:50" s="660" customFormat="1" ht="18.75" customHeight="1" x14ac:dyDescent="0.3">
      <c r="A40" s="608" t="s">
        <v>370</v>
      </c>
      <c r="B40" s="902"/>
      <c r="C40" s="903"/>
      <c r="D40" s="658"/>
      <c r="E40" s="902"/>
      <c r="F40" s="903"/>
      <c r="G40" s="659"/>
      <c r="H40" s="902"/>
      <c r="I40" s="903"/>
      <c r="J40" s="659"/>
      <c r="K40" s="444"/>
      <c r="L40" s="616"/>
      <c r="M40" s="659"/>
      <c r="N40" s="902"/>
      <c r="O40" s="903"/>
      <c r="P40" s="659"/>
      <c r="Q40" s="902"/>
      <c r="R40" s="903"/>
      <c r="S40" s="658"/>
      <c r="T40" s="902"/>
      <c r="U40" s="903"/>
      <c r="V40" s="659"/>
      <c r="W40" s="903"/>
      <c r="X40" s="903"/>
      <c r="Y40" s="659"/>
      <c r="Z40" s="902"/>
      <c r="AA40" s="903"/>
      <c r="AB40" s="659"/>
      <c r="AC40" s="902"/>
      <c r="AD40" s="903"/>
      <c r="AE40" s="659"/>
      <c r="AF40" s="902"/>
      <c r="AG40" s="903"/>
      <c r="AH40" s="659"/>
      <c r="AI40" s="902">
        <v>3</v>
      </c>
      <c r="AJ40" s="903">
        <v>3</v>
      </c>
      <c r="AK40" s="659">
        <f>IF(AI40=0, "    ---- ", IF(ABS(ROUND(100/AI40*AJ40-100,1))&lt;999,ROUND(100/AI40*AJ40-100,1),IF(ROUND(100/AI40*AJ40-100,1)&gt;999,999,-999)))</f>
        <v>0</v>
      </c>
      <c r="AL40" s="902"/>
      <c r="AM40" s="903"/>
      <c r="AN40" s="659"/>
      <c r="AO40" s="658">
        <f t="shared" si="13"/>
        <v>3</v>
      </c>
      <c r="AP40" s="658">
        <f t="shared" si="14"/>
        <v>3</v>
      </c>
      <c r="AQ40" s="659">
        <f t="shared" si="5"/>
        <v>0</v>
      </c>
      <c r="AR40" s="658">
        <f t="shared" si="6"/>
        <v>3</v>
      </c>
      <c r="AS40" s="658">
        <f t="shared" si="7"/>
        <v>3</v>
      </c>
      <c r="AT40" s="659">
        <f t="shared" si="8"/>
        <v>0</v>
      </c>
      <c r="AU40" s="641"/>
      <c r="AV40" s="641"/>
      <c r="AW40" s="636"/>
      <c r="AX40" s="636"/>
    </row>
    <row r="41" spans="1:50" s="660" customFormat="1" ht="18.75" customHeight="1" x14ac:dyDescent="0.3">
      <c r="A41" s="608" t="s">
        <v>371</v>
      </c>
      <c r="B41" s="902"/>
      <c r="C41" s="903"/>
      <c r="D41" s="658"/>
      <c r="E41" s="902"/>
      <c r="F41" s="903"/>
      <c r="G41" s="659"/>
      <c r="H41" s="902"/>
      <c r="I41" s="903"/>
      <c r="J41" s="659"/>
      <c r="K41" s="444"/>
      <c r="L41" s="616"/>
      <c r="M41" s="659"/>
      <c r="N41" s="902"/>
      <c r="O41" s="903"/>
      <c r="P41" s="659"/>
      <c r="Q41" s="902"/>
      <c r="R41" s="903"/>
      <c r="S41" s="658"/>
      <c r="T41" s="902"/>
      <c r="U41" s="903"/>
      <c r="V41" s="659"/>
      <c r="W41" s="903"/>
      <c r="X41" s="903"/>
      <c r="Y41" s="659"/>
      <c r="Z41" s="902"/>
      <c r="AA41" s="903"/>
      <c r="AB41" s="659"/>
      <c r="AC41" s="902"/>
      <c r="AD41" s="903"/>
      <c r="AE41" s="659"/>
      <c r="AF41" s="902"/>
      <c r="AG41" s="903"/>
      <c r="AH41" s="659"/>
      <c r="AI41" s="902">
        <v>-1</v>
      </c>
      <c r="AJ41" s="903">
        <v>1</v>
      </c>
      <c r="AK41" s="659">
        <f>IF(AI41=0, "    ---- ", IF(ABS(ROUND(100/AI41*AJ41-100,1))&lt;999,ROUND(100/AI41*AJ41-100,1),IF(ROUND(100/AI41*AJ41-100,1)&gt;999,999,-999)))</f>
        <v>-200</v>
      </c>
      <c r="AL41" s="902"/>
      <c r="AM41" s="903"/>
      <c r="AN41" s="659"/>
      <c r="AO41" s="658">
        <f t="shared" si="13"/>
        <v>-1</v>
      </c>
      <c r="AP41" s="658">
        <f t="shared" si="14"/>
        <v>1</v>
      </c>
      <c r="AQ41" s="659">
        <f t="shared" si="5"/>
        <v>-200</v>
      </c>
      <c r="AR41" s="658">
        <f t="shared" si="6"/>
        <v>-1</v>
      </c>
      <c r="AS41" s="658">
        <f t="shared" si="7"/>
        <v>1</v>
      </c>
      <c r="AT41" s="659">
        <f t="shared" si="8"/>
        <v>-200</v>
      </c>
      <c r="AU41" s="641"/>
      <c r="AV41" s="641"/>
      <c r="AW41" s="636"/>
      <c r="AX41" s="636"/>
    </row>
    <row r="42" spans="1:50" s="660" customFormat="1" ht="18.75" customHeight="1" x14ac:dyDescent="0.3">
      <c r="A42" s="608" t="s">
        <v>372</v>
      </c>
      <c r="B42" s="902"/>
      <c r="C42" s="903"/>
      <c r="D42" s="658"/>
      <c r="E42" s="902"/>
      <c r="F42" s="903"/>
      <c r="G42" s="659"/>
      <c r="H42" s="902"/>
      <c r="I42" s="903"/>
      <c r="J42" s="659"/>
      <c r="K42" s="444"/>
      <c r="L42" s="616"/>
      <c r="M42" s="659"/>
      <c r="N42" s="902"/>
      <c r="O42" s="903"/>
      <c r="P42" s="659"/>
      <c r="Q42" s="902"/>
      <c r="R42" s="903"/>
      <c r="S42" s="658"/>
      <c r="T42" s="902"/>
      <c r="U42" s="903"/>
      <c r="V42" s="659"/>
      <c r="W42" s="903"/>
      <c r="X42" s="903"/>
      <c r="Y42" s="659"/>
      <c r="Z42" s="902"/>
      <c r="AA42" s="903"/>
      <c r="AB42" s="659"/>
      <c r="AC42" s="902"/>
      <c r="AD42" s="903"/>
      <c r="AE42" s="659"/>
      <c r="AF42" s="902"/>
      <c r="AG42" s="903"/>
      <c r="AH42" s="659"/>
      <c r="AI42" s="902"/>
      <c r="AJ42" s="903"/>
      <c r="AK42" s="659"/>
      <c r="AL42" s="902"/>
      <c r="AM42" s="903"/>
      <c r="AN42" s="659"/>
      <c r="AO42" s="658">
        <f t="shared" si="13"/>
        <v>0</v>
      </c>
      <c r="AP42" s="658">
        <f t="shared" si="14"/>
        <v>0</v>
      </c>
      <c r="AQ42" s="659" t="str">
        <f t="shared" si="5"/>
        <v xml:space="preserve">    ---- </v>
      </c>
      <c r="AR42" s="658">
        <f t="shared" si="6"/>
        <v>0</v>
      </c>
      <c r="AS42" s="658">
        <f t="shared" si="7"/>
        <v>0</v>
      </c>
      <c r="AT42" s="659" t="str">
        <f t="shared" si="8"/>
        <v xml:space="preserve">    ---- </v>
      </c>
      <c r="AU42" s="641"/>
      <c r="AV42" s="641"/>
      <c r="AW42" s="636"/>
      <c r="AX42" s="636"/>
    </row>
    <row r="43" spans="1:50" s="660" customFormat="1" ht="18.75" customHeight="1" x14ac:dyDescent="0.3">
      <c r="A43" s="608" t="s">
        <v>373</v>
      </c>
      <c r="B43" s="909"/>
      <c r="C43" s="910"/>
      <c r="D43" s="658"/>
      <c r="E43" s="909"/>
      <c r="F43" s="910"/>
      <c r="G43" s="659"/>
      <c r="H43" s="909"/>
      <c r="I43" s="910"/>
      <c r="J43" s="659"/>
      <c r="K43" s="664"/>
      <c r="L43" s="658"/>
      <c r="M43" s="659"/>
      <c r="N43" s="909"/>
      <c r="O43" s="910"/>
      <c r="P43" s="659"/>
      <c r="Q43" s="909"/>
      <c r="R43" s="910"/>
      <c r="S43" s="658"/>
      <c r="T43" s="909"/>
      <c r="U43" s="910"/>
      <c r="V43" s="659"/>
      <c r="W43" s="910"/>
      <c r="X43" s="910"/>
      <c r="Y43" s="659"/>
      <c r="Z43" s="909"/>
      <c r="AA43" s="910"/>
      <c r="AB43" s="659"/>
      <c r="AC43" s="909"/>
      <c r="AD43" s="910"/>
      <c r="AE43" s="659"/>
      <c r="AF43" s="909"/>
      <c r="AG43" s="910"/>
      <c r="AH43" s="659"/>
      <c r="AI43" s="909"/>
      <c r="AJ43" s="910"/>
      <c r="AK43" s="659"/>
      <c r="AL43" s="909"/>
      <c r="AM43" s="910"/>
      <c r="AN43" s="659"/>
      <c r="AO43" s="658">
        <f t="shared" si="13"/>
        <v>0</v>
      </c>
      <c r="AP43" s="658">
        <f t="shared" si="14"/>
        <v>0</v>
      </c>
      <c r="AQ43" s="659" t="str">
        <f t="shared" si="5"/>
        <v xml:space="preserve">    ---- </v>
      </c>
      <c r="AR43" s="658">
        <f t="shared" si="6"/>
        <v>0</v>
      </c>
      <c r="AS43" s="658">
        <f t="shared" si="7"/>
        <v>0</v>
      </c>
      <c r="AT43" s="659" t="str">
        <f t="shared" si="8"/>
        <v xml:space="preserve">    ---- </v>
      </c>
      <c r="AU43" s="641"/>
      <c r="AV43" s="641"/>
      <c r="AW43" s="636"/>
      <c r="AX43" s="636"/>
    </row>
    <row r="44" spans="1:50" s="663" customFormat="1" ht="18.75" customHeight="1" x14ac:dyDescent="0.3">
      <c r="A44" s="602" t="s">
        <v>374</v>
      </c>
      <c r="B44" s="911"/>
      <c r="C44" s="912"/>
      <c r="D44" s="656"/>
      <c r="E44" s="911"/>
      <c r="F44" s="912"/>
      <c r="G44" s="657"/>
      <c r="H44" s="911"/>
      <c r="I44" s="912"/>
      <c r="J44" s="657"/>
      <c r="K44" s="665"/>
      <c r="L44" s="656"/>
      <c r="M44" s="657"/>
      <c r="N44" s="911"/>
      <c r="O44" s="912"/>
      <c r="P44" s="657"/>
      <c r="Q44" s="911"/>
      <c r="R44" s="912"/>
      <c r="S44" s="656"/>
      <c r="T44" s="911"/>
      <c r="U44" s="912"/>
      <c r="V44" s="657"/>
      <c r="W44" s="912"/>
      <c r="X44" s="912"/>
      <c r="Y44" s="657"/>
      <c r="Z44" s="911"/>
      <c r="AA44" s="912"/>
      <c r="AB44" s="659"/>
      <c r="AC44" s="911"/>
      <c r="AD44" s="912"/>
      <c r="AE44" s="657"/>
      <c r="AF44" s="911"/>
      <c r="AG44" s="912"/>
      <c r="AH44" s="657"/>
      <c r="AI44" s="911">
        <f>SUM(AI36:AI41)+AI43</f>
        <v>51</v>
      </c>
      <c r="AJ44" s="912">
        <f>SUM(AJ36:AJ41)+AJ43</f>
        <v>12</v>
      </c>
      <c r="AK44" s="657">
        <f>IF(AI44=0, "    ---- ", IF(ABS(ROUND(100/AI44*AJ44-100,1))&lt;999,ROUND(100/AI44*AJ44-100,1),IF(ROUND(100/AI44*AJ44-100,1)&gt;999,999,-999)))</f>
        <v>-76.5</v>
      </c>
      <c r="AL44" s="911">
        <f>SUM(AL36:AL41)+AL43</f>
        <v>2</v>
      </c>
      <c r="AM44" s="912">
        <v>3</v>
      </c>
      <c r="AN44" s="659">
        <f t="shared" ref="AN44" si="15">IF(AL44=0, "    ---- ", IF(ABS(ROUND(100/AL44*AM44-100,1))&lt;999,ROUND(100/AL44*AM44-100,1),IF(ROUND(100/AL44*AM44-100,1)&gt;999,999,-999)))</f>
        <v>50</v>
      </c>
      <c r="AO44" s="656">
        <f t="shared" si="13"/>
        <v>53</v>
      </c>
      <c r="AP44" s="656">
        <f t="shared" si="14"/>
        <v>15</v>
      </c>
      <c r="AQ44" s="657">
        <f>IF(AO44=0, "    ---- ", IF(ABS(ROUND(100/AO44*AP44-100,1))&lt;999,ROUND(100/AO44*AP44-100,1),IF(ROUND(100/AO44*AP44-100,1)&gt;999,999,-999)))</f>
        <v>-71.7</v>
      </c>
      <c r="AR44" s="656">
        <f t="shared" ref="AR44:AR75" si="16">+B44+H44+K44+N44+Q44+T44+W44+E44+Z44+AC44+AF44+AI44+AL44</f>
        <v>53</v>
      </c>
      <c r="AS44" s="656">
        <f t="shared" ref="AS44:AS75" si="17">+C44+I44+L44+O44+R44+U44+X44+F44+AA44+AD44+AG44+AJ44+AM44</f>
        <v>15</v>
      </c>
      <c r="AT44" s="657">
        <f>IF(AR44=0, "    ---- ", IF(ABS(ROUND(100/AR44*AS44-100,1))&lt;999,ROUND(100/AR44*AS44-100,1),IF(ROUND(100/AR44*AS44-100,1)&gt;999,999,-999)))</f>
        <v>-71.7</v>
      </c>
      <c r="AU44" s="661"/>
      <c r="AV44" s="639"/>
      <c r="AW44" s="662"/>
      <c r="AX44" s="662"/>
    </row>
    <row r="45" spans="1:50" s="660" customFormat="1" ht="18.75" customHeight="1" x14ac:dyDescent="0.3">
      <c r="A45" s="608" t="s">
        <v>375</v>
      </c>
      <c r="B45" s="909"/>
      <c r="C45" s="910"/>
      <c r="D45" s="658"/>
      <c r="E45" s="909"/>
      <c r="F45" s="910"/>
      <c r="G45" s="659"/>
      <c r="H45" s="909"/>
      <c r="I45" s="910"/>
      <c r="J45" s="659"/>
      <c r="K45" s="664"/>
      <c r="L45" s="658"/>
      <c r="M45" s="659"/>
      <c r="N45" s="909"/>
      <c r="O45" s="910"/>
      <c r="P45" s="659"/>
      <c r="Q45" s="909"/>
      <c r="R45" s="910"/>
      <c r="S45" s="658"/>
      <c r="T45" s="909"/>
      <c r="U45" s="910"/>
      <c r="V45" s="659"/>
      <c r="W45" s="910"/>
      <c r="X45" s="910"/>
      <c r="Y45" s="659"/>
      <c r="Z45" s="909"/>
      <c r="AA45" s="910"/>
      <c r="AB45" s="659"/>
      <c r="AC45" s="909"/>
      <c r="AD45" s="910"/>
      <c r="AE45" s="659"/>
      <c r="AF45" s="909"/>
      <c r="AG45" s="910"/>
      <c r="AH45" s="659"/>
      <c r="AI45" s="909">
        <v>50</v>
      </c>
      <c r="AJ45" s="910">
        <v>13</v>
      </c>
      <c r="AK45" s="659">
        <f>IF(AI45=0, "    ---- ", IF(ABS(ROUND(100/AI45*AJ45-100,1))&lt;999,ROUND(100/AI45*AJ45-100,1),IF(ROUND(100/AI45*AJ45-100,1)&gt;999,999,-999)))</f>
        <v>-74</v>
      </c>
      <c r="AL45" s="909"/>
      <c r="AM45" s="910"/>
      <c r="AN45" s="659"/>
      <c r="AO45" s="658">
        <f t="shared" si="13"/>
        <v>50</v>
      </c>
      <c r="AP45" s="658">
        <f t="shared" si="14"/>
        <v>13</v>
      </c>
      <c r="AQ45" s="659">
        <f t="shared" ref="AQ45:AQ144" si="18">IF(AO45=0, "    ---- ", IF(ABS(ROUND(100/AO45*AP45-100,1))&lt;999,ROUND(100/AO45*AP45-100,1),IF(ROUND(100/AO45*AP45-100,1)&gt;999,999,-999)))</f>
        <v>-74</v>
      </c>
      <c r="AR45" s="658">
        <f t="shared" si="16"/>
        <v>50</v>
      </c>
      <c r="AS45" s="658">
        <f t="shared" si="17"/>
        <v>13</v>
      </c>
      <c r="AT45" s="659">
        <f t="shared" ref="AT45:AT144" si="19">IF(AR45=0, "    ---- ", IF(ABS(ROUND(100/AR45*AS45-100,1))&lt;999,ROUND(100/AR45*AS45-100,1),IF(ROUND(100/AR45*AS45-100,1)&gt;999,999,-999)))</f>
        <v>-74</v>
      </c>
      <c r="AU45" s="641"/>
      <c r="AV45" s="641"/>
      <c r="AW45" s="636"/>
      <c r="AX45" s="636"/>
    </row>
    <row r="46" spans="1:50" s="660" customFormat="1" ht="18.75" customHeight="1" x14ac:dyDescent="0.3">
      <c r="A46" s="608" t="s">
        <v>376</v>
      </c>
      <c r="B46" s="909"/>
      <c r="C46" s="910"/>
      <c r="D46" s="658"/>
      <c r="E46" s="909"/>
      <c r="F46" s="910"/>
      <c r="G46" s="659"/>
      <c r="H46" s="909"/>
      <c r="I46" s="910"/>
      <c r="J46" s="659"/>
      <c r="K46" s="664"/>
      <c r="L46" s="658"/>
      <c r="M46" s="659"/>
      <c r="N46" s="909"/>
      <c r="O46" s="910"/>
      <c r="P46" s="659"/>
      <c r="Q46" s="909"/>
      <c r="R46" s="910"/>
      <c r="S46" s="658"/>
      <c r="T46" s="909"/>
      <c r="U46" s="910"/>
      <c r="V46" s="659"/>
      <c r="W46" s="910"/>
      <c r="X46" s="910"/>
      <c r="Y46" s="659"/>
      <c r="Z46" s="909"/>
      <c r="AA46" s="910"/>
      <c r="AB46" s="659"/>
      <c r="AC46" s="909"/>
      <c r="AD46" s="910"/>
      <c r="AE46" s="659"/>
      <c r="AF46" s="909"/>
      <c r="AG46" s="910"/>
      <c r="AH46" s="659"/>
      <c r="AI46" s="909">
        <v>1</v>
      </c>
      <c r="AJ46" s="910">
        <v>-1</v>
      </c>
      <c r="AK46" s="659">
        <f>IF(AI46=0, "    ---- ", IF(ABS(ROUND(100/AI46*AJ46-100,1))&lt;999,ROUND(100/AI46*AJ46-100,1),IF(ROUND(100/AI46*AJ46-100,1)&gt;999,999,-999)))</f>
        <v>-200</v>
      </c>
      <c r="AL46" s="909">
        <v>2</v>
      </c>
      <c r="AM46" s="910">
        <v>3</v>
      </c>
      <c r="AN46" s="659">
        <f t="shared" ref="AN46" si="20">IF(AL46=0, "    ---- ", IF(ABS(ROUND(100/AL46*AM46-100,1))&lt;999,ROUND(100/AL46*AM46-100,1),IF(ROUND(100/AL46*AM46-100,1)&gt;999,999,-999)))</f>
        <v>50</v>
      </c>
      <c r="AO46" s="658">
        <f t="shared" si="13"/>
        <v>3</v>
      </c>
      <c r="AP46" s="658">
        <f t="shared" si="14"/>
        <v>2</v>
      </c>
      <c r="AQ46" s="659">
        <f t="shared" si="18"/>
        <v>-33.299999999999997</v>
      </c>
      <c r="AR46" s="658">
        <f t="shared" si="16"/>
        <v>3</v>
      </c>
      <c r="AS46" s="658">
        <f t="shared" si="17"/>
        <v>2</v>
      </c>
      <c r="AT46" s="659">
        <f t="shared" si="19"/>
        <v>-33.299999999999997</v>
      </c>
      <c r="AU46" s="641"/>
      <c r="AV46" s="641"/>
      <c r="AW46" s="636"/>
      <c r="AX46" s="636"/>
    </row>
    <row r="47" spans="1:50" s="660" customFormat="1" ht="18.75" customHeight="1" x14ac:dyDescent="0.3">
      <c r="A47" s="602" t="s">
        <v>389</v>
      </c>
      <c r="B47" s="909"/>
      <c r="C47" s="910"/>
      <c r="D47" s="658"/>
      <c r="E47" s="909"/>
      <c r="F47" s="910"/>
      <c r="G47" s="659"/>
      <c r="H47" s="909"/>
      <c r="I47" s="910"/>
      <c r="J47" s="659"/>
      <c r="K47" s="664"/>
      <c r="L47" s="658"/>
      <c r="M47" s="659"/>
      <c r="N47" s="909"/>
      <c r="O47" s="910"/>
      <c r="P47" s="659"/>
      <c r="Q47" s="909"/>
      <c r="R47" s="910"/>
      <c r="S47" s="658"/>
      <c r="T47" s="909"/>
      <c r="U47" s="910"/>
      <c r="V47" s="659"/>
      <c r="W47" s="910"/>
      <c r="X47" s="910"/>
      <c r="Y47" s="659"/>
      <c r="Z47" s="909"/>
      <c r="AA47" s="910"/>
      <c r="AB47" s="659"/>
      <c r="AC47" s="909"/>
      <c r="AD47" s="910"/>
      <c r="AE47" s="659"/>
      <c r="AF47" s="909"/>
      <c r="AG47" s="910"/>
      <c r="AH47" s="659"/>
      <c r="AI47" s="909"/>
      <c r="AJ47" s="910"/>
      <c r="AK47" s="659"/>
      <c r="AL47" s="909"/>
      <c r="AM47" s="910"/>
      <c r="AN47" s="659"/>
      <c r="AO47" s="658"/>
      <c r="AP47" s="658"/>
      <c r="AQ47" s="659"/>
      <c r="AR47" s="658">
        <f t="shared" si="16"/>
        <v>0</v>
      </c>
      <c r="AS47" s="658">
        <f t="shared" si="17"/>
        <v>0</v>
      </c>
      <c r="AT47" s="659"/>
      <c r="AU47" s="641"/>
      <c r="AV47" s="641"/>
      <c r="AW47" s="636"/>
      <c r="AX47" s="636"/>
    </row>
    <row r="48" spans="1:50" s="660" customFormat="1" ht="18.75" customHeight="1" x14ac:dyDescent="0.3">
      <c r="A48" s="608" t="s">
        <v>366</v>
      </c>
      <c r="B48" s="909"/>
      <c r="C48" s="910"/>
      <c r="D48" s="658"/>
      <c r="E48" s="909"/>
      <c r="F48" s="910"/>
      <c r="G48" s="659"/>
      <c r="H48" s="909">
        <v>12735.245999999999</v>
      </c>
      <c r="I48" s="910">
        <v>6290</v>
      </c>
      <c r="J48" s="659">
        <f>IF(H48=0, "    ---- ", IF(ABS(ROUND(100/H48*I48-100,1))&lt;999,ROUND(100/H48*I48-100,1),IF(ROUND(100/H48*I48-100,1)&gt;999,999,-999)))</f>
        <v>-50.6</v>
      </c>
      <c r="K48" s="664"/>
      <c r="L48" s="658"/>
      <c r="M48" s="659" t="str">
        <f>IF(K48=0, "    ---- ", IF(ABS(ROUND(100/K48*L48-100,1))&lt;999,ROUND(100/K48*L48-100,1),IF(ROUND(100/K48*L48-100,1)&gt;999,999,-999)))</f>
        <v xml:space="preserve">    ---- </v>
      </c>
      <c r="N48" s="909">
        <v>11.616</v>
      </c>
      <c r="O48" s="910">
        <v>9.8859999999999992</v>
      </c>
      <c r="P48" s="659">
        <f>IF(N48=0, "    ---- ", IF(ABS(ROUND(100/N48*O48-100,1))&lt;999,ROUND(100/N48*O48-100,1),IF(ROUND(100/N48*O48-100,1)&gt;999,999,-999)))</f>
        <v>-14.9</v>
      </c>
      <c r="Q48" s="909">
        <v>14.5</v>
      </c>
      <c r="R48" s="910">
        <v>9.1</v>
      </c>
      <c r="S48" s="658">
        <f>IF(Q48=0, "    ---- ", IF(ABS(ROUND(100/Q48*R48-100,1))&lt;999,ROUND(100/Q48*R48-100,1),IF(ROUND(100/Q48*R48-100,1)&gt;999,999,-999)))</f>
        <v>-37.200000000000003</v>
      </c>
      <c r="T48" s="909"/>
      <c r="U48" s="910"/>
      <c r="V48" s="659"/>
      <c r="W48" s="910"/>
      <c r="X48" s="910"/>
      <c r="Y48" s="659"/>
      <c r="Z48" s="909"/>
      <c r="AA48" s="910"/>
      <c r="AB48" s="659"/>
      <c r="AC48" s="909"/>
      <c r="AD48" s="910"/>
      <c r="AE48" s="659"/>
      <c r="AF48" s="909"/>
      <c r="AG48" s="910"/>
      <c r="AH48" s="659"/>
      <c r="AI48" s="909">
        <v>22</v>
      </c>
      <c r="AJ48" s="910">
        <v>-1</v>
      </c>
      <c r="AK48" s="659">
        <f>IF(AI48=0, "    ---- ", IF(ABS(ROUND(100/AI48*AJ48-100,1))&lt;999,ROUND(100/AI48*AJ48-100,1),IF(ROUND(100/AI48*AJ48-100,1)&gt;999,999,-999)))</f>
        <v>-104.5</v>
      </c>
      <c r="AL48" s="909">
        <v>-2</v>
      </c>
      <c r="AM48" s="910">
        <v>-29</v>
      </c>
      <c r="AN48" s="659">
        <f>IF(AL48=0, "    ---- ", IF(ABS(ROUND(100/AL48*AM48-100,1))&lt;999,ROUND(100/AL48*AM48-100,1),IF(ROUND(100/AL48*AM48-100,1)&gt;999,999,-999)))</f>
        <v>999</v>
      </c>
      <c r="AO48" s="658">
        <f t="shared" ref="AO48:AO94" si="21">B48+H48+K48+N48+Q48+W48+E48+Z48+AC48+AI48+AL48</f>
        <v>12781.361999999999</v>
      </c>
      <c r="AP48" s="658">
        <f t="shared" ref="AP48:AP94" si="22">C48+I48+L48+O48+R48+X48+F48+AA48+AD48+AJ48+AM48</f>
        <v>6278.9860000000008</v>
      </c>
      <c r="AQ48" s="659">
        <f t="shared" si="18"/>
        <v>-50.9</v>
      </c>
      <c r="AR48" s="658">
        <f t="shared" si="16"/>
        <v>12781.361999999999</v>
      </c>
      <c r="AS48" s="658">
        <f t="shared" si="17"/>
        <v>6278.9860000000008</v>
      </c>
      <c r="AT48" s="659">
        <f t="shared" si="19"/>
        <v>-50.9</v>
      </c>
      <c r="AU48" s="641"/>
      <c r="AV48" s="641"/>
      <c r="AW48" s="636"/>
      <c r="AX48" s="636"/>
    </row>
    <row r="49" spans="1:50" s="660" customFormat="1" ht="18.75" customHeight="1" x14ac:dyDescent="0.3">
      <c r="A49" s="608" t="s">
        <v>367</v>
      </c>
      <c r="B49" s="909"/>
      <c r="C49" s="910"/>
      <c r="D49" s="658"/>
      <c r="E49" s="909"/>
      <c r="F49" s="910"/>
      <c r="G49" s="659"/>
      <c r="H49" s="909"/>
      <c r="I49" s="910"/>
      <c r="J49" s="659"/>
      <c r="K49" s="664"/>
      <c r="L49" s="658"/>
      <c r="M49" s="659"/>
      <c r="N49" s="909"/>
      <c r="O49" s="910"/>
      <c r="P49" s="659"/>
      <c r="Q49" s="909"/>
      <c r="R49" s="910"/>
      <c r="S49" s="658"/>
      <c r="T49" s="909"/>
      <c r="U49" s="910"/>
      <c r="V49" s="659"/>
      <c r="W49" s="910"/>
      <c r="X49" s="910"/>
      <c r="Y49" s="659"/>
      <c r="Z49" s="909"/>
      <c r="AA49" s="910"/>
      <c r="AB49" s="659"/>
      <c r="AC49" s="909"/>
      <c r="AD49" s="910"/>
      <c r="AE49" s="659"/>
      <c r="AF49" s="909"/>
      <c r="AG49" s="910"/>
      <c r="AH49" s="659"/>
      <c r="AI49" s="909"/>
      <c r="AJ49" s="910"/>
      <c r="AK49" s="659"/>
      <c r="AL49" s="909"/>
      <c r="AM49" s="910"/>
      <c r="AN49" s="659"/>
      <c r="AO49" s="658">
        <f t="shared" si="21"/>
        <v>0</v>
      </c>
      <c r="AP49" s="658">
        <f t="shared" si="22"/>
        <v>0</v>
      </c>
      <c r="AQ49" s="659" t="str">
        <f t="shared" si="18"/>
        <v xml:space="preserve">    ---- </v>
      </c>
      <c r="AR49" s="658">
        <f t="shared" si="16"/>
        <v>0</v>
      </c>
      <c r="AS49" s="658">
        <f t="shared" si="17"/>
        <v>0</v>
      </c>
      <c r="AT49" s="659" t="str">
        <f t="shared" si="19"/>
        <v xml:space="preserve">    ---- </v>
      </c>
      <c r="AU49" s="641"/>
      <c r="AV49" s="641"/>
      <c r="AW49" s="636"/>
      <c r="AX49" s="636"/>
    </row>
    <row r="50" spans="1:50" s="660" customFormat="1" ht="18.75" customHeight="1" x14ac:dyDescent="0.3">
      <c r="A50" s="608" t="s">
        <v>368</v>
      </c>
      <c r="B50" s="909">
        <f>20.464+0.423-8.16</f>
        <v>12.726999999999997</v>
      </c>
      <c r="C50" s="910">
        <f>-6.527+0.125+29.932</f>
        <v>23.529999999999998</v>
      </c>
      <c r="D50" s="658">
        <f>IF(B50=0, "    ---- ", IF(ABS(ROUND(100/B50*C50-100,1))&lt;999,ROUND(100/B50*C50-100,1),IF(ROUND(100/B50*C50-100,1)&gt;999,999,-999)))</f>
        <v>84.9</v>
      </c>
      <c r="E50" s="909">
        <v>-32</v>
      </c>
      <c r="F50" s="910">
        <v>-38</v>
      </c>
      <c r="G50" s="659">
        <f>IF(E50=0, "    ---- ", IF(ABS(ROUND(100/E50*F50-100,1))&lt;999,ROUND(100/E50*F50-100,1),IF(ROUND(100/E50*F50-100,1)&gt;999,999,-999)))</f>
        <v>18.8</v>
      </c>
      <c r="H50" s="909">
        <v>329.66399999999999</v>
      </c>
      <c r="I50" s="910">
        <v>396</v>
      </c>
      <c r="J50" s="659">
        <f>IF(H50=0, "    ---- ", IF(ABS(ROUND(100/H50*I50-100,1))&lt;999,ROUND(100/H50*I50-100,1),IF(ROUND(100/H50*I50-100,1)&gt;999,999,-999)))</f>
        <v>20.100000000000001</v>
      </c>
      <c r="K50" s="664"/>
      <c r="L50" s="658"/>
      <c r="M50" s="659" t="str">
        <f>IF(K50=0, "    ---- ", IF(ABS(ROUND(100/K50*L50-100,1))&lt;999,ROUND(100/K50*L50-100,1),IF(ROUND(100/K50*L50-100,1)&gt;999,999,-999)))</f>
        <v xml:space="preserve">    ---- </v>
      </c>
      <c r="N50" s="909">
        <v>-13.301</v>
      </c>
      <c r="O50" s="910">
        <v>219.35900000000001</v>
      </c>
      <c r="P50" s="659">
        <f>IF(N50=0, "    ---- ", IF(ABS(ROUND(100/N50*O50-100,1))&lt;999,ROUND(100/N50*O50-100,1),IF(ROUND(100/N50*O50-100,1)&gt;999,999,-999)))</f>
        <v>-999</v>
      </c>
      <c r="Q50" s="909">
        <v>89.9</v>
      </c>
      <c r="R50" s="910">
        <v>99.7</v>
      </c>
      <c r="S50" s="658">
        <f>IF(Q50=0, "    ---- ", IF(ABS(ROUND(100/Q50*R50-100,1))&lt;999,ROUND(100/Q50*R50-100,1),IF(ROUND(100/Q50*R50-100,1)&gt;999,999,-999)))</f>
        <v>10.9</v>
      </c>
      <c r="T50" s="909"/>
      <c r="U50" s="910"/>
      <c r="V50" s="659"/>
      <c r="W50" s="910"/>
      <c r="X50" s="910"/>
      <c r="Y50" s="659"/>
      <c r="Z50" s="909">
        <v>195.47682170496452</v>
      </c>
      <c r="AA50" s="910">
        <v>231.28</v>
      </c>
      <c r="AB50" s="659">
        <f>IF(Z50=0, "    ---- ", IF(ABS(ROUND(100/Z50*AA50-100,1))&lt;999,ROUND(100/Z50*AA50-100,1),IF(ROUND(100/Z50*AA50-100,1)&gt;999,999,-999)))</f>
        <v>18.3</v>
      </c>
      <c r="AC50" s="909"/>
      <c r="AD50" s="910"/>
      <c r="AE50" s="659"/>
      <c r="AF50" s="909">
        <v>-0.57018520376037096</v>
      </c>
      <c r="AG50" s="910">
        <v>-1.1624508830435101</v>
      </c>
      <c r="AH50" s="659">
        <f>IF(AF50=0, "    ---- ", IF(ABS(ROUND(100/AF50*AG50-100,1))&lt;999,ROUND(100/AF50*AG50-100,1),IF(ROUND(100/AF50*AG50-100,1)&gt;999,999,-999)))</f>
        <v>103.9</v>
      </c>
      <c r="AI50" s="909">
        <v>56</v>
      </c>
      <c r="AJ50" s="910">
        <v>78</v>
      </c>
      <c r="AK50" s="659">
        <f>IF(AI50=0, "    ---- ", IF(ABS(ROUND(100/AI50*AJ50-100,1))&lt;999,ROUND(100/AI50*AJ50-100,1),IF(ROUND(100/AI50*AJ50-100,1)&gt;999,999,-999)))</f>
        <v>39.299999999999997</v>
      </c>
      <c r="AL50" s="909">
        <f>28+220</f>
        <v>248</v>
      </c>
      <c r="AM50" s="910">
        <v>342</v>
      </c>
      <c r="AN50" s="659">
        <f>IF(AL50=0, "    ---- ", IF(ABS(ROUND(100/AL50*AM50-100,1))&lt;999,ROUND(100/AL50*AM50-100,1),IF(ROUND(100/AL50*AM50-100,1)&gt;999,999,-999)))</f>
        <v>37.9</v>
      </c>
      <c r="AO50" s="658">
        <f t="shared" si="21"/>
        <v>886.46682170496456</v>
      </c>
      <c r="AP50" s="658">
        <f t="shared" si="22"/>
        <v>1351.8690000000001</v>
      </c>
      <c r="AQ50" s="659">
        <f t="shared" si="18"/>
        <v>52.5</v>
      </c>
      <c r="AR50" s="658">
        <f t="shared" si="16"/>
        <v>885.89663650120417</v>
      </c>
      <c r="AS50" s="658">
        <f t="shared" si="17"/>
        <v>1350.7065491169565</v>
      </c>
      <c r="AT50" s="659">
        <f t="shared" si="19"/>
        <v>52.5</v>
      </c>
      <c r="AU50" s="641"/>
      <c r="AV50" s="641"/>
      <c r="AW50" s="636"/>
      <c r="AX50" s="636"/>
    </row>
    <row r="51" spans="1:50" s="660" customFormat="1" ht="18.75" customHeight="1" x14ac:dyDescent="0.3">
      <c r="A51" s="608" t="s">
        <v>369</v>
      </c>
      <c r="B51" s="909"/>
      <c r="C51" s="910"/>
      <c r="D51" s="658"/>
      <c r="E51" s="909"/>
      <c r="F51" s="910"/>
      <c r="G51" s="659"/>
      <c r="H51" s="909"/>
      <c r="I51" s="910"/>
      <c r="J51" s="659"/>
      <c r="K51" s="664"/>
      <c r="L51" s="658"/>
      <c r="M51" s="659"/>
      <c r="N51" s="909"/>
      <c r="O51" s="910"/>
      <c r="P51" s="659"/>
      <c r="Q51" s="909">
        <v>1.5</v>
      </c>
      <c r="R51" s="910">
        <v>1.8</v>
      </c>
      <c r="S51" s="658">
        <f t="shared" ref="S51:S52" si="23">IF(Q51=0, "    ---- ", IF(ABS(ROUND(100/Q51*R51-100,1))&lt;999,ROUND(100/Q51*R51-100,1),IF(ROUND(100/Q51*R51-100,1)&gt;999,999,-999)))</f>
        <v>20</v>
      </c>
      <c r="T51" s="909"/>
      <c r="U51" s="910"/>
      <c r="V51" s="659"/>
      <c r="W51" s="910"/>
      <c r="X51" s="910"/>
      <c r="Y51" s="659"/>
      <c r="Z51" s="909"/>
      <c r="AA51" s="910"/>
      <c r="AB51" s="659"/>
      <c r="AC51" s="909"/>
      <c r="AD51" s="910"/>
      <c r="AE51" s="659"/>
      <c r="AF51" s="909"/>
      <c r="AG51" s="910"/>
      <c r="AH51" s="659"/>
      <c r="AI51" s="909"/>
      <c r="AJ51" s="910"/>
      <c r="AK51" s="659"/>
      <c r="AL51" s="909"/>
      <c r="AM51" s="910"/>
      <c r="AN51" s="659"/>
      <c r="AO51" s="658">
        <f t="shared" si="21"/>
        <v>1.5</v>
      </c>
      <c r="AP51" s="658">
        <f t="shared" si="22"/>
        <v>1.8</v>
      </c>
      <c r="AQ51" s="659">
        <f t="shared" si="18"/>
        <v>20</v>
      </c>
      <c r="AR51" s="658">
        <f t="shared" si="16"/>
        <v>1.5</v>
      </c>
      <c r="AS51" s="658">
        <f t="shared" si="17"/>
        <v>1.8</v>
      </c>
      <c r="AT51" s="659">
        <f t="shared" si="19"/>
        <v>20</v>
      </c>
      <c r="AU51" s="641"/>
      <c r="AV51" s="641"/>
      <c r="AW51" s="636"/>
      <c r="AX51" s="636"/>
    </row>
    <row r="52" spans="1:50" s="660" customFormat="1" ht="18.75" customHeight="1" x14ac:dyDescent="0.3">
      <c r="A52" s="608" t="s">
        <v>370</v>
      </c>
      <c r="B52" s="909"/>
      <c r="C52" s="910"/>
      <c r="D52" s="658"/>
      <c r="E52" s="909"/>
      <c r="F52" s="910"/>
      <c r="G52" s="659"/>
      <c r="H52" s="909"/>
      <c r="I52" s="910"/>
      <c r="J52" s="659"/>
      <c r="K52" s="664"/>
      <c r="L52" s="658"/>
      <c r="M52" s="659"/>
      <c r="N52" s="909"/>
      <c r="O52" s="910"/>
      <c r="P52" s="659"/>
      <c r="Q52" s="909">
        <v>4.5</v>
      </c>
      <c r="R52" s="910">
        <v>5.5</v>
      </c>
      <c r="S52" s="658">
        <f t="shared" si="23"/>
        <v>22.2</v>
      </c>
      <c r="T52" s="909"/>
      <c r="U52" s="910"/>
      <c r="V52" s="659"/>
      <c r="W52" s="910"/>
      <c r="X52" s="910"/>
      <c r="Y52" s="659"/>
      <c r="Z52" s="909"/>
      <c r="AA52" s="910"/>
      <c r="AB52" s="659"/>
      <c r="AC52" s="909"/>
      <c r="AD52" s="910"/>
      <c r="AE52" s="659"/>
      <c r="AF52" s="909"/>
      <c r="AG52" s="910"/>
      <c r="AH52" s="659"/>
      <c r="AI52" s="909"/>
      <c r="AJ52" s="910"/>
      <c r="AK52" s="659"/>
      <c r="AL52" s="909"/>
      <c r="AM52" s="910"/>
      <c r="AN52" s="659"/>
      <c r="AO52" s="658">
        <f t="shared" si="21"/>
        <v>4.5</v>
      </c>
      <c r="AP52" s="658">
        <f t="shared" si="22"/>
        <v>5.5</v>
      </c>
      <c r="AQ52" s="659">
        <f t="shared" si="18"/>
        <v>22.2</v>
      </c>
      <c r="AR52" s="658">
        <f t="shared" si="16"/>
        <v>4.5</v>
      </c>
      <c r="AS52" s="658">
        <f t="shared" si="17"/>
        <v>5.5</v>
      </c>
      <c r="AT52" s="659">
        <f t="shared" si="19"/>
        <v>22.2</v>
      </c>
      <c r="AU52" s="641"/>
      <c r="AV52" s="641"/>
      <c r="AW52" s="636"/>
      <c r="AX52" s="636"/>
    </row>
    <row r="53" spans="1:50" s="660" customFormat="1" ht="18.75" customHeight="1" x14ac:dyDescent="0.3">
      <c r="A53" s="608" t="s">
        <v>371</v>
      </c>
      <c r="B53" s="909"/>
      <c r="C53" s="910"/>
      <c r="D53" s="658"/>
      <c r="E53" s="909"/>
      <c r="F53" s="910"/>
      <c r="G53" s="659"/>
      <c r="H53" s="909">
        <v>-0.36699999999999999</v>
      </c>
      <c r="I53" s="910">
        <v>-1</v>
      </c>
      <c r="J53" s="659">
        <f>IF(H53=0, "    ---- ", IF(ABS(ROUND(100/H53*I53-100,1))&lt;999,ROUND(100/H53*I53-100,1),IF(ROUND(100/H53*I53-100,1)&gt;999,999,-999)))</f>
        <v>172.5</v>
      </c>
      <c r="K53" s="664"/>
      <c r="L53" s="658"/>
      <c r="M53" s="659" t="str">
        <f>IF(K53=0, "    ---- ", IF(ABS(ROUND(100/K53*L53-100,1))&lt;999,ROUND(100/K53*L53-100,1),IF(ROUND(100/K53*L53-100,1)&gt;999,999,-999)))</f>
        <v xml:space="preserve">    ---- </v>
      </c>
      <c r="N53" s="909">
        <v>9.44</v>
      </c>
      <c r="O53" s="910">
        <v>22.253</v>
      </c>
      <c r="P53" s="659">
        <f>IF(N53=0, "    ---- ", IF(ABS(ROUND(100/N53*O53-100,1))&lt;999,ROUND(100/N53*O53-100,1),IF(ROUND(100/N53*O53-100,1)&gt;999,999,-999)))</f>
        <v>135.69999999999999</v>
      </c>
      <c r="Q53" s="909">
        <v>-0.4</v>
      </c>
      <c r="R53" s="910">
        <v>-4.4000000000000004</v>
      </c>
      <c r="S53" s="658">
        <f>IF(Q53=0, "    ---- ", IF(ABS(ROUND(100/Q53*R53-100,1))&lt;999,ROUND(100/Q53*R53-100,1),IF(ROUND(100/Q53*R53-100,1)&gt;999,999,-999)))</f>
        <v>999</v>
      </c>
      <c r="T53" s="909"/>
      <c r="U53" s="910"/>
      <c r="V53" s="659"/>
      <c r="W53" s="910"/>
      <c r="X53" s="910"/>
      <c r="Y53" s="659"/>
      <c r="Z53" s="909">
        <v>-2.8160477799999999</v>
      </c>
      <c r="AA53" s="910">
        <v>-2.76</v>
      </c>
      <c r="AB53" s="659">
        <f>IF(Z53=0, "    ---- ", IF(ABS(ROUND(100/Z53*AA53-100,1))&lt;999,ROUND(100/Z53*AA53-100,1),IF(ROUND(100/Z53*AA53-100,1)&gt;999,999,-999)))</f>
        <v>-2</v>
      </c>
      <c r="AC53" s="909"/>
      <c r="AD53" s="910"/>
      <c r="AE53" s="659"/>
      <c r="AF53" s="909"/>
      <c r="AG53" s="910"/>
      <c r="AH53" s="659"/>
      <c r="AI53" s="909">
        <v>-31</v>
      </c>
      <c r="AJ53" s="910">
        <v>24</v>
      </c>
      <c r="AK53" s="659">
        <f>IF(AI53=0, "    ---- ", IF(ABS(ROUND(100/AI53*AJ53-100,1))&lt;999,ROUND(100/AI53*AJ53-100,1),IF(ROUND(100/AI53*AJ53-100,1)&gt;999,999,-999)))</f>
        <v>-177.4</v>
      </c>
      <c r="AL53" s="909"/>
      <c r="AM53" s="910"/>
      <c r="AN53" s="659"/>
      <c r="AO53" s="658">
        <f t="shared" si="21"/>
        <v>-25.14304778</v>
      </c>
      <c r="AP53" s="658">
        <f t="shared" si="22"/>
        <v>38.093000000000004</v>
      </c>
      <c r="AQ53" s="659">
        <f t="shared" si="18"/>
        <v>-251.5</v>
      </c>
      <c r="AR53" s="658">
        <f t="shared" si="16"/>
        <v>-25.14304778</v>
      </c>
      <c r="AS53" s="658">
        <f t="shared" si="17"/>
        <v>38.093000000000004</v>
      </c>
      <c r="AT53" s="659">
        <f t="shared" si="19"/>
        <v>-251.5</v>
      </c>
      <c r="AU53" s="641"/>
      <c r="AV53" s="641"/>
      <c r="AW53" s="636"/>
      <c r="AX53" s="636"/>
    </row>
    <row r="54" spans="1:50" s="660" customFormat="1" ht="18.75" customHeight="1" x14ac:dyDescent="0.3">
      <c r="A54" s="608" t="s">
        <v>372</v>
      </c>
      <c r="B54" s="909"/>
      <c r="C54" s="910"/>
      <c r="D54" s="658"/>
      <c r="E54" s="909"/>
      <c r="F54" s="910"/>
      <c r="G54" s="659"/>
      <c r="H54" s="909"/>
      <c r="I54" s="910"/>
      <c r="J54" s="659"/>
      <c r="K54" s="664"/>
      <c r="L54" s="658"/>
      <c r="M54" s="659"/>
      <c r="N54" s="909"/>
      <c r="O54" s="910"/>
      <c r="P54" s="659"/>
      <c r="Q54" s="909"/>
      <c r="R54" s="910"/>
      <c r="S54" s="658"/>
      <c r="T54" s="909"/>
      <c r="U54" s="910"/>
      <c r="V54" s="659"/>
      <c r="W54" s="910"/>
      <c r="X54" s="910"/>
      <c r="Y54" s="659"/>
      <c r="Z54" s="909"/>
      <c r="AA54" s="910"/>
      <c r="AB54" s="659"/>
      <c r="AC54" s="909"/>
      <c r="AD54" s="910"/>
      <c r="AE54" s="659"/>
      <c r="AF54" s="909"/>
      <c r="AG54" s="910"/>
      <c r="AH54" s="659"/>
      <c r="AI54" s="909"/>
      <c r="AJ54" s="910"/>
      <c r="AK54" s="659"/>
      <c r="AL54" s="909"/>
      <c r="AM54" s="910"/>
      <c r="AN54" s="659"/>
      <c r="AO54" s="658">
        <f t="shared" si="21"/>
        <v>0</v>
      </c>
      <c r="AP54" s="658">
        <f t="shared" si="22"/>
        <v>0</v>
      </c>
      <c r="AQ54" s="659" t="str">
        <f t="shared" si="18"/>
        <v xml:space="preserve">    ---- </v>
      </c>
      <c r="AR54" s="658">
        <f t="shared" si="16"/>
        <v>0</v>
      </c>
      <c r="AS54" s="658">
        <f t="shared" si="17"/>
        <v>0</v>
      </c>
      <c r="AT54" s="659" t="str">
        <f t="shared" si="19"/>
        <v xml:space="preserve">    ---- </v>
      </c>
      <c r="AU54" s="641"/>
      <c r="AV54" s="641"/>
      <c r="AW54" s="636"/>
      <c r="AX54" s="636"/>
    </row>
    <row r="55" spans="1:50" s="660" customFormat="1" ht="18.75" customHeight="1" x14ac:dyDescent="0.3">
      <c r="A55" s="608" t="s">
        <v>373</v>
      </c>
      <c r="B55" s="909"/>
      <c r="C55" s="910"/>
      <c r="D55" s="658"/>
      <c r="E55" s="909"/>
      <c r="F55" s="910">
        <v>-6</v>
      </c>
      <c r="G55" s="659" t="str">
        <f>IF(E55=0, "    ---- ", IF(ABS(ROUND(100/E55*F55-100,1))&lt;999,ROUND(100/E55*F55-100,1),IF(ROUND(100/E55*F55-100,1)&gt;999,999,-999)))</f>
        <v xml:space="preserve">    ---- </v>
      </c>
      <c r="H55" s="909"/>
      <c r="I55" s="910"/>
      <c r="J55" s="659"/>
      <c r="K55" s="664"/>
      <c r="L55" s="658"/>
      <c r="M55" s="659" t="str">
        <f>IF(K55=0, "    ---- ", IF(ABS(ROUND(100/K55*L55-100,1))&lt;999,ROUND(100/K55*L55-100,1),IF(ROUND(100/K55*L55-100,1)&gt;999,999,-999)))</f>
        <v xml:space="preserve">    ---- </v>
      </c>
      <c r="N55" s="909">
        <v>8.0000000000000002E-3</v>
      </c>
      <c r="O55" s="910">
        <v>-5.1999999999999998E-2</v>
      </c>
      <c r="P55" s="659">
        <f>IF(N55=0, "    ---- ", IF(ABS(ROUND(100/N55*O55-100,1))&lt;999,ROUND(100/N55*O55-100,1),IF(ROUND(100/N55*O55-100,1)&gt;999,999,-999)))</f>
        <v>-750</v>
      </c>
      <c r="Q55" s="909"/>
      <c r="R55" s="910"/>
      <c r="S55" s="658"/>
      <c r="T55" s="909"/>
      <c r="U55" s="910"/>
      <c r="V55" s="659"/>
      <c r="W55" s="910"/>
      <c r="X55" s="910"/>
      <c r="Y55" s="659"/>
      <c r="Z55" s="909">
        <v>-4.8092554999999999</v>
      </c>
      <c r="AA55" s="910">
        <v>-2.25</v>
      </c>
      <c r="AB55" s="659">
        <f>IF(Z55=0, "    ---- ", IF(ABS(ROUND(100/Z55*AA55-100,1))&lt;999,ROUND(100/Z55*AA55-100,1),IF(ROUND(100/Z55*AA55-100,1)&gt;999,999,-999)))</f>
        <v>-53.2</v>
      </c>
      <c r="AC55" s="909"/>
      <c r="AD55" s="910"/>
      <c r="AE55" s="659"/>
      <c r="AF55" s="909"/>
      <c r="AG55" s="910"/>
      <c r="AH55" s="659"/>
      <c r="AI55" s="909"/>
      <c r="AJ55" s="910"/>
      <c r="AK55" s="659"/>
      <c r="AL55" s="909"/>
      <c r="AM55" s="910"/>
      <c r="AN55" s="659"/>
      <c r="AO55" s="658">
        <f t="shared" si="21"/>
        <v>-4.8012554999999999</v>
      </c>
      <c r="AP55" s="658">
        <f t="shared" si="22"/>
        <v>-8.3019999999999996</v>
      </c>
      <c r="AQ55" s="659">
        <f t="shared" si="18"/>
        <v>72.900000000000006</v>
      </c>
      <c r="AR55" s="658">
        <f t="shared" si="16"/>
        <v>-4.8012554999999999</v>
      </c>
      <c r="AS55" s="658">
        <f t="shared" si="17"/>
        <v>-8.3019999999999996</v>
      </c>
      <c r="AT55" s="659">
        <f t="shared" si="19"/>
        <v>72.900000000000006</v>
      </c>
      <c r="AU55" s="641"/>
      <c r="AV55" s="641"/>
      <c r="AW55" s="636"/>
      <c r="AX55" s="636"/>
    </row>
    <row r="56" spans="1:50" s="663" customFormat="1" ht="18.75" customHeight="1" x14ac:dyDescent="0.3">
      <c r="A56" s="602" t="s">
        <v>374</v>
      </c>
      <c r="B56" s="911">
        <f>SUM(B48:B53)+B55</f>
        <v>12.726999999999997</v>
      </c>
      <c r="C56" s="912">
        <f>SUM(C48:C53)+C55</f>
        <v>23.529999999999998</v>
      </c>
      <c r="D56" s="656">
        <f>IF(B56=0, "    ---- ", IF(ABS(ROUND(100/B56*C56-100,1))&lt;999,ROUND(100/B56*C56-100,1),IF(ROUND(100/B56*C56-100,1)&gt;999,999,-999)))</f>
        <v>84.9</v>
      </c>
      <c r="E56" s="911">
        <f>SUM(E48:E53)+E55</f>
        <v>-32</v>
      </c>
      <c r="F56" s="912">
        <f>SUM(F48:F53)+F55</f>
        <v>-44</v>
      </c>
      <c r="G56" s="657">
        <f>IF(E56=0, "    ---- ", IF(ABS(ROUND(100/E56*F56-100,1))&lt;999,ROUND(100/E56*F56-100,1),IF(ROUND(100/E56*F56-100,1)&gt;999,999,-999)))</f>
        <v>37.5</v>
      </c>
      <c r="H56" s="911">
        <f>SUM(H48:H53)+H55</f>
        <v>13064.543</v>
      </c>
      <c r="I56" s="912">
        <f>SUM(I48:I53)+I55</f>
        <v>6685</v>
      </c>
      <c r="J56" s="657">
        <f>IF(H56=0, "    ---- ", IF(ABS(ROUND(100/H56*I56-100,1))&lt;999,ROUND(100/H56*I56-100,1),IF(ROUND(100/H56*I56-100,1)&gt;999,999,-999)))</f>
        <v>-48.8</v>
      </c>
      <c r="K56" s="665"/>
      <c r="L56" s="656"/>
      <c r="M56" s="657" t="str">
        <f>IF(K56=0, "    ---- ", IF(ABS(ROUND(100/K56*L56-100,1))&lt;999,ROUND(100/K56*L56-100,1),IF(ROUND(100/K56*L56-100,1)&gt;999,999,-999)))</f>
        <v xml:space="preserve">    ---- </v>
      </c>
      <c r="N56" s="911">
        <f>SUM(N48:N53)+N55</f>
        <v>7.762999999999999</v>
      </c>
      <c r="O56" s="912">
        <f>SUM(O48:O53)+O55</f>
        <v>251.446</v>
      </c>
      <c r="P56" s="657">
        <f>IF(N56=0, "    ---- ", IF(ABS(ROUND(100/N56*O56-100,1))&lt;999,ROUND(100/N56*O56-100,1),IF(ROUND(100/N56*O56-100,1)&gt;999,999,-999)))</f>
        <v>999</v>
      </c>
      <c r="Q56" s="911">
        <f>SUM(Q48:Q53)+Q55</f>
        <v>110</v>
      </c>
      <c r="R56" s="912">
        <f>SUM(R48:R53)+R55</f>
        <v>111.69999999999999</v>
      </c>
      <c r="S56" s="656">
        <f>IF(Q56=0, "    ---- ", IF(ABS(ROUND(100/Q56*R56-100,1))&lt;999,ROUND(100/Q56*R56-100,1),IF(ROUND(100/Q56*R56-100,1)&gt;999,999,-999)))</f>
        <v>1.5</v>
      </c>
      <c r="T56" s="911"/>
      <c r="U56" s="912"/>
      <c r="V56" s="659"/>
      <c r="W56" s="912"/>
      <c r="X56" s="912"/>
      <c r="Y56" s="657"/>
      <c r="Z56" s="911">
        <f>SUM(Z48:Z53)+Z55</f>
        <v>187.85151842496452</v>
      </c>
      <c r="AA56" s="912">
        <f>SUM(AA48:AA53)+AA55</f>
        <v>226.27</v>
      </c>
      <c r="AB56" s="657">
        <f>IF(Z56=0, "    ---- ", IF(ABS(ROUND(100/Z56*AA56-100,1))&lt;999,ROUND(100/Z56*AA56-100,1),IF(ROUND(100/Z56*AA56-100,1)&gt;999,999,-999)))</f>
        <v>20.5</v>
      </c>
      <c r="AC56" s="911"/>
      <c r="AD56" s="912"/>
      <c r="AE56" s="657"/>
      <c r="AF56" s="911">
        <f>SUM(AF48:AF53)+AF55</f>
        <v>-0.57018520376037096</v>
      </c>
      <c r="AG56" s="912">
        <f>SUM(AG48:AG53)+AG55</f>
        <v>-1.1624508830435101</v>
      </c>
      <c r="AH56" s="659">
        <f>IF(AF56=0, "    ---- ", IF(ABS(ROUND(100/AF56*AG56-100,1))&lt;999,ROUND(100/AF56*AG56-100,1),IF(ROUND(100/AF56*AG56-100,1)&gt;999,999,-999)))</f>
        <v>103.9</v>
      </c>
      <c r="AI56" s="911">
        <f>SUM(AI48:AI53)+AI55</f>
        <v>47</v>
      </c>
      <c r="AJ56" s="912">
        <f>SUM(AJ48:AJ53)+AJ55</f>
        <v>101</v>
      </c>
      <c r="AK56" s="657">
        <f>IF(AI56=0, "    ---- ", IF(ABS(ROUND(100/AI56*AJ56-100,1))&lt;999,ROUND(100/AI56*AJ56-100,1),IF(ROUND(100/AI56*AJ56-100,1)&gt;999,999,-999)))</f>
        <v>114.9</v>
      </c>
      <c r="AL56" s="911">
        <f>SUM(AL48:AL53)+AL55</f>
        <v>246</v>
      </c>
      <c r="AM56" s="912">
        <v>313</v>
      </c>
      <c r="AN56" s="657">
        <f>IF(AL56=0, "    ---- ", IF(ABS(ROUND(100/AL56*AM56-100,1))&lt;999,ROUND(100/AL56*AM56-100,1),IF(ROUND(100/AL56*AM56-100,1)&gt;999,999,-999)))</f>
        <v>27.2</v>
      </c>
      <c r="AO56" s="656">
        <f t="shared" si="21"/>
        <v>13643.884518424966</v>
      </c>
      <c r="AP56" s="656">
        <f t="shared" si="22"/>
        <v>7667.9459999999999</v>
      </c>
      <c r="AQ56" s="657">
        <f t="shared" si="18"/>
        <v>-43.8</v>
      </c>
      <c r="AR56" s="656">
        <f t="shared" si="16"/>
        <v>13643.314333221206</v>
      </c>
      <c r="AS56" s="656">
        <f t="shared" si="17"/>
        <v>7666.7835491169562</v>
      </c>
      <c r="AT56" s="657">
        <f t="shared" si="19"/>
        <v>-43.8</v>
      </c>
      <c r="AU56" s="639"/>
      <c r="AV56" s="639"/>
      <c r="AW56" s="662"/>
      <c r="AX56" s="662"/>
    </row>
    <row r="57" spans="1:50" s="660" customFormat="1" ht="18.75" customHeight="1" x14ac:dyDescent="0.3">
      <c r="A57" s="608" t="s">
        <v>375</v>
      </c>
      <c r="B57" s="909"/>
      <c r="C57" s="910"/>
      <c r="D57" s="658"/>
      <c r="E57" s="909"/>
      <c r="F57" s="910"/>
      <c r="G57" s="659"/>
      <c r="H57" s="909">
        <v>12735.9</v>
      </c>
      <c r="I57" s="910">
        <v>6290</v>
      </c>
      <c r="J57" s="658">
        <f>IF(H57=0, "    ---- ", IF(ABS(ROUND(100/H57*I57-100,1))&lt;999,ROUND(100/H57*I57-100,1),IF(ROUND(100/H57*I57-100,1)&gt;999,999,-999)))</f>
        <v>-50.6</v>
      </c>
      <c r="K57" s="664"/>
      <c r="L57" s="658"/>
      <c r="M57" s="659"/>
      <c r="N57" s="909"/>
      <c r="O57" s="910"/>
      <c r="P57" s="659"/>
      <c r="Q57" s="909">
        <v>3.5</v>
      </c>
      <c r="R57" s="910">
        <v>2.2999999999999998</v>
      </c>
      <c r="S57" s="658">
        <f>IF(Q57=0, "    ---- ", IF(ABS(ROUND(100/Q57*R57-100,1))&lt;999,ROUND(100/Q57*R57-100,1),IF(ROUND(100/Q57*R57-100,1)&gt;999,999,-999)))</f>
        <v>-34.299999999999997</v>
      </c>
      <c r="T57" s="909"/>
      <c r="U57" s="910"/>
      <c r="V57" s="659"/>
      <c r="W57" s="910"/>
      <c r="X57" s="910"/>
      <c r="Y57" s="659"/>
      <c r="Z57" s="909"/>
      <c r="AA57" s="910"/>
      <c r="AB57" s="659"/>
      <c r="AC57" s="909"/>
      <c r="AD57" s="910"/>
      <c r="AE57" s="659"/>
      <c r="AF57" s="909"/>
      <c r="AG57" s="910"/>
      <c r="AH57" s="659"/>
      <c r="AI57" s="909">
        <v>22</v>
      </c>
      <c r="AJ57" s="910">
        <v>1</v>
      </c>
      <c r="AK57" s="659">
        <f>IF(AI57=0, "    ---- ", IF(ABS(ROUND(100/AI57*AJ57-100,1))&lt;999,ROUND(100/AI57*AJ57-100,1),IF(ROUND(100/AI57*AJ57-100,1)&gt;999,999,-999)))</f>
        <v>-95.5</v>
      </c>
      <c r="AL57" s="909"/>
      <c r="AM57" s="910"/>
      <c r="AN57" s="659"/>
      <c r="AO57" s="658">
        <f t="shared" si="21"/>
        <v>12761.4</v>
      </c>
      <c r="AP57" s="658">
        <f t="shared" si="22"/>
        <v>6293.3</v>
      </c>
      <c r="AQ57" s="659">
        <f t="shared" si="18"/>
        <v>-50.7</v>
      </c>
      <c r="AR57" s="658">
        <f t="shared" si="16"/>
        <v>12761.4</v>
      </c>
      <c r="AS57" s="658">
        <f t="shared" si="17"/>
        <v>6293.3</v>
      </c>
      <c r="AT57" s="659">
        <f t="shared" si="19"/>
        <v>-50.7</v>
      </c>
      <c r="AU57" s="641"/>
      <c r="AV57" s="641"/>
      <c r="AW57" s="636"/>
      <c r="AX57" s="636"/>
    </row>
    <row r="58" spans="1:50" s="660" customFormat="1" ht="18.75" customHeight="1" x14ac:dyDescent="0.3">
      <c r="A58" s="608" t="s">
        <v>376</v>
      </c>
      <c r="B58" s="909">
        <f>20.464+0.423-8.16</f>
        <v>12.726999999999997</v>
      </c>
      <c r="C58" s="910">
        <f>-6.527+0.125+29.932</f>
        <v>23.529999999999998</v>
      </c>
      <c r="D58" s="658">
        <f>IF(B58=0, "    ---- ", IF(ABS(ROUND(100/B58*C58-100,1))&lt;999,ROUND(100/B58*C58-100,1),IF(ROUND(100/B58*C58-100,1)&gt;999,999,-999)))</f>
        <v>84.9</v>
      </c>
      <c r="E58" s="909">
        <v>-32</v>
      </c>
      <c r="F58" s="910">
        <v>-44</v>
      </c>
      <c r="G58" s="659">
        <f>IF(E58=0, "    ---- ", IF(ABS(ROUND(100/E58*F58-100,1))&lt;999,ROUND(100/E58*F58-100,1),IF(ROUND(100/E58*F58-100,1)&gt;999,999,-999)))</f>
        <v>37.5</v>
      </c>
      <c r="H58" s="909">
        <v>328.64299999999997</v>
      </c>
      <c r="I58" s="910">
        <v>395</v>
      </c>
      <c r="J58" s="659">
        <f>IF(H58=0, "    ---- ", IF(ABS(ROUND(100/H58*I58-100,1))&lt;999,ROUND(100/H58*I58-100,1),IF(ROUND(100/H58*I58-100,1)&gt;999,999,-999)))</f>
        <v>20.2</v>
      </c>
      <c r="K58" s="664"/>
      <c r="L58" s="658"/>
      <c r="M58" s="659" t="str">
        <f>IF(K58=0, "    ---- ", IF(ABS(ROUND(100/K58*L58-100,1))&lt;999,ROUND(100/K58*L58-100,1),IF(ROUND(100/K58*L58-100,1)&gt;999,999,-999)))</f>
        <v xml:space="preserve">    ---- </v>
      </c>
      <c r="N58" s="909">
        <v>7.7629999999999999</v>
      </c>
      <c r="O58" s="910">
        <v>251.44499999999999</v>
      </c>
      <c r="P58" s="659">
        <f>IF(N58=0, "    ---- ", IF(ABS(ROUND(100/N58*O58-100,1))&lt;999,ROUND(100/N58*O58-100,1),IF(ROUND(100/N58*O58-100,1)&gt;999,999,-999)))</f>
        <v>999</v>
      </c>
      <c r="Q58" s="909">
        <v>106.6</v>
      </c>
      <c r="R58" s="910">
        <v>109.5</v>
      </c>
      <c r="S58" s="658">
        <f>IF(Q58=0, "    ---- ", IF(ABS(ROUND(100/Q58*R58-100,1))&lt;999,ROUND(100/Q58*R58-100,1),IF(ROUND(100/Q58*R58-100,1)&gt;999,999,-999)))</f>
        <v>2.7</v>
      </c>
      <c r="T58" s="909"/>
      <c r="U58" s="910"/>
      <c r="V58" s="659"/>
      <c r="W58" s="910"/>
      <c r="X58" s="910"/>
      <c r="Y58" s="659"/>
      <c r="Z58" s="909">
        <v>187.85151842496452</v>
      </c>
      <c r="AA58" s="910">
        <v>226.27</v>
      </c>
      <c r="AB58" s="659">
        <f>IF(Z58=0, "    ---- ", IF(ABS(ROUND(100/Z58*AA58-100,1))&lt;999,ROUND(100/Z58*AA58-100,1),IF(ROUND(100/Z58*AA58-100,1)&gt;999,999,-999)))</f>
        <v>20.5</v>
      </c>
      <c r="AC58" s="909"/>
      <c r="AD58" s="910"/>
      <c r="AE58" s="659"/>
      <c r="AF58" s="909">
        <v>-0.57018520376037096</v>
      </c>
      <c r="AG58" s="910">
        <v>-1</v>
      </c>
      <c r="AH58" s="659">
        <f>IF(AF58=0, "    ---- ", IF(ABS(ROUND(100/AF58*AG58-100,1))&lt;999,ROUND(100/AF58*AG58-100,1),IF(ROUND(100/AF58*AG58-100,1)&gt;999,999,-999)))</f>
        <v>75.400000000000006</v>
      </c>
      <c r="AI58" s="909">
        <v>25</v>
      </c>
      <c r="AJ58" s="910">
        <v>100</v>
      </c>
      <c r="AK58" s="659">
        <f>IF(AI58=0, "    ---- ", IF(ABS(ROUND(100/AI58*AJ58-100,1))&lt;999,ROUND(100/AI58*AJ58-100,1),IF(ROUND(100/AI58*AJ58-100,1)&gt;999,999,-999)))</f>
        <v>300</v>
      </c>
      <c r="AL58" s="909">
        <v>246</v>
      </c>
      <c r="AM58" s="910">
        <v>313</v>
      </c>
      <c r="AN58" s="659">
        <f>IF(AL58=0, "    ---- ", IF(ABS(ROUND(100/AL58*AM58-100,1))&lt;999,ROUND(100/AL58*AM58-100,1),IF(ROUND(100/AL58*AM58-100,1)&gt;999,999,-999)))</f>
        <v>27.2</v>
      </c>
      <c r="AO58" s="658">
        <f t="shared" si="21"/>
        <v>882.58451842496447</v>
      </c>
      <c r="AP58" s="658">
        <f t="shared" si="22"/>
        <v>1374.7449999999999</v>
      </c>
      <c r="AQ58" s="659">
        <f t="shared" si="18"/>
        <v>55.8</v>
      </c>
      <c r="AR58" s="658">
        <f t="shared" si="16"/>
        <v>882.01433322120408</v>
      </c>
      <c r="AS58" s="658">
        <f t="shared" si="17"/>
        <v>1373.7449999999999</v>
      </c>
      <c r="AT58" s="659">
        <f t="shared" si="19"/>
        <v>55.8</v>
      </c>
      <c r="AU58" s="641"/>
      <c r="AV58" s="641"/>
      <c r="AW58" s="636"/>
      <c r="AX58" s="636"/>
    </row>
    <row r="59" spans="1:50" s="660" customFormat="1" ht="18.75" customHeight="1" x14ac:dyDescent="0.3">
      <c r="A59" s="666" t="s">
        <v>390</v>
      </c>
      <c r="B59" s="909"/>
      <c r="C59" s="910"/>
      <c r="D59" s="658"/>
      <c r="E59" s="909"/>
      <c r="F59" s="910"/>
      <c r="G59" s="659"/>
      <c r="H59" s="909"/>
      <c r="I59" s="910"/>
      <c r="J59" s="659"/>
      <c r="K59" s="664"/>
      <c r="L59" s="658"/>
      <c r="M59" s="659"/>
      <c r="N59" s="909"/>
      <c r="O59" s="910"/>
      <c r="P59" s="659"/>
      <c r="Q59" s="909"/>
      <c r="R59" s="910"/>
      <c r="S59" s="658"/>
      <c r="T59" s="909"/>
      <c r="U59" s="910"/>
      <c r="V59" s="659"/>
      <c r="W59" s="910"/>
      <c r="X59" s="910"/>
      <c r="Y59" s="659"/>
      <c r="Z59" s="909"/>
      <c r="AA59" s="910"/>
      <c r="AB59" s="659"/>
      <c r="AC59" s="909"/>
      <c r="AD59" s="910"/>
      <c r="AE59" s="659"/>
      <c r="AF59" s="909"/>
      <c r="AG59" s="910"/>
      <c r="AH59" s="659"/>
      <c r="AI59" s="909"/>
      <c r="AJ59" s="910"/>
      <c r="AK59" s="659"/>
      <c r="AL59" s="909"/>
      <c r="AM59" s="910"/>
      <c r="AN59" s="659"/>
      <c r="AO59" s="658">
        <f t="shared" si="21"/>
        <v>0</v>
      </c>
      <c r="AP59" s="658">
        <f t="shared" si="22"/>
        <v>0</v>
      </c>
      <c r="AQ59" s="659" t="str">
        <f t="shared" si="18"/>
        <v xml:space="preserve">    ---- </v>
      </c>
      <c r="AR59" s="658">
        <f t="shared" si="16"/>
        <v>0</v>
      </c>
      <c r="AS59" s="658">
        <f t="shared" si="17"/>
        <v>0</v>
      </c>
      <c r="AT59" s="659" t="str">
        <f t="shared" si="19"/>
        <v xml:space="preserve">    ---- </v>
      </c>
      <c r="AU59" s="641"/>
      <c r="AV59" s="641"/>
      <c r="AW59" s="636"/>
      <c r="AX59" s="636"/>
    </row>
    <row r="60" spans="1:50" s="660" customFormat="1" ht="18.75" customHeight="1" x14ac:dyDescent="0.3">
      <c r="A60" s="667" t="s">
        <v>366</v>
      </c>
      <c r="B60" s="909"/>
      <c r="C60" s="910"/>
      <c r="D60" s="658"/>
      <c r="E60" s="909"/>
      <c r="F60" s="910"/>
      <c r="G60" s="659"/>
      <c r="H60" s="909"/>
      <c r="I60" s="910"/>
      <c r="J60" s="659"/>
      <c r="K60" s="664"/>
      <c r="L60" s="658"/>
      <c r="M60" s="659"/>
      <c r="N60" s="909"/>
      <c r="O60" s="910"/>
      <c r="P60" s="659"/>
      <c r="Q60" s="909"/>
      <c r="R60" s="910"/>
      <c r="S60" s="658"/>
      <c r="T60" s="909"/>
      <c r="U60" s="910"/>
      <c r="V60" s="659"/>
      <c r="W60" s="910"/>
      <c r="X60" s="910"/>
      <c r="Y60" s="659"/>
      <c r="Z60" s="909"/>
      <c r="AA60" s="910"/>
      <c r="AB60" s="659"/>
      <c r="AC60" s="909"/>
      <c r="AD60" s="910"/>
      <c r="AE60" s="659"/>
      <c r="AF60" s="909"/>
      <c r="AG60" s="910"/>
      <c r="AH60" s="659"/>
      <c r="AI60" s="909">
        <v>68</v>
      </c>
      <c r="AJ60" s="910">
        <v>25</v>
      </c>
      <c r="AK60" s="659">
        <f t="shared" ref="AK60:AK70" si="24">IF(AI60=0, "    ---- ", IF(ABS(ROUND(100/AI60*AJ60-100,1))&lt;999,ROUND(100/AI60*AJ60-100,1),IF(ROUND(100/AI60*AJ60-100,1)&gt;999,999,-999)))</f>
        <v>-63.2</v>
      </c>
      <c r="AL60" s="909">
        <v>29</v>
      </c>
      <c r="AM60" s="910">
        <v>67</v>
      </c>
      <c r="AN60" s="659">
        <f t="shared" ref="AN60:AN61" si="25">IF(AL60=0, "    ---- ", IF(ABS(ROUND(100/AL60*AM60-100,1))&lt;999,ROUND(100/AL60*AM60-100,1),IF(ROUND(100/AL60*AM60-100,1)&gt;999,999,-999)))</f>
        <v>131</v>
      </c>
      <c r="AO60" s="658">
        <f t="shared" si="21"/>
        <v>97</v>
      </c>
      <c r="AP60" s="658">
        <f t="shared" si="22"/>
        <v>92</v>
      </c>
      <c r="AQ60" s="659">
        <f t="shared" si="18"/>
        <v>-5.2</v>
      </c>
      <c r="AR60" s="658">
        <f t="shared" si="16"/>
        <v>97</v>
      </c>
      <c r="AS60" s="658">
        <f t="shared" si="17"/>
        <v>92</v>
      </c>
      <c r="AT60" s="659">
        <f t="shared" si="19"/>
        <v>-5.2</v>
      </c>
      <c r="AU60" s="641"/>
      <c r="AV60" s="641"/>
      <c r="AW60" s="636"/>
      <c r="AX60" s="636"/>
    </row>
    <row r="61" spans="1:50" s="660" customFormat="1" ht="18.75" customHeight="1" x14ac:dyDescent="0.3">
      <c r="A61" s="667" t="s">
        <v>367</v>
      </c>
      <c r="B61" s="909"/>
      <c r="C61" s="910"/>
      <c r="D61" s="658"/>
      <c r="E61" s="909"/>
      <c r="F61" s="910"/>
      <c r="G61" s="659"/>
      <c r="H61" s="909"/>
      <c r="I61" s="910"/>
      <c r="J61" s="659"/>
      <c r="K61" s="664"/>
      <c r="L61" s="658"/>
      <c r="M61" s="659"/>
      <c r="N61" s="909"/>
      <c r="O61" s="910"/>
      <c r="P61" s="659"/>
      <c r="Q61" s="909"/>
      <c r="R61" s="910"/>
      <c r="S61" s="658"/>
      <c r="T61" s="909"/>
      <c r="U61" s="910"/>
      <c r="V61" s="659"/>
      <c r="W61" s="910"/>
      <c r="X61" s="910"/>
      <c r="Y61" s="659"/>
      <c r="Z61" s="909"/>
      <c r="AA61" s="910"/>
      <c r="AB61" s="659"/>
      <c r="AC61" s="909"/>
      <c r="AD61" s="910"/>
      <c r="AE61" s="659"/>
      <c r="AF61" s="909"/>
      <c r="AG61" s="910"/>
      <c r="AH61" s="659"/>
      <c r="AI61" s="909"/>
      <c r="AJ61" s="910"/>
      <c r="AK61" s="659"/>
      <c r="AL61" s="909">
        <v>-8</v>
      </c>
      <c r="AM61" s="910">
        <v>-59</v>
      </c>
      <c r="AN61" s="659">
        <f t="shared" si="25"/>
        <v>637.5</v>
      </c>
      <c r="AO61" s="658">
        <f t="shared" si="21"/>
        <v>-8</v>
      </c>
      <c r="AP61" s="658">
        <f t="shared" si="22"/>
        <v>-59</v>
      </c>
      <c r="AQ61" s="659">
        <f t="shared" si="18"/>
        <v>637.5</v>
      </c>
      <c r="AR61" s="658">
        <f t="shared" si="16"/>
        <v>-8</v>
      </c>
      <c r="AS61" s="658">
        <f t="shared" si="17"/>
        <v>-59</v>
      </c>
      <c r="AT61" s="659">
        <f t="shared" si="19"/>
        <v>637.5</v>
      </c>
      <c r="AU61" s="641"/>
      <c r="AV61" s="641"/>
      <c r="AW61" s="636"/>
      <c r="AX61" s="636"/>
    </row>
    <row r="62" spans="1:50" s="660" customFormat="1" ht="18.75" customHeight="1" x14ac:dyDescent="0.3">
      <c r="A62" s="667" t="s">
        <v>368</v>
      </c>
      <c r="B62" s="909"/>
      <c r="C62" s="910"/>
      <c r="D62" s="658"/>
      <c r="E62" s="909"/>
      <c r="F62" s="910"/>
      <c r="G62" s="659"/>
      <c r="H62" s="909"/>
      <c r="I62" s="910"/>
      <c r="J62" s="659"/>
      <c r="K62" s="664"/>
      <c r="L62" s="658"/>
      <c r="M62" s="659"/>
      <c r="N62" s="909"/>
      <c r="O62" s="910"/>
      <c r="P62" s="659"/>
      <c r="Q62" s="909"/>
      <c r="R62" s="910"/>
      <c r="S62" s="658"/>
      <c r="T62" s="909"/>
      <c r="U62" s="910"/>
      <c r="V62" s="659"/>
      <c r="W62" s="910"/>
      <c r="X62" s="910"/>
      <c r="Y62" s="659"/>
      <c r="Z62" s="909"/>
      <c r="AA62" s="910"/>
      <c r="AB62" s="659"/>
      <c r="AC62" s="909"/>
      <c r="AD62" s="910"/>
      <c r="AE62" s="659"/>
      <c r="AF62" s="909"/>
      <c r="AG62" s="910"/>
      <c r="AH62" s="659"/>
      <c r="AI62" s="909">
        <v>-15</v>
      </c>
      <c r="AJ62" s="910">
        <v>-42</v>
      </c>
      <c r="AK62" s="659">
        <f t="shared" si="24"/>
        <v>180</v>
      </c>
      <c r="AL62" s="909"/>
      <c r="AM62" s="910"/>
      <c r="AN62" s="659"/>
      <c r="AO62" s="658">
        <f t="shared" si="21"/>
        <v>-15</v>
      </c>
      <c r="AP62" s="658">
        <f t="shared" si="22"/>
        <v>-42</v>
      </c>
      <c r="AQ62" s="659">
        <f t="shared" si="18"/>
        <v>180</v>
      </c>
      <c r="AR62" s="658">
        <f t="shared" si="16"/>
        <v>-15</v>
      </c>
      <c r="AS62" s="658">
        <f t="shared" si="17"/>
        <v>-42</v>
      </c>
      <c r="AT62" s="659">
        <f t="shared" si="19"/>
        <v>180</v>
      </c>
      <c r="AU62" s="641"/>
      <c r="AV62" s="641"/>
      <c r="AW62" s="636"/>
      <c r="AX62" s="636"/>
    </row>
    <row r="63" spans="1:50" s="660" customFormat="1" ht="18.75" customHeight="1" x14ac:dyDescent="0.3">
      <c r="A63" s="667" t="s">
        <v>369</v>
      </c>
      <c r="B63" s="909"/>
      <c r="C63" s="910"/>
      <c r="D63" s="658"/>
      <c r="E63" s="909"/>
      <c r="F63" s="910"/>
      <c r="G63" s="659"/>
      <c r="H63" s="909"/>
      <c r="I63" s="910"/>
      <c r="J63" s="659"/>
      <c r="K63" s="664"/>
      <c r="L63" s="658"/>
      <c r="M63" s="659"/>
      <c r="N63" s="909"/>
      <c r="O63" s="910"/>
      <c r="P63" s="659"/>
      <c r="Q63" s="909"/>
      <c r="R63" s="910"/>
      <c r="S63" s="658"/>
      <c r="T63" s="909"/>
      <c r="U63" s="910"/>
      <c r="V63" s="659"/>
      <c r="W63" s="910"/>
      <c r="X63" s="910"/>
      <c r="Y63" s="659"/>
      <c r="Z63" s="909"/>
      <c r="AA63" s="910"/>
      <c r="AB63" s="659"/>
      <c r="AC63" s="909"/>
      <c r="AD63" s="910"/>
      <c r="AE63" s="659"/>
      <c r="AF63" s="909"/>
      <c r="AG63" s="910"/>
      <c r="AH63" s="659"/>
      <c r="AI63" s="909"/>
      <c r="AJ63" s="910"/>
      <c r="AK63" s="659"/>
      <c r="AL63" s="909"/>
      <c r="AM63" s="910"/>
      <c r="AN63" s="659"/>
      <c r="AO63" s="658">
        <f t="shared" si="21"/>
        <v>0</v>
      </c>
      <c r="AP63" s="658">
        <f t="shared" si="22"/>
        <v>0</v>
      </c>
      <c r="AQ63" s="659" t="str">
        <f t="shared" si="18"/>
        <v xml:space="preserve">    ---- </v>
      </c>
      <c r="AR63" s="658">
        <f t="shared" si="16"/>
        <v>0</v>
      </c>
      <c r="AS63" s="658">
        <f t="shared" si="17"/>
        <v>0</v>
      </c>
      <c r="AT63" s="659" t="str">
        <f t="shared" si="19"/>
        <v xml:space="preserve">    ---- </v>
      </c>
      <c r="AU63" s="641"/>
      <c r="AV63" s="641"/>
      <c r="AW63" s="636"/>
      <c r="AX63" s="636"/>
    </row>
    <row r="64" spans="1:50" s="660" customFormat="1" ht="18.75" customHeight="1" x14ac:dyDescent="0.3">
      <c r="A64" s="667" t="s">
        <v>370</v>
      </c>
      <c r="B64" s="909"/>
      <c r="C64" s="910"/>
      <c r="D64" s="658"/>
      <c r="E64" s="909"/>
      <c r="F64" s="910"/>
      <c r="G64" s="659"/>
      <c r="H64" s="909"/>
      <c r="I64" s="910"/>
      <c r="J64" s="659"/>
      <c r="K64" s="664"/>
      <c r="L64" s="658"/>
      <c r="M64" s="659"/>
      <c r="N64" s="909"/>
      <c r="O64" s="910"/>
      <c r="P64" s="659"/>
      <c r="Q64" s="909"/>
      <c r="R64" s="910"/>
      <c r="S64" s="658"/>
      <c r="T64" s="909"/>
      <c r="U64" s="910"/>
      <c r="V64" s="659"/>
      <c r="W64" s="910"/>
      <c r="X64" s="910"/>
      <c r="Y64" s="659"/>
      <c r="Z64" s="909"/>
      <c r="AA64" s="910"/>
      <c r="AB64" s="659"/>
      <c r="AC64" s="909"/>
      <c r="AD64" s="910"/>
      <c r="AE64" s="659"/>
      <c r="AF64" s="909"/>
      <c r="AG64" s="910"/>
      <c r="AH64" s="659"/>
      <c r="AI64" s="909">
        <v>3</v>
      </c>
      <c r="AJ64" s="910">
        <v>5</v>
      </c>
      <c r="AK64" s="659">
        <f t="shared" si="24"/>
        <v>66.7</v>
      </c>
      <c r="AL64" s="909">
        <v>10</v>
      </c>
      <c r="AM64" s="910">
        <v>12.7</v>
      </c>
      <c r="AN64" s="659">
        <f t="shared" ref="AN64:AN66" si="26">IF(AL64=0, "    ---- ", IF(ABS(ROUND(100/AL64*AM64-100,1))&lt;999,ROUND(100/AL64*AM64-100,1),IF(ROUND(100/AL64*AM64-100,1)&gt;999,999,-999)))</f>
        <v>27</v>
      </c>
      <c r="AO64" s="658">
        <f t="shared" si="21"/>
        <v>13</v>
      </c>
      <c r="AP64" s="658">
        <f t="shared" si="22"/>
        <v>17.7</v>
      </c>
      <c r="AQ64" s="659">
        <f t="shared" si="18"/>
        <v>36.200000000000003</v>
      </c>
      <c r="AR64" s="658">
        <f t="shared" si="16"/>
        <v>13</v>
      </c>
      <c r="AS64" s="658">
        <f t="shared" si="17"/>
        <v>17.7</v>
      </c>
      <c r="AT64" s="659">
        <f t="shared" si="19"/>
        <v>36.200000000000003</v>
      </c>
      <c r="AU64" s="641"/>
      <c r="AV64" s="641"/>
      <c r="AW64" s="636"/>
      <c r="AX64" s="636"/>
    </row>
    <row r="65" spans="1:50" s="660" customFormat="1" ht="18.75" customHeight="1" x14ac:dyDescent="0.3">
      <c r="A65" s="667" t="s">
        <v>371</v>
      </c>
      <c r="B65" s="909"/>
      <c r="C65" s="910"/>
      <c r="D65" s="658"/>
      <c r="E65" s="909"/>
      <c r="F65" s="910"/>
      <c r="G65" s="659"/>
      <c r="H65" s="909"/>
      <c r="I65" s="910"/>
      <c r="J65" s="659"/>
      <c r="K65" s="664"/>
      <c r="L65" s="658"/>
      <c r="M65" s="659"/>
      <c r="N65" s="909"/>
      <c r="O65" s="910"/>
      <c r="P65" s="659"/>
      <c r="Q65" s="909"/>
      <c r="R65" s="910"/>
      <c r="S65" s="658"/>
      <c r="T65" s="909"/>
      <c r="U65" s="910"/>
      <c r="V65" s="659"/>
      <c r="W65" s="910"/>
      <c r="X65" s="910"/>
      <c r="Y65" s="659"/>
      <c r="Z65" s="909"/>
      <c r="AA65" s="910"/>
      <c r="AB65" s="659"/>
      <c r="AC65" s="909"/>
      <c r="AD65" s="910"/>
      <c r="AE65" s="659"/>
      <c r="AF65" s="909"/>
      <c r="AG65" s="910"/>
      <c r="AH65" s="659"/>
      <c r="AI65" s="909">
        <v>-12</v>
      </c>
      <c r="AJ65" s="910">
        <v>-26</v>
      </c>
      <c r="AK65" s="659">
        <f t="shared" si="24"/>
        <v>116.7</v>
      </c>
      <c r="AL65" s="909">
        <v>51</v>
      </c>
      <c r="AM65" s="910">
        <v>-42.3</v>
      </c>
      <c r="AN65" s="659">
        <f t="shared" si="26"/>
        <v>-182.9</v>
      </c>
      <c r="AO65" s="658">
        <f t="shared" si="21"/>
        <v>39</v>
      </c>
      <c r="AP65" s="658">
        <f t="shared" si="22"/>
        <v>-68.3</v>
      </c>
      <c r="AQ65" s="659">
        <f t="shared" si="18"/>
        <v>-275.10000000000002</v>
      </c>
      <c r="AR65" s="658">
        <f t="shared" si="16"/>
        <v>39</v>
      </c>
      <c r="AS65" s="658">
        <f t="shared" si="17"/>
        <v>-68.3</v>
      </c>
      <c r="AT65" s="659">
        <f t="shared" si="19"/>
        <v>-275.10000000000002</v>
      </c>
      <c r="AU65" s="641"/>
      <c r="AV65" s="641"/>
      <c r="AW65" s="636"/>
      <c r="AX65" s="636"/>
    </row>
    <row r="66" spans="1:50" s="660" customFormat="1" ht="18.75" customHeight="1" x14ac:dyDescent="0.3">
      <c r="A66" s="667" t="s">
        <v>372</v>
      </c>
      <c r="B66" s="909"/>
      <c r="C66" s="910"/>
      <c r="D66" s="658"/>
      <c r="E66" s="909"/>
      <c r="F66" s="910"/>
      <c r="G66" s="659"/>
      <c r="H66" s="909"/>
      <c r="I66" s="910"/>
      <c r="J66" s="659"/>
      <c r="K66" s="664"/>
      <c r="L66" s="658"/>
      <c r="M66" s="659"/>
      <c r="N66" s="909"/>
      <c r="O66" s="910"/>
      <c r="P66" s="659"/>
      <c r="Q66" s="909"/>
      <c r="R66" s="910"/>
      <c r="S66" s="658"/>
      <c r="T66" s="909"/>
      <c r="U66" s="910"/>
      <c r="V66" s="659"/>
      <c r="W66" s="910"/>
      <c r="X66" s="910"/>
      <c r="Y66" s="659"/>
      <c r="Z66" s="909"/>
      <c r="AA66" s="910"/>
      <c r="AB66" s="659"/>
      <c r="AC66" s="909"/>
      <c r="AD66" s="910"/>
      <c r="AE66" s="659"/>
      <c r="AF66" s="909"/>
      <c r="AG66" s="910"/>
      <c r="AH66" s="659"/>
      <c r="AI66" s="909"/>
      <c r="AJ66" s="910"/>
      <c r="AK66" s="659"/>
      <c r="AL66" s="909">
        <v>10</v>
      </c>
      <c r="AM66" s="910">
        <v>-42</v>
      </c>
      <c r="AN66" s="659">
        <f t="shared" si="26"/>
        <v>-520</v>
      </c>
      <c r="AO66" s="658">
        <f t="shared" si="21"/>
        <v>10</v>
      </c>
      <c r="AP66" s="658">
        <f t="shared" si="22"/>
        <v>-42</v>
      </c>
      <c r="AQ66" s="659">
        <f t="shared" si="18"/>
        <v>-520</v>
      </c>
      <c r="AR66" s="658">
        <f t="shared" si="16"/>
        <v>10</v>
      </c>
      <c r="AS66" s="658">
        <f t="shared" si="17"/>
        <v>-42</v>
      </c>
      <c r="AT66" s="659">
        <f t="shared" si="19"/>
        <v>-520</v>
      </c>
      <c r="AU66" s="641"/>
      <c r="AV66" s="641"/>
      <c r="AW66" s="636"/>
      <c r="AX66" s="636"/>
    </row>
    <row r="67" spans="1:50" s="660" customFormat="1" ht="18.75" customHeight="1" x14ac:dyDescent="0.3">
      <c r="A67" s="667" t="s">
        <v>373</v>
      </c>
      <c r="B67" s="909"/>
      <c r="C67" s="910"/>
      <c r="D67" s="658"/>
      <c r="E67" s="909"/>
      <c r="F67" s="910"/>
      <c r="G67" s="659"/>
      <c r="H67" s="909"/>
      <c r="I67" s="910"/>
      <c r="J67" s="659"/>
      <c r="K67" s="664"/>
      <c r="L67" s="658"/>
      <c r="M67" s="659"/>
      <c r="N67" s="909"/>
      <c r="O67" s="910"/>
      <c r="P67" s="659"/>
      <c r="Q67" s="909"/>
      <c r="R67" s="910"/>
      <c r="S67" s="658"/>
      <c r="T67" s="909"/>
      <c r="U67" s="910"/>
      <c r="V67" s="659"/>
      <c r="W67" s="910"/>
      <c r="X67" s="910"/>
      <c r="Y67" s="659"/>
      <c r="Z67" s="909"/>
      <c r="AA67" s="910"/>
      <c r="AB67" s="659"/>
      <c r="AC67" s="909"/>
      <c r="AD67" s="910"/>
      <c r="AE67" s="659"/>
      <c r="AF67" s="909"/>
      <c r="AG67" s="910"/>
      <c r="AH67" s="659"/>
      <c r="AI67" s="909"/>
      <c r="AJ67" s="910"/>
      <c r="AK67" s="659"/>
      <c r="AL67" s="909"/>
      <c r="AM67" s="910"/>
      <c r="AN67" s="659"/>
      <c r="AO67" s="658">
        <f t="shared" si="21"/>
        <v>0</v>
      </c>
      <c r="AP67" s="658">
        <f t="shared" si="22"/>
        <v>0</v>
      </c>
      <c r="AQ67" s="659" t="str">
        <f t="shared" si="18"/>
        <v xml:space="preserve">    ---- </v>
      </c>
      <c r="AR67" s="658">
        <f t="shared" si="16"/>
        <v>0</v>
      </c>
      <c r="AS67" s="658">
        <f t="shared" si="17"/>
        <v>0</v>
      </c>
      <c r="AT67" s="659" t="str">
        <f t="shared" si="19"/>
        <v xml:space="preserve">    ---- </v>
      </c>
      <c r="AU67" s="641"/>
      <c r="AV67" s="641"/>
      <c r="AW67" s="636"/>
      <c r="AX67" s="636"/>
    </row>
    <row r="68" spans="1:50" s="663" customFormat="1" ht="18.75" customHeight="1" x14ac:dyDescent="0.3">
      <c r="A68" s="666" t="s">
        <v>374</v>
      </c>
      <c r="B68" s="911"/>
      <c r="C68" s="912"/>
      <c r="D68" s="656"/>
      <c r="E68" s="911"/>
      <c r="F68" s="912"/>
      <c r="G68" s="657"/>
      <c r="H68" s="911"/>
      <c r="I68" s="912"/>
      <c r="J68" s="657"/>
      <c r="K68" s="665"/>
      <c r="L68" s="656"/>
      <c r="M68" s="657"/>
      <c r="N68" s="911"/>
      <c r="O68" s="912"/>
      <c r="P68" s="657"/>
      <c r="Q68" s="911"/>
      <c r="R68" s="912"/>
      <c r="S68" s="656"/>
      <c r="T68" s="911"/>
      <c r="U68" s="912"/>
      <c r="V68" s="657"/>
      <c r="W68" s="912"/>
      <c r="X68" s="912"/>
      <c r="Y68" s="657"/>
      <c r="Z68" s="911"/>
      <c r="AA68" s="912"/>
      <c r="AB68" s="657"/>
      <c r="AC68" s="911"/>
      <c r="AD68" s="912"/>
      <c r="AE68" s="657"/>
      <c r="AF68" s="911"/>
      <c r="AG68" s="912"/>
      <c r="AH68" s="657"/>
      <c r="AI68" s="911">
        <f>SUM(AI60:AI65)+AI67</f>
        <v>44</v>
      </c>
      <c r="AJ68" s="912">
        <f>SUM(AJ60:AJ65)+AJ67</f>
        <v>-38</v>
      </c>
      <c r="AK68" s="657">
        <f t="shared" si="24"/>
        <v>-186.4</v>
      </c>
      <c r="AL68" s="911">
        <f>SUM(AL60:AL65)+AL67</f>
        <v>82</v>
      </c>
      <c r="AM68" s="912">
        <v>-21.599999999999998</v>
      </c>
      <c r="AN68" s="659">
        <f t="shared" ref="AN68:AN70" si="27">IF(AL68=0, "    ---- ", IF(ABS(ROUND(100/AL68*AM68-100,1))&lt;999,ROUND(100/AL68*AM68-100,1),IF(ROUND(100/AL68*AM68-100,1)&gt;999,999,-999)))</f>
        <v>-126.3</v>
      </c>
      <c r="AO68" s="658">
        <f t="shared" si="21"/>
        <v>126</v>
      </c>
      <c r="AP68" s="658">
        <f t="shared" si="22"/>
        <v>-59.599999999999994</v>
      </c>
      <c r="AQ68" s="657">
        <f>IF(AO68=0, "    ---- ", IF(ABS(ROUND(100/AO68*AP68-100,1))&lt;999,ROUND(100/AO68*AP68-100,1),IF(ROUND(100/AO68*AP68-100,1)&gt;999,999,-999)))</f>
        <v>-147.30000000000001</v>
      </c>
      <c r="AR68" s="658">
        <f t="shared" si="16"/>
        <v>126</v>
      </c>
      <c r="AS68" s="658">
        <f t="shared" si="17"/>
        <v>-59.599999999999994</v>
      </c>
      <c r="AT68" s="657">
        <f t="shared" si="19"/>
        <v>-147.30000000000001</v>
      </c>
      <c r="AU68" s="661" t="e">
        <f>B68,C68,H68,I68,N68,O68,Q68,R68,T68,U68,W68,X68,E68,F68,Z68,AA68,AC68,AD68,AF68,AG68,#REF!,#REF!,AI68,AJ68,AL68,AM68,AO68,AP68,AR68,AS68</f>
        <v>#REF!</v>
      </c>
      <c r="AV68" s="639"/>
      <c r="AW68" s="662"/>
      <c r="AX68" s="662"/>
    </row>
    <row r="69" spans="1:50" s="660" customFormat="1" ht="18.75" customHeight="1" x14ac:dyDescent="0.3">
      <c r="A69" s="667" t="s">
        <v>375</v>
      </c>
      <c r="B69" s="909"/>
      <c r="C69" s="910"/>
      <c r="D69" s="658"/>
      <c r="E69" s="909"/>
      <c r="F69" s="910"/>
      <c r="G69" s="659"/>
      <c r="H69" s="909"/>
      <c r="I69" s="910"/>
      <c r="J69" s="659"/>
      <c r="K69" s="664"/>
      <c r="L69" s="658"/>
      <c r="M69" s="659"/>
      <c r="N69" s="909"/>
      <c r="O69" s="910"/>
      <c r="P69" s="659"/>
      <c r="Q69" s="909"/>
      <c r="R69" s="910"/>
      <c r="S69" s="658"/>
      <c r="T69" s="909"/>
      <c r="U69" s="910"/>
      <c r="V69" s="659"/>
      <c r="W69" s="910"/>
      <c r="X69" s="910"/>
      <c r="Y69" s="659"/>
      <c r="Z69" s="909"/>
      <c r="AA69" s="910"/>
      <c r="AB69" s="659"/>
      <c r="AC69" s="909"/>
      <c r="AD69" s="910"/>
      <c r="AE69" s="659"/>
      <c r="AF69" s="909"/>
      <c r="AG69" s="910"/>
      <c r="AH69" s="659"/>
      <c r="AI69" s="909">
        <v>68</v>
      </c>
      <c r="AJ69" s="910">
        <v>26</v>
      </c>
      <c r="AK69" s="659">
        <f t="shared" si="24"/>
        <v>-61.8</v>
      </c>
      <c r="AL69" s="909">
        <v>31</v>
      </c>
      <c r="AM69" s="910">
        <v>8</v>
      </c>
      <c r="AN69" s="659">
        <f t="shared" si="27"/>
        <v>-74.2</v>
      </c>
      <c r="AO69" s="658">
        <f t="shared" si="21"/>
        <v>99</v>
      </c>
      <c r="AP69" s="658">
        <f t="shared" si="22"/>
        <v>34</v>
      </c>
      <c r="AQ69" s="659">
        <f t="shared" ref="AQ69:AQ79" si="28">IF(AO69=0, "    ---- ", IF(ABS(ROUND(100/AO69*AP69-100,1))&lt;999,ROUND(100/AO69*AP69-100,1),IF(ROUND(100/AO69*AP69-100,1)&gt;999,999,-999)))</f>
        <v>-65.7</v>
      </c>
      <c r="AR69" s="658">
        <f t="shared" si="16"/>
        <v>99</v>
      </c>
      <c r="AS69" s="658">
        <f t="shared" si="17"/>
        <v>34</v>
      </c>
      <c r="AT69" s="659">
        <f t="shared" si="19"/>
        <v>-65.7</v>
      </c>
      <c r="AU69" s="641"/>
      <c r="AV69" s="641"/>
      <c r="AW69" s="636"/>
      <c r="AX69" s="636"/>
    </row>
    <row r="70" spans="1:50" s="660" customFormat="1" ht="18.75" customHeight="1" x14ac:dyDescent="0.3">
      <c r="A70" s="667" t="s">
        <v>376</v>
      </c>
      <c r="B70" s="909"/>
      <c r="C70" s="910"/>
      <c r="D70" s="658"/>
      <c r="E70" s="909"/>
      <c r="F70" s="910"/>
      <c r="G70" s="659"/>
      <c r="H70" s="909"/>
      <c r="I70" s="910"/>
      <c r="J70" s="659"/>
      <c r="K70" s="664"/>
      <c r="L70" s="658"/>
      <c r="M70" s="659"/>
      <c r="N70" s="909"/>
      <c r="O70" s="910"/>
      <c r="P70" s="659"/>
      <c r="Q70" s="909"/>
      <c r="R70" s="910"/>
      <c r="S70" s="658"/>
      <c r="T70" s="909"/>
      <c r="U70" s="910"/>
      <c r="V70" s="659"/>
      <c r="W70" s="910"/>
      <c r="X70" s="910"/>
      <c r="Y70" s="659"/>
      <c r="Z70" s="909"/>
      <c r="AA70" s="910"/>
      <c r="AB70" s="659"/>
      <c r="AC70" s="909"/>
      <c r="AD70" s="910"/>
      <c r="AE70" s="659"/>
      <c r="AF70" s="909"/>
      <c r="AG70" s="910"/>
      <c r="AH70" s="659"/>
      <c r="AI70" s="909">
        <v>-24</v>
      </c>
      <c r="AJ70" s="910">
        <v>-64</v>
      </c>
      <c r="AK70" s="659">
        <f t="shared" si="24"/>
        <v>166.7</v>
      </c>
      <c r="AL70" s="909">
        <v>51</v>
      </c>
      <c r="AM70" s="910">
        <v>-30</v>
      </c>
      <c r="AN70" s="659">
        <f t="shared" si="27"/>
        <v>-158.80000000000001</v>
      </c>
      <c r="AO70" s="658">
        <f t="shared" si="21"/>
        <v>27</v>
      </c>
      <c r="AP70" s="658">
        <f t="shared" si="22"/>
        <v>-94</v>
      </c>
      <c r="AQ70" s="659">
        <f t="shared" si="28"/>
        <v>-448.1</v>
      </c>
      <c r="AR70" s="658">
        <f t="shared" si="16"/>
        <v>27</v>
      </c>
      <c r="AS70" s="658">
        <f t="shared" si="17"/>
        <v>-94</v>
      </c>
      <c r="AT70" s="659">
        <f t="shared" si="19"/>
        <v>-448.1</v>
      </c>
      <c r="AU70" s="641"/>
      <c r="AV70" s="641"/>
      <c r="AW70" s="636"/>
      <c r="AX70" s="636"/>
    </row>
    <row r="71" spans="1:50" s="660" customFormat="1" ht="18.75" customHeight="1" x14ac:dyDescent="0.3">
      <c r="A71" s="666" t="s">
        <v>391</v>
      </c>
      <c r="B71" s="909"/>
      <c r="C71" s="910"/>
      <c r="D71" s="658"/>
      <c r="E71" s="909"/>
      <c r="F71" s="910"/>
      <c r="G71" s="659"/>
      <c r="H71" s="909"/>
      <c r="I71" s="910"/>
      <c r="J71" s="659"/>
      <c r="K71" s="664"/>
      <c r="L71" s="658"/>
      <c r="M71" s="659"/>
      <c r="N71" s="909"/>
      <c r="O71" s="910"/>
      <c r="P71" s="659"/>
      <c r="Q71" s="909"/>
      <c r="R71" s="910"/>
      <c r="S71" s="658"/>
      <c r="T71" s="909"/>
      <c r="U71" s="910"/>
      <c r="V71" s="659"/>
      <c r="W71" s="910"/>
      <c r="X71" s="910"/>
      <c r="Y71" s="659"/>
      <c r="Z71" s="909"/>
      <c r="AA71" s="910"/>
      <c r="AB71" s="659"/>
      <c r="AC71" s="909"/>
      <c r="AD71" s="910"/>
      <c r="AE71" s="659"/>
      <c r="AF71" s="909"/>
      <c r="AG71" s="910"/>
      <c r="AH71" s="659"/>
      <c r="AI71" s="909"/>
      <c r="AJ71" s="910"/>
      <c r="AK71" s="659"/>
      <c r="AL71" s="909"/>
      <c r="AM71" s="910"/>
      <c r="AN71" s="659"/>
      <c r="AO71" s="658">
        <f t="shared" si="21"/>
        <v>0</v>
      </c>
      <c r="AP71" s="658">
        <f t="shared" si="22"/>
        <v>0</v>
      </c>
      <c r="AQ71" s="659" t="str">
        <f t="shared" si="28"/>
        <v xml:space="preserve">    ---- </v>
      </c>
      <c r="AR71" s="658">
        <f t="shared" si="16"/>
        <v>0</v>
      </c>
      <c r="AS71" s="658">
        <f t="shared" si="17"/>
        <v>0</v>
      </c>
      <c r="AT71" s="659"/>
      <c r="AU71" s="641"/>
      <c r="AV71" s="641"/>
      <c r="AW71" s="636"/>
      <c r="AX71" s="636"/>
    </row>
    <row r="72" spans="1:50" s="660" customFormat="1" ht="18.75" customHeight="1" x14ac:dyDescent="0.3">
      <c r="A72" s="667" t="s">
        <v>366</v>
      </c>
      <c r="B72" s="909"/>
      <c r="C72" s="910"/>
      <c r="D72" s="658"/>
      <c r="E72" s="909"/>
      <c r="F72" s="910"/>
      <c r="G72" s="659"/>
      <c r="H72" s="909"/>
      <c r="I72" s="910"/>
      <c r="J72" s="659"/>
      <c r="K72" s="664"/>
      <c r="L72" s="658"/>
      <c r="M72" s="659"/>
      <c r="N72" s="909"/>
      <c r="O72" s="910"/>
      <c r="P72" s="659"/>
      <c r="Q72" s="909"/>
      <c r="R72" s="910"/>
      <c r="S72" s="658"/>
      <c r="T72" s="909"/>
      <c r="U72" s="910"/>
      <c r="V72" s="659"/>
      <c r="W72" s="910"/>
      <c r="X72" s="910"/>
      <c r="Y72" s="659"/>
      <c r="Z72" s="909"/>
      <c r="AA72" s="910"/>
      <c r="AB72" s="659"/>
      <c r="AC72" s="909"/>
      <c r="AD72" s="910"/>
      <c r="AE72" s="659"/>
      <c r="AF72" s="909"/>
      <c r="AG72" s="910"/>
      <c r="AH72" s="659"/>
      <c r="AI72" s="909">
        <v>2</v>
      </c>
      <c r="AJ72" s="910"/>
      <c r="AK72" s="659">
        <f t="shared" ref="AK72:AK82" si="29">IF(AI72=0, "    ---- ", IF(ABS(ROUND(100/AI72*AJ72-100,1))&lt;999,ROUND(100/AI72*AJ72-100,1),IF(ROUND(100/AI72*AJ72-100,1)&gt;999,999,-999)))</f>
        <v>-100</v>
      </c>
      <c r="AL72" s="909"/>
      <c r="AM72" s="910"/>
      <c r="AN72" s="659"/>
      <c r="AO72" s="658">
        <f t="shared" si="21"/>
        <v>2</v>
      </c>
      <c r="AP72" s="658">
        <f t="shared" si="22"/>
        <v>0</v>
      </c>
      <c r="AQ72" s="659">
        <f t="shared" si="28"/>
        <v>-100</v>
      </c>
      <c r="AR72" s="658">
        <f t="shared" si="16"/>
        <v>2</v>
      </c>
      <c r="AS72" s="658">
        <f t="shared" si="17"/>
        <v>0</v>
      </c>
      <c r="AT72" s="659">
        <f t="shared" si="19"/>
        <v>-100</v>
      </c>
      <c r="AU72" s="641"/>
      <c r="AV72" s="641"/>
      <c r="AW72" s="636"/>
      <c r="AX72" s="636"/>
    </row>
    <row r="73" spans="1:50" s="660" customFormat="1" ht="18.75" customHeight="1" x14ac:dyDescent="0.3">
      <c r="A73" s="667" t="s">
        <v>367</v>
      </c>
      <c r="B73" s="909"/>
      <c r="C73" s="910"/>
      <c r="D73" s="658"/>
      <c r="E73" s="909"/>
      <c r="F73" s="910"/>
      <c r="G73" s="659"/>
      <c r="H73" s="909"/>
      <c r="I73" s="910"/>
      <c r="J73" s="659"/>
      <c r="K73" s="664"/>
      <c r="L73" s="658"/>
      <c r="M73" s="659"/>
      <c r="N73" s="909"/>
      <c r="O73" s="910"/>
      <c r="P73" s="659"/>
      <c r="Q73" s="909"/>
      <c r="R73" s="910"/>
      <c r="S73" s="658"/>
      <c r="T73" s="909"/>
      <c r="U73" s="910"/>
      <c r="V73" s="659"/>
      <c r="W73" s="910"/>
      <c r="X73" s="910"/>
      <c r="Y73" s="659"/>
      <c r="Z73" s="909"/>
      <c r="AA73" s="910"/>
      <c r="AB73" s="659"/>
      <c r="AC73" s="909"/>
      <c r="AD73" s="910"/>
      <c r="AE73" s="659"/>
      <c r="AF73" s="909"/>
      <c r="AG73" s="910"/>
      <c r="AH73" s="659"/>
      <c r="AI73" s="909"/>
      <c r="AJ73" s="910"/>
      <c r="AK73" s="659"/>
      <c r="AL73" s="909"/>
      <c r="AM73" s="910"/>
      <c r="AN73" s="659"/>
      <c r="AO73" s="658">
        <f t="shared" si="21"/>
        <v>0</v>
      </c>
      <c r="AP73" s="658">
        <f t="shared" si="22"/>
        <v>0</v>
      </c>
      <c r="AQ73" s="659" t="str">
        <f t="shared" si="28"/>
        <v xml:space="preserve">    ---- </v>
      </c>
      <c r="AR73" s="658">
        <f t="shared" si="16"/>
        <v>0</v>
      </c>
      <c r="AS73" s="658">
        <f t="shared" si="17"/>
        <v>0</v>
      </c>
      <c r="AT73" s="659" t="str">
        <f t="shared" si="19"/>
        <v xml:space="preserve">    ---- </v>
      </c>
      <c r="AU73" s="641"/>
      <c r="AV73" s="641"/>
      <c r="AW73" s="636"/>
      <c r="AX73" s="636"/>
    </row>
    <row r="74" spans="1:50" s="660" customFormat="1" ht="18.75" customHeight="1" x14ac:dyDescent="0.3">
      <c r="A74" s="667" t="s">
        <v>368</v>
      </c>
      <c r="B74" s="909"/>
      <c r="C74" s="910"/>
      <c r="D74" s="658"/>
      <c r="E74" s="909"/>
      <c r="F74" s="910"/>
      <c r="G74" s="659"/>
      <c r="H74" s="909"/>
      <c r="I74" s="910"/>
      <c r="J74" s="659"/>
      <c r="K74" s="664"/>
      <c r="L74" s="658"/>
      <c r="M74" s="659"/>
      <c r="N74" s="909"/>
      <c r="O74" s="910"/>
      <c r="P74" s="659"/>
      <c r="Q74" s="909"/>
      <c r="R74" s="910"/>
      <c r="S74" s="658"/>
      <c r="T74" s="909"/>
      <c r="U74" s="910"/>
      <c r="V74" s="659"/>
      <c r="W74" s="910"/>
      <c r="X74" s="910"/>
      <c r="Y74" s="659"/>
      <c r="Z74" s="909"/>
      <c r="AA74" s="910"/>
      <c r="AB74" s="659"/>
      <c r="AC74" s="909"/>
      <c r="AD74" s="910"/>
      <c r="AE74" s="659"/>
      <c r="AF74" s="909"/>
      <c r="AG74" s="910"/>
      <c r="AH74" s="659"/>
      <c r="AI74" s="909">
        <v>-10</v>
      </c>
      <c r="AJ74" s="910">
        <v>6</v>
      </c>
      <c r="AK74" s="659">
        <f t="shared" si="29"/>
        <v>-160</v>
      </c>
      <c r="AL74" s="909">
        <v>-9</v>
      </c>
      <c r="AM74" s="910">
        <v>-7</v>
      </c>
      <c r="AN74" s="659">
        <f>IF(AL74=0, "    ---- ", IF(ABS(ROUND(100/AL74*AM74-100,1))&lt;999,ROUND(100/AL74*AM74-100,1),IF(ROUND(100/AL74*AM74-100,1)&gt;999,999,-999)))</f>
        <v>-22.2</v>
      </c>
      <c r="AO74" s="658">
        <f t="shared" si="21"/>
        <v>-19</v>
      </c>
      <c r="AP74" s="658">
        <f t="shared" si="22"/>
        <v>-1</v>
      </c>
      <c r="AQ74" s="659">
        <f t="shared" si="28"/>
        <v>-94.7</v>
      </c>
      <c r="AR74" s="658">
        <f t="shared" si="16"/>
        <v>-19</v>
      </c>
      <c r="AS74" s="658">
        <f t="shared" si="17"/>
        <v>-1</v>
      </c>
      <c r="AT74" s="659">
        <f t="shared" si="19"/>
        <v>-94.7</v>
      </c>
      <c r="AU74" s="641"/>
      <c r="AV74" s="641"/>
      <c r="AW74" s="636"/>
      <c r="AX74" s="636"/>
    </row>
    <row r="75" spans="1:50" s="660" customFormat="1" ht="18.75" customHeight="1" x14ac:dyDescent="0.3">
      <c r="A75" s="667" t="s">
        <v>369</v>
      </c>
      <c r="B75" s="909"/>
      <c r="C75" s="910"/>
      <c r="D75" s="658"/>
      <c r="E75" s="909"/>
      <c r="F75" s="910"/>
      <c r="G75" s="659"/>
      <c r="H75" s="909"/>
      <c r="I75" s="910"/>
      <c r="J75" s="659"/>
      <c r="K75" s="664"/>
      <c r="L75" s="658"/>
      <c r="M75" s="659"/>
      <c r="N75" s="909"/>
      <c r="O75" s="910"/>
      <c r="P75" s="659"/>
      <c r="Q75" s="909"/>
      <c r="R75" s="910"/>
      <c r="S75" s="658"/>
      <c r="T75" s="909"/>
      <c r="U75" s="910"/>
      <c r="V75" s="659"/>
      <c r="W75" s="910"/>
      <c r="X75" s="910"/>
      <c r="Y75" s="659"/>
      <c r="Z75" s="909"/>
      <c r="AA75" s="910"/>
      <c r="AB75" s="659"/>
      <c r="AC75" s="909"/>
      <c r="AD75" s="910"/>
      <c r="AE75" s="659"/>
      <c r="AF75" s="909"/>
      <c r="AG75" s="910"/>
      <c r="AH75" s="659"/>
      <c r="AI75" s="909"/>
      <c r="AJ75" s="910"/>
      <c r="AK75" s="659"/>
      <c r="AL75" s="909"/>
      <c r="AM75" s="910"/>
      <c r="AN75" s="659"/>
      <c r="AO75" s="658">
        <f t="shared" si="21"/>
        <v>0</v>
      </c>
      <c r="AP75" s="658">
        <f t="shared" si="22"/>
        <v>0</v>
      </c>
      <c r="AQ75" s="659" t="str">
        <f t="shared" si="28"/>
        <v xml:space="preserve">    ---- </v>
      </c>
      <c r="AR75" s="658">
        <f t="shared" si="16"/>
        <v>0</v>
      </c>
      <c r="AS75" s="658">
        <f t="shared" si="17"/>
        <v>0</v>
      </c>
      <c r="AT75" s="659" t="str">
        <f t="shared" si="19"/>
        <v xml:space="preserve">    ---- </v>
      </c>
      <c r="AU75" s="641"/>
      <c r="AV75" s="641"/>
      <c r="AW75" s="636"/>
      <c r="AX75" s="636"/>
    </row>
    <row r="76" spans="1:50" s="660" customFormat="1" ht="18.75" customHeight="1" x14ac:dyDescent="0.3">
      <c r="A76" s="667" t="s">
        <v>370</v>
      </c>
      <c r="B76" s="909"/>
      <c r="C76" s="910"/>
      <c r="D76" s="658"/>
      <c r="E76" s="909"/>
      <c r="F76" s="910"/>
      <c r="G76" s="659"/>
      <c r="H76" s="909"/>
      <c r="I76" s="910"/>
      <c r="J76" s="659"/>
      <c r="K76" s="664"/>
      <c r="L76" s="658"/>
      <c r="M76" s="659"/>
      <c r="N76" s="909"/>
      <c r="O76" s="910"/>
      <c r="P76" s="659"/>
      <c r="Q76" s="909"/>
      <c r="R76" s="910"/>
      <c r="S76" s="658"/>
      <c r="T76" s="909"/>
      <c r="U76" s="910"/>
      <c r="V76" s="659"/>
      <c r="W76" s="910"/>
      <c r="X76" s="910"/>
      <c r="Y76" s="659"/>
      <c r="Z76" s="909"/>
      <c r="AA76" s="910"/>
      <c r="AB76" s="659"/>
      <c r="AC76" s="909"/>
      <c r="AD76" s="910"/>
      <c r="AE76" s="659"/>
      <c r="AF76" s="909"/>
      <c r="AG76" s="910"/>
      <c r="AH76" s="659"/>
      <c r="AI76" s="909"/>
      <c r="AJ76" s="910"/>
      <c r="AK76" s="659"/>
      <c r="AL76" s="909"/>
      <c r="AM76" s="910"/>
      <c r="AN76" s="659"/>
      <c r="AO76" s="658">
        <f t="shared" si="21"/>
        <v>0</v>
      </c>
      <c r="AP76" s="658">
        <f t="shared" si="22"/>
        <v>0</v>
      </c>
      <c r="AQ76" s="659" t="str">
        <f t="shared" si="28"/>
        <v xml:space="preserve">    ---- </v>
      </c>
      <c r="AR76" s="658">
        <f t="shared" ref="AR76:AR107" si="30">+B76+H76+K76+N76+Q76+T76+W76+E76+Z76+AC76+AF76+AI76+AL76</f>
        <v>0</v>
      </c>
      <c r="AS76" s="658">
        <f t="shared" ref="AS76:AS107" si="31">+C76+I76+L76+O76+R76+U76+X76+F76+AA76+AD76+AG76+AJ76+AM76</f>
        <v>0</v>
      </c>
      <c r="AT76" s="659" t="str">
        <f t="shared" si="19"/>
        <v xml:space="preserve">    ---- </v>
      </c>
      <c r="AU76" s="641"/>
      <c r="AV76" s="641"/>
      <c r="AW76" s="636"/>
      <c r="AX76" s="636"/>
    </row>
    <row r="77" spans="1:50" s="660" customFormat="1" ht="18.75" customHeight="1" x14ac:dyDescent="0.3">
      <c r="A77" s="667" t="s">
        <v>371</v>
      </c>
      <c r="B77" s="909"/>
      <c r="C77" s="910"/>
      <c r="D77" s="658"/>
      <c r="E77" s="909"/>
      <c r="F77" s="910"/>
      <c r="G77" s="659"/>
      <c r="H77" s="909"/>
      <c r="I77" s="910"/>
      <c r="J77" s="659"/>
      <c r="K77" s="664"/>
      <c r="L77" s="658"/>
      <c r="M77" s="659"/>
      <c r="N77" s="909"/>
      <c r="O77" s="910"/>
      <c r="P77" s="659"/>
      <c r="Q77" s="909"/>
      <c r="R77" s="910"/>
      <c r="S77" s="658"/>
      <c r="T77" s="909"/>
      <c r="U77" s="910"/>
      <c r="V77" s="659"/>
      <c r="W77" s="910"/>
      <c r="X77" s="910"/>
      <c r="Y77" s="659"/>
      <c r="Z77" s="909"/>
      <c r="AA77" s="910"/>
      <c r="AB77" s="659"/>
      <c r="AC77" s="909"/>
      <c r="AD77" s="910"/>
      <c r="AE77" s="659"/>
      <c r="AF77" s="909"/>
      <c r="AG77" s="910"/>
      <c r="AH77" s="659"/>
      <c r="AI77" s="909">
        <v>-5</v>
      </c>
      <c r="AJ77" s="910">
        <v>-9</v>
      </c>
      <c r="AK77" s="659">
        <f t="shared" si="29"/>
        <v>80</v>
      </c>
      <c r="AL77" s="909"/>
      <c r="AM77" s="910"/>
      <c r="AN77" s="659"/>
      <c r="AO77" s="658">
        <f t="shared" si="21"/>
        <v>-5</v>
      </c>
      <c r="AP77" s="658">
        <f t="shared" si="22"/>
        <v>-9</v>
      </c>
      <c r="AQ77" s="659">
        <f t="shared" si="28"/>
        <v>80</v>
      </c>
      <c r="AR77" s="658">
        <f t="shared" si="30"/>
        <v>-5</v>
      </c>
      <c r="AS77" s="658">
        <f t="shared" si="31"/>
        <v>-9</v>
      </c>
      <c r="AT77" s="659">
        <f t="shared" si="19"/>
        <v>80</v>
      </c>
      <c r="AU77" s="641"/>
      <c r="AV77" s="641"/>
      <c r="AW77" s="636"/>
      <c r="AX77" s="636"/>
    </row>
    <row r="78" spans="1:50" s="660" customFormat="1" ht="18.75" customHeight="1" x14ac:dyDescent="0.3">
      <c r="A78" s="667" t="s">
        <v>372</v>
      </c>
      <c r="B78" s="909"/>
      <c r="C78" s="910"/>
      <c r="D78" s="658"/>
      <c r="E78" s="909"/>
      <c r="F78" s="910"/>
      <c r="G78" s="659"/>
      <c r="H78" s="909"/>
      <c r="I78" s="910"/>
      <c r="J78" s="659"/>
      <c r="K78" s="664"/>
      <c r="L78" s="658"/>
      <c r="M78" s="659"/>
      <c r="N78" s="909"/>
      <c r="O78" s="910"/>
      <c r="P78" s="659"/>
      <c r="Q78" s="909"/>
      <c r="R78" s="910"/>
      <c r="S78" s="658"/>
      <c r="T78" s="909"/>
      <c r="U78" s="910"/>
      <c r="V78" s="659"/>
      <c r="W78" s="910"/>
      <c r="X78" s="910"/>
      <c r="Y78" s="659"/>
      <c r="Z78" s="909"/>
      <c r="AA78" s="910"/>
      <c r="AB78" s="659"/>
      <c r="AC78" s="909"/>
      <c r="AD78" s="910"/>
      <c r="AE78" s="659"/>
      <c r="AF78" s="909"/>
      <c r="AG78" s="910"/>
      <c r="AH78" s="659"/>
      <c r="AI78" s="909"/>
      <c r="AJ78" s="910"/>
      <c r="AK78" s="659"/>
      <c r="AL78" s="909"/>
      <c r="AM78" s="910"/>
      <c r="AN78" s="659"/>
      <c r="AO78" s="658">
        <f t="shared" si="21"/>
        <v>0</v>
      </c>
      <c r="AP78" s="658">
        <f t="shared" si="22"/>
        <v>0</v>
      </c>
      <c r="AQ78" s="659" t="str">
        <f t="shared" si="28"/>
        <v xml:space="preserve">    ---- </v>
      </c>
      <c r="AR78" s="658">
        <f t="shared" si="30"/>
        <v>0</v>
      </c>
      <c r="AS78" s="658">
        <f t="shared" si="31"/>
        <v>0</v>
      </c>
      <c r="AT78" s="659" t="str">
        <f t="shared" si="19"/>
        <v xml:space="preserve">    ---- </v>
      </c>
      <c r="AU78" s="641"/>
      <c r="AV78" s="641"/>
      <c r="AW78" s="636"/>
      <c r="AX78" s="636"/>
    </row>
    <row r="79" spans="1:50" s="660" customFormat="1" ht="18.75" customHeight="1" x14ac:dyDescent="0.3">
      <c r="A79" s="667" t="s">
        <v>373</v>
      </c>
      <c r="B79" s="909"/>
      <c r="C79" s="910"/>
      <c r="D79" s="658"/>
      <c r="E79" s="909"/>
      <c r="F79" s="910"/>
      <c r="G79" s="659"/>
      <c r="H79" s="909"/>
      <c r="I79" s="910"/>
      <c r="J79" s="659"/>
      <c r="K79" s="664"/>
      <c r="L79" s="658"/>
      <c r="M79" s="659"/>
      <c r="N79" s="909"/>
      <c r="O79" s="910"/>
      <c r="P79" s="659"/>
      <c r="Q79" s="909"/>
      <c r="R79" s="910"/>
      <c r="S79" s="658"/>
      <c r="T79" s="909"/>
      <c r="U79" s="910"/>
      <c r="V79" s="659"/>
      <c r="W79" s="910"/>
      <c r="X79" s="910"/>
      <c r="Y79" s="659"/>
      <c r="Z79" s="909"/>
      <c r="AA79" s="910"/>
      <c r="AB79" s="659"/>
      <c r="AC79" s="909"/>
      <c r="AD79" s="910"/>
      <c r="AE79" s="659"/>
      <c r="AF79" s="909"/>
      <c r="AG79" s="910"/>
      <c r="AH79" s="659"/>
      <c r="AI79" s="909"/>
      <c r="AJ79" s="910"/>
      <c r="AK79" s="659"/>
      <c r="AL79" s="909"/>
      <c r="AM79" s="910"/>
      <c r="AN79" s="659"/>
      <c r="AO79" s="658">
        <f t="shared" si="21"/>
        <v>0</v>
      </c>
      <c r="AP79" s="658">
        <f t="shared" si="22"/>
        <v>0</v>
      </c>
      <c r="AQ79" s="659" t="str">
        <f t="shared" si="28"/>
        <v xml:space="preserve">    ---- </v>
      </c>
      <c r="AR79" s="658">
        <f t="shared" si="30"/>
        <v>0</v>
      </c>
      <c r="AS79" s="658">
        <f t="shared" si="31"/>
        <v>0</v>
      </c>
      <c r="AT79" s="659" t="str">
        <f t="shared" si="19"/>
        <v xml:space="preserve">    ---- </v>
      </c>
      <c r="AU79" s="641"/>
      <c r="AV79" s="641"/>
      <c r="AW79" s="636"/>
      <c r="AX79" s="636"/>
    </row>
    <row r="80" spans="1:50" s="660" customFormat="1" ht="18.75" customHeight="1" x14ac:dyDescent="0.3">
      <c r="A80" s="666" t="s">
        <v>374</v>
      </c>
      <c r="B80" s="911"/>
      <c r="C80" s="912"/>
      <c r="D80" s="656"/>
      <c r="E80" s="911"/>
      <c r="F80" s="912"/>
      <c r="G80" s="657"/>
      <c r="H80" s="911"/>
      <c r="I80" s="912"/>
      <c r="J80" s="657"/>
      <c r="K80" s="665"/>
      <c r="L80" s="656"/>
      <c r="M80" s="657"/>
      <c r="N80" s="911"/>
      <c r="O80" s="912"/>
      <c r="P80" s="657"/>
      <c r="Q80" s="911"/>
      <c r="R80" s="912"/>
      <c r="S80" s="656"/>
      <c r="T80" s="911"/>
      <c r="U80" s="912"/>
      <c r="V80" s="657"/>
      <c r="W80" s="912"/>
      <c r="X80" s="912"/>
      <c r="Y80" s="657"/>
      <c r="Z80" s="911"/>
      <c r="AA80" s="912"/>
      <c r="AB80" s="657"/>
      <c r="AC80" s="911"/>
      <c r="AD80" s="912"/>
      <c r="AE80" s="657"/>
      <c r="AF80" s="911"/>
      <c r="AG80" s="912"/>
      <c r="AH80" s="657"/>
      <c r="AI80" s="911">
        <f>SUM(AI72:AI77)+AI79</f>
        <v>-13</v>
      </c>
      <c r="AJ80" s="912">
        <f>SUM(AJ72:AJ77)+AJ79</f>
        <v>-3</v>
      </c>
      <c r="AK80" s="657">
        <f t="shared" si="29"/>
        <v>-76.900000000000006</v>
      </c>
      <c r="AL80" s="911">
        <f>SUM(AL72:AL77)+AL79</f>
        <v>-9</v>
      </c>
      <c r="AM80" s="912">
        <v>-7</v>
      </c>
      <c r="AN80" s="659">
        <f>IF(AL80=0, "    ---- ", IF(ABS(ROUND(100/AL80*AM80-100,1))&lt;999,ROUND(100/AL80*AM80-100,1),IF(ROUND(100/AL80*AM80-100,1)&gt;999,999,-999)))</f>
        <v>-22.2</v>
      </c>
      <c r="AO80" s="656">
        <f t="shared" si="21"/>
        <v>-22</v>
      </c>
      <c r="AP80" s="656">
        <f t="shared" si="22"/>
        <v>-10</v>
      </c>
      <c r="AQ80" s="657">
        <f>IF(AO80=0, "    ---- ", IF(ABS(ROUND(100/AO80*AP80-100,1))&lt;999,ROUND(100/AO80*AP80-100,1),IF(ROUND(100/AO80*AP80-100,1)&gt;999,999,-999)))</f>
        <v>-54.5</v>
      </c>
      <c r="AR80" s="656">
        <f t="shared" si="30"/>
        <v>-22</v>
      </c>
      <c r="AS80" s="656">
        <f t="shared" si="31"/>
        <v>-10</v>
      </c>
      <c r="AT80" s="657">
        <f t="shared" si="19"/>
        <v>-54.5</v>
      </c>
      <c r="AU80" s="661" t="e">
        <f>B80,C80,H80,I80,N80,O80,Q80,R80,T80,U80,W80,X80,E80,F80,Z80,AA80,AC80,AD80,AF80,AG80,#REF!,#REF!,AI80,AJ80,AL80,AM80,AO80,AP80,AR80,AS80</f>
        <v>#REF!</v>
      </c>
      <c r="AV80" s="641"/>
      <c r="AW80" s="636"/>
      <c r="AX80" s="636"/>
    </row>
    <row r="81" spans="1:50" s="660" customFormat="1" ht="18.75" customHeight="1" x14ac:dyDescent="0.3">
      <c r="A81" s="667" t="s">
        <v>375</v>
      </c>
      <c r="B81" s="909"/>
      <c r="C81" s="910"/>
      <c r="D81" s="658"/>
      <c r="E81" s="909"/>
      <c r="F81" s="910"/>
      <c r="G81" s="659"/>
      <c r="H81" s="909"/>
      <c r="I81" s="910"/>
      <c r="J81" s="659"/>
      <c r="K81" s="664"/>
      <c r="L81" s="658"/>
      <c r="M81" s="659"/>
      <c r="N81" s="909"/>
      <c r="O81" s="910"/>
      <c r="P81" s="659"/>
      <c r="Q81" s="909"/>
      <c r="R81" s="910"/>
      <c r="S81" s="658"/>
      <c r="T81" s="909"/>
      <c r="U81" s="910"/>
      <c r="V81" s="659"/>
      <c r="W81" s="910"/>
      <c r="X81" s="910"/>
      <c r="Y81" s="659"/>
      <c r="Z81" s="909"/>
      <c r="AA81" s="910"/>
      <c r="AB81" s="659"/>
      <c r="AC81" s="909"/>
      <c r="AD81" s="910"/>
      <c r="AE81" s="659"/>
      <c r="AF81" s="909"/>
      <c r="AG81" s="910"/>
      <c r="AH81" s="659"/>
      <c r="AI81" s="909">
        <v>3</v>
      </c>
      <c r="AJ81" s="910"/>
      <c r="AK81" s="659"/>
      <c r="AL81" s="909"/>
      <c r="AM81" s="910"/>
      <c r="AN81" s="659"/>
      <c r="AO81" s="658">
        <f t="shared" si="21"/>
        <v>3</v>
      </c>
      <c r="AP81" s="658">
        <f t="shared" si="22"/>
        <v>0</v>
      </c>
      <c r="AQ81" s="659">
        <f t="shared" ref="AQ81:AQ83" si="32">IF(AO81=0, "    ---- ", IF(ABS(ROUND(100/AO81*AP81-100,1))&lt;999,ROUND(100/AO81*AP81-100,1),IF(ROUND(100/AO81*AP81-100,1)&gt;999,999,-999)))</f>
        <v>-100</v>
      </c>
      <c r="AR81" s="658">
        <f t="shared" si="30"/>
        <v>3</v>
      </c>
      <c r="AS81" s="658">
        <f t="shared" si="31"/>
        <v>0</v>
      </c>
      <c r="AT81" s="659">
        <f t="shared" si="19"/>
        <v>-100</v>
      </c>
      <c r="AU81" s="641"/>
      <c r="AV81" s="641"/>
      <c r="AW81" s="636"/>
      <c r="AX81" s="636"/>
    </row>
    <row r="82" spans="1:50" s="660" customFormat="1" ht="18.75" customHeight="1" x14ac:dyDescent="0.3">
      <c r="A82" s="667" t="s">
        <v>376</v>
      </c>
      <c r="B82" s="909"/>
      <c r="C82" s="910"/>
      <c r="D82" s="658"/>
      <c r="E82" s="909"/>
      <c r="F82" s="910"/>
      <c r="G82" s="659"/>
      <c r="H82" s="909"/>
      <c r="I82" s="910"/>
      <c r="J82" s="659"/>
      <c r="K82" s="664"/>
      <c r="L82" s="658"/>
      <c r="M82" s="659"/>
      <c r="N82" s="909"/>
      <c r="O82" s="910"/>
      <c r="P82" s="659"/>
      <c r="Q82" s="909"/>
      <c r="R82" s="910"/>
      <c r="S82" s="658"/>
      <c r="T82" s="909"/>
      <c r="U82" s="910"/>
      <c r="V82" s="659"/>
      <c r="W82" s="910"/>
      <c r="X82" s="910"/>
      <c r="Y82" s="659"/>
      <c r="Z82" s="909"/>
      <c r="AA82" s="910"/>
      <c r="AB82" s="659"/>
      <c r="AC82" s="909"/>
      <c r="AD82" s="910"/>
      <c r="AE82" s="659"/>
      <c r="AF82" s="909"/>
      <c r="AG82" s="910"/>
      <c r="AH82" s="659"/>
      <c r="AI82" s="909">
        <v>-16</v>
      </c>
      <c r="AJ82" s="910">
        <v>-3</v>
      </c>
      <c r="AK82" s="659">
        <f t="shared" si="29"/>
        <v>-81.3</v>
      </c>
      <c r="AL82" s="909">
        <v>-9</v>
      </c>
      <c r="AM82" s="910">
        <v>-7</v>
      </c>
      <c r="AN82" s="659">
        <f>IF(AL82=0, "    ---- ", IF(ABS(ROUND(100/AL82*AM82-100,1))&lt;999,ROUND(100/AL82*AM82-100,1),IF(ROUND(100/AL82*AM82-100,1)&gt;999,999,-999)))</f>
        <v>-22.2</v>
      </c>
      <c r="AO82" s="658">
        <f t="shared" si="21"/>
        <v>-25</v>
      </c>
      <c r="AP82" s="658">
        <f t="shared" si="22"/>
        <v>-10</v>
      </c>
      <c r="AQ82" s="659">
        <f t="shared" si="32"/>
        <v>-60</v>
      </c>
      <c r="AR82" s="658">
        <f t="shared" si="30"/>
        <v>-25</v>
      </c>
      <c r="AS82" s="658">
        <f t="shared" si="31"/>
        <v>-10</v>
      </c>
      <c r="AT82" s="659">
        <f t="shared" si="19"/>
        <v>-60</v>
      </c>
      <c r="AU82" s="641"/>
      <c r="AV82" s="641"/>
      <c r="AW82" s="636"/>
      <c r="AX82" s="636"/>
    </row>
    <row r="83" spans="1:50" s="660" customFormat="1" ht="18.75" customHeight="1" x14ac:dyDescent="0.3">
      <c r="A83" s="602" t="s">
        <v>392</v>
      </c>
      <c r="B83" s="909"/>
      <c r="C83" s="910"/>
      <c r="D83" s="658"/>
      <c r="E83" s="909"/>
      <c r="F83" s="910"/>
      <c r="G83" s="659"/>
      <c r="H83" s="909"/>
      <c r="I83" s="910"/>
      <c r="J83" s="659"/>
      <c r="K83" s="664"/>
      <c r="L83" s="658"/>
      <c r="M83" s="659"/>
      <c r="N83" s="909"/>
      <c r="O83" s="910"/>
      <c r="P83" s="659"/>
      <c r="Q83" s="909"/>
      <c r="R83" s="910"/>
      <c r="S83" s="658"/>
      <c r="T83" s="909"/>
      <c r="U83" s="910"/>
      <c r="V83" s="659"/>
      <c r="W83" s="910"/>
      <c r="X83" s="910"/>
      <c r="Y83" s="659"/>
      <c r="Z83" s="909"/>
      <c r="AA83" s="910"/>
      <c r="AB83" s="659"/>
      <c r="AC83" s="909"/>
      <c r="AD83" s="910"/>
      <c r="AE83" s="659"/>
      <c r="AF83" s="909"/>
      <c r="AG83" s="910"/>
      <c r="AH83" s="659"/>
      <c r="AI83" s="909"/>
      <c r="AJ83" s="910"/>
      <c r="AK83" s="659"/>
      <c r="AL83" s="909"/>
      <c r="AM83" s="910"/>
      <c r="AN83" s="659"/>
      <c r="AO83" s="658">
        <f t="shared" si="21"/>
        <v>0</v>
      </c>
      <c r="AP83" s="658">
        <f t="shared" si="22"/>
        <v>0</v>
      </c>
      <c r="AQ83" s="659" t="str">
        <f t="shared" si="32"/>
        <v xml:space="preserve">    ---- </v>
      </c>
      <c r="AR83" s="658">
        <f t="shared" si="30"/>
        <v>0</v>
      </c>
      <c r="AS83" s="658">
        <f t="shared" si="31"/>
        <v>0</v>
      </c>
      <c r="AT83" s="659"/>
      <c r="AU83" s="641"/>
      <c r="AV83" s="641"/>
      <c r="AW83" s="636"/>
      <c r="AX83" s="636"/>
    </row>
    <row r="84" spans="1:50" s="660" customFormat="1" ht="18.75" customHeight="1" x14ac:dyDescent="0.3">
      <c r="A84" s="608" t="s">
        <v>366</v>
      </c>
      <c r="B84" s="909"/>
      <c r="C84" s="910"/>
      <c r="D84" s="658"/>
      <c r="E84" s="909">
        <v>7</v>
      </c>
      <c r="F84" s="910">
        <v>9</v>
      </c>
      <c r="G84" s="659">
        <f t="shared" ref="G84:G86" si="33">IF(E84=0, "    ---- ", IF(ABS(ROUND(100/E84*F84-100,1))&lt;999,ROUND(100/E84*F84-100,1),IF(ROUND(100/E84*F84-100,1)&gt;999,999,-999)))</f>
        <v>28.6</v>
      </c>
      <c r="H84" s="909">
        <v>485.71699999999998</v>
      </c>
      <c r="I84" s="910">
        <v>-21</v>
      </c>
      <c r="J84" s="659">
        <f>IF(H84=0, "    ---- ", IF(ABS(ROUND(100/H84*I84-100,1))&lt;999,ROUND(100/H84*I84-100,1),IF(ROUND(100/H84*I84-100,1)&gt;999,999,-999)))</f>
        <v>-104.3</v>
      </c>
      <c r="K84" s="664"/>
      <c r="L84" s="658"/>
      <c r="M84" s="659"/>
      <c r="N84" s="909"/>
      <c r="O84" s="910"/>
      <c r="P84" s="659"/>
      <c r="Q84" s="909">
        <v>49.5</v>
      </c>
      <c r="R84" s="910">
        <v>16</v>
      </c>
      <c r="S84" s="658">
        <f>IF(Q84=0, "    ---- ", IF(ABS(ROUND(100/Q84*R84-100,1))&lt;999,ROUND(100/Q84*R84-100,1),IF(ROUND(100/Q84*R84-100,1)&gt;999,999,-999)))</f>
        <v>-67.7</v>
      </c>
      <c r="T84" s="909"/>
      <c r="U84" s="910"/>
      <c r="V84" s="659"/>
      <c r="W84" s="910"/>
      <c r="X84" s="910"/>
      <c r="Y84" s="659"/>
      <c r="Z84" s="909">
        <v>597.69000280119269</v>
      </c>
      <c r="AA84" s="910">
        <v>157.43</v>
      </c>
      <c r="AB84" s="659">
        <f>IF(Z84=0, "    ---- ", IF(ABS(ROUND(100/Z84*AA84-100,1))&lt;999,ROUND(100/Z84*AA84-100,1),IF(ROUND(100/Z84*AA84-100,1)&gt;999,999,-999)))</f>
        <v>-73.7</v>
      </c>
      <c r="AC84" s="909"/>
      <c r="AD84" s="910"/>
      <c r="AE84" s="659"/>
      <c r="AF84" s="909"/>
      <c r="AG84" s="910"/>
      <c r="AH84" s="659"/>
      <c r="AI84" s="909">
        <v>621</v>
      </c>
      <c r="AJ84" s="910">
        <v>-75</v>
      </c>
      <c r="AK84" s="659">
        <f>IF(AI84=0, "    ---- ", IF(ABS(ROUND(100/AI84*AJ84-100,1))&lt;999,ROUND(100/AI84*AJ84-100,1),IF(ROUND(100/AI84*AJ84-100,1)&gt;999,999,-999)))</f>
        <v>-112.1</v>
      </c>
      <c r="AL84" s="909">
        <v>744</v>
      </c>
      <c r="AM84" s="910">
        <v>2447</v>
      </c>
      <c r="AN84" s="659">
        <f>IF(AL84=0, "    ---- ", IF(ABS(ROUND(100/AL84*AM84-100,1))&lt;999,ROUND(100/AL84*AM84-100,1),IF(ROUND(100/AL84*AM84-100,1)&gt;999,999,-999)))</f>
        <v>228.9</v>
      </c>
      <c r="AO84" s="658">
        <f t="shared" si="21"/>
        <v>2504.9070028011929</v>
      </c>
      <c r="AP84" s="658">
        <f t="shared" si="22"/>
        <v>2533.4299999999998</v>
      </c>
      <c r="AQ84" s="659">
        <f t="shared" si="18"/>
        <v>1.1000000000000001</v>
      </c>
      <c r="AR84" s="658">
        <f t="shared" si="30"/>
        <v>2504.9070028011929</v>
      </c>
      <c r="AS84" s="658">
        <f t="shared" si="31"/>
        <v>2533.4299999999998</v>
      </c>
      <c r="AT84" s="659">
        <f t="shared" si="19"/>
        <v>1.1000000000000001</v>
      </c>
      <c r="AU84" s="641"/>
      <c r="AV84" s="641"/>
      <c r="AW84" s="636"/>
      <c r="AX84" s="636"/>
    </row>
    <row r="85" spans="1:50" s="660" customFormat="1" ht="18.75" customHeight="1" x14ac:dyDescent="0.3">
      <c r="A85" s="608" t="s">
        <v>367</v>
      </c>
      <c r="B85" s="909"/>
      <c r="C85" s="910"/>
      <c r="D85" s="658"/>
      <c r="E85" s="909">
        <v>1</v>
      </c>
      <c r="F85" s="910">
        <v>0</v>
      </c>
      <c r="G85" s="659">
        <f t="shared" si="33"/>
        <v>-100</v>
      </c>
      <c r="H85" s="909">
        <v>-23.042000000000002</v>
      </c>
      <c r="I85" s="910">
        <v>260.39999999999998</v>
      </c>
      <c r="J85" s="659">
        <f>IF(H85=0, "    ---- ", IF(ABS(ROUND(100/H85*I85-100,1))&lt;999,ROUND(100/H85*I85-100,1),IF(ROUND(100/H85*I85-100,1)&gt;999,999,-999)))</f>
        <v>-999</v>
      </c>
      <c r="K85" s="664"/>
      <c r="L85" s="658"/>
      <c r="M85" s="659"/>
      <c r="N85" s="909"/>
      <c r="O85" s="910"/>
      <c r="P85" s="659"/>
      <c r="Q85" s="909"/>
      <c r="R85" s="910"/>
      <c r="S85" s="658"/>
      <c r="T85" s="909"/>
      <c r="U85" s="910"/>
      <c r="V85" s="659"/>
      <c r="W85" s="910"/>
      <c r="X85" s="910"/>
      <c r="Y85" s="659"/>
      <c r="Z85" s="909">
        <v>-324.02463599999999</v>
      </c>
      <c r="AA85" s="910">
        <v>-121.69</v>
      </c>
      <c r="AB85" s="659">
        <f>IF(Z85=0, "    ---- ", IF(ABS(ROUND(100/Z85*AA85-100,1))&lt;999,ROUND(100/Z85*AA85-100,1),IF(ROUND(100/Z85*AA85-100,1)&gt;999,999,-999)))</f>
        <v>-62.4</v>
      </c>
      <c r="AC85" s="909"/>
      <c r="AD85" s="910"/>
      <c r="AE85" s="659"/>
      <c r="AF85" s="909"/>
      <c r="AG85" s="910"/>
      <c r="AH85" s="659"/>
      <c r="AI85" s="909">
        <v>-327</v>
      </c>
      <c r="AJ85" s="910">
        <v>75</v>
      </c>
      <c r="AK85" s="659">
        <f>IF(AI85=0, "    ---- ", IF(ABS(ROUND(100/AI85*AJ85-100,1))&lt;999,ROUND(100/AI85*AJ85-100,1),IF(ROUND(100/AI85*AJ85-100,1)&gt;999,999,-999)))</f>
        <v>-122.9</v>
      </c>
      <c r="AL85" s="909">
        <v>-646</v>
      </c>
      <c r="AM85" s="910">
        <v>-2151</v>
      </c>
      <c r="AN85" s="659">
        <f>IF(AL85=0, "    ---- ", IF(ABS(ROUND(100/AL85*AM85-100,1))&lt;999,ROUND(100/AL85*AM85-100,1),IF(ROUND(100/AL85*AM85-100,1)&gt;999,999,-999)))</f>
        <v>233</v>
      </c>
      <c r="AO85" s="658">
        <f t="shared" si="21"/>
        <v>-1319.066636</v>
      </c>
      <c r="AP85" s="658">
        <f t="shared" si="22"/>
        <v>-1937.29</v>
      </c>
      <c r="AQ85" s="659">
        <f t="shared" si="18"/>
        <v>46.9</v>
      </c>
      <c r="AR85" s="658">
        <f t="shared" si="30"/>
        <v>-1319.066636</v>
      </c>
      <c r="AS85" s="658">
        <f t="shared" si="31"/>
        <v>-1937.29</v>
      </c>
      <c r="AT85" s="659">
        <f t="shared" si="19"/>
        <v>46.9</v>
      </c>
      <c r="AU85" s="641"/>
      <c r="AV85" s="641"/>
      <c r="AW85" s="636"/>
      <c r="AX85" s="636"/>
    </row>
    <row r="86" spans="1:50" s="660" customFormat="1" ht="18.75" customHeight="1" x14ac:dyDescent="0.3">
      <c r="A86" s="608" t="s">
        <v>368</v>
      </c>
      <c r="B86" s="909"/>
      <c r="C86" s="910"/>
      <c r="D86" s="658"/>
      <c r="E86" s="909">
        <v>-9</v>
      </c>
      <c r="F86" s="910">
        <v>-9</v>
      </c>
      <c r="G86" s="659">
        <f t="shared" si="33"/>
        <v>0</v>
      </c>
      <c r="H86" s="909">
        <v>137.52699999999999</v>
      </c>
      <c r="I86" s="910">
        <v>168.4</v>
      </c>
      <c r="J86" s="659">
        <f>IF(H86=0, "    ---- ", IF(ABS(ROUND(100/H86*I86-100,1))&lt;999,ROUND(100/H86*I86-100,1),IF(ROUND(100/H86*I86-100,1)&gt;999,999,-999)))</f>
        <v>22.4</v>
      </c>
      <c r="K86" s="664"/>
      <c r="L86" s="658"/>
      <c r="M86" s="659"/>
      <c r="N86" s="909"/>
      <c r="O86" s="910"/>
      <c r="P86" s="659"/>
      <c r="Q86" s="909">
        <v>-9.6999999999999993</v>
      </c>
      <c r="R86" s="910">
        <v>-11.1</v>
      </c>
      <c r="S86" s="658">
        <f>IF(Q86=0, "    ---- ", IF(ABS(ROUND(100/Q86*R86-100,1))&lt;999,ROUND(100/Q86*R86-100,1),IF(ROUND(100/Q86*R86-100,1)&gt;999,999,-999)))</f>
        <v>14.4</v>
      </c>
      <c r="T86" s="909"/>
      <c r="U86" s="910"/>
      <c r="V86" s="659"/>
      <c r="W86" s="910"/>
      <c r="X86" s="910"/>
      <c r="Y86" s="659"/>
      <c r="Z86" s="909">
        <v>33.224476462181705</v>
      </c>
      <c r="AA86" s="910">
        <v>51.39</v>
      </c>
      <c r="AB86" s="659">
        <f>IF(Z86=0, "    ---- ", IF(ABS(ROUND(100/Z86*AA86-100,1))&lt;999,ROUND(100/Z86*AA86-100,1),IF(ROUND(100/Z86*AA86-100,1)&gt;999,999,-999)))</f>
        <v>54.7</v>
      </c>
      <c r="AC86" s="909"/>
      <c r="AD86" s="910"/>
      <c r="AE86" s="659"/>
      <c r="AF86" s="909"/>
      <c r="AG86" s="910"/>
      <c r="AH86" s="659"/>
      <c r="AI86" s="909">
        <v>-400</v>
      </c>
      <c r="AJ86" s="910">
        <v>1</v>
      </c>
      <c r="AK86" s="659">
        <f>IF(AI86=0, "    ---- ", IF(ABS(ROUND(100/AI86*AJ86-100,1))&lt;999,ROUND(100/AI86*AJ86-100,1),IF(ROUND(100/AI86*AJ86-100,1)&gt;999,999,-999)))</f>
        <v>-100.3</v>
      </c>
      <c r="AL86" s="909">
        <f>171+72</f>
        <v>243</v>
      </c>
      <c r="AM86" s="910">
        <v>295</v>
      </c>
      <c r="AN86" s="659">
        <f>IF(AL86=0, "    ---- ", IF(ABS(ROUND(100/AL86*AM86-100,1))&lt;999,ROUND(100/AL86*AM86-100,1),IF(ROUND(100/AL86*AM86-100,1)&gt;999,999,-999)))</f>
        <v>21.4</v>
      </c>
      <c r="AO86" s="658">
        <f t="shared" si="21"/>
        <v>-4.9485235378183177</v>
      </c>
      <c r="AP86" s="658">
        <f t="shared" si="22"/>
        <v>495.69</v>
      </c>
      <c r="AQ86" s="659">
        <f t="shared" si="18"/>
        <v>-999</v>
      </c>
      <c r="AR86" s="658">
        <f t="shared" si="30"/>
        <v>-4.9485235378183177</v>
      </c>
      <c r="AS86" s="658">
        <f t="shared" si="31"/>
        <v>495.69</v>
      </c>
      <c r="AT86" s="659">
        <f t="shared" si="19"/>
        <v>-999</v>
      </c>
      <c r="AU86" s="641"/>
      <c r="AV86" s="641"/>
      <c r="AW86" s="636"/>
      <c r="AX86" s="636"/>
    </row>
    <row r="87" spans="1:50" s="660" customFormat="1" ht="18.75" customHeight="1" x14ac:dyDescent="0.3">
      <c r="A87" s="608" t="s">
        <v>369</v>
      </c>
      <c r="B87" s="909"/>
      <c r="C87" s="910"/>
      <c r="D87" s="658"/>
      <c r="E87" s="909"/>
      <c r="F87" s="910"/>
      <c r="G87" s="659"/>
      <c r="H87" s="909"/>
      <c r="I87" s="910"/>
      <c r="J87" s="659"/>
      <c r="K87" s="664"/>
      <c r="L87" s="658"/>
      <c r="M87" s="659"/>
      <c r="N87" s="909"/>
      <c r="O87" s="910"/>
      <c r="P87" s="659"/>
      <c r="Q87" s="909"/>
      <c r="R87" s="910"/>
      <c r="S87" s="658"/>
      <c r="T87" s="909"/>
      <c r="U87" s="910"/>
      <c r="V87" s="659"/>
      <c r="W87" s="910"/>
      <c r="X87" s="910"/>
      <c r="Y87" s="659"/>
      <c r="Z87" s="909"/>
      <c r="AA87" s="910"/>
      <c r="AB87" s="659"/>
      <c r="AC87" s="909"/>
      <c r="AD87" s="910"/>
      <c r="AE87" s="659"/>
      <c r="AF87" s="909"/>
      <c r="AG87" s="910"/>
      <c r="AH87" s="659"/>
      <c r="AI87" s="909"/>
      <c r="AJ87" s="910"/>
      <c r="AK87" s="659"/>
      <c r="AL87" s="909"/>
      <c r="AM87" s="910"/>
      <c r="AN87" s="659"/>
      <c r="AO87" s="658">
        <f t="shared" si="21"/>
        <v>0</v>
      </c>
      <c r="AP87" s="658">
        <f t="shared" si="22"/>
        <v>0</v>
      </c>
      <c r="AQ87" s="659" t="str">
        <f t="shared" si="18"/>
        <v xml:space="preserve">    ---- </v>
      </c>
      <c r="AR87" s="658">
        <f t="shared" si="30"/>
        <v>0</v>
      </c>
      <c r="AS87" s="658">
        <f t="shared" si="31"/>
        <v>0</v>
      </c>
      <c r="AT87" s="659" t="str">
        <f t="shared" si="19"/>
        <v xml:space="preserve">    ---- </v>
      </c>
      <c r="AU87" s="641"/>
      <c r="AV87" s="641"/>
      <c r="AW87" s="636"/>
      <c r="AX87" s="636"/>
    </row>
    <row r="88" spans="1:50" s="660" customFormat="1" ht="18.75" customHeight="1" x14ac:dyDescent="0.3">
      <c r="A88" s="608" t="s">
        <v>370</v>
      </c>
      <c r="B88" s="909"/>
      <c r="C88" s="910"/>
      <c r="D88" s="658"/>
      <c r="E88" s="909"/>
      <c r="F88" s="910"/>
      <c r="G88" s="659"/>
      <c r="H88" s="909"/>
      <c r="I88" s="910"/>
      <c r="J88" s="659"/>
      <c r="K88" s="664"/>
      <c r="L88" s="658"/>
      <c r="M88" s="659"/>
      <c r="N88" s="909"/>
      <c r="O88" s="910"/>
      <c r="P88" s="659"/>
      <c r="Q88" s="909"/>
      <c r="R88" s="910"/>
      <c r="S88" s="658"/>
      <c r="T88" s="909"/>
      <c r="U88" s="910"/>
      <c r="V88" s="659"/>
      <c r="W88" s="910"/>
      <c r="X88" s="910"/>
      <c r="Y88" s="659"/>
      <c r="Z88" s="909"/>
      <c r="AA88" s="910"/>
      <c r="AB88" s="659"/>
      <c r="AC88" s="909"/>
      <c r="AD88" s="910"/>
      <c r="AE88" s="659"/>
      <c r="AF88" s="909"/>
      <c r="AG88" s="910"/>
      <c r="AH88" s="659"/>
      <c r="AI88" s="909"/>
      <c r="AJ88" s="910"/>
      <c r="AK88" s="659"/>
      <c r="AL88" s="909"/>
      <c r="AM88" s="910"/>
      <c r="AN88" s="659"/>
      <c r="AO88" s="658">
        <f t="shared" si="21"/>
        <v>0</v>
      </c>
      <c r="AP88" s="658">
        <f t="shared" si="22"/>
        <v>0</v>
      </c>
      <c r="AQ88" s="659" t="str">
        <f t="shared" si="18"/>
        <v xml:space="preserve">    ---- </v>
      </c>
      <c r="AR88" s="658">
        <f t="shared" si="30"/>
        <v>0</v>
      </c>
      <c r="AS88" s="658">
        <f t="shared" si="31"/>
        <v>0</v>
      </c>
      <c r="AT88" s="659" t="str">
        <f t="shared" si="19"/>
        <v xml:space="preserve">    ---- </v>
      </c>
      <c r="AU88" s="641"/>
      <c r="AV88" s="641"/>
      <c r="AW88" s="636"/>
      <c r="AX88" s="636"/>
    </row>
    <row r="89" spans="1:50" s="660" customFormat="1" ht="18.75" customHeight="1" x14ac:dyDescent="0.3">
      <c r="A89" s="608" t="s">
        <v>371</v>
      </c>
      <c r="B89" s="909"/>
      <c r="C89" s="910"/>
      <c r="D89" s="658"/>
      <c r="E89" s="909"/>
      <c r="F89" s="910"/>
      <c r="G89" s="659"/>
      <c r="H89" s="909">
        <v>195.16399999999999</v>
      </c>
      <c r="I89" s="910">
        <v>171.4</v>
      </c>
      <c r="J89" s="659">
        <f t="shared" ref="J89:J94" si="34">IF(H89=0, "    ---- ", IF(ABS(ROUND(100/H89*I89-100,1))&lt;999,ROUND(100/H89*I89-100,1),IF(ROUND(100/H89*I89-100,1)&gt;999,999,-999)))</f>
        <v>-12.2</v>
      </c>
      <c r="K89" s="664"/>
      <c r="L89" s="658"/>
      <c r="M89" s="659"/>
      <c r="N89" s="909"/>
      <c r="O89" s="910"/>
      <c r="P89" s="659"/>
      <c r="Q89" s="909">
        <v>44.2</v>
      </c>
      <c r="R89" s="910">
        <v>-4</v>
      </c>
      <c r="S89" s="658">
        <f>IF(Q89=0, "    ---- ", IF(ABS(ROUND(100/Q89*R89-100,1))&lt;999,ROUND(100/Q89*R89-100,1),IF(ROUND(100/Q89*R89-100,1)&gt;999,999,-999)))</f>
        <v>-109</v>
      </c>
      <c r="T89" s="909"/>
      <c r="U89" s="910"/>
      <c r="V89" s="659"/>
      <c r="W89" s="910"/>
      <c r="X89" s="910"/>
      <c r="Y89" s="659"/>
      <c r="Z89" s="909">
        <v>60.155573762339614</v>
      </c>
      <c r="AA89" s="910">
        <v>44.94</v>
      </c>
      <c r="AB89" s="659">
        <f t="shared" ref="AB89:AB94" si="35">IF(Z89=0, "    ---- ", IF(ABS(ROUND(100/Z89*AA89-100,1))&lt;999,ROUND(100/Z89*AA89-100,1),IF(ROUND(100/Z89*AA89-100,1)&gt;999,999,-999)))</f>
        <v>-25.3</v>
      </c>
      <c r="AC89" s="909"/>
      <c r="AD89" s="910"/>
      <c r="AE89" s="659"/>
      <c r="AF89" s="909"/>
      <c r="AG89" s="910"/>
      <c r="AH89" s="659"/>
      <c r="AI89" s="909">
        <v>60</v>
      </c>
      <c r="AJ89" s="910">
        <v>59</v>
      </c>
      <c r="AK89" s="659">
        <f>IF(AI89=0, "    ---- ", IF(ABS(ROUND(100/AI89*AJ89-100,1))&lt;999,ROUND(100/AI89*AJ89-100,1),IF(ROUND(100/AI89*AJ89-100,1)&gt;999,999,-999)))</f>
        <v>-1.7</v>
      </c>
      <c r="AL89" s="909">
        <f>428-28</f>
        <v>400</v>
      </c>
      <c r="AM89" s="910">
        <v>241</v>
      </c>
      <c r="AN89" s="659">
        <f t="shared" ref="AN89:AN94" si="36">IF(AL89=0, "    ---- ", IF(ABS(ROUND(100/AL89*AM89-100,1))&lt;999,ROUND(100/AL89*AM89-100,1),IF(ROUND(100/AL89*AM89-100,1)&gt;999,999,-999)))</f>
        <v>-39.799999999999997</v>
      </c>
      <c r="AO89" s="658">
        <f t="shared" si="21"/>
        <v>759.51957376233963</v>
      </c>
      <c r="AP89" s="658">
        <f t="shared" si="22"/>
        <v>512.34</v>
      </c>
      <c r="AQ89" s="659">
        <f t="shared" si="18"/>
        <v>-32.5</v>
      </c>
      <c r="AR89" s="658">
        <f t="shared" si="30"/>
        <v>759.51957376233963</v>
      </c>
      <c r="AS89" s="658">
        <f t="shared" si="31"/>
        <v>512.34</v>
      </c>
      <c r="AT89" s="659">
        <f t="shared" si="19"/>
        <v>-32.5</v>
      </c>
      <c r="AU89" s="641"/>
      <c r="AV89" s="641"/>
      <c r="AW89" s="636"/>
      <c r="AX89" s="636"/>
    </row>
    <row r="90" spans="1:50" s="660" customFormat="1" ht="18.75" customHeight="1" x14ac:dyDescent="0.3">
      <c r="A90" s="608" t="s">
        <v>372</v>
      </c>
      <c r="B90" s="909"/>
      <c r="C90" s="910"/>
      <c r="D90" s="658"/>
      <c r="E90" s="909"/>
      <c r="F90" s="910"/>
      <c r="G90" s="659"/>
      <c r="H90" s="909"/>
      <c r="I90" s="910"/>
      <c r="J90" s="659"/>
      <c r="K90" s="664"/>
      <c r="L90" s="658"/>
      <c r="M90" s="659"/>
      <c r="N90" s="909"/>
      <c r="O90" s="910"/>
      <c r="P90" s="659"/>
      <c r="Q90" s="909">
        <v>22.7</v>
      </c>
      <c r="R90" s="910">
        <v>-2</v>
      </c>
      <c r="S90" s="658">
        <f>IF(Q90=0, "    ---- ", IF(ABS(ROUND(100/Q90*R90-100,1))&lt;999,ROUND(100/Q90*R90-100,1),IF(ROUND(100/Q90*R90-100,1)&gt;999,999,-999)))</f>
        <v>-108.8</v>
      </c>
      <c r="T90" s="909"/>
      <c r="U90" s="910"/>
      <c r="V90" s="659"/>
      <c r="W90" s="910"/>
      <c r="X90" s="910"/>
      <c r="Y90" s="659"/>
      <c r="Z90" s="909">
        <v>9.8534456365012222</v>
      </c>
      <c r="AA90" s="910">
        <v>32.869999999999997</v>
      </c>
      <c r="AB90" s="659">
        <f t="shared" si="35"/>
        <v>233.6</v>
      </c>
      <c r="AC90" s="909"/>
      <c r="AD90" s="910"/>
      <c r="AE90" s="659"/>
      <c r="AF90" s="909"/>
      <c r="AG90" s="910"/>
      <c r="AH90" s="659"/>
      <c r="AI90" s="909"/>
      <c r="AJ90" s="910"/>
      <c r="AK90" s="659"/>
      <c r="AL90" s="909">
        <v>220</v>
      </c>
      <c r="AM90" s="910">
        <v>155</v>
      </c>
      <c r="AN90" s="659">
        <f t="shared" si="36"/>
        <v>-29.5</v>
      </c>
      <c r="AO90" s="658">
        <f t="shared" si="21"/>
        <v>252.55344563650124</v>
      </c>
      <c r="AP90" s="658">
        <f t="shared" si="22"/>
        <v>185.87</v>
      </c>
      <c r="AQ90" s="659">
        <f t="shared" si="18"/>
        <v>-26.4</v>
      </c>
      <c r="AR90" s="658">
        <f t="shared" si="30"/>
        <v>252.55344563650124</v>
      </c>
      <c r="AS90" s="658">
        <f t="shared" si="31"/>
        <v>185.87</v>
      </c>
      <c r="AT90" s="659">
        <f t="shared" si="19"/>
        <v>-26.4</v>
      </c>
      <c r="AU90" s="641"/>
      <c r="AV90" s="641"/>
      <c r="AW90" s="636"/>
      <c r="AX90" s="636"/>
    </row>
    <row r="91" spans="1:50" s="660" customFormat="1" ht="18.75" customHeight="1" x14ac:dyDescent="0.3">
      <c r="A91" s="608" t="s">
        <v>373</v>
      </c>
      <c r="B91" s="909"/>
      <c r="C91" s="910"/>
      <c r="D91" s="658"/>
      <c r="E91" s="909">
        <v>0</v>
      </c>
      <c r="F91" s="910">
        <v>0</v>
      </c>
      <c r="G91" s="659" t="str">
        <f t="shared" ref="G91:G94" si="37">IF(E91=0, "    ---- ", IF(ABS(ROUND(100/E91*F91-100,1))&lt;999,ROUND(100/E91*F91-100,1),IF(ROUND(100/E91*F91-100,1)&gt;999,999,-999)))</f>
        <v xml:space="preserve">    ---- </v>
      </c>
      <c r="H91" s="909"/>
      <c r="I91" s="910"/>
      <c r="J91" s="659"/>
      <c r="K91" s="664"/>
      <c r="L91" s="658"/>
      <c r="M91" s="659"/>
      <c r="N91" s="909"/>
      <c r="O91" s="910"/>
      <c r="P91" s="659"/>
      <c r="Q91" s="909"/>
      <c r="R91" s="910"/>
      <c r="S91" s="658"/>
      <c r="T91" s="909"/>
      <c r="U91" s="910"/>
      <c r="V91" s="659"/>
      <c r="W91" s="910"/>
      <c r="X91" s="910"/>
      <c r="Y91" s="659"/>
      <c r="Z91" s="909">
        <v>-328.26366899999999</v>
      </c>
      <c r="AA91" s="910">
        <v>0</v>
      </c>
      <c r="AB91" s="659">
        <f t="shared" si="35"/>
        <v>-100</v>
      </c>
      <c r="AC91" s="909"/>
      <c r="AD91" s="910"/>
      <c r="AE91" s="659"/>
      <c r="AF91" s="909"/>
      <c r="AG91" s="910"/>
      <c r="AH91" s="659"/>
      <c r="AI91" s="909"/>
      <c r="AJ91" s="910"/>
      <c r="AK91" s="659"/>
      <c r="AL91" s="909"/>
      <c r="AM91" s="910"/>
      <c r="AN91" s="659"/>
      <c r="AO91" s="658">
        <f t="shared" si="21"/>
        <v>-328.26366899999999</v>
      </c>
      <c r="AP91" s="658">
        <f t="shared" si="22"/>
        <v>0</v>
      </c>
      <c r="AQ91" s="659">
        <f t="shared" si="18"/>
        <v>-100</v>
      </c>
      <c r="AR91" s="658">
        <f t="shared" si="30"/>
        <v>-328.26366899999999</v>
      </c>
      <c r="AS91" s="658">
        <f t="shared" si="31"/>
        <v>0</v>
      </c>
      <c r="AT91" s="659">
        <f t="shared" si="19"/>
        <v>-100</v>
      </c>
      <c r="AU91" s="641"/>
      <c r="AV91" s="641"/>
      <c r="AW91" s="636"/>
      <c r="AX91" s="636"/>
    </row>
    <row r="92" spans="1:50" s="663" customFormat="1" ht="18.75" customHeight="1" x14ac:dyDescent="0.3">
      <c r="A92" s="602" t="s">
        <v>374</v>
      </c>
      <c r="B92" s="911"/>
      <c r="C92" s="912"/>
      <c r="D92" s="656"/>
      <c r="E92" s="911">
        <f>SUM(E84:E89)+E91</f>
        <v>-1</v>
      </c>
      <c r="F92" s="912">
        <f>SUM(F84:F89)+F91</f>
        <v>0</v>
      </c>
      <c r="G92" s="657">
        <f t="shared" si="37"/>
        <v>-100</v>
      </c>
      <c r="H92" s="911">
        <f>SUM(H84:H89)+H91</f>
        <v>795.36599999999999</v>
      </c>
      <c r="I92" s="912">
        <f>SUM(I84:I89)+I91</f>
        <v>579.19999999999993</v>
      </c>
      <c r="J92" s="657">
        <f t="shared" si="34"/>
        <v>-27.2</v>
      </c>
      <c r="K92" s="665"/>
      <c r="L92" s="656"/>
      <c r="M92" s="657"/>
      <c r="N92" s="911"/>
      <c r="O92" s="912"/>
      <c r="P92" s="657"/>
      <c r="Q92" s="911">
        <f>SUM(Q84:Q89)+Q91</f>
        <v>84</v>
      </c>
      <c r="R92" s="912">
        <f>SUM(R84:R89)+R91</f>
        <v>0.90000000000000036</v>
      </c>
      <c r="S92" s="656">
        <f>IF(Q92=0, "    ---- ", IF(ABS(ROUND(100/Q92*R92-100,1))&lt;999,ROUND(100/Q92*R92-100,1),IF(ROUND(100/Q92*R92-100,1)&gt;999,999,-999)))</f>
        <v>-98.9</v>
      </c>
      <c r="T92" s="911"/>
      <c r="U92" s="912"/>
      <c r="V92" s="657"/>
      <c r="W92" s="912"/>
      <c r="X92" s="912"/>
      <c r="Y92" s="657"/>
      <c r="Z92" s="911">
        <f>SUM(Z84:Z89)+Z91</f>
        <v>38.781748025714023</v>
      </c>
      <c r="AA92" s="912">
        <f>SUM(AA84:AA89)+AA91</f>
        <v>132.07</v>
      </c>
      <c r="AB92" s="657">
        <f t="shared" si="35"/>
        <v>240.5</v>
      </c>
      <c r="AC92" s="911"/>
      <c r="AD92" s="912"/>
      <c r="AE92" s="657"/>
      <c r="AF92" s="911"/>
      <c r="AG92" s="912"/>
      <c r="AH92" s="657"/>
      <c r="AI92" s="911">
        <f>SUM(AI84:AI89)+AI91</f>
        <v>-46</v>
      </c>
      <c r="AJ92" s="912">
        <f>SUM(AJ84:AJ89)+AJ91</f>
        <v>60</v>
      </c>
      <c r="AK92" s="657">
        <f>IF(AI92=0, "    ---- ", IF(ABS(ROUND(100/AI92*AJ92-100,1))&lt;999,ROUND(100/AI92*AJ92-100,1),IF(ROUND(100/AI92*AJ92-100,1)&gt;999,999,-999)))</f>
        <v>-230.4</v>
      </c>
      <c r="AL92" s="911">
        <f>SUM(AL84:AL89)+AL91</f>
        <v>741</v>
      </c>
      <c r="AM92" s="912">
        <v>832</v>
      </c>
      <c r="AN92" s="657">
        <f t="shared" si="36"/>
        <v>12.3</v>
      </c>
      <c r="AO92" s="656">
        <f t="shared" si="21"/>
        <v>1612.147748025714</v>
      </c>
      <c r="AP92" s="656">
        <f t="shared" si="22"/>
        <v>1604.1699999999998</v>
      </c>
      <c r="AQ92" s="657">
        <f t="shared" si="18"/>
        <v>-0.5</v>
      </c>
      <c r="AR92" s="656">
        <f t="shared" si="30"/>
        <v>1612.147748025714</v>
      </c>
      <c r="AS92" s="656">
        <f t="shared" si="31"/>
        <v>1604.1699999999998</v>
      </c>
      <c r="AT92" s="657">
        <f t="shared" si="19"/>
        <v>-0.5</v>
      </c>
      <c r="AU92" s="661" t="e">
        <f>B92,C92,H92,I92,N92,O92,Q92,R92,T92,U92,W92,X92,E92,F92,Z92,AA92,AC92,AD92,AF92,AG92,#REF!,#REF!,AI92,AJ92,AL92,AM92,AO92,AP92,AR92,AS92</f>
        <v>#REF!</v>
      </c>
      <c r="AV92" s="639"/>
      <c r="AW92" s="662"/>
      <c r="AX92" s="662"/>
    </row>
    <row r="93" spans="1:50" s="660" customFormat="1" ht="18.75" customHeight="1" x14ac:dyDescent="0.3">
      <c r="A93" s="608" t="s">
        <v>375</v>
      </c>
      <c r="B93" s="909"/>
      <c r="C93" s="910"/>
      <c r="D93" s="658"/>
      <c r="E93" s="909">
        <v>6</v>
      </c>
      <c r="F93" s="910">
        <v>8</v>
      </c>
      <c r="G93" s="659">
        <f t="shared" si="37"/>
        <v>33.299999999999997</v>
      </c>
      <c r="H93" s="909">
        <v>467.72800000000001</v>
      </c>
      <c r="I93" s="910">
        <v>278.5</v>
      </c>
      <c r="J93" s="659">
        <f t="shared" si="34"/>
        <v>-40.5</v>
      </c>
      <c r="K93" s="664"/>
      <c r="L93" s="658"/>
      <c r="M93" s="659"/>
      <c r="N93" s="909"/>
      <c r="O93" s="910"/>
      <c r="P93" s="659"/>
      <c r="Q93" s="909">
        <v>70.400000000000006</v>
      </c>
      <c r="R93" s="910">
        <v>14.8</v>
      </c>
      <c r="S93" s="658">
        <f>IF(Q93=0, "    ---- ", IF(ABS(ROUND(100/Q93*R93-100,1))&lt;999,ROUND(100/Q93*R93-100,1),IF(ROUND(100/Q93*R93-100,1)&gt;999,999,-999)))</f>
        <v>-79</v>
      </c>
      <c r="T93" s="909"/>
      <c r="U93" s="910"/>
      <c r="V93" s="659"/>
      <c r="W93" s="910"/>
      <c r="X93" s="910"/>
      <c r="Y93" s="659"/>
      <c r="Z93" s="909">
        <v>42.665109164834739</v>
      </c>
      <c r="AA93" s="910">
        <v>51</v>
      </c>
      <c r="AB93" s="659">
        <f t="shared" si="35"/>
        <v>19.5</v>
      </c>
      <c r="AC93" s="909"/>
      <c r="AD93" s="910"/>
      <c r="AE93" s="659"/>
      <c r="AF93" s="909"/>
      <c r="AG93" s="910"/>
      <c r="AH93" s="659"/>
      <c r="AI93" s="909">
        <v>265</v>
      </c>
      <c r="AJ93" s="910">
        <v>30</v>
      </c>
      <c r="AK93" s="659">
        <f>IF(AI93=0, "    ---- ", IF(ABS(ROUND(100/AI93*AJ93-100,1))&lt;999,ROUND(100/AI93*AJ93-100,1),IF(ROUND(100/AI93*AJ93-100,1)&gt;999,999,-999)))</f>
        <v>-88.7</v>
      </c>
      <c r="AL93" s="909">
        <f>79+214-28</f>
        <v>265</v>
      </c>
      <c r="AM93" s="910">
        <v>345</v>
      </c>
      <c r="AN93" s="659">
        <f t="shared" si="36"/>
        <v>30.2</v>
      </c>
      <c r="AO93" s="658">
        <f t="shared" si="21"/>
        <v>1116.7931091648347</v>
      </c>
      <c r="AP93" s="658">
        <f t="shared" si="22"/>
        <v>727.3</v>
      </c>
      <c r="AQ93" s="659">
        <f t="shared" si="18"/>
        <v>-34.9</v>
      </c>
      <c r="AR93" s="658">
        <f t="shared" si="30"/>
        <v>1116.7931091648347</v>
      </c>
      <c r="AS93" s="658">
        <f t="shared" si="31"/>
        <v>727.3</v>
      </c>
      <c r="AT93" s="659">
        <f t="shared" si="19"/>
        <v>-34.9</v>
      </c>
      <c r="AU93" s="641"/>
      <c r="AV93" s="641"/>
      <c r="AW93" s="636"/>
      <c r="AX93" s="636"/>
    </row>
    <row r="94" spans="1:50" s="660" customFormat="1" ht="18.75" customHeight="1" x14ac:dyDescent="0.3">
      <c r="A94" s="608" t="s">
        <v>376</v>
      </c>
      <c r="B94" s="909"/>
      <c r="C94" s="910"/>
      <c r="D94" s="658"/>
      <c r="E94" s="909">
        <v>-7</v>
      </c>
      <c r="F94" s="910">
        <v>-8</v>
      </c>
      <c r="G94" s="659">
        <f t="shared" si="37"/>
        <v>14.3</v>
      </c>
      <c r="H94" s="909">
        <v>327.63799999999998</v>
      </c>
      <c r="I94" s="910">
        <v>300.2</v>
      </c>
      <c r="J94" s="659">
        <f t="shared" si="34"/>
        <v>-8.4</v>
      </c>
      <c r="K94" s="664"/>
      <c r="L94" s="658"/>
      <c r="M94" s="659"/>
      <c r="N94" s="909"/>
      <c r="O94" s="910"/>
      <c r="P94" s="659"/>
      <c r="Q94" s="909">
        <v>13.6</v>
      </c>
      <c r="R94" s="910">
        <v>-13.9</v>
      </c>
      <c r="S94" s="658">
        <f>IF(Q94=0, "    ---- ", IF(ABS(ROUND(100/Q94*R94-100,1))&lt;999,ROUND(100/Q94*R94-100,1),IF(ROUND(100/Q94*R94-100,1)&gt;999,999,-999)))</f>
        <v>-202.2</v>
      </c>
      <c r="T94" s="909"/>
      <c r="U94" s="910"/>
      <c r="V94" s="659"/>
      <c r="W94" s="910"/>
      <c r="X94" s="910"/>
      <c r="Y94" s="659"/>
      <c r="Z94" s="909">
        <v>-3.8833611391207157</v>
      </c>
      <c r="AA94" s="910">
        <v>81</v>
      </c>
      <c r="AB94" s="659">
        <f t="shared" si="35"/>
        <v>-999</v>
      </c>
      <c r="AC94" s="909"/>
      <c r="AD94" s="910"/>
      <c r="AE94" s="659"/>
      <c r="AF94" s="909"/>
      <c r="AG94" s="910"/>
      <c r="AH94" s="659"/>
      <c r="AI94" s="909">
        <v>-311</v>
      </c>
      <c r="AJ94" s="910">
        <v>30</v>
      </c>
      <c r="AK94" s="659">
        <f>IF(AI94=0, "    ---- ", IF(ABS(ROUND(100/AI94*AJ94-100,1))&lt;999,ROUND(100/AI94*AJ94-100,1),IF(ROUND(100/AI94*AJ94-100,1)&gt;999,999,-999)))</f>
        <v>-109.6</v>
      </c>
      <c r="AL94" s="909">
        <f>405+71</f>
        <v>476</v>
      </c>
      <c r="AM94" s="910">
        <v>487</v>
      </c>
      <c r="AN94" s="659">
        <f t="shared" si="36"/>
        <v>2.2999999999999998</v>
      </c>
      <c r="AO94" s="658">
        <f t="shared" si="21"/>
        <v>495.35463886087928</v>
      </c>
      <c r="AP94" s="658">
        <f t="shared" si="22"/>
        <v>876.3</v>
      </c>
      <c r="AQ94" s="659">
        <f t="shared" si="18"/>
        <v>76.900000000000006</v>
      </c>
      <c r="AR94" s="658">
        <f t="shared" si="30"/>
        <v>495.35463886087928</v>
      </c>
      <c r="AS94" s="658">
        <f t="shared" si="31"/>
        <v>876.3</v>
      </c>
      <c r="AT94" s="659">
        <f t="shared" si="19"/>
        <v>76.900000000000006</v>
      </c>
      <c r="AU94" s="641"/>
      <c r="AV94" s="641"/>
      <c r="AW94" s="636"/>
      <c r="AX94" s="636"/>
    </row>
    <row r="95" spans="1:50" s="660" customFormat="1" ht="18.75" customHeight="1" x14ac:dyDescent="0.3">
      <c r="A95" s="602" t="s">
        <v>393</v>
      </c>
      <c r="B95" s="909"/>
      <c r="C95" s="910"/>
      <c r="D95" s="658"/>
      <c r="E95" s="909"/>
      <c r="F95" s="910"/>
      <c r="G95" s="659"/>
      <c r="H95" s="909"/>
      <c r="I95" s="910"/>
      <c r="J95" s="659"/>
      <c r="K95" s="664"/>
      <c r="L95" s="658"/>
      <c r="M95" s="659"/>
      <c r="N95" s="909"/>
      <c r="O95" s="910"/>
      <c r="P95" s="659"/>
      <c r="Q95" s="909"/>
      <c r="R95" s="910"/>
      <c r="S95" s="658"/>
      <c r="T95" s="909"/>
      <c r="U95" s="910"/>
      <c r="V95" s="659"/>
      <c r="W95" s="910"/>
      <c r="X95" s="910"/>
      <c r="Y95" s="659"/>
      <c r="Z95" s="909"/>
      <c r="AA95" s="910"/>
      <c r="AB95" s="659"/>
      <c r="AC95" s="909"/>
      <c r="AD95" s="910"/>
      <c r="AE95" s="659"/>
      <c r="AF95" s="909"/>
      <c r="AG95" s="910"/>
      <c r="AH95" s="659"/>
      <c r="AI95" s="909"/>
      <c r="AJ95" s="910"/>
      <c r="AK95" s="659"/>
      <c r="AL95" s="909"/>
      <c r="AM95" s="910"/>
      <c r="AN95" s="659"/>
      <c r="AO95" s="658"/>
      <c r="AP95" s="658"/>
      <c r="AQ95" s="659"/>
      <c r="AR95" s="658">
        <f t="shared" si="30"/>
        <v>0</v>
      </c>
      <c r="AS95" s="658">
        <f t="shared" si="31"/>
        <v>0</v>
      </c>
      <c r="AT95" s="659"/>
      <c r="AU95" s="641"/>
      <c r="AV95" s="641"/>
      <c r="AW95" s="636"/>
      <c r="AX95" s="636"/>
    </row>
    <row r="96" spans="1:50" s="660" customFormat="1" ht="18.75" customHeight="1" x14ac:dyDescent="0.3">
      <c r="A96" s="608" t="s">
        <v>366</v>
      </c>
      <c r="B96" s="909">
        <v>6.4829999999999997</v>
      </c>
      <c r="C96" s="910">
        <v>4.4260000000000002</v>
      </c>
      <c r="D96" s="659">
        <f>IF(B96=0, "    ---- ", IF(ABS(ROUND(100/B96*C96-100,1))&lt;999,ROUND(100/B96*C96-100,1),IF(ROUND(100/B96*C96-100,1)&gt;999,999,-999)))</f>
        <v>-31.7</v>
      </c>
      <c r="E96" s="909">
        <v>1</v>
      </c>
      <c r="F96" s="910">
        <v>2</v>
      </c>
      <c r="G96" s="659">
        <f t="shared" ref="G96:G99" si="38">IF(E96=0, "    ---- ", IF(ABS(ROUND(100/E96*F96-100,1))&lt;999,ROUND(100/E96*F96-100,1),IF(ROUND(100/E96*F96-100,1)&gt;999,999,-999)))</f>
        <v>100</v>
      </c>
      <c r="H96" s="909">
        <v>24.959</v>
      </c>
      <c r="I96" s="910">
        <v>-14.3</v>
      </c>
      <c r="J96" s="659">
        <f>IF(H96=0, "    ---- ", IF(ABS(ROUND(100/H96*I96-100,1))&lt;999,ROUND(100/H96*I96-100,1),IF(ROUND(100/H96*I96-100,1)&gt;999,999,-999)))</f>
        <v>-157.30000000000001</v>
      </c>
      <c r="K96" s="664"/>
      <c r="L96" s="658"/>
      <c r="M96" s="659"/>
      <c r="N96" s="909"/>
      <c r="O96" s="910"/>
      <c r="P96" s="659"/>
      <c r="Q96" s="909"/>
      <c r="R96" s="910"/>
      <c r="S96" s="658"/>
      <c r="T96" s="909"/>
      <c r="U96" s="910"/>
      <c r="V96" s="659"/>
      <c r="W96" s="910"/>
      <c r="X96" s="910"/>
      <c r="Y96" s="659"/>
      <c r="Z96" s="909">
        <v>21.029201456859635</v>
      </c>
      <c r="AA96" s="910">
        <v>22.43</v>
      </c>
      <c r="AB96" s="659">
        <f>IF(Z96=0, "    ---- ", IF(ABS(ROUND(100/Z96*AA96-100,1))&lt;999,ROUND(100/Z96*AA96-100,1),IF(ROUND(100/Z96*AA96-100,1)&gt;999,999,-999)))</f>
        <v>6.7</v>
      </c>
      <c r="AC96" s="909"/>
      <c r="AD96" s="910"/>
      <c r="AE96" s="659"/>
      <c r="AF96" s="909"/>
      <c r="AG96" s="910"/>
      <c r="AH96" s="659"/>
      <c r="AI96" s="909">
        <v>14</v>
      </c>
      <c r="AJ96" s="910"/>
      <c r="AK96" s="659">
        <f>IF(AI96=0, "    ---- ", IF(ABS(ROUND(100/AI96*AJ96-100,1))&lt;999,ROUND(100/AI96*AJ96-100,1),IF(ROUND(100/AI96*AJ96-100,1)&gt;999,999,-999)))</f>
        <v>-100</v>
      </c>
      <c r="AL96" s="909">
        <v>25</v>
      </c>
      <c r="AM96" s="910">
        <v>30</v>
      </c>
      <c r="AN96" s="659">
        <f>IF(AL96=0, "    ---- ", IF(ABS(ROUND(100/AL96*AM96-100,1))&lt;999,ROUND(100/AL96*AM96-100,1),IF(ROUND(100/AL96*AM96-100,1)&gt;999,999,-999)))</f>
        <v>20</v>
      </c>
      <c r="AO96" s="658">
        <f t="shared" ref="AO96:AO106" si="39">B96+H96+K96+N96+Q96+W96+E96+Z96+AC96+AI96+AL96</f>
        <v>92.471201456859632</v>
      </c>
      <c r="AP96" s="658">
        <f t="shared" ref="AP96:AP106" si="40">C96+I96+L96+O96+R96+X96+F96+AA96+AD96+AJ96+AM96</f>
        <v>44.555999999999997</v>
      </c>
      <c r="AQ96" s="659">
        <f t="shared" si="18"/>
        <v>-51.8</v>
      </c>
      <c r="AR96" s="658">
        <f t="shared" si="30"/>
        <v>92.471201456859632</v>
      </c>
      <c r="AS96" s="658">
        <f t="shared" si="31"/>
        <v>44.555999999999997</v>
      </c>
      <c r="AT96" s="659">
        <f t="shared" si="19"/>
        <v>-51.8</v>
      </c>
      <c r="AU96" s="641"/>
      <c r="AV96" s="641"/>
      <c r="AW96" s="636"/>
      <c r="AX96" s="636"/>
    </row>
    <row r="97" spans="1:50" s="660" customFormat="1" ht="18.75" customHeight="1" x14ac:dyDescent="0.3">
      <c r="A97" s="608" t="s">
        <v>367</v>
      </c>
      <c r="B97" s="909"/>
      <c r="C97" s="910"/>
      <c r="D97" s="658"/>
      <c r="E97" s="909"/>
      <c r="F97" s="910"/>
      <c r="G97" s="659"/>
      <c r="H97" s="909">
        <v>-13.5</v>
      </c>
      <c r="I97" s="910">
        <v>11</v>
      </c>
      <c r="J97" s="659">
        <f>IF(H97=0, "    ---- ", IF(ABS(ROUND(100/H97*I97-100,1))&lt;999,ROUND(100/H97*I97-100,1),IF(ROUND(100/H97*I97-100,1)&gt;999,999,-999)))</f>
        <v>-181.5</v>
      </c>
      <c r="K97" s="664"/>
      <c r="L97" s="658"/>
      <c r="M97" s="659"/>
      <c r="N97" s="909"/>
      <c r="O97" s="910"/>
      <c r="P97" s="659"/>
      <c r="Q97" s="909"/>
      <c r="R97" s="910"/>
      <c r="S97" s="658"/>
      <c r="T97" s="909"/>
      <c r="U97" s="910"/>
      <c r="V97" s="659"/>
      <c r="W97" s="910"/>
      <c r="X97" s="910"/>
      <c r="Y97" s="659"/>
      <c r="Z97" s="909"/>
      <c r="AA97" s="910"/>
      <c r="AB97" s="659"/>
      <c r="AC97" s="909"/>
      <c r="AD97" s="910"/>
      <c r="AE97" s="659"/>
      <c r="AF97" s="909"/>
      <c r="AG97" s="910"/>
      <c r="AH97" s="659"/>
      <c r="AI97" s="909"/>
      <c r="AJ97" s="910"/>
      <c r="AK97" s="659"/>
      <c r="AL97" s="909"/>
      <c r="AM97" s="910"/>
      <c r="AN97" s="659"/>
      <c r="AO97" s="658">
        <f t="shared" si="39"/>
        <v>-13.5</v>
      </c>
      <c r="AP97" s="658">
        <f t="shared" si="40"/>
        <v>11</v>
      </c>
      <c r="AQ97" s="659">
        <f t="shared" si="18"/>
        <v>-181.5</v>
      </c>
      <c r="AR97" s="658">
        <f t="shared" si="30"/>
        <v>-13.5</v>
      </c>
      <c r="AS97" s="658">
        <f t="shared" si="31"/>
        <v>11</v>
      </c>
      <c r="AT97" s="659">
        <f t="shared" si="19"/>
        <v>-181.5</v>
      </c>
      <c r="AU97" s="641"/>
      <c r="AV97" s="641"/>
      <c r="AW97" s="636"/>
      <c r="AX97" s="636"/>
    </row>
    <row r="98" spans="1:50" s="660" customFormat="1" ht="18.75" customHeight="1" x14ac:dyDescent="0.3">
      <c r="A98" s="608" t="s">
        <v>368</v>
      </c>
      <c r="B98" s="909">
        <v>-5.8090000000000002</v>
      </c>
      <c r="C98" s="910">
        <v>-8.8450000000000006</v>
      </c>
      <c r="D98" s="659">
        <f>IF(B98=0, "    ---- ", IF(ABS(ROUND(100/B98*C98-100,1))&lt;999,ROUND(100/B98*C98-100,1),IF(ROUND(100/B98*C98-100,1)&gt;999,999,-999)))</f>
        <v>52.3</v>
      </c>
      <c r="E98" s="909">
        <v>5</v>
      </c>
      <c r="F98" s="910">
        <v>0</v>
      </c>
      <c r="G98" s="659">
        <f t="shared" si="38"/>
        <v>-100</v>
      </c>
      <c r="H98" s="909">
        <v>-24.931999999999999</v>
      </c>
      <c r="I98" s="910">
        <v>-17.3</v>
      </c>
      <c r="J98" s="659">
        <f>IF(H98=0, "    ---- ", IF(ABS(ROUND(100/H98*I98-100,1))&lt;999,ROUND(100/H98*I98-100,1),IF(ROUND(100/H98*I98-100,1)&gt;999,999,-999)))</f>
        <v>-30.6</v>
      </c>
      <c r="K98" s="664"/>
      <c r="L98" s="658"/>
      <c r="M98" s="659"/>
      <c r="N98" s="909"/>
      <c r="O98" s="910"/>
      <c r="P98" s="659"/>
      <c r="Q98" s="909"/>
      <c r="R98" s="910"/>
      <c r="S98" s="658"/>
      <c r="T98" s="909"/>
      <c r="U98" s="910"/>
      <c r="V98" s="659"/>
      <c r="W98" s="910"/>
      <c r="X98" s="910"/>
      <c r="Y98" s="659"/>
      <c r="Z98" s="909">
        <v>-73.353693397134549</v>
      </c>
      <c r="AA98" s="910">
        <v>-93.33</v>
      </c>
      <c r="AB98" s="659">
        <f>IF(Z98=0, "    ---- ", IF(ABS(ROUND(100/Z98*AA98-100,1))&lt;999,ROUND(100/Z98*AA98-100,1),IF(ROUND(100/Z98*AA98-100,1)&gt;999,999,-999)))</f>
        <v>27.2</v>
      </c>
      <c r="AC98" s="909"/>
      <c r="AD98" s="910"/>
      <c r="AE98" s="659"/>
      <c r="AF98" s="909"/>
      <c r="AG98" s="910"/>
      <c r="AH98" s="659"/>
      <c r="AI98" s="909">
        <v>-35</v>
      </c>
      <c r="AJ98" s="910">
        <v>-16</v>
      </c>
      <c r="AK98" s="659">
        <f>IF(AI98=0, "    ---- ", IF(ABS(ROUND(100/AI98*AJ98-100,1))&lt;999,ROUND(100/AI98*AJ98-100,1),IF(ROUND(100/AI98*AJ98-100,1)&gt;999,999,-999)))</f>
        <v>-54.3</v>
      </c>
      <c r="AL98" s="909">
        <v>-26</v>
      </c>
      <c r="AM98" s="910">
        <v>-12</v>
      </c>
      <c r="AN98" s="659">
        <f>IF(AL98=0, "    ---- ", IF(ABS(ROUND(100/AL98*AM98-100,1))&lt;999,ROUND(100/AL98*AM98-100,1),IF(ROUND(100/AL98*AM98-100,1)&gt;999,999,-999)))</f>
        <v>-53.8</v>
      </c>
      <c r="AO98" s="658">
        <f t="shared" si="39"/>
        <v>-160.09469339713456</v>
      </c>
      <c r="AP98" s="658">
        <f t="shared" si="40"/>
        <v>-147.47499999999999</v>
      </c>
      <c r="AQ98" s="659">
        <f t="shared" si="18"/>
        <v>-7.9</v>
      </c>
      <c r="AR98" s="658">
        <f t="shared" si="30"/>
        <v>-160.09469339713456</v>
      </c>
      <c r="AS98" s="658">
        <f t="shared" si="31"/>
        <v>-147.47499999999999</v>
      </c>
      <c r="AT98" s="659">
        <f t="shared" si="19"/>
        <v>-7.9</v>
      </c>
      <c r="AU98" s="641"/>
      <c r="AV98" s="641"/>
      <c r="AW98" s="636"/>
      <c r="AX98" s="636"/>
    </row>
    <row r="99" spans="1:50" s="660" customFormat="1" ht="18.75" customHeight="1" x14ac:dyDescent="0.3">
      <c r="A99" s="608" t="s">
        <v>369</v>
      </c>
      <c r="B99" s="909"/>
      <c r="C99" s="910"/>
      <c r="D99" s="658"/>
      <c r="E99" s="909">
        <v>3</v>
      </c>
      <c r="F99" s="910">
        <v>3</v>
      </c>
      <c r="G99" s="659">
        <f t="shared" si="38"/>
        <v>0</v>
      </c>
      <c r="H99" s="909">
        <v>0.752</v>
      </c>
      <c r="I99" s="910">
        <v>0</v>
      </c>
      <c r="J99" s="659">
        <f>IF(H99=0, "    ---- ", IF(ABS(ROUND(100/H99*I99-100,1))&lt;999,ROUND(100/H99*I99-100,1),IF(ROUND(100/H99*I99-100,1)&gt;999,999,-999)))</f>
        <v>-100</v>
      </c>
      <c r="K99" s="664"/>
      <c r="L99" s="658"/>
      <c r="M99" s="659"/>
      <c r="N99" s="909"/>
      <c r="O99" s="910"/>
      <c r="P99" s="659"/>
      <c r="Q99" s="909"/>
      <c r="R99" s="910"/>
      <c r="S99" s="658"/>
      <c r="T99" s="909"/>
      <c r="U99" s="910"/>
      <c r="V99" s="659"/>
      <c r="W99" s="910"/>
      <c r="X99" s="910"/>
      <c r="Y99" s="659"/>
      <c r="Z99" s="909"/>
      <c r="AA99" s="910"/>
      <c r="AB99" s="659"/>
      <c r="AC99" s="909"/>
      <c r="AD99" s="910"/>
      <c r="AE99" s="659"/>
      <c r="AF99" s="909"/>
      <c r="AG99" s="910"/>
      <c r="AH99" s="659"/>
      <c r="AI99" s="909"/>
      <c r="AJ99" s="910"/>
      <c r="AK99" s="659"/>
      <c r="AL99" s="909"/>
      <c r="AM99" s="910">
        <v>4</v>
      </c>
      <c r="AN99" s="659" t="str">
        <f>IF(AL99=0, "    ---- ", IF(ABS(ROUND(100/AL99*AM99-100,1))&lt;999,ROUND(100/AL99*AM99-100,1),IF(ROUND(100/AL99*AM99-100,1)&gt;999,999,-999)))</f>
        <v xml:space="preserve">    ---- </v>
      </c>
      <c r="AO99" s="658">
        <f t="shared" si="39"/>
        <v>3.7519999999999998</v>
      </c>
      <c r="AP99" s="658">
        <f t="shared" si="40"/>
        <v>7</v>
      </c>
      <c r="AQ99" s="659">
        <f t="shared" si="18"/>
        <v>86.6</v>
      </c>
      <c r="AR99" s="658">
        <f t="shared" si="30"/>
        <v>3.7519999999999998</v>
      </c>
      <c r="AS99" s="658">
        <f t="shared" si="31"/>
        <v>7</v>
      </c>
      <c r="AT99" s="659">
        <f t="shared" si="19"/>
        <v>86.6</v>
      </c>
      <c r="AU99" s="641"/>
      <c r="AV99" s="641"/>
      <c r="AW99" s="636"/>
      <c r="AX99" s="636"/>
    </row>
    <row r="100" spans="1:50" s="660" customFormat="1" ht="18.75" customHeight="1" x14ac:dyDescent="0.3">
      <c r="A100" s="608" t="s">
        <v>370</v>
      </c>
      <c r="B100" s="909"/>
      <c r="C100" s="910"/>
      <c r="D100" s="658"/>
      <c r="E100" s="909"/>
      <c r="F100" s="910"/>
      <c r="G100" s="659"/>
      <c r="H100" s="909">
        <v>12.077</v>
      </c>
      <c r="I100" s="910">
        <v>12</v>
      </c>
      <c r="J100" s="659">
        <f t="shared" ref="J100:J106" si="41">IF(H100=0, "    ---- ", IF(ABS(ROUND(100/H100*I100-100,1))&lt;999,ROUND(100/H100*I100-100,1),IF(ROUND(100/H100*I100-100,1)&gt;999,999,-999)))</f>
        <v>-0.6</v>
      </c>
      <c r="K100" s="664"/>
      <c r="L100" s="658"/>
      <c r="M100" s="659"/>
      <c r="N100" s="909"/>
      <c r="O100" s="910"/>
      <c r="P100" s="659"/>
      <c r="Q100" s="909"/>
      <c r="R100" s="910"/>
      <c r="S100" s="658"/>
      <c r="T100" s="909"/>
      <c r="U100" s="910"/>
      <c r="V100" s="659"/>
      <c r="W100" s="910"/>
      <c r="X100" s="910"/>
      <c r="Y100" s="659"/>
      <c r="Z100" s="909"/>
      <c r="AA100" s="910"/>
      <c r="AB100" s="659"/>
      <c r="AC100" s="909"/>
      <c r="AD100" s="910"/>
      <c r="AE100" s="659"/>
      <c r="AF100" s="909"/>
      <c r="AG100" s="910"/>
      <c r="AH100" s="659"/>
      <c r="AI100" s="909"/>
      <c r="AJ100" s="910"/>
      <c r="AK100" s="659"/>
      <c r="AL100" s="909"/>
      <c r="AM100" s="910"/>
      <c r="AN100" s="659"/>
      <c r="AO100" s="658">
        <f t="shared" si="39"/>
        <v>12.077</v>
      </c>
      <c r="AP100" s="658">
        <f t="shared" si="40"/>
        <v>12</v>
      </c>
      <c r="AQ100" s="659">
        <f t="shared" si="18"/>
        <v>-0.6</v>
      </c>
      <c r="AR100" s="658">
        <f t="shared" si="30"/>
        <v>12.077</v>
      </c>
      <c r="AS100" s="658">
        <f t="shared" si="31"/>
        <v>12</v>
      </c>
      <c r="AT100" s="659">
        <f t="shared" si="19"/>
        <v>-0.6</v>
      </c>
      <c r="AU100" s="641"/>
      <c r="AV100" s="641"/>
      <c r="AW100" s="636"/>
      <c r="AX100" s="636"/>
    </row>
    <row r="101" spans="1:50" s="660" customFormat="1" ht="18.75" customHeight="1" x14ac:dyDescent="0.3">
      <c r="A101" s="608" t="s">
        <v>371</v>
      </c>
      <c r="B101" s="902">
        <v>3.6669999999999998</v>
      </c>
      <c r="C101" s="903">
        <v>7.6779999999999999</v>
      </c>
      <c r="D101" s="659">
        <f>IF(B101=0, "    ---- ", IF(ABS(ROUND(100/B101*C101-100,1))&lt;999,ROUND(100/B101*C101-100,1),IF(ROUND(100/B101*C101-100,1)&gt;999,999,-999)))</f>
        <v>109.4</v>
      </c>
      <c r="E101" s="902">
        <v>6</v>
      </c>
      <c r="F101" s="903">
        <v>-18</v>
      </c>
      <c r="G101" s="659">
        <f t="shared" ref="G101:G102" si="42">IF(E101=0, "    ---- ", IF(ABS(ROUND(100/E101*F101-100,1))&lt;999,ROUND(100/E101*F101-100,1),IF(ROUND(100/E101*F101-100,1)&gt;999,999,-999)))</f>
        <v>-400</v>
      </c>
      <c r="H101" s="902">
        <v>113.608</v>
      </c>
      <c r="I101" s="903">
        <v>12</v>
      </c>
      <c r="J101" s="659">
        <f t="shared" si="41"/>
        <v>-89.4</v>
      </c>
      <c r="K101" s="444"/>
      <c r="L101" s="616"/>
      <c r="M101" s="659"/>
      <c r="N101" s="902"/>
      <c r="O101" s="903"/>
      <c r="P101" s="659"/>
      <c r="Q101" s="902"/>
      <c r="R101" s="903"/>
      <c r="S101" s="658"/>
      <c r="T101" s="902"/>
      <c r="U101" s="903"/>
      <c r="V101" s="659"/>
      <c r="W101" s="903"/>
      <c r="X101" s="903"/>
      <c r="Y101" s="659"/>
      <c r="Z101" s="902">
        <v>-26.798389948632742</v>
      </c>
      <c r="AA101" s="903">
        <v>-102.23</v>
      </c>
      <c r="AB101" s="659">
        <f t="shared" ref="AB101:AB106" si="43">IF(Z101=0, "    ---- ", IF(ABS(ROUND(100/Z101*AA101-100,1))&lt;999,ROUND(100/Z101*AA101-100,1),IF(ROUND(100/Z101*AA101-100,1)&gt;999,999,-999)))</f>
        <v>281.5</v>
      </c>
      <c r="AC101" s="902"/>
      <c r="AD101" s="903"/>
      <c r="AE101" s="659"/>
      <c r="AF101" s="902"/>
      <c r="AG101" s="903"/>
      <c r="AH101" s="659"/>
      <c r="AI101" s="902">
        <v>-42</v>
      </c>
      <c r="AJ101" s="903">
        <v>-2</v>
      </c>
      <c r="AK101" s="659">
        <f t="shared" ref="AK101:AK106" si="44">IF(AI101=0, "    ---- ", IF(ABS(ROUND(100/AI101*AJ101-100,1))&lt;999,ROUND(100/AI101*AJ101-100,1),IF(ROUND(100/AI101*AJ101-100,1)&gt;999,999,-999)))</f>
        <v>-95.2</v>
      </c>
      <c r="AL101" s="902">
        <v>83</v>
      </c>
      <c r="AM101" s="903">
        <v>-16</v>
      </c>
      <c r="AN101" s="659">
        <f t="shared" ref="AN101:AN106" si="45">IF(AL101=0, "    ---- ", IF(ABS(ROUND(100/AL101*AM101-100,1))&lt;999,ROUND(100/AL101*AM101-100,1),IF(ROUND(100/AL101*AM101-100,1)&gt;999,999,-999)))</f>
        <v>-119.3</v>
      </c>
      <c r="AO101" s="658">
        <f t="shared" si="39"/>
        <v>137.47661005136726</v>
      </c>
      <c r="AP101" s="658">
        <f t="shared" si="40"/>
        <v>-118.55200000000001</v>
      </c>
      <c r="AQ101" s="659">
        <f t="shared" si="18"/>
        <v>-186.2</v>
      </c>
      <c r="AR101" s="658">
        <f t="shared" si="30"/>
        <v>137.47661005136726</v>
      </c>
      <c r="AS101" s="658">
        <f t="shared" si="31"/>
        <v>-118.55200000000001</v>
      </c>
      <c r="AT101" s="659">
        <f t="shared" si="19"/>
        <v>-186.2</v>
      </c>
      <c r="AU101" s="641"/>
      <c r="AV101" s="641"/>
      <c r="AW101" s="636"/>
      <c r="AX101" s="636"/>
    </row>
    <row r="102" spans="1:50" s="660" customFormat="1" ht="18.75" customHeight="1" x14ac:dyDescent="0.3">
      <c r="A102" s="608" t="s">
        <v>372</v>
      </c>
      <c r="B102" s="909"/>
      <c r="C102" s="910"/>
      <c r="D102" s="658"/>
      <c r="E102" s="909">
        <v>-3</v>
      </c>
      <c r="F102" s="910"/>
      <c r="G102" s="659">
        <f t="shared" si="42"/>
        <v>-100</v>
      </c>
      <c r="H102" s="909"/>
      <c r="I102" s="910"/>
      <c r="J102" s="659"/>
      <c r="K102" s="664"/>
      <c r="L102" s="658"/>
      <c r="M102" s="659"/>
      <c r="N102" s="909"/>
      <c r="O102" s="910"/>
      <c r="P102" s="659"/>
      <c r="Q102" s="909"/>
      <c r="R102" s="910"/>
      <c r="S102" s="658"/>
      <c r="T102" s="909"/>
      <c r="U102" s="910"/>
      <c r="V102" s="659"/>
      <c r="W102" s="910"/>
      <c r="X102" s="910"/>
      <c r="Y102" s="659"/>
      <c r="Z102" s="909"/>
      <c r="AA102" s="910"/>
      <c r="AB102" s="659"/>
      <c r="AC102" s="909"/>
      <c r="AD102" s="910"/>
      <c r="AE102" s="659"/>
      <c r="AF102" s="909"/>
      <c r="AG102" s="910"/>
      <c r="AH102" s="659"/>
      <c r="AI102" s="909"/>
      <c r="AJ102" s="910"/>
      <c r="AK102" s="659"/>
      <c r="AL102" s="909"/>
      <c r="AM102" s="910"/>
      <c r="AN102" s="659"/>
      <c r="AO102" s="658">
        <f t="shared" si="39"/>
        <v>-3</v>
      </c>
      <c r="AP102" s="658">
        <f t="shared" si="40"/>
        <v>0</v>
      </c>
      <c r="AQ102" s="659">
        <f t="shared" si="18"/>
        <v>-100</v>
      </c>
      <c r="AR102" s="658">
        <f t="shared" si="30"/>
        <v>-3</v>
      </c>
      <c r="AS102" s="658">
        <f t="shared" si="31"/>
        <v>0</v>
      </c>
      <c r="AT102" s="659">
        <f t="shared" si="19"/>
        <v>-100</v>
      </c>
      <c r="AU102" s="641"/>
      <c r="AV102" s="641"/>
      <c r="AW102" s="636"/>
      <c r="AX102" s="636"/>
    </row>
    <row r="103" spans="1:50" s="660" customFormat="1" ht="18.75" customHeight="1" x14ac:dyDescent="0.3">
      <c r="A103" s="608" t="s">
        <v>373</v>
      </c>
      <c r="B103" s="909"/>
      <c r="C103" s="910"/>
      <c r="D103" s="658"/>
      <c r="E103" s="909"/>
      <c r="F103" s="910"/>
      <c r="G103" s="659"/>
      <c r="H103" s="909"/>
      <c r="I103" s="910"/>
      <c r="J103" s="659"/>
      <c r="K103" s="664"/>
      <c r="L103" s="658"/>
      <c r="M103" s="659"/>
      <c r="N103" s="909"/>
      <c r="O103" s="910"/>
      <c r="P103" s="659"/>
      <c r="Q103" s="909"/>
      <c r="R103" s="910"/>
      <c r="S103" s="658"/>
      <c r="T103" s="909"/>
      <c r="U103" s="910"/>
      <c r="V103" s="659"/>
      <c r="W103" s="910"/>
      <c r="X103" s="910"/>
      <c r="Y103" s="659"/>
      <c r="Z103" s="909">
        <v>0</v>
      </c>
      <c r="AA103" s="910">
        <v>-4</v>
      </c>
      <c r="AB103" s="659" t="str">
        <f t="shared" si="43"/>
        <v xml:space="preserve">    ---- </v>
      </c>
      <c r="AC103" s="909"/>
      <c r="AD103" s="910"/>
      <c r="AE103" s="659"/>
      <c r="AF103" s="909"/>
      <c r="AG103" s="910"/>
      <c r="AH103" s="659"/>
      <c r="AI103" s="909"/>
      <c r="AJ103" s="910"/>
      <c r="AK103" s="659"/>
      <c r="AL103" s="909"/>
      <c r="AM103" s="910"/>
      <c r="AN103" s="659"/>
      <c r="AO103" s="658">
        <f t="shared" si="39"/>
        <v>0</v>
      </c>
      <c r="AP103" s="658">
        <f t="shared" si="40"/>
        <v>-4</v>
      </c>
      <c r="AQ103" s="659" t="str">
        <f t="shared" si="18"/>
        <v xml:space="preserve">    ---- </v>
      </c>
      <c r="AR103" s="658">
        <f t="shared" si="30"/>
        <v>0</v>
      </c>
      <c r="AS103" s="658">
        <f t="shared" si="31"/>
        <v>-4</v>
      </c>
      <c r="AT103" s="659" t="str">
        <f t="shared" si="19"/>
        <v xml:space="preserve">    ---- </v>
      </c>
      <c r="AU103" s="641"/>
      <c r="AV103" s="641"/>
      <c r="AW103" s="636"/>
      <c r="AX103" s="636"/>
    </row>
    <row r="104" spans="1:50" s="663" customFormat="1" ht="18.75" customHeight="1" x14ac:dyDescent="0.3">
      <c r="A104" s="602" t="s">
        <v>374</v>
      </c>
      <c r="B104" s="911">
        <f>SUM(B96:B101)+B103</f>
        <v>4.3409999999999993</v>
      </c>
      <c r="C104" s="912">
        <f>SUM(C96:C101)+C103</f>
        <v>3.2589999999999995</v>
      </c>
      <c r="D104" s="659">
        <f>IF(B104=0, "    ---- ", IF(ABS(ROUND(100/B104*C104-100,1))&lt;999,ROUND(100/B104*C104-100,1),IF(ROUND(100/B104*C104-100,1)&gt;999,999,-999)))</f>
        <v>-24.9</v>
      </c>
      <c r="E104" s="911">
        <f>SUM(E96:E101)+E103</f>
        <v>15</v>
      </c>
      <c r="F104" s="912">
        <f>SUM(F96:F101)+F103</f>
        <v>-13</v>
      </c>
      <c r="G104" s="657">
        <f t="shared" ref="G104:G106" si="46">IF(E104=0, "    ---- ", IF(ABS(ROUND(100/E104*F104-100,1))&lt;999,ROUND(100/E104*F104-100,1),IF(ROUND(100/E104*F104-100,1)&gt;999,999,-999)))</f>
        <v>-186.7</v>
      </c>
      <c r="H104" s="911">
        <f>SUM(H96:H101)+H103</f>
        <v>112.964</v>
      </c>
      <c r="I104" s="912">
        <f>SUM(I96:I101)+I103</f>
        <v>3.3999999999999986</v>
      </c>
      <c r="J104" s="657">
        <f t="shared" si="41"/>
        <v>-97</v>
      </c>
      <c r="K104" s="665"/>
      <c r="L104" s="656"/>
      <c r="M104" s="657"/>
      <c r="N104" s="911"/>
      <c r="O104" s="912"/>
      <c r="P104" s="657"/>
      <c r="Q104" s="911"/>
      <c r="R104" s="912"/>
      <c r="S104" s="656"/>
      <c r="T104" s="911"/>
      <c r="U104" s="912"/>
      <c r="V104" s="657"/>
      <c r="W104" s="912"/>
      <c r="X104" s="912"/>
      <c r="Y104" s="657"/>
      <c r="Z104" s="911">
        <f>SUM(Z96:Z101)+Z103</f>
        <v>-79.122881888907656</v>
      </c>
      <c r="AA104" s="912">
        <f>SUM(AA96:AA101)+AA103</f>
        <v>-177.13</v>
      </c>
      <c r="AB104" s="657">
        <f t="shared" si="43"/>
        <v>123.9</v>
      </c>
      <c r="AC104" s="911"/>
      <c r="AD104" s="912"/>
      <c r="AE104" s="657"/>
      <c r="AF104" s="911"/>
      <c r="AG104" s="912"/>
      <c r="AH104" s="657"/>
      <c r="AI104" s="911">
        <f>SUM(AI96:AI101)+AI103</f>
        <v>-63</v>
      </c>
      <c r="AJ104" s="912">
        <f>SUM(AJ96:AJ101)+AJ103</f>
        <v>-18</v>
      </c>
      <c r="AK104" s="657">
        <f t="shared" si="44"/>
        <v>-71.400000000000006</v>
      </c>
      <c r="AL104" s="911">
        <f>SUM(AL96:AL101)+AL103</f>
        <v>82</v>
      </c>
      <c r="AM104" s="912">
        <v>6</v>
      </c>
      <c r="AN104" s="657">
        <f t="shared" si="45"/>
        <v>-92.7</v>
      </c>
      <c r="AO104" s="656">
        <f t="shared" si="39"/>
        <v>72.18211811109235</v>
      </c>
      <c r="AP104" s="656">
        <f t="shared" si="40"/>
        <v>-195.471</v>
      </c>
      <c r="AQ104" s="657">
        <f t="shared" si="18"/>
        <v>-370.8</v>
      </c>
      <c r="AR104" s="656">
        <f t="shared" si="30"/>
        <v>72.18211811109235</v>
      </c>
      <c r="AS104" s="656">
        <f t="shared" si="31"/>
        <v>-195.471</v>
      </c>
      <c r="AT104" s="657">
        <f t="shared" si="19"/>
        <v>-370.8</v>
      </c>
      <c r="AU104" s="661" t="e">
        <f>B104,C104,H104,I104,N104,O104,Q104,R104,T104,U104,W104,X104,E104,F104,Z104,AA104,AC104,AD104,AF104,AG104,#REF!,#REF!,AI104,AJ104,AL104,AM104,AO104,AP104,AR104,AS104</f>
        <v>#REF!</v>
      </c>
      <c r="AV104" s="639"/>
      <c r="AW104" s="662"/>
      <c r="AX104" s="662"/>
    </row>
    <row r="105" spans="1:50" s="660" customFormat="1" ht="18.75" customHeight="1" x14ac:dyDescent="0.3">
      <c r="A105" s="608" t="s">
        <v>375</v>
      </c>
      <c r="B105" s="909"/>
      <c r="C105" s="910"/>
      <c r="D105" s="658"/>
      <c r="E105" s="909">
        <v>4</v>
      </c>
      <c r="F105" s="910">
        <v>2</v>
      </c>
      <c r="G105" s="659">
        <f t="shared" si="46"/>
        <v>-50</v>
      </c>
      <c r="H105" s="909">
        <v>11.459</v>
      </c>
      <c r="I105" s="910">
        <v>0</v>
      </c>
      <c r="J105" s="659">
        <f t="shared" si="41"/>
        <v>-100</v>
      </c>
      <c r="K105" s="664"/>
      <c r="L105" s="658"/>
      <c r="M105" s="659"/>
      <c r="N105" s="909"/>
      <c r="O105" s="910"/>
      <c r="P105" s="659"/>
      <c r="Q105" s="909"/>
      <c r="R105" s="910"/>
      <c r="S105" s="658"/>
      <c r="T105" s="909"/>
      <c r="U105" s="910"/>
      <c r="V105" s="659"/>
      <c r="W105" s="910"/>
      <c r="X105" s="910"/>
      <c r="Y105" s="659"/>
      <c r="Z105" s="909">
        <v>-9.6155729284486231</v>
      </c>
      <c r="AA105" s="910">
        <v>-10.19</v>
      </c>
      <c r="AB105" s="659">
        <f t="shared" si="43"/>
        <v>6</v>
      </c>
      <c r="AC105" s="909"/>
      <c r="AD105" s="910"/>
      <c r="AE105" s="659"/>
      <c r="AF105" s="909"/>
      <c r="AG105" s="910"/>
      <c r="AH105" s="659"/>
      <c r="AI105" s="909">
        <v>14</v>
      </c>
      <c r="AJ105" s="910"/>
      <c r="AK105" s="659">
        <f t="shared" si="44"/>
        <v>-100</v>
      </c>
      <c r="AL105" s="909">
        <v>25</v>
      </c>
      <c r="AM105" s="910">
        <v>30</v>
      </c>
      <c r="AN105" s="659">
        <f t="shared" si="45"/>
        <v>20</v>
      </c>
      <c r="AO105" s="658">
        <f t="shared" si="39"/>
        <v>44.843427071551375</v>
      </c>
      <c r="AP105" s="658">
        <f t="shared" si="40"/>
        <v>21.810000000000002</v>
      </c>
      <c r="AQ105" s="659">
        <f t="shared" si="18"/>
        <v>-51.4</v>
      </c>
      <c r="AR105" s="658">
        <f t="shared" si="30"/>
        <v>44.843427071551375</v>
      </c>
      <c r="AS105" s="658">
        <f t="shared" si="31"/>
        <v>21.810000000000002</v>
      </c>
      <c r="AT105" s="659">
        <f t="shared" si="19"/>
        <v>-51.4</v>
      </c>
      <c r="AU105" s="641"/>
      <c r="AV105" s="641"/>
      <c r="AW105" s="636"/>
      <c r="AX105" s="636"/>
    </row>
    <row r="106" spans="1:50" s="660" customFormat="1" ht="18.75" customHeight="1" x14ac:dyDescent="0.3">
      <c r="A106" s="608" t="s">
        <v>376</v>
      </c>
      <c r="B106" s="909">
        <v>4.3410000000000002</v>
      </c>
      <c r="C106" s="910">
        <v>3.258</v>
      </c>
      <c r="D106" s="659">
        <f>IF(B106=0, "    ---- ", IF(ABS(ROUND(100/B106*C106-100,1))&lt;999,ROUND(100/B106*C106-100,1),IF(ROUND(100/B106*C106-100,1)&gt;999,999,-999)))</f>
        <v>-24.9</v>
      </c>
      <c r="E106" s="909">
        <v>11</v>
      </c>
      <c r="F106" s="910">
        <v>-15</v>
      </c>
      <c r="G106" s="659">
        <f t="shared" si="46"/>
        <v>-236.4</v>
      </c>
      <c r="H106" s="909">
        <v>102</v>
      </c>
      <c r="I106" s="910">
        <v>3.4</v>
      </c>
      <c r="J106" s="659">
        <f t="shared" si="41"/>
        <v>-96.7</v>
      </c>
      <c r="K106" s="664"/>
      <c r="L106" s="658"/>
      <c r="M106" s="659"/>
      <c r="N106" s="909"/>
      <c r="O106" s="910"/>
      <c r="P106" s="659"/>
      <c r="Q106" s="909"/>
      <c r="R106" s="910"/>
      <c r="S106" s="658"/>
      <c r="T106" s="909"/>
      <c r="U106" s="910"/>
      <c r="V106" s="659"/>
      <c r="W106" s="910"/>
      <c r="X106" s="910"/>
      <c r="Y106" s="659"/>
      <c r="Z106" s="909">
        <v>-69.507308960459028</v>
      </c>
      <c r="AA106" s="910">
        <v>-166.94</v>
      </c>
      <c r="AB106" s="659">
        <f t="shared" si="43"/>
        <v>140.19999999999999</v>
      </c>
      <c r="AC106" s="909"/>
      <c r="AD106" s="910"/>
      <c r="AE106" s="659"/>
      <c r="AF106" s="909"/>
      <c r="AG106" s="910"/>
      <c r="AH106" s="659"/>
      <c r="AI106" s="909">
        <v>-77</v>
      </c>
      <c r="AJ106" s="910">
        <v>-18</v>
      </c>
      <c r="AK106" s="659">
        <f t="shared" si="44"/>
        <v>-76.599999999999994</v>
      </c>
      <c r="AL106" s="909">
        <v>59</v>
      </c>
      <c r="AM106" s="910">
        <v>-24</v>
      </c>
      <c r="AN106" s="659">
        <f t="shared" si="45"/>
        <v>-140.69999999999999</v>
      </c>
      <c r="AO106" s="658">
        <f t="shared" si="39"/>
        <v>29.833691039540966</v>
      </c>
      <c r="AP106" s="658">
        <f t="shared" si="40"/>
        <v>-217.28200000000001</v>
      </c>
      <c r="AQ106" s="659">
        <f t="shared" si="18"/>
        <v>-828.3</v>
      </c>
      <c r="AR106" s="658">
        <f t="shared" si="30"/>
        <v>29.833691039540966</v>
      </c>
      <c r="AS106" s="658">
        <f t="shared" si="31"/>
        <v>-217.28200000000001</v>
      </c>
      <c r="AT106" s="659">
        <f t="shared" si="19"/>
        <v>-828.3</v>
      </c>
      <c r="AU106" s="641"/>
      <c r="AV106" s="641"/>
      <c r="AW106" s="636"/>
      <c r="AX106" s="636"/>
    </row>
    <row r="107" spans="1:50" s="670" customFormat="1" ht="18.75" customHeight="1" x14ac:dyDescent="0.3">
      <c r="A107" s="666" t="s">
        <v>394</v>
      </c>
      <c r="B107" s="909"/>
      <c r="C107" s="910"/>
      <c r="D107" s="658"/>
      <c r="E107" s="909"/>
      <c r="F107" s="910"/>
      <c r="G107" s="659"/>
      <c r="H107" s="909"/>
      <c r="I107" s="910"/>
      <c r="J107" s="659"/>
      <c r="K107" s="664"/>
      <c r="L107" s="658"/>
      <c r="M107" s="659"/>
      <c r="N107" s="909"/>
      <c r="O107" s="910"/>
      <c r="P107" s="659"/>
      <c r="Q107" s="909"/>
      <c r="R107" s="910"/>
      <c r="S107" s="658"/>
      <c r="T107" s="909"/>
      <c r="U107" s="910"/>
      <c r="V107" s="659"/>
      <c r="W107" s="910"/>
      <c r="X107" s="910"/>
      <c r="Y107" s="659"/>
      <c r="Z107" s="909"/>
      <c r="AA107" s="910"/>
      <c r="AB107" s="659"/>
      <c r="AC107" s="909"/>
      <c r="AD107" s="910"/>
      <c r="AE107" s="659"/>
      <c r="AF107" s="909"/>
      <c r="AG107" s="910"/>
      <c r="AH107" s="659"/>
      <c r="AI107" s="909"/>
      <c r="AJ107" s="910"/>
      <c r="AK107" s="659"/>
      <c r="AL107" s="909"/>
      <c r="AM107" s="910"/>
      <c r="AN107" s="659"/>
      <c r="AO107" s="658"/>
      <c r="AP107" s="658"/>
      <c r="AQ107" s="659"/>
      <c r="AR107" s="658">
        <f t="shared" si="30"/>
        <v>0</v>
      </c>
      <c r="AS107" s="658">
        <f t="shared" si="31"/>
        <v>0</v>
      </c>
      <c r="AT107" s="659"/>
      <c r="AU107" s="668"/>
      <c r="AV107" s="668"/>
      <c r="AW107" s="669"/>
      <c r="AX107" s="669"/>
    </row>
    <row r="108" spans="1:50" s="670" customFormat="1" ht="18.75" customHeight="1" x14ac:dyDescent="0.3">
      <c r="A108" s="667" t="s">
        <v>366</v>
      </c>
      <c r="B108" s="909"/>
      <c r="C108" s="910"/>
      <c r="D108" s="658"/>
      <c r="E108" s="909"/>
      <c r="F108" s="910"/>
      <c r="G108" s="659"/>
      <c r="H108" s="909"/>
      <c r="I108" s="910"/>
      <c r="J108" s="659"/>
      <c r="K108" s="664"/>
      <c r="L108" s="658"/>
      <c r="M108" s="659"/>
      <c r="N108" s="909"/>
      <c r="O108" s="910"/>
      <c r="P108" s="659"/>
      <c r="Q108" s="909"/>
      <c r="R108" s="910"/>
      <c r="S108" s="658"/>
      <c r="T108" s="909"/>
      <c r="U108" s="910"/>
      <c r="V108" s="659"/>
      <c r="W108" s="910"/>
      <c r="X108" s="910"/>
      <c r="Y108" s="659"/>
      <c r="Z108" s="909"/>
      <c r="AA108" s="910"/>
      <c r="AB108" s="659"/>
      <c r="AC108" s="909"/>
      <c r="AD108" s="910"/>
      <c r="AE108" s="659"/>
      <c r="AF108" s="909"/>
      <c r="AG108" s="910"/>
      <c r="AH108" s="659"/>
      <c r="AI108" s="909"/>
      <c r="AJ108" s="910"/>
      <c r="AK108" s="659"/>
      <c r="AL108" s="909">
        <v>2</v>
      </c>
      <c r="AM108" s="910">
        <v>5</v>
      </c>
      <c r="AN108" s="659">
        <f t="shared" ref="AN108:AN118" si="47">IF(AL108=0, "    ---- ", IF(ABS(ROUND(100/AL108*AM108-100,1))&lt;999,ROUND(100/AL108*AM108-100,1),IF(ROUND(100/AL108*AM108-100,1)&gt;999,999,-999)))</f>
        <v>150</v>
      </c>
      <c r="AO108" s="658">
        <f t="shared" ref="AO108:AO118" si="48">B108+H108+K108+N108+Q108+W108+E108+Z108+AC108+AI108+AL108</f>
        <v>2</v>
      </c>
      <c r="AP108" s="658">
        <f t="shared" ref="AP108:AP118" si="49">C108+I108+L108+O108+R108+X108+F108+AA108+AD108+AJ108+AM108</f>
        <v>5</v>
      </c>
      <c r="AQ108" s="659">
        <f t="shared" ref="AQ108:AQ118" si="50">IF(AO108=0, "    ---- ", IF(ABS(ROUND(100/AO108*AP108-100,1))&lt;999,ROUND(100/AO108*AP108-100,1),IF(ROUND(100/AO108*AP108-100,1)&gt;999,999,-999)))</f>
        <v>150</v>
      </c>
      <c r="AR108" s="658">
        <f t="shared" ref="AR108:AR144" si="51">+B108+H108+K108+N108+Q108+T108+W108+E108+Z108+AC108+AF108+AI108+AL108</f>
        <v>2</v>
      </c>
      <c r="AS108" s="658">
        <f t="shared" ref="AS108:AS144" si="52">+C108+I108+L108+O108+R108+U108+X108+F108+AA108+AD108+AG108+AJ108+AM108</f>
        <v>5</v>
      </c>
      <c r="AT108" s="659">
        <f t="shared" ref="AT108:AT118" si="53">IF(AR108=0, "    ---- ", IF(ABS(ROUND(100/AR108*AS108-100,1))&lt;999,ROUND(100/AR108*AS108-100,1),IF(ROUND(100/AR108*AS108-100,1)&gt;999,999,-999)))</f>
        <v>150</v>
      </c>
      <c r="AU108" s="668"/>
      <c r="AV108" s="668"/>
      <c r="AW108" s="669"/>
      <c r="AX108" s="669"/>
    </row>
    <row r="109" spans="1:50" s="670" customFormat="1" ht="18.75" customHeight="1" x14ac:dyDescent="0.3">
      <c r="A109" s="667" t="s">
        <v>367</v>
      </c>
      <c r="B109" s="909"/>
      <c r="C109" s="910"/>
      <c r="D109" s="658"/>
      <c r="E109" s="909"/>
      <c r="F109" s="910"/>
      <c r="G109" s="659"/>
      <c r="H109" s="909"/>
      <c r="I109" s="910"/>
      <c r="J109" s="659"/>
      <c r="K109" s="664"/>
      <c r="L109" s="658"/>
      <c r="M109" s="659"/>
      <c r="N109" s="909"/>
      <c r="O109" s="910"/>
      <c r="P109" s="659"/>
      <c r="Q109" s="909"/>
      <c r="R109" s="910"/>
      <c r="S109" s="658"/>
      <c r="T109" s="909"/>
      <c r="U109" s="910"/>
      <c r="V109" s="659"/>
      <c r="W109" s="910"/>
      <c r="X109" s="910"/>
      <c r="Y109" s="659"/>
      <c r="Z109" s="909"/>
      <c r="AA109" s="910"/>
      <c r="AB109" s="659"/>
      <c r="AC109" s="909"/>
      <c r="AD109" s="910"/>
      <c r="AE109" s="659"/>
      <c r="AF109" s="909"/>
      <c r="AG109" s="910"/>
      <c r="AH109" s="659"/>
      <c r="AI109" s="909"/>
      <c r="AJ109" s="910"/>
      <c r="AK109" s="659"/>
      <c r="AL109" s="909"/>
      <c r="AM109" s="910"/>
      <c r="AN109" s="659"/>
      <c r="AO109" s="658">
        <f t="shared" si="48"/>
        <v>0</v>
      </c>
      <c r="AP109" s="658">
        <f t="shared" si="49"/>
        <v>0</v>
      </c>
      <c r="AQ109" s="659" t="str">
        <f t="shared" si="50"/>
        <v xml:space="preserve">    ---- </v>
      </c>
      <c r="AR109" s="658">
        <f t="shared" si="51"/>
        <v>0</v>
      </c>
      <c r="AS109" s="658">
        <f t="shared" si="52"/>
        <v>0</v>
      </c>
      <c r="AT109" s="659" t="str">
        <f t="shared" si="53"/>
        <v xml:space="preserve">    ---- </v>
      </c>
      <c r="AU109" s="668"/>
      <c r="AV109" s="668"/>
      <c r="AW109" s="669"/>
      <c r="AX109" s="669"/>
    </row>
    <row r="110" spans="1:50" s="670" customFormat="1" ht="18.75" customHeight="1" x14ac:dyDescent="0.3">
      <c r="A110" s="667" t="s">
        <v>368</v>
      </c>
      <c r="B110" s="909"/>
      <c r="C110" s="910"/>
      <c r="D110" s="658"/>
      <c r="E110" s="909"/>
      <c r="F110" s="910"/>
      <c r="G110" s="659"/>
      <c r="H110" s="909"/>
      <c r="I110" s="910"/>
      <c r="J110" s="659"/>
      <c r="K110" s="664"/>
      <c r="L110" s="658"/>
      <c r="M110" s="659"/>
      <c r="N110" s="909"/>
      <c r="O110" s="910"/>
      <c r="P110" s="659"/>
      <c r="Q110" s="909"/>
      <c r="R110" s="910"/>
      <c r="S110" s="658"/>
      <c r="T110" s="909"/>
      <c r="U110" s="910"/>
      <c r="V110" s="659"/>
      <c r="W110" s="910"/>
      <c r="X110" s="910"/>
      <c r="Y110" s="659"/>
      <c r="Z110" s="909"/>
      <c r="AA110" s="910"/>
      <c r="AB110" s="659"/>
      <c r="AC110" s="909"/>
      <c r="AD110" s="910"/>
      <c r="AE110" s="659"/>
      <c r="AF110" s="909"/>
      <c r="AG110" s="910"/>
      <c r="AH110" s="659"/>
      <c r="AI110" s="909"/>
      <c r="AJ110" s="910"/>
      <c r="AK110" s="659"/>
      <c r="AL110" s="909"/>
      <c r="AM110" s="910"/>
      <c r="AN110" s="659"/>
      <c r="AO110" s="658">
        <f t="shared" si="48"/>
        <v>0</v>
      </c>
      <c r="AP110" s="658">
        <f t="shared" si="49"/>
        <v>0</v>
      </c>
      <c r="AQ110" s="659" t="str">
        <f t="shared" si="50"/>
        <v xml:space="preserve">    ---- </v>
      </c>
      <c r="AR110" s="658">
        <f t="shared" si="51"/>
        <v>0</v>
      </c>
      <c r="AS110" s="658">
        <f t="shared" si="52"/>
        <v>0</v>
      </c>
      <c r="AT110" s="659" t="str">
        <f t="shared" si="53"/>
        <v xml:space="preserve">    ---- </v>
      </c>
      <c r="AU110" s="668"/>
      <c r="AV110" s="668"/>
      <c r="AW110" s="669"/>
      <c r="AX110" s="669"/>
    </row>
    <row r="111" spans="1:50" s="670" customFormat="1" ht="18.75" customHeight="1" x14ac:dyDescent="0.3">
      <c r="A111" s="667" t="s">
        <v>369</v>
      </c>
      <c r="B111" s="909"/>
      <c r="C111" s="910"/>
      <c r="D111" s="658"/>
      <c r="E111" s="909"/>
      <c r="F111" s="910"/>
      <c r="G111" s="659"/>
      <c r="H111" s="909"/>
      <c r="I111" s="910"/>
      <c r="J111" s="659"/>
      <c r="K111" s="664"/>
      <c r="L111" s="658"/>
      <c r="M111" s="659"/>
      <c r="N111" s="909"/>
      <c r="O111" s="910"/>
      <c r="P111" s="659"/>
      <c r="Q111" s="909"/>
      <c r="R111" s="910"/>
      <c r="S111" s="658"/>
      <c r="T111" s="909"/>
      <c r="U111" s="910"/>
      <c r="V111" s="659"/>
      <c r="W111" s="910"/>
      <c r="X111" s="910"/>
      <c r="Y111" s="659"/>
      <c r="Z111" s="909"/>
      <c r="AA111" s="910"/>
      <c r="AB111" s="659"/>
      <c r="AC111" s="909"/>
      <c r="AD111" s="910"/>
      <c r="AE111" s="659"/>
      <c r="AF111" s="909"/>
      <c r="AG111" s="910"/>
      <c r="AH111" s="659"/>
      <c r="AI111" s="909"/>
      <c r="AJ111" s="910"/>
      <c r="AK111" s="659"/>
      <c r="AL111" s="909"/>
      <c r="AM111" s="910"/>
      <c r="AN111" s="659"/>
      <c r="AO111" s="658">
        <f t="shared" si="48"/>
        <v>0</v>
      </c>
      <c r="AP111" s="658">
        <f t="shared" si="49"/>
        <v>0</v>
      </c>
      <c r="AQ111" s="659" t="str">
        <f t="shared" si="50"/>
        <v xml:space="preserve">    ---- </v>
      </c>
      <c r="AR111" s="658">
        <f t="shared" si="51"/>
        <v>0</v>
      </c>
      <c r="AS111" s="658">
        <f t="shared" si="52"/>
        <v>0</v>
      </c>
      <c r="AT111" s="659" t="str">
        <f t="shared" si="53"/>
        <v xml:space="preserve">    ---- </v>
      </c>
      <c r="AU111" s="668"/>
      <c r="AV111" s="668"/>
      <c r="AW111" s="669"/>
      <c r="AX111" s="669"/>
    </row>
    <row r="112" spans="1:50" s="670" customFormat="1" ht="18.75" customHeight="1" x14ac:dyDescent="0.3">
      <c r="A112" s="667" t="s">
        <v>370</v>
      </c>
      <c r="B112" s="909"/>
      <c r="C112" s="910"/>
      <c r="D112" s="658"/>
      <c r="E112" s="909"/>
      <c r="F112" s="910"/>
      <c r="G112" s="659"/>
      <c r="H112" s="909"/>
      <c r="I112" s="910"/>
      <c r="J112" s="659"/>
      <c r="K112" s="664"/>
      <c r="L112" s="658"/>
      <c r="M112" s="659"/>
      <c r="N112" s="909"/>
      <c r="O112" s="910"/>
      <c r="P112" s="659"/>
      <c r="Q112" s="909"/>
      <c r="R112" s="910"/>
      <c r="S112" s="658"/>
      <c r="T112" s="909"/>
      <c r="U112" s="910"/>
      <c r="V112" s="659"/>
      <c r="W112" s="910"/>
      <c r="X112" s="910"/>
      <c r="Y112" s="659"/>
      <c r="Z112" s="909"/>
      <c r="AA112" s="910"/>
      <c r="AB112" s="659"/>
      <c r="AC112" s="909"/>
      <c r="AD112" s="910"/>
      <c r="AE112" s="659"/>
      <c r="AF112" s="909"/>
      <c r="AG112" s="910"/>
      <c r="AH112" s="659"/>
      <c r="AI112" s="909"/>
      <c r="AJ112" s="910"/>
      <c r="AK112" s="659"/>
      <c r="AL112" s="909"/>
      <c r="AM112" s="910"/>
      <c r="AN112" s="659"/>
      <c r="AO112" s="658">
        <f t="shared" si="48"/>
        <v>0</v>
      </c>
      <c r="AP112" s="658">
        <f t="shared" si="49"/>
        <v>0</v>
      </c>
      <c r="AQ112" s="659" t="str">
        <f t="shared" si="50"/>
        <v xml:space="preserve">    ---- </v>
      </c>
      <c r="AR112" s="658">
        <f t="shared" si="51"/>
        <v>0</v>
      </c>
      <c r="AS112" s="658">
        <f t="shared" si="52"/>
        <v>0</v>
      </c>
      <c r="AT112" s="659" t="str">
        <f t="shared" si="53"/>
        <v xml:space="preserve">    ---- </v>
      </c>
      <c r="AU112" s="668"/>
      <c r="AV112" s="668"/>
      <c r="AW112" s="669"/>
      <c r="AX112" s="669"/>
    </row>
    <row r="113" spans="1:50" s="670" customFormat="1" ht="18.75" customHeight="1" x14ac:dyDescent="0.3">
      <c r="A113" s="667" t="s">
        <v>371</v>
      </c>
      <c r="B113" s="909"/>
      <c r="C113" s="910"/>
      <c r="D113" s="658"/>
      <c r="E113" s="909"/>
      <c r="F113" s="910"/>
      <c r="G113" s="659"/>
      <c r="H113" s="909"/>
      <c r="I113" s="910"/>
      <c r="J113" s="659"/>
      <c r="K113" s="664"/>
      <c r="L113" s="658"/>
      <c r="M113" s="659"/>
      <c r="N113" s="909"/>
      <c r="O113" s="910"/>
      <c r="P113" s="659"/>
      <c r="Q113" s="909"/>
      <c r="R113" s="910"/>
      <c r="S113" s="658"/>
      <c r="T113" s="909"/>
      <c r="U113" s="910"/>
      <c r="V113" s="659"/>
      <c r="W113" s="910"/>
      <c r="X113" s="910"/>
      <c r="Y113" s="659"/>
      <c r="Z113" s="909"/>
      <c r="AA113" s="910"/>
      <c r="AB113" s="659"/>
      <c r="AC113" s="909"/>
      <c r="AD113" s="910"/>
      <c r="AE113" s="659"/>
      <c r="AF113" s="909"/>
      <c r="AG113" s="910"/>
      <c r="AH113" s="659"/>
      <c r="AI113" s="909"/>
      <c r="AJ113" s="910"/>
      <c r="AK113" s="659"/>
      <c r="AL113" s="909"/>
      <c r="AM113" s="910"/>
      <c r="AN113" s="659"/>
      <c r="AO113" s="658">
        <f t="shared" si="48"/>
        <v>0</v>
      </c>
      <c r="AP113" s="658">
        <f t="shared" si="49"/>
        <v>0</v>
      </c>
      <c r="AQ113" s="659" t="str">
        <f t="shared" si="50"/>
        <v xml:space="preserve">    ---- </v>
      </c>
      <c r="AR113" s="658">
        <f t="shared" si="51"/>
        <v>0</v>
      </c>
      <c r="AS113" s="658">
        <f t="shared" si="52"/>
        <v>0</v>
      </c>
      <c r="AT113" s="659" t="str">
        <f t="shared" si="53"/>
        <v xml:space="preserve">    ---- </v>
      </c>
      <c r="AU113" s="668"/>
      <c r="AV113" s="668"/>
      <c r="AW113" s="669"/>
      <c r="AX113" s="669"/>
    </row>
    <row r="114" spans="1:50" s="670" customFormat="1" ht="18.75" customHeight="1" x14ac:dyDescent="0.3">
      <c r="A114" s="667" t="s">
        <v>372</v>
      </c>
      <c r="B114" s="909"/>
      <c r="C114" s="910"/>
      <c r="D114" s="658"/>
      <c r="E114" s="909"/>
      <c r="F114" s="910"/>
      <c r="G114" s="659"/>
      <c r="H114" s="909"/>
      <c r="I114" s="910"/>
      <c r="J114" s="659"/>
      <c r="K114" s="664"/>
      <c r="L114" s="658"/>
      <c r="M114" s="659"/>
      <c r="N114" s="909"/>
      <c r="O114" s="910"/>
      <c r="P114" s="659"/>
      <c r="Q114" s="909"/>
      <c r="R114" s="910"/>
      <c r="S114" s="658"/>
      <c r="T114" s="909"/>
      <c r="U114" s="910"/>
      <c r="V114" s="659"/>
      <c r="W114" s="910"/>
      <c r="X114" s="910"/>
      <c r="Y114" s="659"/>
      <c r="Z114" s="909"/>
      <c r="AA114" s="910"/>
      <c r="AB114" s="659"/>
      <c r="AC114" s="909"/>
      <c r="AD114" s="910"/>
      <c r="AE114" s="659"/>
      <c r="AF114" s="909"/>
      <c r="AG114" s="910"/>
      <c r="AH114" s="659"/>
      <c r="AI114" s="909"/>
      <c r="AJ114" s="910"/>
      <c r="AK114" s="659"/>
      <c r="AL114" s="909"/>
      <c r="AM114" s="910"/>
      <c r="AN114" s="659"/>
      <c r="AO114" s="658">
        <f t="shared" si="48"/>
        <v>0</v>
      </c>
      <c r="AP114" s="658">
        <f t="shared" si="49"/>
        <v>0</v>
      </c>
      <c r="AQ114" s="659" t="str">
        <f t="shared" si="50"/>
        <v xml:space="preserve">    ---- </v>
      </c>
      <c r="AR114" s="658">
        <f t="shared" si="51"/>
        <v>0</v>
      </c>
      <c r="AS114" s="658">
        <f t="shared" si="52"/>
        <v>0</v>
      </c>
      <c r="AT114" s="659" t="str">
        <f t="shared" si="53"/>
        <v xml:space="preserve">    ---- </v>
      </c>
      <c r="AU114" s="668"/>
      <c r="AV114" s="668"/>
      <c r="AW114" s="669"/>
      <c r="AX114" s="669"/>
    </row>
    <row r="115" spans="1:50" s="670" customFormat="1" ht="18.75" customHeight="1" x14ac:dyDescent="0.3">
      <c r="A115" s="667" t="s">
        <v>373</v>
      </c>
      <c r="B115" s="909"/>
      <c r="C115" s="910"/>
      <c r="D115" s="658"/>
      <c r="E115" s="909"/>
      <c r="F115" s="910"/>
      <c r="G115" s="659"/>
      <c r="H115" s="909"/>
      <c r="I115" s="910"/>
      <c r="J115" s="659"/>
      <c r="K115" s="664"/>
      <c r="L115" s="658"/>
      <c r="M115" s="659"/>
      <c r="N115" s="909"/>
      <c r="O115" s="910"/>
      <c r="P115" s="659"/>
      <c r="Q115" s="909"/>
      <c r="R115" s="910"/>
      <c r="S115" s="658"/>
      <c r="T115" s="909"/>
      <c r="U115" s="910"/>
      <c r="V115" s="659"/>
      <c r="W115" s="910"/>
      <c r="X115" s="910"/>
      <c r="Y115" s="659"/>
      <c r="Z115" s="909"/>
      <c r="AA115" s="910"/>
      <c r="AB115" s="659"/>
      <c r="AC115" s="909"/>
      <c r="AD115" s="910"/>
      <c r="AE115" s="659"/>
      <c r="AF115" s="909"/>
      <c r="AG115" s="910"/>
      <c r="AH115" s="659"/>
      <c r="AI115" s="909"/>
      <c r="AJ115" s="910"/>
      <c r="AK115" s="659"/>
      <c r="AL115" s="909"/>
      <c r="AM115" s="910"/>
      <c r="AN115" s="659"/>
      <c r="AO115" s="658">
        <f t="shared" si="48"/>
        <v>0</v>
      </c>
      <c r="AP115" s="658">
        <f t="shared" si="49"/>
        <v>0</v>
      </c>
      <c r="AQ115" s="659" t="str">
        <f t="shared" si="50"/>
        <v xml:space="preserve">    ---- </v>
      </c>
      <c r="AR115" s="658">
        <f t="shared" si="51"/>
        <v>0</v>
      </c>
      <c r="AS115" s="658">
        <f t="shared" si="52"/>
        <v>0</v>
      </c>
      <c r="AT115" s="659" t="str">
        <f t="shared" si="53"/>
        <v xml:space="preserve">    ---- </v>
      </c>
      <c r="AU115" s="668"/>
      <c r="AV115" s="668"/>
      <c r="AW115" s="669"/>
      <c r="AX115" s="669"/>
    </row>
    <row r="116" spans="1:50" s="673" customFormat="1" ht="18.75" customHeight="1" x14ac:dyDescent="0.3">
      <c r="A116" s="666" t="s">
        <v>374</v>
      </c>
      <c r="B116" s="911"/>
      <c r="C116" s="912"/>
      <c r="D116" s="656"/>
      <c r="E116" s="911"/>
      <c r="F116" s="912"/>
      <c r="G116" s="657"/>
      <c r="H116" s="911"/>
      <c r="I116" s="912"/>
      <c r="J116" s="657"/>
      <c r="K116" s="665"/>
      <c r="L116" s="656"/>
      <c r="M116" s="657"/>
      <c r="N116" s="911"/>
      <c r="O116" s="912"/>
      <c r="P116" s="657"/>
      <c r="Q116" s="911"/>
      <c r="R116" s="912"/>
      <c r="S116" s="656"/>
      <c r="T116" s="911"/>
      <c r="U116" s="912"/>
      <c r="V116" s="657"/>
      <c r="W116" s="912"/>
      <c r="X116" s="912"/>
      <c r="Y116" s="657"/>
      <c r="Z116" s="911"/>
      <c r="AA116" s="912"/>
      <c r="AB116" s="657"/>
      <c r="AC116" s="911"/>
      <c r="AD116" s="912"/>
      <c r="AE116" s="657"/>
      <c r="AF116" s="911"/>
      <c r="AG116" s="912"/>
      <c r="AH116" s="657"/>
      <c r="AI116" s="911"/>
      <c r="AJ116" s="912"/>
      <c r="AK116" s="657"/>
      <c r="AL116" s="911">
        <f>SUM(AL108:AL113)+AL115</f>
        <v>2</v>
      </c>
      <c r="AM116" s="912">
        <v>5</v>
      </c>
      <c r="AN116" s="657">
        <f t="shared" si="47"/>
        <v>150</v>
      </c>
      <c r="AO116" s="656">
        <f t="shared" si="48"/>
        <v>2</v>
      </c>
      <c r="AP116" s="656">
        <f t="shared" si="49"/>
        <v>5</v>
      </c>
      <c r="AQ116" s="657">
        <f t="shared" si="50"/>
        <v>150</v>
      </c>
      <c r="AR116" s="656">
        <f t="shared" si="51"/>
        <v>2</v>
      </c>
      <c r="AS116" s="656">
        <f t="shared" si="52"/>
        <v>5</v>
      </c>
      <c r="AT116" s="657">
        <f t="shared" si="53"/>
        <v>150</v>
      </c>
      <c r="AU116" s="661" t="e">
        <f>B116,C116,H116,I116,N116,O116,Q116,R116,T116,U116,W116,X116,E116,F116,Z116,AA116,AC116,AD116,AF116,AG116,#REF!,#REF!,AI116,AJ116,AL116,AM116,AO116,AP116,AR116,AS116</f>
        <v>#REF!</v>
      </c>
      <c r="AV116" s="671"/>
      <c r="AW116" s="672"/>
      <c r="AX116" s="672"/>
    </row>
    <row r="117" spans="1:50" s="670" customFormat="1" ht="18.75" customHeight="1" x14ac:dyDescent="0.3">
      <c r="A117" s="667" t="s">
        <v>375</v>
      </c>
      <c r="B117" s="909"/>
      <c r="C117" s="910"/>
      <c r="D117" s="658"/>
      <c r="E117" s="909"/>
      <c r="F117" s="910"/>
      <c r="G117" s="659"/>
      <c r="H117" s="909"/>
      <c r="I117" s="910"/>
      <c r="J117" s="659"/>
      <c r="K117" s="664"/>
      <c r="L117" s="658"/>
      <c r="M117" s="659"/>
      <c r="N117" s="909"/>
      <c r="O117" s="910"/>
      <c r="P117" s="659"/>
      <c r="Q117" s="909"/>
      <c r="R117" s="910"/>
      <c r="S117" s="658"/>
      <c r="T117" s="909"/>
      <c r="U117" s="910"/>
      <c r="V117" s="659"/>
      <c r="W117" s="910"/>
      <c r="X117" s="910"/>
      <c r="Y117" s="659"/>
      <c r="Z117" s="909"/>
      <c r="AA117" s="910"/>
      <c r="AB117" s="659"/>
      <c r="AC117" s="909"/>
      <c r="AD117" s="910"/>
      <c r="AE117" s="659"/>
      <c r="AF117" s="909"/>
      <c r="AG117" s="910"/>
      <c r="AH117" s="659"/>
      <c r="AI117" s="909"/>
      <c r="AJ117" s="910"/>
      <c r="AK117" s="659"/>
      <c r="AL117" s="909">
        <v>2</v>
      </c>
      <c r="AM117" s="910">
        <v>4</v>
      </c>
      <c r="AN117" s="659">
        <f t="shared" si="47"/>
        <v>100</v>
      </c>
      <c r="AO117" s="658">
        <f t="shared" si="48"/>
        <v>2</v>
      </c>
      <c r="AP117" s="658">
        <f t="shared" si="49"/>
        <v>4</v>
      </c>
      <c r="AQ117" s="659">
        <f t="shared" si="50"/>
        <v>100</v>
      </c>
      <c r="AR117" s="658">
        <f t="shared" si="51"/>
        <v>2</v>
      </c>
      <c r="AS117" s="658">
        <f t="shared" si="52"/>
        <v>4</v>
      </c>
      <c r="AT117" s="659">
        <f t="shared" si="53"/>
        <v>100</v>
      </c>
      <c r="AU117" s="668"/>
      <c r="AV117" s="668"/>
      <c r="AW117" s="669"/>
      <c r="AX117" s="669"/>
    </row>
    <row r="118" spans="1:50" s="670" customFormat="1" ht="18.75" customHeight="1" x14ac:dyDescent="0.3">
      <c r="A118" s="667" t="s">
        <v>376</v>
      </c>
      <c r="B118" s="909"/>
      <c r="C118" s="910"/>
      <c r="D118" s="658"/>
      <c r="E118" s="909"/>
      <c r="F118" s="910"/>
      <c r="G118" s="659"/>
      <c r="H118" s="909"/>
      <c r="I118" s="910"/>
      <c r="J118" s="659"/>
      <c r="K118" s="664"/>
      <c r="L118" s="658"/>
      <c r="M118" s="659"/>
      <c r="N118" s="909"/>
      <c r="O118" s="910"/>
      <c r="P118" s="659"/>
      <c r="Q118" s="909"/>
      <c r="R118" s="910"/>
      <c r="S118" s="658"/>
      <c r="T118" s="909"/>
      <c r="U118" s="910"/>
      <c r="V118" s="659"/>
      <c r="W118" s="910"/>
      <c r="X118" s="910"/>
      <c r="Y118" s="659"/>
      <c r="Z118" s="909"/>
      <c r="AA118" s="910"/>
      <c r="AB118" s="659"/>
      <c r="AC118" s="909"/>
      <c r="AD118" s="910"/>
      <c r="AE118" s="659"/>
      <c r="AF118" s="909"/>
      <c r="AG118" s="910"/>
      <c r="AH118" s="659"/>
      <c r="AI118" s="909"/>
      <c r="AJ118" s="910"/>
      <c r="AK118" s="659"/>
      <c r="AL118" s="909"/>
      <c r="AM118" s="910">
        <v>1</v>
      </c>
      <c r="AN118" s="659" t="str">
        <f t="shared" si="47"/>
        <v xml:space="preserve">    ---- </v>
      </c>
      <c r="AO118" s="658">
        <f t="shared" si="48"/>
        <v>0</v>
      </c>
      <c r="AP118" s="658">
        <f t="shared" si="49"/>
        <v>1</v>
      </c>
      <c r="AQ118" s="659" t="str">
        <f t="shared" si="50"/>
        <v xml:space="preserve">    ---- </v>
      </c>
      <c r="AR118" s="658">
        <f t="shared" si="51"/>
        <v>0</v>
      </c>
      <c r="AS118" s="658">
        <f t="shared" si="52"/>
        <v>1</v>
      </c>
      <c r="AT118" s="659" t="str">
        <f t="shared" si="53"/>
        <v xml:space="preserve">    ---- </v>
      </c>
      <c r="AU118" s="668"/>
      <c r="AV118" s="668"/>
      <c r="AW118" s="669"/>
      <c r="AX118" s="669"/>
    </row>
    <row r="119" spans="1:50" s="660" customFormat="1" ht="18.75" customHeight="1" x14ac:dyDescent="0.3">
      <c r="A119" s="620"/>
      <c r="B119" s="913"/>
      <c r="C119" s="914"/>
      <c r="D119" s="675"/>
      <c r="E119" s="913"/>
      <c r="F119" s="914"/>
      <c r="G119" s="676"/>
      <c r="H119" s="913"/>
      <c r="I119" s="914"/>
      <c r="J119" s="676"/>
      <c r="K119" s="674"/>
      <c r="L119" s="675"/>
      <c r="M119" s="676"/>
      <c r="N119" s="913"/>
      <c r="O119" s="914"/>
      <c r="P119" s="676"/>
      <c r="Q119" s="913"/>
      <c r="R119" s="914"/>
      <c r="S119" s="675"/>
      <c r="T119" s="913"/>
      <c r="U119" s="914"/>
      <c r="V119" s="676"/>
      <c r="W119" s="914"/>
      <c r="X119" s="914"/>
      <c r="Y119" s="676"/>
      <c r="Z119" s="913"/>
      <c r="AA119" s="914"/>
      <c r="AB119" s="676"/>
      <c r="AC119" s="913"/>
      <c r="AD119" s="914"/>
      <c r="AE119" s="676"/>
      <c r="AF119" s="913"/>
      <c r="AG119" s="914"/>
      <c r="AH119" s="676"/>
      <c r="AI119" s="913"/>
      <c r="AJ119" s="914"/>
      <c r="AK119" s="676"/>
      <c r="AL119" s="913"/>
      <c r="AM119" s="914"/>
      <c r="AN119" s="676"/>
      <c r="AO119" s="676"/>
      <c r="AP119" s="676"/>
      <c r="AQ119" s="676"/>
      <c r="AR119" s="676">
        <f t="shared" si="51"/>
        <v>0</v>
      </c>
      <c r="AS119" s="676">
        <f t="shared" si="52"/>
        <v>0</v>
      </c>
      <c r="AT119" s="676"/>
      <c r="AU119" s="641"/>
      <c r="AV119" s="641"/>
      <c r="AW119" s="636"/>
      <c r="AX119" s="636"/>
    </row>
    <row r="120" spans="1:50" s="660" customFormat="1" ht="18.75" customHeight="1" x14ac:dyDescent="0.3">
      <c r="A120" s="608"/>
      <c r="B120" s="909"/>
      <c r="C120" s="910"/>
      <c r="D120" s="658"/>
      <c r="E120" s="909"/>
      <c r="F120" s="910"/>
      <c r="G120" s="659"/>
      <c r="H120" s="909"/>
      <c r="I120" s="910"/>
      <c r="J120" s="659"/>
      <c r="K120" s="664"/>
      <c r="L120" s="658"/>
      <c r="M120" s="659"/>
      <c r="N120" s="909"/>
      <c r="O120" s="910"/>
      <c r="P120" s="659"/>
      <c r="Q120" s="909"/>
      <c r="R120" s="910"/>
      <c r="S120" s="658"/>
      <c r="T120" s="909"/>
      <c r="U120" s="910"/>
      <c r="V120" s="659"/>
      <c r="W120" s="910"/>
      <c r="X120" s="910"/>
      <c r="Y120" s="659"/>
      <c r="Z120" s="909"/>
      <c r="AA120" s="910"/>
      <c r="AB120" s="659"/>
      <c r="AC120" s="909"/>
      <c r="AD120" s="910"/>
      <c r="AE120" s="659"/>
      <c r="AF120" s="909"/>
      <c r="AG120" s="910"/>
      <c r="AH120" s="659"/>
      <c r="AI120" s="909"/>
      <c r="AJ120" s="910"/>
      <c r="AK120" s="659"/>
      <c r="AL120" s="909"/>
      <c r="AM120" s="910"/>
      <c r="AN120" s="659"/>
      <c r="AO120" s="658"/>
      <c r="AP120" s="658"/>
      <c r="AQ120" s="659"/>
      <c r="AR120" s="658">
        <f t="shared" si="51"/>
        <v>0</v>
      </c>
      <c r="AS120" s="658">
        <f t="shared" si="52"/>
        <v>0</v>
      </c>
      <c r="AT120" s="659"/>
      <c r="AU120" s="641"/>
      <c r="AV120" s="641"/>
      <c r="AW120" s="636"/>
      <c r="AX120" s="636"/>
    </row>
    <row r="121" spans="1:50" s="660" customFormat="1" ht="18.75" customHeight="1" x14ac:dyDescent="0.3">
      <c r="A121" s="602" t="s">
        <v>395</v>
      </c>
      <c r="B121" s="909"/>
      <c r="C121" s="910"/>
      <c r="D121" s="658"/>
      <c r="E121" s="909"/>
      <c r="F121" s="910"/>
      <c r="G121" s="659"/>
      <c r="H121" s="909"/>
      <c r="I121" s="910"/>
      <c r="J121" s="659"/>
      <c r="K121" s="664"/>
      <c r="L121" s="658"/>
      <c r="M121" s="659"/>
      <c r="N121" s="909"/>
      <c r="O121" s="910"/>
      <c r="P121" s="659"/>
      <c r="Q121" s="909"/>
      <c r="R121" s="910"/>
      <c r="S121" s="658"/>
      <c r="T121" s="909"/>
      <c r="U121" s="910"/>
      <c r="V121" s="659"/>
      <c r="W121" s="910"/>
      <c r="X121" s="910"/>
      <c r="Y121" s="659"/>
      <c r="Z121" s="909"/>
      <c r="AA121" s="910"/>
      <c r="AB121" s="659"/>
      <c r="AC121" s="909"/>
      <c r="AD121" s="910"/>
      <c r="AE121" s="659"/>
      <c r="AF121" s="909"/>
      <c r="AG121" s="910"/>
      <c r="AH121" s="659"/>
      <c r="AI121" s="909"/>
      <c r="AJ121" s="910"/>
      <c r="AK121" s="659"/>
      <c r="AL121" s="909"/>
      <c r="AM121" s="910"/>
      <c r="AN121" s="659"/>
      <c r="AO121" s="658"/>
      <c r="AP121" s="658"/>
      <c r="AQ121" s="659"/>
      <c r="AR121" s="658">
        <f t="shared" si="51"/>
        <v>0</v>
      </c>
      <c r="AS121" s="658">
        <f t="shared" si="52"/>
        <v>0</v>
      </c>
      <c r="AT121" s="659"/>
      <c r="AU121" s="641"/>
      <c r="AV121" s="641"/>
      <c r="AW121" s="636"/>
      <c r="AX121" s="636"/>
    </row>
    <row r="122" spans="1:50" s="660" customFormat="1" ht="18.75" customHeight="1" x14ac:dyDescent="0.3">
      <c r="A122" s="608" t="s">
        <v>366</v>
      </c>
      <c r="B122" s="909"/>
      <c r="C122" s="910"/>
      <c r="D122" s="658"/>
      <c r="E122" s="909"/>
      <c r="F122" s="910"/>
      <c r="G122" s="659"/>
      <c r="H122" s="909"/>
      <c r="I122" s="910"/>
      <c r="J122" s="659"/>
      <c r="K122" s="664"/>
      <c r="L122" s="658"/>
      <c r="M122" s="659"/>
      <c r="N122" s="909"/>
      <c r="O122" s="910"/>
      <c r="P122" s="659"/>
      <c r="Q122" s="909"/>
      <c r="R122" s="910"/>
      <c r="S122" s="658"/>
      <c r="T122" s="909"/>
      <c r="U122" s="910"/>
      <c r="V122" s="659"/>
      <c r="W122" s="910">
        <v>10448.845494712139</v>
      </c>
      <c r="X122" s="910">
        <v>13069.94497044385</v>
      </c>
      <c r="Y122" s="659">
        <f t="shared" ref="Y122:Y144" si="54">IF(W122=0, "    ---- ", IF(ABS(ROUND(100/W122*X122-100,1))&lt;999,ROUND(100/W122*X122-100,1),IF(ROUND(100/W122*X122-100,1)&gt;999,999,-999)))</f>
        <v>25.1</v>
      </c>
      <c r="Z122" s="909"/>
      <c r="AA122" s="910"/>
      <c r="AB122" s="659"/>
      <c r="AC122" s="909">
        <v>396</v>
      </c>
      <c r="AD122" s="910">
        <v>5064</v>
      </c>
      <c r="AE122" s="659">
        <f t="shared" ref="AE122:AE132" si="55">IF(AC122=0, "    ---- ", IF(ABS(ROUND(100/AC122*AD122-100,1))&lt;999,ROUND(100/AC122*AD122-100,1),IF(ROUND(100/AC122*AD122-100,1)&gt;999,999,-999)))</f>
        <v>999</v>
      </c>
      <c r="AF122" s="909"/>
      <c r="AG122" s="910"/>
      <c r="AH122" s="659"/>
      <c r="AI122" s="909"/>
      <c r="AJ122" s="910"/>
      <c r="AK122" s="659"/>
      <c r="AL122" s="909">
        <v>34.5</v>
      </c>
      <c r="AM122" s="910">
        <v>81</v>
      </c>
      <c r="AN122" s="659">
        <f t="shared" ref="AN122:AN132" si="56">IF(AL122=0, "    ---- ", IF(ABS(ROUND(100/AL122*AM122-100,1))&lt;999,ROUND(100/AL122*AM122-100,1),IF(ROUND(100/AL122*AM122-100,1)&gt;999,999,-999)))</f>
        <v>134.80000000000001</v>
      </c>
      <c r="AO122" s="658">
        <f t="shared" ref="AO122:AO132" si="57">B122+H122+K122+N122+Q122+W122+E122+Z122+AC122+AI122+AL122</f>
        <v>10879.345494712139</v>
      </c>
      <c r="AP122" s="658">
        <f t="shared" ref="AP122:AP132" si="58">C122+I122+L122+O122+R122+X122+F122+AA122+AD122+AJ122+AM122</f>
        <v>18214.944970443852</v>
      </c>
      <c r="AQ122" s="659">
        <f t="shared" si="18"/>
        <v>67.400000000000006</v>
      </c>
      <c r="AR122" s="658">
        <f t="shared" si="51"/>
        <v>10879.345494712139</v>
      </c>
      <c r="AS122" s="658">
        <f t="shared" si="52"/>
        <v>18214.944970443852</v>
      </c>
      <c r="AT122" s="659">
        <f t="shared" si="19"/>
        <v>67.400000000000006</v>
      </c>
      <c r="AU122" s="641"/>
      <c r="AV122" s="641"/>
      <c r="AW122" s="636"/>
      <c r="AX122" s="636"/>
    </row>
    <row r="123" spans="1:50" s="660" customFormat="1" ht="18.75" customHeight="1" x14ac:dyDescent="0.3">
      <c r="A123" s="608" t="s">
        <v>367</v>
      </c>
      <c r="B123" s="909"/>
      <c r="C123" s="910"/>
      <c r="D123" s="658"/>
      <c r="E123" s="909"/>
      <c r="F123" s="910"/>
      <c r="G123" s="659"/>
      <c r="H123" s="909"/>
      <c r="I123" s="910"/>
      <c r="J123" s="659"/>
      <c r="K123" s="664"/>
      <c r="L123" s="658"/>
      <c r="M123" s="659"/>
      <c r="N123" s="909"/>
      <c r="O123" s="910"/>
      <c r="P123" s="659"/>
      <c r="Q123" s="909"/>
      <c r="R123" s="910"/>
      <c r="S123" s="658"/>
      <c r="T123" s="909"/>
      <c r="U123" s="910"/>
      <c r="V123" s="659"/>
      <c r="W123" s="910">
        <v>-16.704096</v>
      </c>
      <c r="X123" s="910">
        <v>-489.97288800000001</v>
      </c>
      <c r="Y123" s="659">
        <f t="shared" si="54"/>
        <v>999</v>
      </c>
      <c r="Z123" s="909"/>
      <c r="AA123" s="910"/>
      <c r="AB123" s="659"/>
      <c r="AC123" s="909">
        <v>262</v>
      </c>
      <c r="AD123" s="910">
        <v>-657</v>
      </c>
      <c r="AE123" s="659">
        <f t="shared" si="55"/>
        <v>-350.8</v>
      </c>
      <c r="AF123" s="909"/>
      <c r="AG123" s="910"/>
      <c r="AH123" s="659"/>
      <c r="AI123" s="909"/>
      <c r="AJ123" s="910"/>
      <c r="AK123" s="659"/>
      <c r="AL123" s="909">
        <v>-26</v>
      </c>
      <c r="AM123" s="910">
        <v>-3</v>
      </c>
      <c r="AN123" s="659">
        <f t="shared" si="56"/>
        <v>-88.5</v>
      </c>
      <c r="AO123" s="658">
        <f t="shared" si="57"/>
        <v>219.29590400000001</v>
      </c>
      <c r="AP123" s="658">
        <f t="shared" si="58"/>
        <v>-1149.972888</v>
      </c>
      <c r="AQ123" s="659">
        <f t="shared" si="18"/>
        <v>-624.4</v>
      </c>
      <c r="AR123" s="658">
        <f t="shared" si="51"/>
        <v>219.29590400000001</v>
      </c>
      <c r="AS123" s="658">
        <f t="shared" si="52"/>
        <v>-1149.972888</v>
      </c>
      <c r="AT123" s="659">
        <f t="shared" si="19"/>
        <v>-624.4</v>
      </c>
      <c r="AU123" s="641"/>
      <c r="AV123" s="641"/>
      <c r="AW123" s="636"/>
      <c r="AX123" s="636"/>
    </row>
    <row r="124" spans="1:50" s="660" customFormat="1" ht="18.75" customHeight="1" x14ac:dyDescent="0.3">
      <c r="A124" s="608" t="s">
        <v>368</v>
      </c>
      <c r="B124" s="909"/>
      <c r="C124" s="910"/>
      <c r="D124" s="658"/>
      <c r="E124" s="909"/>
      <c r="F124" s="910"/>
      <c r="G124" s="659"/>
      <c r="H124" s="909"/>
      <c r="I124" s="910"/>
      <c r="J124" s="659"/>
      <c r="K124" s="664"/>
      <c r="L124" s="658"/>
      <c r="M124" s="659"/>
      <c r="N124" s="909"/>
      <c r="O124" s="910"/>
      <c r="P124" s="659"/>
      <c r="Q124" s="909"/>
      <c r="R124" s="910"/>
      <c r="S124" s="658"/>
      <c r="T124" s="909"/>
      <c r="U124" s="910"/>
      <c r="V124" s="659"/>
      <c r="W124" s="910">
        <v>246.46912036070108</v>
      </c>
      <c r="X124" s="910">
        <v>170.40382821847965</v>
      </c>
      <c r="Y124" s="659">
        <f t="shared" si="54"/>
        <v>-30.9</v>
      </c>
      <c r="Z124" s="909"/>
      <c r="AA124" s="910"/>
      <c r="AB124" s="659"/>
      <c r="AC124" s="909">
        <v>55</v>
      </c>
      <c r="AD124" s="910">
        <v>16</v>
      </c>
      <c r="AE124" s="659">
        <f t="shared" si="55"/>
        <v>-70.900000000000006</v>
      </c>
      <c r="AF124" s="909"/>
      <c r="AG124" s="910"/>
      <c r="AH124" s="659"/>
      <c r="AI124" s="909"/>
      <c r="AJ124" s="910"/>
      <c r="AK124" s="659"/>
      <c r="AL124" s="909">
        <v>-5</v>
      </c>
      <c r="AM124" s="910">
        <v>-30.4</v>
      </c>
      <c r="AN124" s="659">
        <f t="shared" si="56"/>
        <v>508</v>
      </c>
      <c r="AO124" s="658">
        <f t="shared" si="57"/>
        <v>296.46912036070108</v>
      </c>
      <c r="AP124" s="658">
        <f t="shared" si="58"/>
        <v>156.00382821847964</v>
      </c>
      <c r="AQ124" s="659">
        <f t="shared" si="18"/>
        <v>-47.4</v>
      </c>
      <c r="AR124" s="658">
        <f t="shared" si="51"/>
        <v>296.46912036070108</v>
      </c>
      <c r="AS124" s="658">
        <f t="shared" si="52"/>
        <v>156.00382821847964</v>
      </c>
      <c r="AT124" s="659">
        <f t="shared" si="19"/>
        <v>-47.4</v>
      </c>
      <c r="AU124" s="641"/>
      <c r="AV124" s="641"/>
      <c r="AW124" s="636"/>
      <c r="AX124" s="636"/>
    </row>
    <row r="125" spans="1:50" s="660" customFormat="1" ht="18.75" customHeight="1" x14ac:dyDescent="0.3">
      <c r="A125" s="608" t="s">
        <v>369</v>
      </c>
      <c r="B125" s="909"/>
      <c r="C125" s="910"/>
      <c r="D125" s="658"/>
      <c r="E125" s="909"/>
      <c r="F125" s="910"/>
      <c r="G125" s="659"/>
      <c r="H125" s="909"/>
      <c r="I125" s="910"/>
      <c r="J125" s="659"/>
      <c r="K125" s="664"/>
      <c r="L125" s="658"/>
      <c r="M125" s="659"/>
      <c r="N125" s="909"/>
      <c r="O125" s="910"/>
      <c r="P125" s="659"/>
      <c r="Q125" s="909"/>
      <c r="R125" s="910"/>
      <c r="S125" s="658"/>
      <c r="T125" s="909"/>
      <c r="U125" s="910"/>
      <c r="V125" s="659"/>
      <c r="W125" s="910"/>
      <c r="X125" s="910"/>
      <c r="Y125" s="659"/>
      <c r="Z125" s="909"/>
      <c r="AA125" s="910"/>
      <c r="AB125" s="659"/>
      <c r="AC125" s="909"/>
      <c r="AD125" s="910"/>
      <c r="AE125" s="659"/>
      <c r="AF125" s="909"/>
      <c r="AG125" s="910"/>
      <c r="AH125" s="659"/>
      <c r="AI125" s="909"/>
      <c r="AJ125" s="910"/>
      <c r="AK125" s="659"/>
      <c r="AL125" s="909">
        <v>5.5</v>
      </c>
      <c r="AM125" s="910">
        <v>4</v>
      </c>
      <c r="AN125" s="659">
        <f t="shared" si="56"/>
        <v>-27.3</v>
      </c>
      <c r="AO125" s="658">
        <f t="shared" si="57"/>
        <v>5.5</v>
      </c>
      <c r="AP125" s="658">
        <f t="shared" si="58"/>
        <v>4</v>
      </c>
      <c r="AQ125" s="659">
        <f t="shared" si="18"/>
        <v>-27.3</v>
      </c>
      <c r="AR125" s="658">
        <f t="shared" si="51"/>
        <v>5.5</v>
      </c>
      <c r="AS125" s="658">
        <f t="shared" si="52"/>
        <v>4</v>
      </c>
      <c r="AT125" s="659">
        <f t="shared" si="19"/>
        <v>-27.3</v>
      </c>
      <c r="AU125" s="641"/>
      <c r="AV125" s="641"/>
      <c r="AW125" s="636"/>
      <c r="AX125" s="636"/>
    </row>
    <row r="126" spans="1:50" s="660" customFormat="1" ht="18.75" customHeight="1" x14ac:dyDescent="0.3">
      <c r="A126" s="608" t="s">
        <v>370</v>
      </c>
      <c r="B126" s="909"/>
      <c r="C126" s="910"/>
      <c r="D126" s="658"/>
      <c r="E126" s="909"/>
      <c r="F126" s="910"/>
      <c r="G126" s="659"/>
      <c r="H126" s="909"/>
      <c r="I126" s="910"/>
      <c r="J126" s="659"/>
      <c r="K126" s="664"/>
      <c r="L126" s="658"/>
      <c r="M126" s="659"/>
      <c r="N126" s="909"/>
      <c r="O126" s="910"/>
      <c r="P126" s="659"/>
      <c r="Q126" s="909"/>
      <c r="R126" s="910"/>
      <c r="S126" s="658"/>
      <c r="T126" s="909"/>
      <c r="U126" s="910"/>
      <c r="V126" s="659"/>
      <c r="W126" s="910">
        <v>471.85326300000003</v>
      </c>
      <c r="X126" s="910">
        <v>490.82563399999998</v>
      </c>
      <c r="Y126" s="659">
        <f t="shared" si="54"/>
        <v>4</v>
      </c>
      <c r="Z126" s="909"/>
      <c r="AA126" s="910"/>
      <c r="AB126" s="659"/>
      <c r="AC126" s="909">
        <v>306</v>
      </c>
      <c r="AD126" s="910">
        <v>340</v>
      </c>
      <c r="AE126" s="659">
        <f t="shared" si="55"/>
        <v>11.1</v>
      </c>
      <c r="AF126" s="909"/>
      <c r="AG126" s="910"/>
      <c r="AH126" s="659"/>
      <c r="AI126" s="909"/>
      <c r="AJ126" s="910"/>
      <c r="AK126" s="659"/>
      <c r="AL126" s="909">
        <v>18</v>
      </c>
      <c r="AM126" s="910">
        <v>13</v>
      </c>
      <c r="AN126" s="659">
        <f t="shared" si="56"/>
        <v>-27.8</v>
      </c>
      <c r="AO126" s="658">
        <f t="shared" si="57"/>
        <v>795.85326299999997</v>
      </c>
      <c r="AP126" s="658">
        <f t="shared" si="58"/>
        <v>843.82563400000004</v>
      </c>
      <c r="AQ126" s="659">
        <f t="shared" si="18"/>
        <v>6</v>
      </c>
      <c r="AR126" s="658">
        <f t="shared" si="51"/>
        <v>795.85326299999997</v>
      </c>
      <c r="AS126" s="658">
        <f t="shared" si="52"/>
        <v>843.82563400000004</v>
      </c>
      <c r="AT126" s="659">
        <f t="shared" si="19"/>
        <v>6</v>
      </c>
      <c r="AU126" s="641"/>
      <c r="AV126" s="641"/>
      <c r="AW126" s="636"/>
      <c r="AX126" s="636"/>
    </row>
    <row r="127" spans="1:50" s="660" customFormat="1" ht="18.75" customHeight="1" x14ac:dyDescent="0.3">
      <c r="A127" s="608" t="s">
        <v>371</v>
      </c>
      <c r="B127" s="909"/>
      <c r="C127" s="910"/>
      <c r="D127" s="658"/>
      <c r="E127" s="909"/>
      <c r="F127" s="910"/>
      <c r="G127" s="659"/>
      <c r="H127" s="909"/>
      <c r="I127" s="910"/>
      <c r="J127" s="659"/>
      <c r="K127" s="664"/>
      <c r="L127" s="658"/>
      <c r="M127" s="659"/>
      <c r="N127" s="909"/>
      <c r="O127" s="910"/>
      <c r="P127" s="659"/>
      <c r="Q127" s="909"/>
      <c r="R127" s="910"/>
      <c r="S127" s="658"/>
      <c r="T127" s="909"/>
      <c r="U127" s="910"/>
      <c r="V127" s="659"/>
      <c r="W127" s="910">
        <v>1025.9227614297267</v>
      </c>
      <c r="X127" s="910">
        <v>-395.17412426870595</v>
      </c>
      <c r="Y127" s="659">
        <f t="shared" si="54"/>
        <v>-138.5</v>
      </c>
      <c r="Z127" s="909"/>
      <c r="AA127" s="910"/>
      <c r="AB127" s="659"/>
      <c r="AC127" s="909">
        <v>309</v>
      </c>
      <c r="AD127" s="910">
        <v>130</v>
      </c>
      <c r="AE127" s="659">
        <f t="shared" si="55"/>
        <v>-57.9</v>
      </c>
      <c r="AF127" s="909"/>
      <c r="AG127" s="910"/>
      <c r="AH127" s="659"/>
      <c r="AI127" s="909"/>
      <c r="AJ127" s="910"/>
      <c r="AK127" s="659"/>
      <c r="AL127" s="909">
        <v>0</v>
      </c>
      <c r="AM127" s="910">
        <v>8.5</v>
      </c>
      <c r="AN127" s="659" t="str">
        <f t="shared" si="56"/>
        <v xml:space="preserve">    ---- </v>
      </c>
      <c r="AO127" s="658">
        <f t="shared" si="57"/>
        <v>1334.9227614297267</v>
      </c>
      <c r="AP127" s="658">
        <f t="shared" si="58"/>
        <v>-256.67412426870595</v>
      </c>
      <c r="AQ127" s="659">
        <f t="shared" si="18"/>
        <v>-119.2</v>
      </c>
      <c r="AR127" s="658">
        <f t="shared" si="51"/>
        <v>1334.9227614297267</v>
      </c>
      <c r="AS127" s="658">
        <f t="shared" si="52"/>
        <v>-256.67412426870595</v>
      </c>
      <c r="AT127" s="659">
        <f t="shared" si="19"/>
        <v>-119.2</v>
      </c>
      <c r="AU127" s="641"/>
      <c r="AV127" s="641"/>
      <c r="AW127" s="636"/>
      <c r="AX127" s="636"/>
    </row>
    <row r="128" spans="1:50" s="660" customFormat="1" ht="18.75" customHeight="1" x14ac:dyDescent="0.3">
      <c r="A128" s="608" t="s">
        <v>372</v>
      </c>
      <c r="B128" s="909"/>
      <c r="C128" s="910"/>
      <c r="D128" s="658"/>
      <c r="E128" s="909"/>
      <c r="F128" s="910"/>
      <c r="G128" s="659"/>
      <c r="H128" s="909"/>
      <c r="I128" s="910"/>
      <c r="J128" s="659"/>
      <c r="K128" s="664"/>
      <c r="L128" s="658"/>
      <c r="M128" s="659"/>
      <c r="N128" s="909"/>
      <c r="O128" s="910"/>
      <c r="P128" s="659"/>
      <c r="Q128" s="909"/>
      <c r="R128" s="910"/>
      <c r="S128" s="658"/>
      <c r="T128" s="909"/>
      <c r="U128" s="910"/>
      <c r="V128" s="659"/>
      <c r="W128" s="910">
        <v>518.50259500000004</v>
      </c>
      <c r="X128" s="910">
        <v>477.79551300000003</v>
      </c>
      <c r="Y128" s="659">
        <f t="shared" si="54"/>
        <v>-7.9</v>
      </c>
      <c r="Z128" s="909"/>
      <c r="AA128" s="910"/>
      <c r="AB128" s="659"/>
      <c r="AC128" s="909">
        <v>0</v>
      </c>
      <c r="AD128" s="910">
        <v>60</v>
      </c>
      <c r="AE128" s="659" t="str">
        <f t="shared" si="55"/>
        <v xml:space="preserve">    ---- </v>
      </c>
      <c r="AF128" s="909"/>
      <c r="AG128" s="910"/>
      <c r="AH128" s="659"/>
      <c r="AI128" s="909"/>
      <c r="AJ128" s="910"/>
      <c r="AK128" s="659"/>
      <c r="AL128" s="909">
        <v>0</v>
      </c>
      <c r="AM128" s="910">
        <v>4</v>
      </c>
      <c r="AN128" s="659" t="str">
        <f t="shared" si="56"/>
        <v xml:space="preserve">    ---- </v>
      </c>
      <c r="AO128" s="658">
        <f t="shared" si="57"/>
        <v>518.50259500000004</v>
      </c>
      <c r="AP128" s="658">
        <f t="shared" si="58"/>
        <v>541.79551300000003</v>
      </c>
      <c r="AQ128" s="659">
        <f t="shared" si="18"/>
        <v>4.5</v>
      </c>
      <c r="AR128" s="658">
        <f t="shared" si="51"/>
        <v>518.50259500000004</v>
      </c>
      <c r="AS128" s="658">
        <f t="shared" si="52"/>
        <v>541.79551300000003</v>
      </c>
      <c r="AT128" s="659">
        <f t="shared" si="19"/>
        <v>4.5</v>
      </c>
      <c r="AU128" s="641"/>
      <c r="AV128" s="641"/>
      <c r="AW128" s="636"/>
      <c r="AX128" s="636"/>
    </row>
    <row r="129" spans="1:50" s="660" customFormat="1" ht="18.75" customHeight="1" x14ac:dyDescent="0.3">
      <c r="A129" s="608" t="s">
        <v>373</v>
      </c>
      <c r="B129" s="909"/>
      <c r="C129" s="910"/>
      <c r="D129" s="658"/>
      <c r="E129" s="909"/>
      <c r="F129" s="910"/>
      <c r="G129" s="659"/>
      <c r="H129" s="909"/>
      <c r="I129" s="910"/>
      <c r="J129" s="659"/>
      <c r="K129" s="664"/>
      <c r="L129" s="658"/>
      <c r="M129" s="659"/>
      <c r="N129" s="909"/>
      <c r="O129" s="910"/>
      <c r="P129" s="659"/>
      <c r="Q129" s="909"/>
      <c r="R129" s="910"/>
      <c r="S129" s="658"/>
      <c r="T129" s="909"/>
      <c r="U129" s="910"/>
      <c r="V129" s="659"/>
      <c r="W129" s="910"/>
      <c r="X129" s="910"/>
      <c r="Y129" s="659"/>
      <c r="Z129" s="909"/>
      <c r="AA129" s="910"/>
      <c r="AB129" s="659"/>
      <c r="AC129" s="909"/>
      <c r="AD129" s="910"/>
      <c r="AE129" s="659"/>
      <c r="AF129" s="909"/>
      <c r="AG129" s="910"/>
      <c r="AH129" s="659"/>
      <c r="AI129" s="909"/>
      <c r="AJ129" s="910"/>
      <c r="AK129" s="659"/>
      <c r="AL129" s="909"/>
      <c r="AM129" s="910"/>
      <c r="AN129" s="659" t="str">
        <f t="shared" si="56"/>
        <v xml:space="preserve">    ---- </v>
      </c>
      <c r="AO129" s="658">
        <f t="shared" si="57"/>
        <v>0</v>
      </c>
      <c r="AP129" s="658">
        <f t="shared" si="58"/>
        <v>0</v>
      </c>
      <c r="AQ129" s="659" t="str">
        <f t="shared" si="18"/>
        <v xml:space="preserve">    ---- </v>
      </c>
      <c r="AR129" s="658">
        <f t="shared" si="51"/>
        <v>0</v>
      </c>
      <c r="AS129" s="658">
        <f t="shared" si="52"/>
        <v>0</v>
      </c>
      <c r="AT129" s="659" t="str">
        <f t="shared" si="19"/>
        <v xml:space="preserve">    ---- </v>
      </c>
      <c r="AU129" s="641"/>
      <c r="AV129" s="641"/>
      <c r="AW129" s="636"/>
      <c r="AX129" s="636"/>
    </row>
    <row r="130" spans="1:50" s="663" customFormat="1" ht="18.75" customHeight="1" x14ac:dyDescent="0.3">
      <c r="A130" s="602" t="s">
        <v>374</v>
      </c>
      <c r="B130" s="911"/>
      <c r="C130" s="912"/>
      <c r="D130" s="656"/>
      <c r="E130" s="911"/>
      <c r="F130" s="912"/>
      <c r="G130" s="657"/>
      <c r="H130" s="911"/>
      <c r="I130" s="912"/>
      <c r="J130" s="657"/>
      <c r="K130" s="665"/>
      <c r="L130" s="656"/>
      <c r="M130" s="657"/>
      <c r="N130" s="911"/>
      <c r="O130" s="912"/>
      <c r="P130" s="657"/>
      <c r="Q130" s="911"/>
      <c r="R130" s="912"/>
      <c r="S130" s="656"/>
      <c r="T130" s="911"/>
      <c r="U130" s="912"/>
      <c r="V130" s="657"/>
      <c r="W130" s="912">
        <f>SUM(W122:W127)+W129</f>
        <v>12176.386543502569</v>
      </c>
      <c r="X130" s="912">
        <f>SUM(X122:X127)+X129</f>
        <v>12846.027420393624</v>
      </c>
      <c r="Y130" s="657">
        <f t="shared" si="54"/>
        <v>5.5</v>
      </c>
      <c r="Z130" s="911"/>
      <c r="AA130" s="912"/>
      <c r="AB130" s="657"/>
      <c r="AC130" s="911">
        <f>SUM(AC122:AC127)+AC129</f>
        <v>1328</v>
      </c>
      <c r="AD130" s="912">
        <f>SUM(AD122:AD127)+AD129</f>
        <v>4893</v>
      </c>
      <c r="AE130" s="659">
        <f t="shared" si="55"/>
        <v>268.39999999999998</v>
      </c>
      <c r="AF130" s="911"/>
      <c r="AG130" s="912"/>
      <c r="AH130" s="657"/>
      <c r="AI130" s="911"/>
      <c r="AJ130" s="912"/>
      <c r="AK130" s="657"/>
      <c r="AL130" s="911">
        <f>SUM(AL122:AL127)+AL129</f>
        <v>27</v>
      </c>
      <c r="AM130" s="912">
        <v>73.099999999999994</v>
      </c>
      <c r="AN130" s="657">
        <f t="shared" si="56"/>
        <v>170.7</v>
      </c>
      <c r="AO130" s="656">
        <f t="shared" si="57"/>
        <v>13531.386543502569</v>
      </c>
      <c r="AP130" s="656">
        <f t="shared" si="58"/>
        <v>17812.127420393623</v>
      </c>
      <c r="AQ130" s="657">
        <f t="shared" si="18"/>
        <v>31.6</v>
      </c>
      <c r="AR130" s="656">
        <f t="shared" si="51"/>
        <v>13531.386543502569</v>
      </c>
      <c r="AS130" s="656">
        <f t="shared" si="52"/>
        <v>17812.127420393623</v>
      </c>
      <c r="AT130" s="657">
        <f t="shared" si="19"/>
        <v>31.6</v>
      </c>
      <c r="AU130" s="661" t="e">
        <f>B130,C130,H130,I130,N130,O130,Q130,R130,T130,U130,W130,X130,E130,F130,Z130,AA130,AC130,AD130,AF130,AG130,#REF!,#REF!,AI130,AJ130,AL130,AM130,AO130,AP130,AR130,AS130</f>
        <v>#REF!</v>
      </c>
      <c r="AV130" s="639"/>
      <c r="AW130" s="662"/>
      <c r="AX130" s="662"/>
    </row>
    <row r="131" spans="1:50" s="660" customFormat="1" ht="18.75" customHeight="1" x14ac:dyDescent="0.3">
      <c r="A131" s="608" t="s">
        <v>375</v>
      </c>
      <c r="B131" s="909"/>
      <c r="C131" s="910"/>
      <c r="D131" s="658"/>
      <c r="E131" s="909"/>
      <c r="F131" s="910"/>
      <c r="G131" s="659"/>
      <c r="H131" s="909"/>
      <c r="I131" s="910"/>
      <c r="J131" s="659"/>
      <c r="K131" s="664"/>
      <c r="L131" s="658"/>
      <c r="M131" s="659"/>
      <c r="N131" s="909"/>
      <c r="O131" s="910"/>
      <c r="P131" s="659"/>
      <c r="Q131" s="909"/>
      <c r="R131" s="910"/>
      <c r="S131" s="658"/>
      <c r="T131" s="909"/>
      <c r="U131" s="910"/>
      <c r="V131" s="659"/>
      <c r="W131" s="910">
        <v>10719.1727124544</v>
      </c>
      <c r="X131" s="910">
        <v>12320.639734846603</v>
      </c>
      <c r="Y131" s="659">
        <f t="shared" si="54"/>
        <v>14.9</v>
      </c>
      <c r="Z131" s="909"/>
      <c r="AA131" s="910"/>
      <c r="AB131" s="659"/>
      <c r="AC131" s="909">
        <v>309</v>
      </c>
      <c r="AD131" s="910">
        <v>3765</v>
      </c>
      <c r="AE131" s="659">
        <f t="shared" si="55"/>
        <v>999</v>
      </c>
      <c r="AF131" s="909"/>
      <c r="AG131" s="910"/>
      <c r="AH131" s="659"/>
      <c r="AI131" s="909"/>
      <c r="AJ131" s="910"/>
      <c r="AK131" s="659"/>
      <c r="AL131" s="909">
        <v>9</v>
      </c>
      <c r="AM131" s="910">
        <v>82</v>
      </c>
      <c r="AN131" s="659">
        <f t="shared" si="56"/>
        <v>811.1</v>
      </c>
      <c r="AO131" s="658">
        <f t="shared" si="57"/>
        <v>11037.1727124544</v>
      </c>
      <c r="AP131" s="658">
        <f t="shared" si="58"/>
        <v>16167.639734846603</v>
      </c>
      <c r="AQ131" s="659">
        <f t="shared" si="18"/>
        <v>46.5</v>
      </c>
      <c r="AR131" s="658">
        <f t="shared" si="51"/>
        <v>11037.1727124544</v>
      </c>
      <c r="AS131" s="658">
        <f t="shared" si="52"/>
        <v>16167.639734846603</v>
      </c>
      <c r="AT131" s="659">
        <f t="shared" si="19"/>
        <v>46.5</v>
      </c>
      <c r="AU131" s="641"/>
      <c r="AV131" s="641"/>
      <c r="AW131" s="636"/>
      <c r="AX131" s="636"/>
    </row>
    <row r="132" spans="1:50" s="660" customFormat="1" ht="18.75" customHeight="1" x14ac:dyDescent="0.3">
      <c r="A132" s="608" t="s">
        <v>376</v>
      </c>
      <c r="B132" s="909"/>
      <c r="C132" s="910"/>
      <c r="D132" s="658"/>
      <c r="E132" s="909"/>
      <c r="F132" s="910"/>
      <c r="G132" s="659"/>
      <c r="H132" s="909"/>
      <c r="I132" s="910"/>
      <c r="J132" s="659"/>
      <c r="K132" s="664"/>
      <c r="L132" s="658"/>
      <c r="M132" s="659"/>
      <c r="N132" s="909"/>
      <c r="O132" s="910"/>
      <c r="P132" s="659"/>
      <c r="Q132" s="909"/>
      <c r="R132" s="910"/>
      <c r="S132" s="658"/>
      <c r="T132" s="909"/>
      <c r="U132" s="910"/>
      <c r="V132" s="659"/>
      <c r="W132" s="910">
        <v>1457.2138310481701</v>
      </c>
      <c r="X132" s="910">
        <v>481.37912954701898</v>
      </c>
      <c r="Y132" s="659">
        <f t="shared" si="54"/>
        <v>-67</v>
      </c>
      <c r="Z132" s="909"/>
      <c r="AA132" s="910"/>
      <c r="AB132" s="659"/>
      <c r="AC132" s="909">
        <v>1019</v>
      </c>
      <c r="AD132" s="910">
        <v>1128</v>
      </c>
      <c r="AE132" s="659">
        <f t="shared" si="55"/>
        <v>10.7</v>
      </c>
      <c r="AF132" s="909"/>
      <c r="AG132" s="910"/>
      <c r="AH132" s="659"/>
      <c r="AI132" s="909"/>
      <c r="AJ132" s="910"/>
      <c r="AK132" s="659"/>
      <c r="AL132" s="909">
        <v>18</v>
      </c>
      <c r="AM132" s="910">
        <v>-9</v>
      </c>
      <c r="AN132" s="659">
        <f t="shared" si="56"/>
        <v>-150</v>
      </c>
      <c r="AO132" s="658">
        <f t="shared" si="57"/>
        <v>2494.2138310481701</v>
      </c>
      <c r="AP132" s="658">
        <f t="shared" si="58"/>
        <v>1600.3791295470189</v>
      </c>
      <c r="AQ132" s="659">
        <f t="shared" si="18"/>
        <v>-35.799999999999997</v>
      </c>
      <c r="AR132" s="658">
        <f t="shared" si="51"/>
        <v>2494.2138310481701</v>
      </c>
      <c r="AS132" s="658">
        <f t="shared" si="52"/>
        <v>1600.3791295470189</v>
      </c>
      <c r="AT132" s="659">
        <f t="shared" si="19"/>
        <v>-35.799999999999997</v>
      </c>
      <c r="AU132" s="641"/>
      <c r="AV132" s="641"/>
      <c r="AW132" s="636"/>
      <c r="AX132" s="636"/>
    </row>
    <row r="133" spans="1:50" s="660" customFormat="1" ht="18.75" customHeight="1" x14ac:dyDescent="0.3">
      <c r="A133" s="602" t="s">
        <v>396</v>
      </c>
      <c r="B133" s="909"/>
      <c r="C133" s="910"/>
      <c r="D133" s="658"/>
      <c r="E133" s="909"/>
      <c r="F133" s="910"/>
      <c r="G133" s="659"/>
      <c r="H133" s="909"/>
      <c r="I133" s="910"/>
      <c r="J133" s="659"/>
      <c r="K133" s="664"/>
      <c r="L133" s="658"/>
      <c r="M133" s="659"/>
      <c r="N133" s="909"/>
      <c r="O133" s="910"/>
      <c r="P133" s="659"/>
      <c r="Q133" s="909"/>
      <c r="R133" s="910"/>
      <c r="S133" s="658"/>
      <c r="T133" s="909"/>
      <c r="U133" s="910"/>
      <c r="V133" s="659"/>
      <c r="W133" s="910"/>
      <c r="X133" s="910"/>
      <c r="Y133" s="659"/>
      <c r="Z133" s="909"/>
      <c r="AA133" s="910"/>
      <c r="AB133" s="659"/>
      <c r="AC133" s="909"/>
      <c r="AD133" s="910"/>
      <c r="AE133" s="659"/>
      <c r="AF133" s="909"/>
      <c r="AG133" s="910"/>
      <c r="AH133" s="659"/>
      <c r="AI133" s="909"/>
      <c r="AJ133" s="910"/>
      <c r="AK133" s="659"/>
      <c r="AL133" s="909"/>
      <c r="AM133" s="910"/>
      <c r="AN133" s="659"/>
      <c r="AO133" s="658"/>
      <c r="AP133" s="658"/>
      <c r="AQ133" s="659"/>
      <c r="AR133" s="658">
        <f t="shared" si="51"/>
        <v>0</v>
      </c>
      <c r="AS133" s="658">
        <f t="shared" si="52"/>
        <v>0</v>
      </c>
      <c r="AT133" s="659"/>
      <c r="AU133" s="641"/>
      <c r="AV133" s="641"/>
      <c r="AW133" s="636"/>
      <c r="AX133" s="636"/>
    </row>
    <row r="134" spans="1:50" s="660" customFormat="1" ht="18.75" customHeight="1" x14ac:dyDescent="0.3">
      <c r="A134" s="608" t="s">
        <v>366</v>
      </c>
      <c r="B134" s="909"/>
      <c r="C134" s="910"/>
      <c r="D134" s="658"/>
      <c r="E134" s="909"/>
      <c r="F134" s="910"/>
      <c r="G134" s="659"/>
      <c r="H134" s="909"/>
      <c r="I134" s="910"/>
      <c r="J134" s="659"/>
      <c r="K134" s="664"/>
      <c r="L134" s="658"/>
      <c r="M134" s="659"/>
      <c r="N134" s="909"/>
      <c r="O134" s="910"/>
      <c r="P134" s="659"/>
      <c r="Q134" s="909"/>
      <c r="R134" s="910"/>
      <c r="S134" s="658"/>
      <c r="T134" s="909"/>
      <c r="U134" s="910"/>
      <c r="V134" s="659"/>
      <c r="W134" s="910">
        <v>190.08086777560038</v>
      </c>
      <c r="X134" s="910">
        <v>29.848691120000005</v>
      </c>
      <c r="Y134" s="659">
        <f t="shared" si="54"/>
        <v>-84.3</v>
      </c>
      <c r="Z134" s="909"/>
      <c r="AA134" s="910"/>
      <c r="AB134" s="659"/>
      <c r="AC134" s="909"/>
      <c r="AD134" s="910"/>
      <c r="AE134" s="659"/>
      <c r="AF134" s="909"/>
      <c r="AG134" s="910"/>
      <c r="AH134" s="659"/>
      <c r="AI134" s="909"/>
      <c r="AJ134" s="910"/>
      <c r="AK134" s="659"/>
      <c r="AL134" s="909"/>
      <c r="AM134" s="910"/>
      <c r="AN134" s="659"/>
      <c r="AO134" s="658">
        <f t="shared" ref="AO134:AO144" si="59">B134+H134+K134+N134+Q134+W134+E134+Z134+AC134+AI134+AL134</f>
        <v>190.08086777560038</v>
      </c>
      <c r="AP134" s="658">
        <f t="shared" ref="AP134:AP144" si="60">C134+I134+L134+O134+R134+X134+F134+AA134+AD134+AJ134+AM134</f>
        <v>29.848691120000005</v>
      </c>
      <c r="AQ134" s="659">
        <f t="shared" si="18"/>
        <v>-84.3</v>
      </c>
      <c r="AR134" s="658">
        <f t="shared" si="51"/>
        <v>190.08086777560038</v>
      </c>
      <c r="AS134" s="658">
        <f t="shared" si="52"/>
        <v>29.848691120000005</v>
      </c>
      <c r="AT134" s="659">
        <f t="shared" si="19"/>
        <v>-84.3</v>
      </c>
      <c r="AU134" s="641"/>
      <c r="AV134" s="641"/>
      <c r="AW134" s="636"/>
      <c r="AX134" s="636"/>
    </row>
    <row r="135" spans="1:50" s="660" customFormat="1" ht="18.75" customHeight="1" x14ac:dyDescent="0.3">
      <c r="A135" s="608" t="s">
        <v>367</v>
      </c>
      <c r="B135" s="909"/>
      <c r="C135" s="910"/>
      <c r="D135" s="658"/>
      <c r="E135" s="909"/>
      <c r="F135" s="910"/>
      <c r="G135" s="659"/>
      <c r="H135" s="909"/>
      <c r="I135" s="910"/>
      <c r="J135" s="659"/>
      <c r="K135" s="664"/>
      <c r="L135" s="658"/>
      <c r="M135" s="659"/>
      <c r="N135" s="909"/>
      <c r="O135" s="910"/>
      <c r="P135" s="659"/>
      <c r="Q135" s="909"/>
      <c r="R135" s="910"/>
      <c r="S135" s="658"/>
      <c r="T135" s="909"/>
      <c r="U135" s="910"/>
      <c r="V135" s="659"/>
      <c r="W135" s="910">
        <v>1.261199</v>
      </c>
      <c r="X135" s="910">
        <v>0</v>
      </c>
      <c r="Y135" s="659">
        <f t="shared" si="54"/>
        <v>-100</v>
      </c>
      <c r="Z135" s="909"/>
      <c r="AA135" s="910"/>
      <c r="AB135" s="659"/>
      <c r="AC135" s="909"/>
      <c r="AD135" s="910"/>
      <c r="AE135" s="659"/>
      <c r="AF135" s="909"/>
      <c r="AG135" s="910"/>
      <c r="AH135" s="659"/>
      <c r="AI135" s="909"/>
      <c r="AJ135" s="910"/>
      <c r="AK135" s="659"/>
      <c r="AL135" s="909"/>
      <c r="AM135" s="910"/>
      <c r="AN135" s="659"/>
      <c r="AO135" s="658">
        <f t="shared" si="59"/>
        <v>1.261199</v>
      </c>
      <c r="AP135" s="658">
        <f t="shared" si="60"/>
        <v>0</v>
      </c>
      <c r="AQ135" s="659">
        <f t="shared" si="18"/>
        <v>-100</v>
      </c>
      <c r="AR135" s="658">
        <f t="shared" si="51"/>
        <v>1.261199</v>
      </c>
      <c r="AS135" s="658">
        <f t="shared" si="52"/>
        <v>0</v>
      </c>
      <c r="AT135" s="659">
        <f t="shared" si="19"/>
        <v>-100</v>
      </c>
      <c r="AU135" s="641"/>
      <c r="AV135" s="641"/>
      <c r="AW135" s="636"/>
      <c r="AX135" s="636"/>
    </row>
    <row r="136" spans="1:50" s="660" customFormat="1" ht="18.75" customHeight="1" x14ac:dyDescent="0.3">
      <c r="A136" s="608" t="s">
        <v>368</v>
      </c>
      <c r="B136" s="909"/>
      <c r="C136" s="910"/>
      <c r="D136" s="658"/>
      <c r="E136" s="909"/>
      <c r="F136" s="910"/>
      <c r="G136" s="659"/>
      <c r="H136" s="909"/>
      <c r="I136" s="910"/>
      <c r="J136" s="659"/>
      <c r="K136" s="664"/>
      <c r="L136" s="658"/>
      <c r="M136" s="659"/>
      <c r="N136" s="909"/>
      <c r="O136" s="910"/>
      <c r="P136" s="659"/>
      <c r="Q136" s="909"/>
      <c r="R136" s="910"/>
      <c r="S136" s="658"/>
      <c r="T136" s="909"/>
      <c r="U136" s="910"/>
      <c r="V136" s="659"/>
      <c r="W136" s="910">
        <v>1.0974829117086744</v>
      </c>
      <c r="X136" s="910">
        <v>0.59985742112928075</v>
      </c>
      <c r="Y136" s="659">
        <f t="shared" si="54"/>
        <v>-45.3</v>
      </c>
      <c r="Z136" s="909"/>
      <c r="AA136" s="910"/>
      <c r="AB136" s="659"/>
      <c r="AC136" s="909"/>
      <c r="AD136" s="910"/>
      <c r="AE136" s="659"/>
      <c r="AF136" s="909"/>
      <c r="AG136" s="910"/>
      <c r="AH136" s="659"/>
      <c r="AI136" s="909"/>
      <c r="AJ136" s="910"/>
      <c r="AK136" s="659"/>
      <c r="AL136" s="909"/>
      <c r="AM136" s="910"/>
      <c r="AN136" s="659"/>
      <c r="AO136" s="658">
        <f t="shared" si="59"/>
        <v>1.0974829117086744</v>
      </c>
      <c r="AP136" s="658">
        <f t="shared" si="60"/>
        <v>0.59985742112928075</v>
      </c>
      <c r="AQ136" s="659">
        <f t="shared" si="18"/>
        <v>-45.3</v>
      </c>
      <c r="AR136" s="658">
        <f t="shared" si="51"/>
        <v>1.0974829117086744</v>
      </c>
      <c r="AS136" s="658">
        <f t="shared" si="52"/>
        <v>0.59985742112928075</v>
      </c>
      <c r="AT136" s="659">
        <f t="shared" si="19"/>
        <v>-45.3</v>
      </c>
      <c r="AU136" s="641"/>
      <c r="AV136" s="641"/>
      <c r="AW136" s="636"/>
      <c r="AX136" s="636"/>
    </row>
    <row r="137" spans="1:50" s="660" customFormat="1" ht="18.75" customHeight="1" x14ac:dyDescent="0.3">
      <c r="A137" s="608" t="s">
        <v>369</v>
      </c>
      <c r="B137" s="909"/>
      <c r="C137" s="910"/>
      <c r="D137" s="658"/>
      <c r="E137" s="909"/>
      <c r="F137" s="910"/>
      <c r="G137" s="659"/>
      <c r="H137" s="909"/>
      <c r="I137" s="910"/>
      <c r="J137" s="659"/>
      <c r="K137" s="664"/>
      <c r="L137" s="658"/>
      <c r="M137" s="659"/>
      <c r="N137" s="909"/>
      <c r="O137" s="910"/>
      <c r="P137" s="659"/>
      <c r="Q137" s="909"/>
      <c r="R137" s="910"/>
      <c r="S137" s="658"/>
      <c r="T137" s="909"/>
      <c r="U137" s="910"/>
      <c r="V137" s="659"/>
      <c r="W137" s="910"/>
      <c r="X137" s="910"/>
      <c r="Y137" s="659"/>
      <c r="Z137" s="909"/>
      <c r="AA137" s="910"/>
      <c r="AB137" s="659"/>
      <c r="AC137" s="909"/>
      <c r="AD137" s="910"/>
      <c r="AE137" s="659"/>
      <c r="AF137" s="909"/>
      <c r="AG137" s="910"/>
      <c r="AH137" s="659"/>
      <c r="AI137" s="909"/>
      <c r="AJ137" s="910"/>
      <c r="AK137" s="659"/>
      <c r="AL137" s="909"/>
      <c r="AM137" s="910"/>
      <c r="AN137" s="659"/>
      <c r="AO137" s="658">
        <f t="shared" si="59"/>
        <v>0</v>
      </c>
      <c r="AP137" s="658">
        <f t="shared" si="60"/>
        <v>0</v>
      </c>
      <c r="AQ137" s="659" t="str">
        <f t="shared" si="18"/>
        <v xml:space="preserve">    ---- </v>
      </c>
      <c r="AR137" s="658">
        <f t="shared" si="51"/>
        <v>0</v>
      </c>
      <c r="AS137" s="658">
        <f t="shared" si="52"/>
        <v>0</v>
      </c>
      <c r="AT137" s="659" t="str">
        <f t="shared" si="19"/>
        <v xml:space="preserve">    ---- </v>
      </c>
      <c r="AU137" s="641"/>
      <c r="AV137" s="641"/>
      <c r="AW137" s="636"/>
      <c r="AX137" s="636"/>
    </row>
    <row r="138" spans="1:50" s="660" customFormat="1" ht="18.75" customHeight="1" x14ac:dyDescent="0.3">
      <c r="A138" s="608" t="s">
        <v>370</v>
      </c>
      <c r="B138" s="909"/>
      <c r="C138" s="910"/>
      <c r="D138" s="658"/>
      <c r="E138" s="909"/>
      <c r="F138" s="910"/>
      <c r="G138" s="659"/>
      <c r="H138" s="909"/>
      <c r="I138" s="910"/>
      <c r="J138" s="659"/>
      <c r="K138" s="664"/>
      <c r="L138" s="658"/>
      <c r="M138" s="659"/>
      <c r="N138" s="909"/>
      <c r="O138" s="910"/>
      <c r="P138" s="659"/>
      <c r="Q138" s="909"/>
      <c r="R138" s="910"/>
      <c r="S138" s="658"/>
      <c r="T138" s="909"/>
      <c r="U138" s="910"/>
      <c r="V138" s="659"/>
      <c r="W138" s="910">
        <v>4.4196239999999998</v>
      </c>
      <c r="X138" s="910">
        <v>3.5983909999999999</v>
      </c>
      <c r="Y138" s="659">
        <f t="shared" si="54"/>
        <v>-18.600000000000001</v>
      </c>
      <c r="Z138" s="909"/>
      <c r="AA138" s="910"/>
      <c r="AB138" s="659"/>
      <c r="AC138" s="909"/>
      <c r="AD138" s="910"/>
      <c r="AE138" s="659"/>
      <c r="AF138" s="909"/>
      <c r="AG138" s="910"/>
      <c r="AH138" s="659"/>
      <c r="AI138" s="909"/>
      <c r="AJ138" s="910"/>
      <c r="AK138" s="659"/>
      <c r="AL138" s="909"/>
      <c r="AM138" s="910"/>
      <c r="AN138" s="659"/>
      <c r="AO138" s="658">
        <f t="shared" si="59"/>
        <v>4.4196239999999998</v>
      </c>
      <c r="AP138" s="658">
        <f t="shared" si="60"/>
        <v>3.5983909999999999</v>
      </c>
      <c r="AQ138" s="659">
        <f t="shared" si="18"/>
        <v>-18.600000000000001</v>
      </c>
      <c r="AR138" s="658">
        <f t="shared" si="51"/>
        <v>4.4196239999999998</v>
      </c>
      <c r="AS138" s="658">
        <f t="shared" si="52"/>
        <v>3.5983909999999999</v>
      </c>
      <c r="AT138" s="659">
        <f t="shared" si="19"/>
        <v>-18.600000000000001</v>
      </c>
      <c r="AU138" s="641"/>
      <c r="AV138" s="641"/>
      <c r="AW138" s="636"/>
      <c r="AX138" s="636"/>
    </row>
    <row r="139" spans="1:50" s="660" customFormat="1" ht="18.75" customHeight="1" x14ac:dyDescent="0.3">
      <c r="A139" s="608" t="s">
        <v>371</v>
      </c>
      <c r="B139" s="909"/>
      <c r="C139" s="910"/>
      <c r="D139" s="658"/>
      <c r="E139" s="909"/>
      <c r="F139" s="910"/>
      <c r="G139" s="659"/>
      <c r="H139" s="909"/>
      <c r="I139" s="910"/>
      <c r="J139" s="659"/>
      <c r="K139" s="664"/>
      <c r="L139" s="658"/>
      <c r="M139" s="659"/>
      <c r="N139" s="909"/>
      <c r="O139" s="910"/>
      <c r="P139" s="659"/>
      <c r="Q139" s="909"/>
      <c r="R139" s="910"/>
      <c r="S139" s="658"/>
      <c r="T139" s="909"/>
      <c r="U139" s="910"/>
      <c r="V139" s="659"/>
      <c r="W139" s="910">
        <v>5.5699244959612377</v>
      </c>
      <c r="X139" s="910">
        <v>0</v>
      </c>
      <c r="Y139" s="659">
        <f t="shared" si="54"/>
        <v>-100</v>
      </c>
      <c r="Z139" s="909"/>
      <c r="AA139" s="910"/>
      <c r="AB139" s="659"/>
      <c r="AC139" s="909"/>
      <c r="AD139" s="910"/>
      <c r="AE139" s="659"/>
      <c r="AF139" s="909"/>
      <c r="AG139" s="910"/>
      <c r="AH139" s="659"/>
      <c r="AI139" s="909"/>
      <c r="AJ139" s="910"/>
      <c r="AK139" s="659"/>
      <c r="AL139" s="909"/>
      <c r="AM139" s="910"/>
      <c r="AN139" s="659"/>
      <c r="AO139" s="658">
        <f t="shared" si="59"/>
        <v>5.5699244959612377</v>
      </c>
      <c r="AP139" s="658">
        <f t="shared" si="60"/>
        <v>0</v>
      </c>
      <c r="AQ139" s="659">
        <f t="shared" si="18"/>
        <v>-100</v>
      </c>
      <c r="AR139" s="658">
        <f t="shared" si="51"/>
        <v>5.5699244959612377</v>
      </c>
      <c r="AS139" s="658">
        <f t="shared" si="52"/>
        <v>0</v>
      </c>
      <c r="AT139" s="659">
        <f t="shared" si="19"/>
        <v>-100</v>
      </c>
      <c r="AU139" s="641"/>
      <c r="AV139" s="641"/>
      <c r="AW139" s="636"/>
      <c r="AX139" s="636"/>
    </row>
    <row r="140" spans="1:50" s="660" customFormat="1" ht="18.75" customHeight="1" x14ac:dyDescent="0.3">
      <c r="A140" s="608" t="s">
        <v>372</v>
      </c>
      <c r="B140" s="909"/>
      <c r="C140" s="910"/>
      <c r="D140" s="658"/>
      <c r="E140" s="909"/>
      <c r="F140" s="910"/>
      <c r="G140" s="659"/>
      <c r="H140" s="909"/>
      <c r="I140" s="910"/>
      <c r="J140" s="659"/>
      <c r="K140" s="664"/>
      <c r="L140" s="658"/>
      <c r="M140" s="659"/>
      <c r="N140" s="909"/>
      <c r="O140" s="910"/>
      <c r="P140" s="659"/>
      <c r="Q140" s="909"/>
      <c r="R140" s="910"/>
      <c r="S140" s="658"/>
      <c r="T140" s="909"/>
      <c r="U140" s="910"/>
      <c r="V140" s="659"/>
      <c r="W140" s="910">
        <v>2.1185690000000001E-6</v>
      </c>
      <c r="X140" s="910">
        <v>2.113515</v>
      </c>
      <c r="Y140" s="659">
        <f t="shared" si="54"/>
        <v>999</v>
      </c>
      <c r="Z140" s="909"/>
      <c r="AA140" s="910"/>
      <c r="AB140" s="659"/>
      <c r="AC140" s="909"/>
      <c r="AD140" s="910"/>
      <c r="AE140" s="659"/>
      <c r="AF140" s="909"/>
      <c r="AG140" s="910"/>
      <c r="AH140" s="659"/>
      <c r="AI140" s="909"/>
      <c r="AJ140" s="910"/>
      <c r="AK140" s="659"/>
      <c r="AL140" s="909"/>
      <c r="AM140" s="910"/>
      <c r="AN140" s="659"/>
      <c r="AO140" s="658">
        <f t="shared" si="59"/>
        <v>2.1185690000000001E-6</v>
      </c>
      <c r="AP140" s="658">
        <f t="shared" si="60"/>
        <v>2.113515</v>
      </c>
      <c r="AQ140" s="659">
        <f t="shared" si="18"/>
        <v>999</v>
      </c>
      <c r="AR140" s="658">
        <f t="shared" si="51"/>
        <v>2.1185690000000001E-6</v>
      </c>
      <c r="AS140" s="658">
        <f t="shared" si="52"/>
        <v>2.113515</v>
      </c>
      <c r="AT140" s="659">
        <f t="shared" si="19"/>
        <v>999</v>
      </c>
      <c r="AU140" s="641"/>
      <c r="AV140" s="641"/>
      <c r="AW140" s="636"/>
      <c r="AX140" s="636"/>
    </row>
    <row r="141" spans="1:50" s="660" customFormat="1" ht="18.75" customHeight="1" x14ac:dyDescent="0.3">
      <c r="A141" s="608" t="s">
        <v>373</v>
      </c>
      <c r="B141" s="909"/>
      <c r="C141" s="910"/>
      <c r="D141" s="658"/>
      <c r="E141" s="909"/>
      <c r="F141" s="910"/>
      <c r="G141" s="659"/>
      <c r="H141" s="909"/>
      <c r="I141" s="910"/>
      <c r="J141" s="659"/>
      <c r="K141" s="664"/>
      <c r="L141" s="658"/>
      <c r="M141" s="659"/>
      <c r="N141" s="909"/>
      <c r="O141" s="910"/>
      <c r="P141" s="659"/>
      <c r="Q141" s="909"/>
      <c r="R141" s="910"/>
      <c r="S141" s="658"/>
      <c r="T141" s="909"/>
      <c r="U141" s="910"/>
      <c r="V141" s="659"/>
      <c r="W141" s="910"/>
      <c r="X141" s="910"/>
      <c r="Y141" s="659"/>
      <c r="Z141" s="909"/>
      <c r="AA141" s="910"/>
      <c r="AB141" s="659"/>
      <c r="AC141" s="909"/>
      <c r="AD141" s="910"/>
      <c r="AE141" s="659"/>
      <c r="AF141" s="909"/>
      <c r="AG141" s="910"/>
      <c r="AH141" s="659"/>
      <c r="AI141" s="909"/>
      <c r="AJ141" s="910"/>
      <c r="AK141" s="659"/>
      <c r="AL141" s="909"/>
      <c r="AM141" s="910"/>
      <c r="AN141" s="659"/>
      <c r="AO141" s="658">
        <f t="shared" si="59"/>
        <v>0</v>
      </c>
      <c r="AP141" s="658">
        <f t="shared" si="60"/>
        <v>0</v>
      </c>
      <c r="AQ141" s="659" t="str">
        <f t="shared" si="18"/>
        <v xml:space="preserve">    ---- </v>
      </c>
      <c r="AR141" s="658">
        <f t="shared" si="51"/>
        <v>0</v>
      </c>
      <c r="AS141" s="658">
        <f t="shared" si="52"/>
        <v>0</v>
      </c>
      <c r="AT141" s="659" t="str">
        <f t="shared" si="19"/>
        <v xml:space="preserve">    ---- </v>
      </c>
      <c r="AU141" s="641"/>
      <c r="AV141" s="641"/>
      <c r="AW141" s="636"/>
      <c r="AX141" s="636"/>
    </row>
    <row r="142" spans="1:50" s="663" customFormat="1" ht="18.75" customHeight="1" x14ac:dyDescent="0.3">
      <c r="A142" s="602" t="s">
        <v>374</v>
      </c>
      <c r="B142" s="911"/>
      <c r="C142" s="912"/>
      <c r="D142" s="656"/>
      <c r="E142" s="911"/>
      <c r="F142" s="912"/>
      <c r="G142" s="657"/>
      <c r="H142" s="911"/>
      <c r="I142" s="912"/>
      <c r="J142" s="657"/>
      <c r="K142" s="665"/>
      <c r="L142" s="656"/>
      <c r="M142" s="657"/>
      <c r="N142" s="911"/>
      <c r="O142" s="912"/>
      <c r="P142" s="657"/>
      <c r="Q142" s="911"/>
      <c r="R142" s="912"/>
      <c r="S142" s="656"/>
      <c r="T142" s="911"/>
      <c r="U142" s="912"/>
      <c r="V142" s="657"/>
      <c r="W142" s="912">
        <f>SUM(W134:W139)+W141</f>
        <v>202.4290981832703</v>
      </c>
      <c r="X142" s="912">
        <f>SUM(X134:X139)+X141</f>
        <v>34.046939541129284</v>
      </c>
      <c r="Y142" s="657">
        <f t="shared" si="54"/>
        <v>-83.2</v>
      </c>
      <c r="Z142" s="911"/>
      <c r="AA142" s="912"/>
      <c r="AB142" s="657"/>
      <c r="AC142" s="911"/>
      <c r="AD142" s="912"/>
      <c r="AE142" s="657"/>
      <c r="AF142" s="911"/>
      <c r="AG142" s="912"/>
      <c r="AH142" s="657"/>
      <c r="AI142" s="911"/>
      <c r="AJ142" s="912"/>
      <c r="AK142" s="657"/>
      <c r="AL142" s="911"/>
      <c r="AM142" s="912"/>
      <c r="AN142" s="657"/>
      <c r="AO142" s="656">
        <f t="shared" si="59"/>
        <v>202.4290981832703</v>
      </c>
      <c r="AP142" s="656">
        <f t="shared" si="60"/>
        <v>34.046939541129284</v>
      </c>
      <c r="AQ142" s="657">
        <f t="shared" si="18"/>
        <v>-83.2</v>
      </c>
      <c r="AR142" s="656">
        <f t="shared" si="51"/>
        <v>202.4290981832703</v>
      </c>
      <c r="AS142" s="656">
        <f t="shared" si="52"/>
        <v>34.046939541129284</v>
      </c>
      <c r="AT142" s="657">
        <f t="shared" si="19"/>
        <v>-83.2</v>
      </c>
      <c r="AU142" s="661" t="e">
        <f>B142,C142,H142,I142,N142,O142,Q142,R142,T142,U142,W142,X142,E142,F142,Z142,AA142,AC142,AD142,AF142,AG142,#REF!,#REF!,AI142,AJ142,AL142,AM142,AO142,AP142,AR142,AS142</f>
        <v>#REF!</v>
      </c>
      <c r="AV142" s="639"/>
      <c r="AW142" s="662"/>
      <c r="AX142" s="662"/>
    </row>
    <row r="143" spans="1:50" s="660" customFormat="1" ht="18.75" customHeight="1" x14ac:dyDescent="0.3">
      <c r="A143" s="608" t="s">
        <v>375</v>
      </c>
      <c r="B143" s="909"/>
      <c r="C143" s="910"/>
      <c r="D143" s="658"/>
      <c r="E143" s="909"/>
      <c r="F143" s="910"/>
      <c r="G143" s="659"/>
      <c r="H143" s="909"/>
      <c r="I143" s="910"/>
      <c r="J143" s="659"/>
      <c r="K143" s="664"/>
      <c r="L143" s="658"/>
      <c r="M143" s="659"/>
      <c r="N143" s="909"/>
      <c r="O143" s="910"/>
      <c r="P143" s="659"/>
      <c r="Q143" s="909"/>
      <c r="R143" s="910"/>
      <c r="S143" s="658"/>
      <c r="T143" s="909"/>
      <c r="U143" s="910"/>
      <c r="V143" s="659"/>
      <c r="W143" s="910">
        <v>190.08086777560035</v>
      </c>
      <c r="X143" s="910">
        <v>29.848691120000005</v>
      </c>
      <c r="Y143" s="659">
        <f t="shared" si="54"/>
        <v>-84.3</v>
      </c>
      <c r="Z143" s="909"/>
      <c r="AA143" s="910"/>
      <c r="AB143" s="659"/>
      <c r="AC143" s="909"/>
      <c r="AD143" s="910"/>
      <c r="AE143" s="659"/>
      <c r="AF143" s="909"/>
      <c r="AG143" s="910"/>
      <c r="AH143" s="659"/>
      <c r="AI143" s="909"/>
      <c r="AJ143" s="910"/>
      <c r="AK143" s="659"/>
      <c r="AL143" s="909"/>
      <c r="AM143" s="910"/>
      <c r="AN143" s="659"/>
      <c r="AO143" s="658">
        <f t="shared" si="59"/>
        <v>190.08086777560035</v>
      </c>
      <c r="AP143" s="658">
        <f t="shared" si="60"/>
        <v>29.848691120000005</v>
      </c>
      <c r="AQ143" s="659">
        <f t="shared" si="18"/>
        <v>-84.3</v>
      </c>
      <c r="AR143" s="658">
        <f t="shared" si="51"/>
        <v>190.08086777560035</v>
      </c>
      <c r="AS143" s="658">
        <f t="shared" si="52"/>
        <v>29.848691120000005</v>
      </c>
      <c r="AT143" s="659">
        <f t="shared" si="19"/>
        <v>-84.3</v>
      </c>
      <c r="AU143" s="641"/>
      <c r="AV143" s="641"/>
      <c r="AW143" s="636"/>
      <c r="AX143" s="636"/>
    </row>
    <row r="144" spans="1:50" s="636" customFormat="1" ht="18.75" customHeight="1" x14ac:dyDescent="0.3">
      <c r="A144" s="620" t="s">
        <v>376</v>
      </c>
      <c r="B144" s="913"/>
      <c r="C144" s="914"/>
      <c r="D144" s="675"/>
      <c r="E144" s="913"/>
      <c r="F144" s="914"/>
      <c r="G144" s="676"/>
      <c r="H144" s="913"/>
      <c r="I144" s="914"/>
      <c r="J144" s="676"/>
      <c r="K144" s="674"/>
      <c r="L144" s="675"/>
      <c r="M144" s="676"/>
      <c r="N144" s="913"/>
      <c r="O144" s="914"/>
      <c r="P144" s="676"/>
      <c r="Q144" s="913"/>
      <c r="R144" s="914"/>
      <c r="S144" s="675"/>
      <c r="T144" s="913"/>
      <c r="U144" s="914"/>
      <c r="V144" s="676"/>
      <c r="W144" s="914">
        <v>12.348230407669933</v>
      </c>
      <c r="X144" s="914">
        <v>48.206804421129284</v>
      </c>
      <c r="Y144" s="676">
        <f t="shared" si="54"/>
        <v>290.39999999999998</v>
      </c>
      <c r="Z144" s="913"/>
      <c r="AA144" s="914"/>
      <c r="AB144" s="676"/>
      <c r="AC144" s="913"/>
      <c r="AD144" s="914"/>
      <c r="AE144" s="676"/>
      <c r="AF144" s="913"/>
      <c r="AG144" s="914"/>
      <c r="AH144" s="676"/>
      <c r="AI144" s="913"/>
      <c r="AJ144" s="914"/>
      <c r="AK144" s="676"/>
      <c r="AL144" s="913"/>
      <c r="AM144" s="914"/>
      <c r="AN144" s="676"/>
      <c r="AO144" s="676">
        <f t="shared" si="59"/>
        <v>12.348230407669933</v>
      </c>
      <c r="AP144" s="676">
        <f t="shared" si="60"/>
        <v>48.206804421129284</v>
      </c>
      <c r="AQ144" s="676">
        <f t="shared" si="18"/>
        <v>290.39999999999998</v>
      </c>
      <c r="AR144" s="676">
        <f t="shared" si="51"/>
        <v>12.348230407669933</v>
      </c>
      <c r="AS144" s="676">
        <f t="shared" si="52"/>
        <v>48.206804421129284</v>
      </c>
      <c r="AT144" s="676">
        <f t="shared" si="19"/>
        <v>290.39999999999998</v>
      </c>
      <c r="AU144" s="641"/>
      <c r="AV144" s="641"/>
    </row>
    <row r="145" spans="1:50" s="678" customFormat="1" ht="18.75" customHeight="1" x14ac:dyDescent="0.3">
      <c r="A145" s="636" t="s">
        <v>250</v>
      </c>
      <c r="B145" s="581"/>
      <c r="C145" s="677"/>
      <c r="D145" s="677"/>
      <c r="E145" s="636"/>
      <c r="F145" s="636"/>
      <c r="G145" s="636"/>
      <c r="H145" s="677"/>
      <c r="I145" s="677"/>
      <c r="J145" s="677"/>
      <c r="K145" s="641"/>
      <c r="L145" s="636"/>
      <c r="M145" s="636"/>
      <c r="N145" s="641"/>
      <c r="O145" s="636"/>
      <c r="P145" s="636"/>
      <c r="Q145" s="636"/>
      <c r="R145" s="636"/>
      <c r="S145" s="636"/>
      <c r="T145" s="636"/>
      <c r="U145" s="636"/>
      <c r="V145" s="636"/>
      <c r="W145" s="636"/>
      <c r="X145" s="636"/>
      <c r="Y145" s="636"/>
      <c r="AA145" s="636"/>
      <c r="AB145" s="636"/>
      <c r="AC145" s="636"/>
      <c r="AD145" s="636"/>
      <c r="AE145" s="636"/>
      <c r="AG145" s="636"/>
      <c r="AH145" s="636"/>
      <c r="AI145" s="636"/>
      <c r="AJ145" s="636"/>
      <c r="AK145" s="636"/>
      <c r="AM145" s="636"/>
      <c r="AN145" s="636"/>
      <c r="AO145" s="636"/>
      <c r="AP145" s="636"/>
      <c r="AQ145" s="636"/>
      <c r="AR145" s="641"/>
      <c r="AS145" s="641"/>
      <c r="AT145" s="641"/>
      <c r="AU145" s="679"/>
      <c r="AV145" s="680"/>
      <c r="AW145" s="679"/>
      <c r="AX145" s="679"/>
    </row>
    <row r="146" spans="1:50" s="678" customFormat="1" ht="18.75" x14ac:dyDescent="0.3">
      <c r="A146" s="679"/>
      <c r="B146" s="681"/>
      <c r="C146" s="681"/>
      <c r="D146" s="677"/>
      <c r="E146" s="681"/>
      <c r="F146" s="681"/>
      <c r="G146" s="677"/>
      <c r="H146" s="681"/>
      <c r="I146" s="681"/>
      <c r="J146" s="677"/>
      <c r="K146" s="681"/>
      <c r="L146" s="681"/>
      <c r="M146" s="677"/>
      <c r="N146" s="681"/>
      <c r="O146" s="681"/>
      <c r="P146" s="677"/>
      <c r="Q146" s="681"/>
      <c r="R146" s="681"/>
      <c r="S146" s="677"/>
      <c r="T146" s="681"/>
      <c r="U146" s="681"/>
      <c r="V146" s="677"/>
      <c r="W146" s="681"/>
      <c r="X146" s="681"/>
      <c r="Y146" s="677"/>
      <c r="Z146" s="681"/>
      <c r="AA146" s="681"/>
      <c r="AB146" s="677"/>
      <c r="AC146" s="681"/>
      <c r="AD146" s="681"/>
      <c r="AE146" s="677"/>
      <c r="AF146" s="681"/>
      <c r="AG146" s="681"/>
      <c r="AH146" s="677"/>
      <c r="AI146" s="681"/>
      <c r="AJ146" s="681"/>
      <c r="AK146" s="677"/>
      <c r="AL146" s="681"/>
      <c r="AM146" s="681"/>
      <c r="AN146" s="677"/>
      <c r="AO146" s="681"/>
      <c r="AP146" s="681"/>
      <c r="AQ146" s="677"/>
      <c r="AR146" s="681"/>
      <c r="AS146" s="681"/>
      <c r="AT146" s="677"/>
      <c r="AU146" s="679"/>
      <c r="AV146" s="680"/>
      <c r="AW146" s="679"/>
      <c r="AX146" s="679"/>
    </row>
    <row r="147" spans="1:50" s="678" customFormat="1" ht="18.75" x14ac:dyDescent="0.3">
      <c r="A147" s="679"/>
      <c r="B147" s="681"/>
      <c r="C147" s="681"/>
      <c r="D147" s="677"/>
      <c r="E147" s="681"/>
      <c r="F147" s="681"/>
      <c r="G147" s="677"/>
      <c r="H147" s="681"/>
      <c r="I147" s="681"/>
      <c r="J147" s="677"/>
      <c r="K147" s="681"/>
      <c r="L147" s="681"/>
      <c r="M147" s="677"/>
      <c r="N147" s="681"/>
      <c r="O147" s="681"/>
      <c r="P147" s="677"/>
      <c r="Q147" s="681"/>
      <c r="R147" s="681"/>
      <c r="S147" s="677"/>
      <c r="T147" s="681"/>
      <c r="U147" s="681"/>
      <c r="V147" s="677"/>
      <c r="W147" s="681"/>
      <c r="X147" s="681"/>
      <c r="Y147" s="677"/>
      <c r="Z147" s="681"/>
      <c r="AA147" s="681"/>
      <c r="AB147" s="677"/>
      <c r="AC147" s="681"/>
      <c r="AD147" s="681"/>
      <c r="AE147" s="677"/>
      <c r="AF147" s="681"/>
      <c r="AG147" s="681"/>
      <c r="AH147" s="677"/>
      <c r="AI147" s="681"/>
      <c r="AJ147" s="681"/>
      <c r="AK147" s="677"/>
      <c r="AL147" s="681"/>
      <c r="AM147" s="681"/>
      <c r="AN147" s="677"/>
      <c r="AO147" s="681"/>
      <c r="AP147" s="681"/>
      <c r="AQ147" s="677"/>
      <c r="AR147" s="681"/>
      <c r="AS147" s="681"/>
      <c r="AT147" s="677"/>
      <c r="AU147" s="679"/>
      <c r="AV147" s="680"/>
      <c r="AW147" s="679"/>
      <c r="AX147" s="679"/>
    </row>
    <row r="148" spans="1:50" ht="18.75" x14ac:dyDescent="0.3">
      <c r="A148" s="636"/>
      <c r="Z148" s="684"/>
      <c r="AV148" s="685"/>
    </row>
    <row r="149" spans="1:50" ht="18.75" x14ac:dyDescent="0.3">
      <c r="A149" s="636"/>
      <c r="AV149" s="685"/>
    </row>
    <row r="150" spans="1:50" ht="18.75" x14ac:dyDescent="0.3">
      <c r="A150" s="636"/>
      <c r="AV150" s="685"/>
    </row>
    <row r="151" spans="1:50" ht="18.75" x14ac:dyDescent="0.3">
      <c r="A151" s="636"/>
      <c r="AV151" s="685"/>
    </row>
    <row r="152" spans="1:50" ht="18.75" x14ac:dyDescent="0.3">
      <c r="A152" s="636"/>
      <c r="AV152" s="685"/>
    </row>
    <row r="153" spans="1:50" ht="18.75" x14ac:dyDescent="0.3">
      <c r="A153" s="636"/>
      <c r="AV153" s="685"/>
    </row>
    <row r="154" spans="1:50" ht="18.75" x14ac:dyDescent="0.3">
      <c r="A154" s="636"/>
      <c r="AV154" s="685"/>
    </row>
    <row r="155" spans="1:50" ht="18.75" x14ac:dyDescent="0.3">
      <c r="A155" s="636"/>
      <c r="AV155" s="685"/>
    </row>
    <row r="156" spans="1:50" ht="18.75" x14ac:dyDescent="0.3">
      <c r="A156" s="636"/>
      <c r="AV156" s="685"/>
    </row>
    <row r="157" spans="1:50" ht="18.75" x14ac:dyDescent="0.3">
      <c r="A157" s="636"/>
      <c r="AV157" s="685"/>
    </row>
    <row r="158" spans="1:50" ht="18.75" x14ac:dyDescent="0.3">
      <c r="A158" s="636"/>
      <c r="AV158" s="685"/>
    </row>
    <row r="159" spans="1:50" ht="18.75" x14ac:dyDescent="0.3">
      <c r="A159" s="636"/>
      <c r="AV159" s="685"/>
    </row>
    <row r="160" spans="1:50" ht="18.75" x14ac:dyDescent="0.3">
      <c r="A160" s="636"/>
      <c r="AV160" s="685"/>
    </row>
    <row r="161" spans="1:48" ht="18.75" x14ac:dyDescent="0.3">
      <c r="A161" s="636"/>
      <c r="AV161" s="685"/>
    </row>
    <row r="162" spans="1:48" ht="18.75" x14ac:dyDescent="0.3">
      <c r="A162" s="636"/>
      <c r="AV162" s="685"/>
    </row>
    <row r="163" spans="1:48" ht="18.75" x14ac:dyDescent="0.3">
      <c r="A163" s="636"/>
      <c r="AV163" s="685"/>
    </row>
    <row r="164" spans="1:48" ht="18.75" x14ac:dyDescent="0.3">
      <c r="A164" s="636"/>
      <c r="AV164" s="685"/>
    </row>
    <row r="165" spans="1:48" ht="18.75" x14ac:dyDescent="0.3">
      <c r="A165" s="636"/>
      <c r="AV165" s="685"/>
    </row>
    <row r="166" spans="1:48" ht="18.75" x14ac:dyDescent="0.3">
      <c r="A166" s="636"/>
      <c r="AV166" s="685"/>
    </row>
    <row r="167" spans="1:48" ht="18.75" x14ac:dyDescent="0.3">
      <c r="A167" s="636"/>
      <c r="AV167" s="685"/>
    </row>
    <row r="168" spans="1:48" ht="18.75" x14ac:dyDescent="0.3">
      <c r="A168" s="636"/>
      <c r="AV168" s="685"/>
    </row>
    <row r="169" spans="1:48" ht="18.75" x14ac:dyDescent="0.3">
      <c r="A169" s="636"/>
      <c r="AV169" s="685"/>
    </row>
    <row r="170" spans="1:48" ht="18.75" x14ac:dyDescent="0.3">
      <c r="A170" s="636"/>
      <c r="AV170" s="685"/>
    </row>
    <row r="171" spans="1:48" ht="18.75" x14ac:dyDescent="0.3">
      <c r="A171" s="636"/>
      <c r="AV171" s="685"/>
    </row>
    <row r="172" spans="1:48" ht="18.75" x14ac:dyDescent="0.3">
      <c r="A172" s="636"/>
      <c r="AV172" s="685"/>
    </row>
    <row r="173" spans="1:48" ht="18.75" x14ac:dyDescent="0.3">
      <c r="A173" s="636"/>
      <c r="AV173" s="685"/>
    </row>
    <row r="174" spans="1:48" ht="18.75" x14ac:dyDescent="0.3">
      <c r="A174" s="636"/>
      <c r="AV174" s="685"/>
    </row>
    <row r="175" spans="1:48" ht="18.75" x14ac:dyDescent="0.3">
      <c r="A175" s="636"/>
      <c r="AV175" s="685"/>
    </row>
    <row r="176" spans="1:48" ht="18.75" x14ac:dyDescent="0.3">
      <c r="A176" s="636"/>
      <c r="AV176" s="685"/>
    </row>
    <row r="177" spans="1:48" ht="18.75" x14ac:dyDescent="0.3">
      <c r="A177" s="636"/>
      <c r="AV177" s="685"/>
    </row>
    <row r="178" spans="1:48" ht="18.75" x14ac:dyDescent="0.3">
      <c r="A178" s="636"/>
      <c r="AV178" s="685"/>
    </row>
    <row r="179" spans="1:48" ht="18.75" x14ac:dyDescent="0.3">
      <c r="A179" s="636"/>
      <c r="AV179" s="685"/>
    </row>
    <row r="180" spans="1:48" ht="18.75" x14ac:dyDescent="0.3">
      <c r="A180" s="636"/>
      <c r="AV180" s="685"/>
    </row>
    <row r="181" spans="1:48" ht="18.75" x14ac:dyDescent="0.3">
      <c r="A181" s="636"/>
      <c r="AV181" s="685"/>
    </row>
    <row r="182" spans="1:48" ht="18.75" x14ac:dyDescent="0.3">
      <c r="A182" s="636"/>
      <c r="AV182" s="685"/>
    </row>
    <row r="183" spans="1:48" ht="18.75" x14ac:dyDescent="0.3">
      <c r="A183" s="636"/>
      <c r="AV183" s="685"/>
    </row>
    <row r="184" spans="1:48" ht="18.75" x14ac:dyDescent="0.3">
      <c r="A184" s="636"/>
      <c r="AV184" s="685"/>
    </row>
    <row r="185" spans="1:48" ht="18.75" x14ac:dyDescent="0.3">
      <c r="A185" s="636"/>
      <c r="AV185" s="685"/>
    </row>
    <row r="186" spans="1:48" ht="18.75" x14ac:dyDescent="0.3">
      <c r="A186" s="636"/>
      <c r="AV186" s="685"/>
    </row>
    <row r="187" spans="1:48" ht="18.75" x14ac:dyDescent="0.3">
      <c r="A187" s="636"/>
      <c r="AV187" s="685"/>
    </row>
    <row r="188" spans="1:48" ht="18.75" x14ac:dyDescent="0.3">
      <c r="A188" s="636"/>
      <c r="AV188" s="685"/>
    </row>
    <row r="189" spans="1:48" ht="18.75" x14ac:dyDescent="0.3">
      <c r="A189" s="636"/>
      <c r="AV189" s="685"/>
    </row>
    <row r="190" spans="1:48" ht="18.75" x14ac:dyDescent="0.3">
      <c r="A190" s="636"/>
      <c r="AV190" s="685"/>
    </row>
    <row r="191" spans="1:48" ht="18.75" x14ac:dyDescent="0.3">
      <c r="A191" s="636"/>
      <c r="AV191" s="685"/>
    </row>
    <row r="192" spans="1:48" ht="18.75" x14ac:dyDescent="0.3">
      <c r="A192" s="636"/>
      <c r="AV192" s="685"/>
    </row>
    <row r="193" spans="1:48" ht="18.75" x14ac:dyDescent="0.3">
      <c r="A193" s="636"/>
      <c r="AV193" s="685"/>
    </row>
    <row r="194" spans="1:48" ht="18.75" x14ac:dyDescent="0.3">
      <c r="A194" s="636"/>
      <c r="AV194" s="685"/>
    </row>
    <row r="195" spans="1:48" ht="18.75" x14ac:dyDescent="0.3">
      <c r="A195" s="636"/>
      <c r="AV195" s="685"/>
    </row>
    <row r="196" spans="1:48" ht="18.75" x14ac:dyDescent="0.3">
      <c r="A196" s="636"/>
      <c r="AV196" s="685"/>
    </row>
    <row r="197" spans="1:48" ht="18.75" x14ac:dyDescent="0.3">
      <c r="A197" s="636"/>
      <c r="AV197" s="685"/>
    </row>
    <row r="198" spans="1:48" ht="18.75" x14ac:dyDescent="0.3">
      <c r="A198" s="636"/>
      <c r="AV198" s="685"/>
    </row>
    <row r="199" spans="1:48" ht="18.75" x14ac:dyDescent="0.3">
      <c r="A199" s="636"/>
      <c r="AV199" s="685"/>
    </row>
    <row r="200" spans="1:48" ht="18.75" x14ac:dyDescent="0.3">
      <c r="A200" s="636"/>
      <c r="AV200" s="685"/>
    </row>
    <row r="201" spans="1:48" ht="18.75" x14ac:dyDescent="0.3">
      <c r="A201" s="636"/>
      <c r="AV201" s="685"/>
    </row>
    <row r="202" spans="1:48" ht="18.75" x14ac:dyDescent="0.3">
      <c r="A202" s="636"/>
      <c r="AV202" s="685"/>
    </row>
    <row r="203" spans="1:48" ht="18.75" x14ac:dyDescent="0.3">
      <c r="A203" s="636"/>
      <c r="AV203" s="685"/>
    </row>
    <row r="204" spans="1:48" ht="18.75" x14ac:dyDescent="0.3">
      <c r="A204" s="636"/>
      <c r="AV204" s="685"/>
    </row>
    <row r="205" spans="1:48" ht="18.75" x14ac:dyDescent="0.3">
      <c r="A205" s="636"/>
      <c r="AV205" s="685"/>
    </row>
    <row r="206" spans="1:48" ht="18.75" x14ac:dyDescent="0.3">
      <c r="A206" s="636"/>
      <c r="AV206" s="685"/>
    </row>
    <row r="207" spans="1:48" ht="18.75" x14ac:dyDescent="0.3">
      <c r="A207" s="636"/>
      <c r="AV207" s="685"/>
    </row>
    <row r="208" spans="1:48" ht="18.75" x14ac:dyDescent="0.3">
      <c r="A208" s="636"/>
      <c r="AV208" s="685"/>
    </row>
    <row r="209" spans="1:48" ht="18.75" x14ac:dyDescent="0.3">
      <c r="A209" s="636"/>
      <c r="AV209" s="685"/>
    </row>
    <row r="210" spans="1:48" ht="18.75" x14ac:dyDescent="0.3">
      <c r="A210" s="636"/>
      <c r="AV210" s="685"/>
    </row>
    <row r="211" spans="1:48" ht="18.75" x14ac:dyDescent="0.3">
      <c r="A211" s="636"/>
      <c r="AV211" s="685"/>
    </row>
    <row r="212" spans="1:48" ht="18.75" x14ac:dyDescent="0.3">
      <c r="A212" s="636"/>
      <c r="AV212" s="685"/>
    </row>
    <row r="213" spans="1:48" ht="18.75" x14ac:dyDescent="0.3">
      <c r="A213" s="636"/>
    </row>
    <row r="214" spans="1:48" ht="18.75" x14ac:dyDescent="0.3">
      <c r="A214" s="636"/>
    </row>
    <row r="215" spans="1:48" ht="18.75" x14ac:dyDescent="0.3">
      <c r="A215" s="636"/>
    </row>
    <row r="216" spans="1:48" ht="18.75" x14ac:dyDescent="0.3">
      <c r="A216" s="636"/>
    </row>
    <row r="217" spans="1:48" ht="18.75" x14ac:dyDescent="0.3">
      <c r="A217" s="636"/>
    </row>
    <row r="218" spans="1:48" ht="18.75" x14ac:dyDescent="0.3">
      <c r="A218" s="636"/>
    </row>
    <row r="219" spans="1:48" ht="18.75" x14ac:dyDescent="0.3">
      <c r="A219" s="636"/>
    </row>
    <row r="220" spans="1:48" ht="18.75" x14ac:dyDescent="0.3">
      <c r="A220" s="636"/>
    </row>
    <row r="221" spans="1:48" ht="18.75" x14ac:dyDescent="0.3">
      <c r="A221" s="636"/>
    </row>
    <row r="222" spans="1:48" ht="18.75" x14ac:dyDescent="0.3">
      <c r="A222" s="636"/>
    </row>
  </sheetData>
  <mergeCells count="27">
    <mergeCell ref="AR6:AT6"/>
    <mergeCell ref="B6:D6"/>
    <mergeCell ref="H6:J6"/>
    <mergeCell ref="N6:P6"/>
    <mergeCell ref="Q6:S6"/>
    <mergeCell ref="T6:V6"/>
    <mergeCell ref="E6:G6"/>
    <mergeCell ref="K6:M6"/>
    <mergeCell ref="AC6:AE6"/>
    <mergeCell ref="AI6:AK6"/>
    <mergeCell ref="AL6:AN6"/>
    <mergeCell ref="AL7:AN7"/>
    <mergeCell ref="AO6:AQ6"/>
    <mergeCell ref="B7:D7"/>
    <mergeCell ref="H7:J7"/>
    <mergeCell ref="N7:P7"/>
    <mergeCell ref="Q7:S7"/>
    <mergeCell ref="T7:V7"/>
    <mergeCell ref="K7:M7"/>
    <mergeCell ref="AO7:AQ7"/>
    <mergeCell ref="AR7:AT7"/>
    <mergeCell ref="E7:G7"/>
    <mergeCell ref="Z7:AB7"/>
    <mergeCell ref="AC7:AE7"/>
    <mergeCell ref="AF7:AH7"/>
    <mergeCell ref="AI7:AK7"/>
    <mergeCell ref="W7:Y7"/>
  </mergeCells>
  <conditionalFormatting sqref="K68">
    <cfRule type="expression" dxfId="633" priority="535">
      <formula>K$117="56≠48+49+50+51+52+53+55"</formula>
    </cfRule>
    <cfRule type="expression" dxfId="632" priority="536">
      <formula>K$118="56≠57+58"</formula>
    </cfRule>
  </conditionalFormatting>
  <conditionalFormatting sqref="K80 K92 K116 K130 K142">
    <cfRule type="expression" dxfId="631" priority="533">
      <formula>$B$117="56≠48+49+50+51+52+53+55"</formula>
    </cfRule>
    <cfRule type="expression" dxfId="630" priority="534">
      <formula>K$118="56≠57+58"</formula>
    </cfRule>
  </conditionalFormatting>
  <conditionalFormatting sqref="K20">
    <cfRule type="expression" dxfId="629" priority="537">
      <formula>#REF!="20≠21+22"</formula>
    </cfRule>
  </conditionalFormatting>
  <conditionalFormatting sqref="K32">
    <cfRule type="expression" dxfId="628" priority="538">
      <formula>#REF!="32≠24+25+26+27+28+29+31"</formula>
    </cfRule>
    <cfRule type="expression" dxfId="627" priority="539">
      <formula>#REF!="32≠33+34"</formula>
    </cfRule>
  </conditionalFormatting>
  <conditionalFormatting sqref="K44">
    <cfRule type="expression" dxfId="626" priority="540">
      <formula>#REF!="44≠36+37+38+39+40+41+43"</formula>
    </cfRule>
    <cfRule type="expression" dxfId="625" priority="541">
      <formula>#REF!="44≠45+46"</formula>
    </cfRule>
  </conditionalFormatting>
  <conditionalFormatting sqref="K56">
    <cfRule type="expression" dxfId="624" priority="542">
      <formula>#REF!="56≠48+49+50+51+52+53+55"</formula>
    </cfRule>
    <cfRule type="expression" dxfId="623" priority="543">
      <formula>#REF!="56≠57+58"</formula>
    </cfRule>
  </conditionalFormatting>
  <conditionalFormatting sqref="K104">
    <cfRule type="expression" dxfId="622" priority="544">
      <formula>#REF!="104≠96+97+98+99+100+101+103"</formula>
    </cfRule>
    <cfRule type="expression" dxfId="621" priority="545">
      <formula>#REF!="104≠105+106"</formula>
    </cfRule>
  </conditionalFormatting>
  <conditionalFormatting sqref="K20">
    <cfRule type="expression" dxfId="620" priority="546">
      <formula>#REF!="20≠12+13+14+15+16+17+19"</formula>
    </cfRule>
  </conditionalFormatting>
  <conditionalFormatting sqref="Z20">
    <cfRule type="expression" dxfId="619" priority="481">
      <formula>#REF!="20≠21+22"</formula>
    </cfRule>
  </conditionalFormatting>
  <conditionalFormatting sqref="Z32">
    <cfRule type="expression" dxfId="618" priority="482">
      <formula>#REF!="32≠24+25+26+27+28+29+31"</formula>
    </cfRule>
    <cfRule type="expression" dxfId="617" priority="483">
      <formula>#REF!="32≠33+34"</formula>
    </cfRule>
  </conditionalFormatting>
  <conditionalFormatting sqref="Z44">
    <cfRule type="expression" dxfId="616" priority="484">
      <formula>#REF!="44≠36+37+38+39+40+41+43"</formula>
    </cfRule>
    <cfRule type="expression" dxfId="615" priority="485">
      <formula>#REF!="44≠45+46"</formula>
    </cfRule>
  </conditionalFormatting>
  <conditionalFormatting sqref="Z56">
    <cfRule type="expression" dxfId="614" priority="486">
      <formula>#REF!="56≠48+49+50+51+52+53+55"</formula>
    </cfRule>
    <cfRule type="expression" dxfId="613" priority="487">
      <formula>#REF!="56≠57+58"</formula>
    </cfRule>
  </conditionalFormatting>
  <conditionalFormatting sqref="Z68">
    <cfRule type="expression" dxfId="612" priority="488">
      <formula>#REF!="68≠60+61+62+63+64+65+67"</formula>
    </cfRule>
    <cfRule type="expression" dxfId="611" priority="489">
      <formula>#REF!="68≠69+70"</formula>
    </cfRule>
  </conditionalFormatting>
  <conditionalFormatting sqref="Z80">
    <cfRule type="expression" dxfId="610" priority="490">
      <formula>#REF!="80≠72+73+74+75+76+77+79"</formula>
    </cfRule>
    <cfRule type="expression" dxfId="609" priority="491">
      <formula>#REF!="80≠81+82"</formula>
    </cfRule>
  </conditionalFormatting>
  <conditionalFormatting sqref="Z92">
    <cfRule type="expression" dxfId="608" priority="492">
      <formula>#REF!="92≠84+85+86+87+88+89+91"</formula>
    </cfRule>
    <cfRule type="expression" dxfId="607" priority="493">
      <formula>#REF!="92≠93+94"</formula>
    </cfRule>
  </conditionalFormatting>
  <conditionalFormatting sqref="Z104">
    <cfRule type="expression" dxfId="606" priority="494">
      <formula>#REF!="104≠96+97+98+99+100+101+103"</formula>
    </cfRule>
    <cfRule type="expression" dxfId="605" priority="495">
      <formula>#REF!="104≠105+106"</formula>
    </cfRule>
  </conditionalFormatting>
  <conditionalFormatting sqref="Z116">
    <cfRule type="expression" dxfId="604" priority="496">
      <formula>#REF!="116≠108+109+110+111+112+113+115"</formula>
    </cfRule>
    <cfRule type="expression" dxfId="603" priority="497">
      <formula>#REF!="116≠117+118"</formula>
    </cfRule>
  </conditionalFormatting>
  <conditionalFormatting sqref="Z130">
    <cfRule type="expression" dxfId="602" priority="498">
      <formula>#REF!="130≠122+123+124+125+126+127+129"</formula>
    </cfRule>
    <cfRule type="expression" dxfId="601" priority="499">
      <formula>#REF!="130≠131+132"</formula>
    </cfRule>
  </conditionalFormatting>
  <conditionalFormatting sqref="Z142">
    <cfRule type="expression" dxfId="600" priority="500">
      <formula>#REF!="142≠134+135+136+137+138+139+141"</formula>
    </cfRule>
    <cfRule type="expression" dxfId="599" priority="501">
      <formula>#REF!="142≠143+144"</formula>
    </cfRule>
  </conditionalFormatting>
  <conditionalFormatting sqref="Z20">
    <cfRule type="expression" dxfId="598" priority="502">
      <formula>#REF!="20≠12+13+14+15+16+17+19"</formula>
    </cfRule>
  </conditionalFormatting>
  <conditionalFormatting sqref="B20">
    <cfRule type="expression" dxfId="597" priority="437">
      <formula>#REF!="20≠21+22"</formula>
    </cfRule>
  </conditionalFormatting>
  <conditionalFormatting sqref="B32">
    <cfRule type="expression" dxfId="596" priority="438">
      <formula>#REF!="32≠24+25+26+27+28+29+31"</formula>
    </cfRule>
    <cfRule type="expression" dxfId="595" priority="439">
      <formula>#REF!="32≠33+34"</formula>
    </cfRule>
  </conditionalFormatting>
  <conditionalFormatting sqref="B44">
    <cfRule type="expression" dxfId="594" priority="440">
      <formula>#REF!="44≠36+37+38+39+40+41+43"</formula>
    </cfRule>
    <cfRule type="expression" dxfId="593" priority="441">
      <formula>#REF!="44≠45+46"</formula>
    </cfRule>
  </conditionalFormatting>
  <conditionalFormatting sqref="B56">
    <cfRule type="expression" dxfId="592" priority="442">
      <formula>#REF!="56≠48+49+50+51+52+53+55"</formula>
    </cfRule>
    <cfRule type="expression" dxfId="591" priority="443">
      <formula>#REF!="56≠57+58"</formula>
    </cfRule>
  </conditionalFormatting>
  <conditionalFormatting sqref="B68">
    <cfRule type="expression" dxfId="590" priority="444">
      <formula>#REF!="68≠60+61+62+63+64+65+67"</formula>
    </cfRule>
    <cfRule type="expression" dxfId="589" priority="445">
      <formula>#REF!="68≠69+70"</formula>
    </cfRule>
  </conditionalFormatting>
  <conditionalFormatting sqref="B80">
    <cfRule type="expression" dxfId="588" priority="446">
      <formula>#REF!="80≠72+73+74+75+76+77+79"</formula>
    </cfRule>
    <cfRule type="expression" dxfId="587" priority="447">
      <formula>#REF!="80≠81+82"</formula>
    </cfRule>
  </conditionalFormatting>
  <conditionalFormatting sqref="B92">
    <cfRule type="expression" dxfId="586" priority="448">
      <formula>#REF!="92≠84+85+86+87+88+89+91"</formula>
    </cfRule>
    <cfRule type="expression" dxfId="585" priority="449">
      <formula>#REF!="92≠93+94"</formula>
    </cfRule>
  </conditionalFormatting>
  <conditionalFormatting sqref="B104">
    <cfRule type="expression" dxfId="584" priority="450">
      <formula>#REF!="104≠96+97+98+99+100+101+103"</formula>
    </cfRule>
    <cfRule type="expression" dxfId="583" priority="451">
      <formula>#REF!="104≠105+106"</formula>
    </cfRule>
  </conditionalFormatting>
  <conditionalFormatting sqref="B116">
    <cfRule type="expression" dxfId="582" priority="452">
      <formula>#REF!="116≠108+109+110+111+112+113+115"</formula>
    </cfRule>
    <cfRule type="expression" dxfId="581" priority="453">
      <formula>#REF!="116≠117+118"</formula>
    </cfRule>
  </conditionalFormatting>
  <conditionalFormatting sqref="B130">
    <cfRule type="expression" dxfId="580" priority="454">
      <formula>#REF!="130≠122+123+124+125+126+127+129"</formula>
    </cfRule>
    <cfRule type="expression" dxfId="579" priority="455">
      <formula>#REF!="130≠131+132"</formula>
    </cfRule>
  </conditionalFormatting>
  <conditionalFormatting sqref="B142">
    <cfRule type="expression" dxfId="578" priority="456">
      <formula>#REF!="142≠134+135+136+137+138+139+141"</formula>
    </cfRule>
    <cfRule type="expression" dxfId="577" priority="457">
      <formula>#REF!="142≠143+144"</formula>
    </cfRule>
  </conditionalFormatting>
  <conditionalFormatting sqref="B20">
    <cfRule type="expression" dxfId="576" priority="458">
      <formula>#REF!="20≠12+13+14+15+16+17+19"</formula>
    </cfRule>
  </conditionalFormatting>
  <conditionalFormatting sqref="Q20">
    <cfRule type="expression" dxfId="575" priority="393">
      <formula>#REF!="20≠21+22"</formula>
    </cfRule>
  </conditionalFormatting>
  <conditionalFormatting sqref="Q32">
    <cfRule type="expression" dxfId="574" priority="394">
      <formula>#REF!="32≠24+25+26+27+28+29+31"</formula>
    </cfRule>
    <cfRule type="expression" dxfId="573" priority="395">
      <formula>#REF!="32≠33+34"</formula>
    </cfRule>
  </conditionalFormatting>
  <conditionalFormatting sqref="Q44">
    <cfRule type="expression" dxfId="572" priority="396">
      <formula>#REF!="44≠36+37+38+39+40+41+43"</formula>
    </cfRule>
    <cfRule type="expression" dxfId="571" priority="397">
      <formula>#REF!="44≠45+46"</formula>
    </cfRule>
  </conditionalFormatting>
  <conditionalFormatting sqref="Q56">
    <cfRule type="expression" dxfId="570" priority="398">
      <formula>#REF!="56≠48+49+50+51+52+53+55"</formula>
    </cfRule>
    <cfRule type="expression" dxfId="569" priority="399">
      <formula>#REF!="56≠57+58"</formula>
    </cfRule>
  </conditionalFormatting>
  <conditionalFormatting sqref="Q68">
    <cfRule type="expression" dxfId="568" priority="400">
      <formula>#REF!="68≠60+61+62+63+64+65+67"</formula>
    </cfRule>
    <cfRule type="expression" dxfId="567" priority="401">
      <formula>#REF!="68≠69+70"</formula>
    </cfRule>
  </conditionalFormatting>
  <conditionalFormatting sqref="Q80">
    <cfRule type="expression" dxfId="566" priority="402">
      <formula>#REF!="80≠72+73+74+75+76+77+79"</formula>
    </cfRule>
    <cfRule type="expression" dxfId="565" priority="403">
      <formula>#REF!="80≠81+82"</formula>
    </cfRule>
  </conditionalFormatting>
  <conditionalFormatting sqref="Q92">
    <cfRule type="expression" dxfId="564" priority="404">
      <formula>#REF!="92≠84+85+86+87+88+89+91"</formula>
    </cfRule>
    <cfRule type="expression" dxfId="563" priority="405">
      <formula>#REF!="92≠93+94"</formula>
    </cfRule>
  </conditionalFormatting>
  <conditionalFormatting sqref="Q104">
    <cfRule type="expression" dxfId="562" priority="406">
      <formula>#REF!="104≠96+97+98+99+100+101+103"</formula>
    </cfRule>
    <cfRule type="expression" dxfId="561" priority="407">
      <formula>#REF!="104≠105+106"</formula>
    </cfRule>
  </conditionalFormatting>
  <conditionalFormatting sqref="Q116">
    <cfRule type="expression" dxfId="560" priority="408">
      <formula>#REF!="116≠108+109+110+111+112+113+115"</formula>
    </cfRule>
    <cfRule type="expression" dxfId="559" priority="409">
      <formula>#REF!="116≠117+118"</formula>
    </cfRule>
  </conditionalFormatting>
  <conditionalFormatting sqref="Q130">
    <cfRule type="expression" dxfId="558" priority="410">
      <formula>#REF!="130≠122+123+124+125+126+127+129"</formula>
    </cfRule>
    <cfRule type="expression" dxfId="557" priority="411">
      <formula>#REF!="130≠131+132"</formula>
    </cfRule>
  </conditionalFormatting>
  <conditionalFormatting sqref="Q142">
    <cfRule type="expression" dxfId="556" priority="412">
      <formula>#REF!="142≠134+135+136+137+138+139+141"</formula>
    </cfRule>
    <cfRule type="expression" dxfId="555" priority="413">
      <formula>#REF!="142≠143+144"</formula>
    </cfRule>
  </conditionalFormatting>
  <conditionalFormatting sqref="Q20">
    <cfRule type="expression" dxfId="554" priority="414">
      <formula>#REF!="20≠12+13+14+15+16+17+19"</formula>
    </cfRule>
  </conditionalFormatting>
  <conditionalFormatting sqref="AL20">
    <cfRule type="expression" dxfId="553" priority="349">
      <formula>#REF!="20≠21+22"</formula>
    </cfRule>
  </conditionalFormatting>
  <conditionalFormatting sqref="AL32">
    <cfRule type="expression" dxfId="552" priority="350">
      <formula>#REF!="32≠24+25+26+27+28+29+31"</formula>
    </cfRule>
    <cfRule type="expression" dxfId="551" priority="351">
      <formula>#REF!="32≠33+34"</formula>
    </cfRule>
  </conditionalFormatting>
  <conditionalFormatting sqref="AL44">
    <cfRule type="expression" dxfId="550" priority="352">
      <formula>#REF!="44≠36+37+38+39+40+41+43"</formula>
    </cfRule>
    <cfRule type="expression" dxfId="549" priority="353">
      <formula>#REF!="44≠45+46"</formula>
    </cfRule>
  </conditionalFormatting>
  <conditionalFormatting sqref="AL56">
    <cfRule type="expression" dxfId="548" priority="354">
      <formula>#REF!="56≠48+49+50+51+52+53+55"</formula>
    </cfRule>
    <cfRule type="expression" dxfId="547" priority="355">
      <formula>#REF!="56≠57+58"</formula>
    </cfRule>
  </conditionalFormatting>
  <conditionalFormatting sqref="AL68">
    <cfRule type="expression" dxfId="546" priority="356">
      <formula>#REF!="68≠60+61+62+63+64+65+67"</formula>
    </cfRule>
    <cfRule type="expression" dxfId="545" priority="357">
      <formula>#REF!="68≠69+70"</formula>
    </cfRule>
  </conditionalFormatting>
  <conditionalFormatting sqref="AL80">
    <cfRule type="expression" dxfId="544" priority="358">
      <formula>#REF!="80≠72+73+74+75+76+77+79"</formula>
    </cfRule>
    <cfRule type="expression" dxfId="543" priority="359">
      <formula>#REF!="80≠81+82"</formula>
    </cfRule>
  </conditionalFormatting>
  <conditionalFormatting sqref="AL92">
    <cfRule type="expression" dxfId="542" priority="360">
      <formula>#REF!="92≠84+85+86+87+88+89+91"</formula>
    </cfRule>
    <cfRule type="expression" dxfId="541" priority="361">
      <formula>#REF!="92≠93+94"</formula>
    </cfRule>
  </conditionalFormatting>
  <conditionalFormatting sqref="AL104">
    <cfRule type="expression" dxfId="540" priority="362">
      <formula>#REF!="104≠96+97+98+99+100+101+103"</formula>
    </cfRule>
    <cfRule type="expression" dxfId="539" priority="363">
      <formula>#REF!="104≠105+106"</formula>
    </cfRule>
  </conditionalFormatting>
  <conditionalFormatting sqref="AL116">
    <cfRule type="expression" dxfId="538" priority="364">
      <formula>#REF!="116≠108+109+110+111+112+113+115"</formula>
    </cfRule>
    <cfRule type="expression" dxfId="537" priority="365">
      <formula>#REF!="116≠117+118"</formula>
    </cfRule>
  </conditionalFormatting>
  <conditionalFormatting sqref="AL130">
    <cfRule type="expression" dxfId="536" priority="366">
      <formula>#REF!="130≠122+123+124+125+126+127+129"</formula>
    </cfRule>
    <cfRule type="expression" dxfId="535" priority="367">
      <formula>#REF!="130≠131+132"</formula>
    </cfRule>
  </conditionalFormatting>
  <conditionalFormatting sqref="AL142">
    <cfRule type="expression" dxfId="534" priority="368">
      <formula>#REF!="142≠134+135+136+137+138+139+141"</formula>
    </cfRule>
    <cfRule type="expression" dxfId="533" priority="369">
      <formula>#REF!="142≠143+144"</formula>
    </cfRule>
  </conditionalFormatting>
  <conditionalFormatting sqref="AL20">
    <cfRule type="expression" dxfId="532" priority="370">
      <formula>#REF!="20≠12+13+14+15+16+17+19"</formula>
    </cfRule>
  </conditionalFormatting>
  <conditionalFormatting sqref="AC20">
    <cfRule type="expression" dxfId="531" priority="305">
      <formula>#REF!="20≠21+22"</formula>
    </cfRule>
  </conditionalFormatting>
  <conditionalFormatting sqref="AC32">
    <cfRule type="expression" dxfId="530" priority="306">
      <formula>#REF!="32≠24+25+26+27+28+29+31"</formula>
    </cfRule>
    <cfRule type="expression" dxfId="529" priority="307">
      <formula>#REF!="32≠33+34"</formula>
    </cfRule>
  </conditionalFormatting>
  <conditionalFormatting sqref="AC44">
    <cfRule type="expression" dxfId="528" priority="308">
      <formula>#REF!="44≠36+37+38+39+40+41+43"</formula>
    </cfRule>
    <cfRule type="expression" dxfId="527" priority="309">
      <formula>#REF!="44≠45+46"</formula>
    </cfRule>
  </conditionalFormatting>
  <conditionalFormatting sqref="AC56">
    <cfRule type="expression" dxfId="526" priority="310">
      <formula>#REF!="56≠48+49+50+51+52+53+55"</formula>
    </cfRule>
    <cfRule type="expression" dxfId="525" priority="311">
      <formula>#REF!="56≠57+58"</formula>
    </cfRule>
  </conditionalFormatting>
  <conditionalFormatting sqref="AC68">
    <cfRule type="expression" dxfId="524" priority="312">
      <formula>#REF!="68≠60+61+62+63+64+65+67"</formula>
    </cfRule>
    <cfRule type="expression" dxfId="523" priority="313">
      <formula>#REF!="68≠69+70"</formula>
    </cfRule>
  </conditionalFormatting>
  <conditionalFormatting sqref="AC80">
    <cfRule type="expression" dxfId="522" priority="314">
      <formula>#REF!="80≠72+73+74+75+76+77+79"</formula>
    </cfRule>
    <cfRule type="expression" dxfId="521" priority="315">
      <formula>#REF!="80≠81+82"</formula>
    </cfRule>
  </conditionalFormatting>
  <conditionalFormatting sqref="AC92">
    <cfRule type="expression" dxfId="520" priority="316">
      <formula>#REF!="92≠84+85+86+87+88+89+91"</formula>
    </cfRule>
    <cfRule type="expression" dxfId="519" priority="317">
      <formula>#REF!="92≠93+94"</formula>
    </cfRule>
  </conditionalFormatting>
  <conditionalFormatting sqref="AC104">
    <cfRule type="expression" dxfId="518" priority="318">
      <formula>#REF!="104≠96+97+98+99+100+101+103"</formula>
    </cfRule>
    <cfRule type="expression" dxfId="517" priority="319">
      <formula>#REF!="104≠105+106"</formula>
    </cfRule>
  </conditionalFormatting>
  <conditionalFormatting sqref="AC116">
    <cfRule type="expression" dxfId="516" priority="320">
      <formula>#REF!="116≠108+109+110+111+112+113+115"</formula>
    </cfRule>
    <cfRule type="expression" dxfId="515" priority="321">
      <formula>#REF!="116≠117+118"</formula>
    </cfRule>
  </conditionalFormatting>
  <conditionalFormatting sqref="AC130">
    <cfRule type="expression" dxfId="514" priority="322">
      <formula>#REF!="130≠122+123+124+125+126+127+129"</formula>
    </cfRule>
    <cfRule type="expression" dxfId="513" priority="323">
      <formula>#REF!="130≠131+132"</formula>
    </cfRule>
  </conditionalFormatting>
  <conditionalFormatting sqref="AC142">
    <cfRule type="expression" dxfId="512" priority="324">
      <formula>#REF!="142≠134+135+136+137+138+139+141"</formula>
    </cfRule>
    <cfRule type="expression" dxfId="511" priority="325">
      <formula>#REF!="142≠143+144"</formula>
    </cfRule>
  </conditionalFormatting>
  <conditionalFormatting sqref="AC20">
    <cfRule type="expression" dxfId="510" priority="326">
      <formula>#REF!="20≠12+13+14+15+16+17+19"</formula>
    </cfRule>
  </conditionalFormatting>
  <conditionalFormatting sqref="W20">
    <cfRule type="expression" dxfId="509" priority="265">
      <formula>#REF!="20≠21+22"</formula>
    </cfRule>
  </conditionalFormatting>
  <conditionalFormatting sqref="W32">
    <cfRule type="expression" dxfId="508" priority="266">
      <formula>#REF!="32≠24+25+26+27+28+29+31"</formula>
    </cfRule>
    <cfRule type="expression" dxfId="507" priority="267">
      <formula>#REF!="32≠33+34"</formula>
    </cfRule>
  </conditionalFormatting>
  <conditionalFormatting sqref="W44">
    <cfRule type="expression" dxfId="506" priority="268">
      <formula>#REF!="44≠36+37+38+39+40+41+43"</formula>
    </cfRule>
    <cfRule type="expression" dxfId="505" priority="269">
      <formula>#REF!="44≠45+46"</formula>
    </cfRule>
  </conditionalFormatting>
  <conditionalFormatting sqref="W56">
    <cfRule type="expression" dxfId="504" priority="270">
      <formula>#REF!="56≠48+49+50+51+52+53+55"</formula>
    </cfRule>
    <cfRule type="expression" dxfId="503" priority="271">
      <formula>#REF!="56≠57+58"</formula>
    </cfRule>
  </conditionalFormatting>
  <conditionalFormatting sqref="W68">
    <cfRule type="expression" dxfId="502" priority="272">
      <formula>#REF!="68≠60+61+62+63+64+65+67"</formula>
    </cfRule>
    <cfRule type="expression" dxfId="501" priority="273">
      <formula>#REF!="68≠69+70"</formula>
    </cfRule>
  </conditionalFormatting>
  <conditionalFormatting sqref="W80">
    <cfRule type="expression" dxfId="500" priority="274">
      <formula>#REF!="80≠72+73+74+75+76+77+79"</formula>
    </cfRule>
    <cfRule type="expression" dxfId="499" priority="275">
      <formula>#REF!="80≠81+82"</formula>
    </cfRule>
  </conditionalFormatting>
  <conditionalFormatting sqref="W92">
    <cfRule type="expression" dxfId="498" priority="276">
      <formula>#REF!="92≠84+85+86+87+88+89+91"</formula>
    </cfRule>
    <cfRule type="expression" dxfId="497" priority="277">
      <formula>#REF!="92≠93+94"</formula>
    </cfRule>
  </conditionalFormatting>
  <conditionalFormatting sqref="W104">
    <cfRule type="expression" dxfId="496" priority="278">
      <formula>#REF!="104≠96+97+98+99+100+101+103"</formula>
    </cfRule>
    <cfRule type="expression" dxfId="495" priority="279">
      <formula>#REF!="104≠105+106"</formula>
    </cfRule>
  </conditionalFormatting>
  <conditionalFormatting sqref="W116">
    <cfRule type="expression" dxfId="494" priority="280">
      <formula>#REF!="116≠108+109+110+111+112+113+115"</formula>
    </cfRule>
    <cfRule type="expression" dxfId="493" priority="281">
      <formula>#REF!="116≠117+118"</formula>
    </cfRule>
  </conditionalFormatting>
  <conditionalFormatting sqref="W20">
    <cfRule type="expression" dxfId="492" priority="282">
      <formula>#REF!="20≠12+13+14+15+16+17+19"</formula>
    </cfRule>
  </conditionalFormatting>
  <conditionalFormatting sqref="AI20">
    <cfRule type="expression" dxfId="491" priority="221">
      <formula>#REF!="20≠21+22"</formula>
    </cfRule>
  </conditionalFormatting>
  <conditionalFormatting sqref="AI32">
    <cfRule type="expression" dxfId="490" priority="222">
      <formula>#REF!="32≠24+25+26+27+28+29+31"</formula>
    </cfRule>
    <cfRule type="expression" dxfId="489" priority="223">
      <formula>#REF!="32≠33+34"</formula>
    </cfRule>
  </conditionalFormatting>
  <conditionalFormatting sqref="AI44">
    <cfRule type="expression" dxfId="488" priority="224">
      <formula>#REF!="44≠36+37+38+39+40+41+43"</formula>
    </cfRule>
    <cfRule type="expression" dxfId="487" priority="225">
      <formula>#REF!="44≠45+46"</formula>
    </cfRule>
  </conditionalFormatting>
  <conditionalFormatting sqref="AI56">
    <cfRule type="expression" dxfId="486" priority="226">
      <formula>#REF!="56≠48+49+50+51+52+53+55"</formula>
    </cfRule>
    <cfRule type="expression" dxfId="485" priority="227">
      <formula>#REF!="56≠57+58"</formula>
    </cfRule>
  </conditionalFormatting>
  <conditionalFormatting sqref="AI68">
    <cfRule type="expression" dxfId="484" priority="228">
      <formula>#REF!="68≠60+61+62+63+64+65+67"</formula>
    </cfRule>
    <cfRule type="expression" dxfId="483" priority="229">
      <formula>#REF!="68≠69+70"</formula>
    </cfRule>
  </conditionalFormatting>
  <conditionalFormatting sqref="AI80">
    <cfRule type="expression" dxfId="482" priority="230">
      <formula>#REF!="80≠72+73+74+75+76+77+79"</formula>
    </cfRule>
    <cfRule type="expression" dxfId="481" priority="231">
      <formula>#REF!="80≠81+82"</formula>
    </cfRule>
  </conditionalFormatting>
  <conditionalFormatting sqref="AI92">
    <cfRule type="expression" dxfId="480" priority="232">
      <formula>#REF!="92≠84+85+86+87+88+89+91"</formula>
    </cfRule>
    <cfRule type="expression" dxfId="479" priority="233">
      <formula>#REF!="92≠93+94"</formula>
    </cfRule>
  </conditionalFormatting>
  <conditionalFormatting sqref="AI104">
    <cfRule type="expression" dxfId="478" priority="234">
      <formula>#REF!="104≠96+97+98+99+100+101+103"</formula>
    </cfRule>
    <cfRule type="expression" dxfId="477" priority="235">
      <formula>#REF!="104≠105+106"</formula>
    </cfRule>
  </conditionalFormatting>
  <conditionalFormatting sqref="AI116">
    <cfRule type="expression" dxfId="476" priority="236">
      <formula>#REF!="116≠108+109+110+111+112+113+115"</formula>
    </cfRule>
    <cfRule type="expression" dxfId="475" priority="237">
      <formula>#REF!="116≠117+118"</formula>
    </cfRule>
  </conditionalFormatting>
  <conditionalFormatting sqref="AI130">
    <cfRule type="expression" dxfId="474" priority="238">
      <formula>#REF!="130≠122+123+124+125+126+127+129"</formula>
    </cfRule>
    <cfRule type="expression" dxfId="473" priority="239">
      <formula>#REF!="130≠131+132"</formula>
    </cfRule>
  </conditionalFormatting>
  <conditionalFormatting sqref="AI142">
    <cfRule type="expression" dxfId="472" priority="240">
      <formula>#REF!="142≠134+135+136+137+138+139+141"</formula>
    </cfRule>
    <cfRule type="expression" dxfId="471" priority="241">
      <formula>#REF!="142≠143+144"</formula>
    </cfRule>
  </conditionalFormatting>
  <conditionalFormatting sqref="AI20">
    <cfRule type="expression" dxfId="470" priority="242">
      <formula>#REF!="20≠12+13+14+15+16+17+19"</formula>
    </cfRule>
  </conditionalFormatting>
  <conditionalFormatting sqref="N20">
    <cfRule type="expression" dxfId="469" priority="177">
      <formula>#REF!="20≠21+22"</formula>
    </cfRule>
  </conditionalFormatting>
  <conditionalFormatting sqref="N32">
    <cfRule type="expression" dxfId="468" priority="178">
      <formula>#REF!="32≠24+25+26+27+28+29+31"</formula>
    </cfRule>
    <cfRule type="expression" dxfId="467" priority="179">
      <formula>#REF!="32≠33+34"</formula>
    </cfRule>
  </conditionalFormatting>
  <conditionalFormatting sqref="N44">
    <cfRule type="expression" dxfId="466" priority="180">
      <formula>#REF!="44≠36+37+38+39+40+41+43"</formula>
    </cfRule>
    <cfRule type="expression" dxfId="465" priority="181">
      <formula>#REF!="44≠45+46"</formula>
    </cfRule>
  </conditionalFormatting>
  <conditionalFormatting sqref="N56">
    <cfRule type="expression" dxfId="464" priority="182">
      <formula>#REF!="56≠48+49+50+51+52+53+55"</formula>
    </cfRule>
    <cfRule type="expression" dxfId="463" priority="183">
      <formula>#REF!="56≠57+58"</formula>
    </cfRule>
  </conditionalFormatting>
  <conditionalFormatting sqref="N68">
    <cfRule type="expression" dxfId="462" priority="184">
      <formula>#REF!="68≠60+61+62+63+64+65+67"</formula>
    </cfRule>
    <cfRule type="expression" dxfId="461" priority="185">
      <formula>#REF!="68≠69+70"</formula>
    </cfRule>
  </conditionalFormatting>
  <conditionalFormatting sqref="N80">
    <cfRule type="expression" dxfId="460" priority="186">
      <formula>#REF!="80≠72+73+74+75+76+77+79"</formula>
    </cfRule>
    <cfRule type="expression" dxfId="459" priority="187">
      <formula>#REF!="80≠81+82"</formula>
    </cfRule>
  </conditionalFormatting>
  <conditionalFormatting sqref="N92">
    <cfRule type="expression" dxfId="458" priority="188">
      <formula>#REF!="92≠84+85+86+87+88+89+91"</formula>
    </cfRule>
    <cfRule type="expression" dxfId="457" priority="189">
      <formula>#REF!="92≠93+94"</formula>
    </cfRule>
  </conditionalFormatting>
  <conditionalFormatting sqref="N104">
    <cfRule type="expression" dxfId="456" priority="190">
      <formula>#REF!="104≠96+97+98+99+100+101+103"</formula>
    </cfRule>
    <cfRule type="expression" dxfId="455" priority="191">
      <formula>#REF!="104≠105+106"</formula>
    </cfRule>
  </conditionalFormatting>
  <conditionalFormatting sqref="N116">
    <cfRule type="expression" dxfId="454" priority="192">
      <formula>#REF!="116≠108+109+110+111+112+113+115"</formula>
    </cfRule>
    <cfRule type="expression" dxfId="453" priority="193">
      <formula>#REF!="116≠117+118"</formula>
    </cfRule>
  </conditionalFormatting>
  <conditionalFormatting sqref="N130">
    <cfRule type="expression" dxfId="452" priority="194">
      <formula>#REF!="130≠122+123+124+125+126+127+129"</formula>
    </cfRule>
    <cfRule type="expression" dxfId="451" priority="195">
      <formula>#REF!="130≠131+132"</formula>
    </cfRule>
  </conditionalFormatting>
  <conditionalFormatting sqref="N142">
    <cfRule type="expression" dxfId="450" priority="196">
      <formula>#REF!="142≠134+135+136+137+138+139+141"</formula>
    </cfRule>
    <cfRule type="expression" dxfId="449" priority="197">
      <formula>#REF!="142≠143+144"</formula>
    </cfRule>
  </conditionalFormatting>
  <conditionalFormatting sqref="N20">
    <cfRule type="expression" dxfId="448" priority="198">
      <formula>#REF!="20≠12+13+14+15+16+17+19"</formula>
    </cfRule>
  </conditionalFormatting>
  <conditionalFormatting sqref="T20">
    <cfRule type="expression" dxfId="447" priority="133">
      <formula>#REF!="20≠21+22"</formula>
    </cfRule>
  </conditionalFormatting>
  <conditionalFormatting sqref="T32">
    <cfRule type="expression" dxfId="446" priority="134">
      <formula>#REF!="32≠24+25+26+27+28+29+31"</formula>
    </cfRule>
    <cfRule type="expression" dxfId="445" priority="135">
      <formula>#REF!="32≠33+34"</formula>
    </cfRule>
  </conditionalFormatting>
  <conditionalFormatting sqref="T44">
    <cfRule type="expression" dxfId="444" priority="136">
      <formula>#REF!="44≠36+37+38+39+40+41+43"</formula>
    </cfRule>
    <cfRule type="expression" dxfId="443" priority="137">
      <formula>#REF!="44≠45+46"</formula>
    </cfRule>
  </conditionalFormatting>
  <conditionalFormatting sqref="T56">
    <cfRule type="expression" dxfId="442" priority="138">
      <formula>#REF!="56≠48+49+50+51+52+53+55"</formula>
    </cfRule>
    <cfRule type="expression" dxfId="441" priority="139">
      <formula>#REF!="56≠57+58"</formula>
    </cfRule>
  </conditionalFormatting>
  <conditionalFormatting sqref="T68">
    <cfRule type="expression" dxfId="440" priority="140">
      <formula>#REF!="68≠60+61+62+63+64+65+67"</formula>
    </cfRule>
    <cfRule type="expression" dxfId="439" priority="141">
      <formula>#REF!="68≠69+70"</formula>
    </cfRule>
  </conditionalFormatting>
  <conditionalFormatting sqref="T80">
    <cfRule type="expression" dxfId="438" priority="142">
      <formula>#REF!="80≠72+73+74+75+76+77+79"</formula>
    </cfRule>
    <cfRule type="expression" dxfId="437" priority="143">
      <formula>#REF!="80≠81+82"</formula>
    </cfRule>
  </conditionalFormatting>
  <conditionalFormatting sqref="T92">
    <cfRule type="expression" dxfId="436" priority="144">
      <formula>#REF!="92≠84+85+86+87+88+89+91"</formula>
    </cfRule>
    <cfRule type="expression" dxfId="435" priority="145">
      <formula>#REF!="92≠93+94"</formula>
    </cfRule>
  </conditionalFormatting>
  <conditionalFormatting sqref="T104">
    <cfRule type="expression" dxfId="434" priority="146">
      <formula>#REF!="104≠96+97+98+99+100+101+103"</formula>
    </cfRule>
    <cfRule type="expression" dxfId="433" priority="147">
      <formula>#REF!="104≠105+106"</formula>
    </cfRule>
  </conditionalFormatting>
  <conditionalFormatting sqref="T116">
    <cfRule type="expression" dxfId="432" priority="148">
      <formula>#REF!="116≠108+109+110+111+112+113+115"</formula>
    </cfRule>
    <cfRule type="expression" dxfId="431" priority="149">
      <formula>#REF!="116≠117+118"</formula>
    </cfRule>
  </conditionalFormatting>
  <conditionalFormatting sqref="T130">
    <cfRule type="expression" dxfId="430" priority="150">
      <formula>#REF!="130≠122+123+124+125+126+127+129"</formula>
    </cfRule>
    <cfRule type="expression" dxfId="429" priority="151">
      <formula>#REF!="130≠131+132"</formula>
    </cfRule>
  </conditionalFormatting>
  <conditionalFormatting sqref="T142">
    <cfRule type="expression" dxfId="428" priority="152">
      <formula>#REF!="142≠134+135+136+137+138+139+141"</formula>
    </cfRule>
    <cfRule type="expression" dxfId="427" priority="153">
      <formula>#REF!="142≠143+144"</formula>
    </cfRule>
  </conditionalFormatting>
  <conditionalFormatting sqref="T20">
    <cfRule type="expression" dxfId="426" priority="154">
      <formula>#REF!="20≠12+13+14+15+16+17+19"</formula>
    </cfRule>
  </conditionalFormatting>
  <conditionalFormatting sqref="AF20">
    <cfRule type="expression" dxfId="425" priority="89">
      <formula>#REF!="20≠21+22"</formula>
    </cfRule>
  </conditionalFormatting>
  <conditionalFormatting sqref="AF32">
    <cfRule type="expression" dxfId="424" priority="90">
      <formula>#REF!="32≠24+25+26+27+28+29+31"</formula>
    </cfRule>
    <cfRule type="expression" dxfId="423" priority="91">
      <formula>#REF!="32≠33+34"</formula>
    </cfRule>
  </conditionalFormatting>
  <conditionalFormatting sqref="AF44">
    <cfRule type="expression" dxfId="422" priority="92">
      <formula>#REF!="44≠36+37+38+39+40+41+43"</formula>
    </cfRule>
    <cfRule type="expression" dxfId="421" priority="93">
      <formula>#REF!="44≠45+46"</formula>
    </cfRule>
  </conditionalFormatting>
  <conditionalFormatting sqref="AF56">
    <cfRule type="expression" dxfId="420" priority="94">
      <formula>#REF!="56≠48+49+50+51+52+53+55"</formula>
    </cfRule>
    <cfRule type="expression" dxfId="419" priority="95">
      <formula>#REF!="56≠57+58"</formula>
    </cfRule>
  </conditionalFormatting>
  <conditionalFormatting sqref="AF68">
    <cfRule type="expression" dxfId="418" priority="96">
      <formula>#REF!="68≠60+61+62+63+64+65+67"</formula>
    </cfRule>
    <cfRule type="expression" dxfId="417" priority="97">
      <formula>#REF!="68≠69+70"</formula>
    </cfRule>
  </conditionalFormatting>
  <conditionalFormatting sqref="AF80">
    <cfRule type="expression" dxfId="416" priority="98">
      <formula>#REF!="80≠72+73+74+75+76+77+79"</formula>
    </cfRule>
    <cfRule type="expression" dxfId="415" priority="99">
      <formula>#REF!="80≠81+82"</formula>
    </cfRule>
  </conditionalFormatting>
  <conditionalFormatting sqref="AF92">
    <cfRule type="expression" dxfId="414" priority="100">
      <formula>#REF!="92≠84+85+86+87+88+89+91"</formula>
    </cfRule>
    <cfRule type="expression" dxfId="413" priority="101">
      <formula>#REF!="92≠93+94"</formula>
    </cfRule>
  </conditionalFormatting>
  <conditionalFormatting sqref="AF104">
    <cfRule type="expression" dxfId="412" priority="102">
      <formula>#REF!="104≠96+97+98+99+100+101+103"</formula>
    </cfRule>
    <cfRule type="expression" dxfId="411" priority="103">
      <formula>#REF!="104≠105+106"</formula>
    </cfRule>
  </conditionalFormatting>
  <conditionalFormatting sqref="AF116">
    <cfRule type="expression" dxfId="410" priority="104">
      <formula>#REF!="116≠108+109+110+111+112+113+115"</formula>
    </cfRule>
    <cfRule type="expression" dxfId="409" priority="105">
      <formula>#REF!="116≠117+118"</formula>
    </cfRule>
  </conditionalFormatting>
  <conditionalFormatting sqref="AF130">
    <cfRule type="expression" dxfId="408" priority="106">
      <formula>#REF!="130≠122+123+124+125+126+127+129"</formula>
    </cfRule>
    <cfRule type="expression" dxfId="407" priority="107">
      <formula>#REF!="130≠131+132"</formula>
    </cfRule>
  </conditionalFormatting>
  <conditionalFormatting sqref="AF142">
    <cfRule type="expression" dxfId="406" priority="108">
      <formula>#REF!="142≠134+135+136+137+138+139+141"</formula>
    </cfRule>
    <cfRule type="expression" dxfId="405" priority="109">
      <formula>#REF!="142≠143+144"</formula>
    </cfRule>
  </conditionalFormatting>
  <conditionalFormatting sqref="AF20">
    <cfRule type="expression" dxfId="404" priority="110">
      <formula>#REF!="20≠12+13+14+15+16+17+19"</formula>
    </cfRule>
  </conditionalFormatting>
  <conditionalFormatting sqref="E20">
    <cfRule type="expression" dxfId="403" priority="45">
      <formula>#REF!="20≠21+22"</formula>
    </cfRule>
  </conditionalFormatting>
  <conditionalFormatting sqref="E32">
    <cfRule type="expression" dxfId="402" priority="46">
      <formula>#REF!="32≠24+25+26+27+28+29+31"</formula>
    </cfRule>
    <cfRule type="expression" dxfId="401" priority="47">
      <formula>#REF!="32≠33+34"</formula>
    </cfRule>
  </conditionalFormatting>
  <conditionalFormatting sqref="E44">
    <cfRule type="expression" dxfId="400" priority="48">
      <formula>#REF!="44≠36+37+38+39+40+41+43"</formula>
    </cfRule>
    <cfRule type="expression" dxfId="399" priority="49">
      <formula>#REF!="44≠45+46"</formula>
    </cfRule>
  </conditionalFormatting>
  <conditionalFormatting sqref="E56">
    <cfRule type="expression" dxfId="398" priority="50">
      <formula>#REF!="56≠48+49+50+51+52+53+55"</formula>
    </cfRule>
    <cfRule type="expression" dxfId="397" priority="51">
      <formula>#REF!="56≠57+58"</formula>
    </cfRule>
  </conditionalFormatting>
  <conditionalFormatting sqref="E68">
    <cfRule type="expression" dxfId="396" priority="52">
      <formula>#REF!="68≠60+61+62+63+64+65+67"</formula>
    </cfRule>
    <cfRule type="expression" dxfId="395" priority="53">
      <formula>#REF!="68≠69+70"</formula>
    </cfRule>
  </conditionalFormatting>
  <conditionalFormatting sqref="E80">
    <cfRule type="expression" dxfId="394" priority="54">
      <formula>#REF!="80≠72+73+74+75+76+77+79"</formula>
    </cfRule>
    <cfRule type="expression" dxfId="393" priority="55">
      <formula>#REF!="80≠81+82"</formula>
    </cfRule>
  </conditionalFormatting>
  <conditionalFormatting sqref="E92">
    <cfRule type="expression" dxfId="392" priority="56">
      <formula>#REF!="92≠84+85+86+87+88+89+91"</formula>
    </cfRule>
    <cfRule type="expression" dxfId="391" priority="57">
      <formula>#REF!="92≠93+94"</formula>
    </cfRule>
  </conditionalFormatting>
  <conditionalFormatting sqref="E104">
    <cfRule type="expression" dxfId="390" priority="58">
      <formula>#REF!="104≠96+97+98+99+100+101+103"</formula>
    </cfRule>
    <cfRule type="expression" dxfId="389" priority="59">
      <formula>#REF!="104≠105+106"</formula>
    </cfRule>
  </conditionalFormatting>
  <conditionalFormatting sqref="E116">
    <cfRule type="expression" dxfId="388" priority="60">
      <formula>#REF!="116≠108+109+110+111+112+113+115"</formula>
    </cfRule>
    <cfRule type="expression" dxfId="387" priority="61">
      <formula>#REF!="116≠117+118"</formula>
    </cfRule>
  </conditionalFormatting>
  <conditionalFormatting sqref="E130">
    <cfRule type="expression" dxfId="386" priority="62">
      <formula>#REF!="130≠122+123+124+125+126+127+129"</formula>
    </cfRule>
    <cfRule type="expression" dxfId="385" priority="63">
      <formula>#REF!="130≠131+132"</formula>
    </cfRule>
  </conditionalFormatting>
  <conditionalFormatting sqref="E142">
    <cfRule type="expression" dxfId="384" priority="64">
      <formula>#REF!="142≠134+135+136+137+138+139+141"</formula>
    </cfRule>
    <cfRule type="expression" dxfId="383" priority="65">
      <formula>#REF!="142≠143+144"</formula>
    </cfRule>
  </conditionalFormatting>
  <conditionalFormatting sqref="E20">
    <cfRule type="expression" dxfId="382" priority="66">
      <formula>#REF!="20≠12+13+14+15+16+17+19"</formula>
    </cfRule>
  </conditionalFormatting>
  <conditionalFormatting sqref="H20">
    <cfRule type="expression" dxfId="381" priority="22">
      <formula>#REF!="20≠21+22"</formula>
    </cfRule>
  </conditionalFormatting>
  <conditionalFormatting sqref="H32">
    <cfRule type="expression" dxfId="380" priority="20">
      <formula>#REF!="32≠24+25+26+27+28+29+31"</formula>
    </cfRule>
    <cfRule type="expression" dxfId="379" priority="20">
      <formula>#REF!="32≠33+34"</formula>
    </cfRule>
  </conditionalFormatting>
  <conditionalFormatting sqref="H44">
    <cfRule type="expression" dxfId="378" priority="18">
      <formula>#REF!="44≠36+37+38+39+40+41+43"</formula>
    </cfRule>
    <cfRule type="expression" dxfId="377" priority="18">
      <formula>#REF!="44≠45+46"</formula>
    </cfRule>
  </conditionalFormatting>
  <conditionalFormatting sqref="H56">
    <cfRule type="expression" dxfId="376" priority="16">
      <formula>#REF!="56≠48+49+50+51+52+53+55"</formula>
    </cfRule>
    <cfRule type="expression" dxfId="375" priority="16">
      <formula>#REF!="56≠57+58"</formula>
    </cfRule>
  </conditionalFormatting>
  <conditionalFormatting sqref="H68">
    <cfRule type="expression" dxfId="374" priority="14">
      <formula>#REF!="68≠60+61+62+63+64+65+67"</formula>
    </cfRule>
    <cfRule type="expression" dxfId="373" priority="14">
      <formula>#REF!="68≠69+70"</formula>
    </cfRule>
  </conditionalFormatting>
  <conditionalFormatting sqref="H80">
    <cfRule type="expression" dxfId="372" priority="12">
      <formula>#REF!="80≠72+73+74+75+76+77+79"</formula>
    </cfRule>
    <cfRule type="expression" dxfId="371" priority="12">
      <formula>#REF!="80≠81+82"</formula>
    </cfRule>
  </conditionalFormatting>
  <conditionalFormatting sqref="H92">
    <cfRule type="expression" dxfId="370" priority="13">
      <formula>#REF!="92≠93+94"</formula>
    </cfRule>
    <cfRule type="expression" dxfId="369" priority="569">
      <formula>#REF!="92≠84+85+86+87+88+89+91"</formula>
    </cfRule>
  </conditionalFormatting>
  <conditionalFormatting sqref="H104">
    <cfRule type="expression" dxfId="368" priority="15">
      <formula>#REF!="104≠105+106"</formula>
    </cfRule>
    <cfRule type="expression" dxfId="367" priority="570">
      <formula>#REF!="104≠96+97+98+99+100+101+103"</formula>
    </cfRule>
  </conditionalFormatting>
  <conditionalFormatting sqref="H116">
    <cfRule type="expression" dxfId="366" priority="17">
      <formula>#REF!="116≠117+118"</formula>
    </cfRule>
    <cfRule type="expression" dxfId="365" priority="571">
      <formula>#REF!="116≠108+109+110+111+112+113+115"</formula>
    </cfRule>
  </conditionalFormatting>
  <conditionalFormatting sqref="H130">
    <cfRule type="expression" dxfId="364" priority="19">
      <formula>#REF!="130≠131+132"</formula>
    </cfRule>
    <cfRule type="expression" dxfId="363" priority="572">
      <formula>#REF!="130≠122+123+124+125+126+127+129"</formula>
    </cfRule>
  </conditionalFormatting>
  <conditionalFormatting sqref="H142">
    <cfRule type="expression" dxfId="362" priority="21">
      <formula>#REF!="142≠143+144"</formula>
    </cfRule>
    <cfRule type="expression" dxfId="361" priority="573">
      <formula>#REF!="142≠134+135+136+137+138+139+141"</formula>
    </cfRule>
  </conditionalFormatting>
  <conditionalFormatting sqref="H20">
    <cfRule type="expression" dxfId="360" priority="574">
      <formula>#REF!="20≠12+13+14+15+16+17+19"</formula>
    </cfRule>
  </conditionalFormatting>
  <conditionalFormatting sqref="L20 AA20 C20 R20 AM20 AD20 X20 AJ20 O20 U20 AG20 F20 I20">
    <cfRule type="expression" dxfId="359" priority="1107">
      <formula>#REF!="20≠21+22"</formula>
    </cfRule>
  </conditionalFormatting>
  <conditionalFormatting sqref="L32 AA32 C32 R32 AM32 AD32 X32 AJ32 O32 U32 AG32 F32 I32">
    <cfRule type="expression" dxfId="358" priority="1108">
      <formula>#REF!="32≠24+25+26+27+28+29+31"</formula>
    </cfRule>
    <cfRule type="expression" dxfId="357" priority="1109">
      <formula>#REF!="32≠33+34"</formula>
    </cfRule>
  </conditionalFormatting>
  <conditionalFormatting sqref="L44 AA44 C44 R44 AM44 AD44 X44 AJ44 O44 U44 AG44 F44 I44">
    <cfRule type="expression" dxfId="356" priority="1110">
      <formula>#REF!="44≠36+37+38+39+40+41+43"</formula>
    </cfRule>
    <cfRule type="expression" dxfId="355" priority="1111">
      <formula>#REF!="44≠45+46"</formula>
    </cfRule>
  </conditionalFormatting>
  <conditionalFormatting sqref="L56 AA56 C56 R56 AM56 AD56 X56 AJ56 O56 U56 AG56 F56 I56">
    <cfRule type="expression" dxfId="354" priority="1112">
      <formula>#REF!="56≠48+49+50+51+52+53+55"</formula>
    </cfRule>
    <cfRule type="expression" dxfId="353" priority="1113">
      <formula>#REF!="56≠57+58"</formula>
    </cfRule>
  </conditionalFormatting>
  <conditionalFormatting sqref="L68 AA68 C68 R68 AM68 AD68 X68 AJ68 O68 U68 AG68 F68 I68">
    <cfRule type="expression" dxfId="352" priority="1114">
      <formula>#REF!="68≠60+61+62+63+64+65+67"</formula>
    </cfRule>
    <cfRule type="expression" dxfId="351" priority="1115">
      <formula>#REF!="68≠69+70"</formula>
    </cfRule>
  </conditionalFormatting>
  <conditionalFormatting sqref="L80 AA80 C80 R80 AM80 AD80 X80 AJ80 O80 U80 AG80 F80 I80">
    <cfRule type="expression" dxfId="350" priority="1116">
      <formula>#REF!="80≠72+73+74+75+76+77+79"</formula>
    </cfRule>
    <cfRule type="expression" dxfId="349" priority="1117">
      <formula>#REF!="80≠81+82"</formula>
    </cfRule>
  </conditionalFormatting>
  <conditionalFormatting sqref="L92 AA92 C92 R92 AM92 AD92 X92 AJ92 O92 U92 AG92 F92 I92">
    <cfRule type="expression" dxfId="348" priority="1118">
      <formula>#REF!="92≠84+85+86+87+88+89+91"</formula>
    </cfRule>
    <cfRule type="expression" dxfId="347" priority="1119">
      <formula>#REF!="92≠93+94"</formula>
    </cfRule>
  </conditionalFormatting>
  <conditionalFormatting sqref="L104 AA104 C104 R104 AM104 AD104 X104 AJ104 O104 U104 AG104 F104 I104">
    <cfRule type="expression" dxfId="346" priority="1120">
      <formula>#REF!="104≠96+97+98+99+100+101+103"</formula>
    </cfRule>
    <cfRule type="expression" dxfId="345" priority="1121">
      <formula>#REF!="104≠105+106"</formula>
    </cfRule>
  </conditionalFormatting>
  <conditionalFormatting sqref="L116 AA116 C116 R116 AM116 AD116 X116 AJ116 O116 U116 AG116 F116 I116">
    <cfRule type="expression" dxfId="344" priority="1122">
      <formula>#REF!="116≠108+109+110+111+112+113+115"</formula>
    </cfRule>
    <cfRule type="expression" dxfId="343" priority="1123">
      <formula>#REF!="116≠117+118"</formula>
    </cfRule>
  </conditionalFormatting>
  <conditionalFormatting sqref="L130 AA130 C130 R130 AM130 AD130 W130:X130 AJ130 O130 U130 AG130 F130 I130">
    <cfRule type="expression" dxfId="342" priority="1124">
      <formula>#REF!="130≠122+123+124+125+126+127+129"</formula>
    </cfRule>
    <cfRule type="expression" dxfId="341" priority="1125">
      <formula>#REF!="130≠131+132"</formula>
    </cfRule>
  </conditionalFormatting>
  <conditionalFormatting sqref="L142 AA142 C142 R142 AM142 AD142 W142:X142 AJ142 O142 U142 AG142 F142 I142">
    <cfRule type="expression" dxfId="340" priority="1126">
      <formula>#REF!="142≠134+135+136+137+138+139+141"</formula>
    </cfRule>
    <cfRule type="expression" dxfId="339" priority="1127">
      <formula>#REF!="142≠143+144"</formula>
    </cfRule>
  </conditionalFormatting>
  <conditionalFormatting sqref="L20 AA20 C20 R20 AM20 AD20 X20 AJ20 O20 U20 AG20 F20 I20">
    <cfRule type="expression" dxfId="338" priority="1128">
      <formula>#REF!="20≠12+13+14+15+16+17+19"</formula>
    </cfRule>
  </conditionalFormatting>
  <hyperlinks>
    <hyperlink ref="B1" location="Innhold!A1" display="Tilbake" xr:uid="{00000000-0004-0000-2000-000000000000}"/>
  </hyperlinks>
  <printOptions headings="1"/>
  <pageMargins left="0.78740157480314965" right="0.78740157480314965" top="1.5748031496062993" bottom="0.98425196850393704" header="0.51181102362204722" footer="0.51181102362204722"/>
  <pageSetup paperSize="9" scale="40" fitToWidth="5" orientation="portrait" r:id="rId1"/>
  <headerFooter alignWithMargins="0"/>
  <rowBreaks count="1" manualBreakCount="1">
    <brk id="119" max="39" man="1"/>
  </rowBreaks>
  <colBreaks count="4" manualBreakCount="4">
    <brk id="16" min="1" max="108" man="1"/>
    <brk id="4" min="1" max="108" man="1"/>
    <brk id="31" min="1" max="108" man="1"/>
    <brk id="37" min="1" max="108"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X131"/>
  <sheetViews>
    <sheetView showGridLines="0" zoomScale="80" zoomScaleNormal="80" workbookViewId="0">
      <pane xSplit="1" ySplit="9" topLeftCell="B10" activePane="bottomRight" state="frozen"/>
      <selection activeCell="AU39" sqref="AU39"/>
      <selection pane="topRight" activeCell="AU39" sqref="AU39"/>
      <selection pane="bottomLeft" activeCell="AU39" sqref="AU39"/>
      <selection pane="bottomRight" activeCell="A5" sqref="A5"/>
    </sheetView>
  </sheetViews>
  <sheetFormatPr baseColWidth="10" defaultColWidth="12.5703125" defaultRowHeight="15.75" x14ac:dyDescent="0.25"/>
  <cols>
    <col min="1" max="1" width="55.5703125" style="637" customWidth="1"/>
    <col min="2" max="46" width="11.7109375" style="637" customWidth="1"/>
    <col min="47" max="16384" width="12.5703125" style="637"/>
  </cols>
  <sheetData>
    <row r="1" spans="1:50" ht="20.25" customHeight="1" x14ac:dyDescent="0.3">
      <c r="A1" s="580" t="s">
        <v>170</v>
      </c>
      <c r="B1" s="474" t="s">
        <v>52</v>
      </c>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c r="AK1" s="636"/>
      <c r="AL1" s="636"/>
      <c r="AM1" s="636"/>
      <c r="AN1" s="636"/>
      <c r="AO1" s="636"/>
      <c r="AP1" s="636"/>
      <c r="AQ1" s="636"/>
      <c r="AR1" s="636"/>
      <c r="AS1" s="636"/>
      <c r="AT1" s="636"/>
      <c r="AU1" s="636"/>
      <c r="AV1" s="636"/>
      <c r="AW1" s="636"/>
      <c r="AX1" s="636"/>
    </row>
    <row r="2" spans="1:50" ht="20.100000000000001" customHeight="1" x14ac:dyDescent="0.3">
      <c r="A2" s="638" t="s">
        <v>260</v>
      </c>
      <c r="B2" s="636"/>
      <c r="C2" s="636"/>
      <c r="D2" s="636"/>
      <c r="E2" s="636"/>
      <c r="F2" s="636"/>
      <c r="G2" s="636"/>
      <c r="H2" s="636"/>
      <c r="I2" s="636"/>
      <c r="J2" s="636"/>
      <c r="K2" s="636"/>
      <c r="L2" s="636"/>
      <c r="M2" s="636"/>
      <c r="N2" s="636"/>
      <c r="O2" s="636"/>
      <c r="P2" s="636"/>
      <c r="Q2" s="636"/>
      <c r="R2" s="636"/>
      <c r="S2" s="636"/>
      <c r="T2" s="636"/>
      <c r="U2" s="636"/>
      <c r="V2" s="636"/>
      <c r="W2" s="636"/>
      <c r="X2" s="636"/>
      <c r="Y2" s="636"/>
      <c r="Z2" s="636"/>
      <c r="AA2" s="636"/>
      <c r="AB2" s="636"/>
      <c r="AC2" s="636"/>
      <c r="AD2" s="636"/>
      <c r="AE2" s="636"/>
      <c r="AF2" s="636"/>
      <c r="AG2" s="636"/>
      <c r="AH2" s="636"/>
      <c r="AI2" s="636"/>
      <c r="AJ2" s="636"/>
      <c r="AK2" s="636"/>
      <c r="AL2" s="636"/>
      <c r="AM2" s="636"/>
      <c r="AN2" s="636"/>
      <c r="AO2" s="636"/>
      <c r="AP2" s="636"/>
      <c r="AQ2" s="636"/>
      <c r="AR2" s="636"/>
      <c r="AS2" s="636"/>
      <c r="AT2" s="636"/>
      <c r="AU2" s="636"/>
      <c r="AV2" s="636"/>
      <c r="AW2" s="636"/>
      <c r="AX2" s="636"/>
    </row>
    <row r="3" spans="1:50" ht="20.100000000000001" customHeight="1" x14ac:dyDescent="0.3">
      <c r="A3" s="639" t="s">
        <v>397</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6"/>
      <c r="AP3" s="636"/>
      <c r="AQ3" s="636"/>
      <c r="AR3" s="636"/>
      <c r="AS3" s="636"/>
      <c r="AT3" s="636"/>
      <c r="AU3" s="636"/>
      <c r="AV3" s="636"/>
      <c r="AW3" s="636"/>
      <c r="AX3" s="636"/>
    </row>
    <row r="4" spans="1:50" ht="20.100000000000001" customHeight="1" x14ac:dyDescent="0.3">
      <c r="A4" s="686" t="s">
        <v>398</v>
      </c>
      <c r="B4" s="641"/>
      <c r="C4" s="636"/>
      <c r="D4" s="636"/>
      <c r="E4" s="641"/>
      <c r="F4" s="641"/>
      <c r="G4" s="641"/>
      <c r="H4" s="636"/>
      <c r="I4" s="636"/>
      <c r="J4" s="636"/>
      <c r="K4" s="636"/>
      <c r="L4" s="636"/>
      <c r="M4" s="636"/>
      <c r="N4" s="636"/>
      <c r="O4" s="636"/>
      <c r="P4" s="636"/>
      <c r="Q4" s="636"/>
      <c r="R4" s="636"/>
      <c r="S4" s="636"/>
      <c r="T4" s="641"/>
      <c r="U4" s="641"/>
      <c r="V4" s="641"/>
      <c r="W4" s="641"/>
      <c r="X4" s="641"/>
      <c r="Y4" s="641"/>
      <c r="Z4" s="641"/>
      <c r="AA4" s="641"/>
      <c r="AB4" s="641"/>
      <c r="AC4" s="641"/>
      <c r="AD4" s="641"/>
      <c r="AE4" s="641"/>
      <c r="AF4" s="641"/>
      <c r="AG4" s="641"/>
      <c r="AH4" s="641"/>
      <c r="AI4" s="641"/>
      <c r="AJ4" s="641"/>
      <c r="AK4" s="641"/>
      <c r="AL4" s="641"/>
      <c r="AM4" s="641"/>
      <c r="AN4" s="641"/>
      <c r="AO4" s="641"/>
      <c r="AP4" s="641"/>
      <c r="AQ4" s="641"/>
      <c r="AR4" s="636"/>
      <c r="AS4" s="636"/>
      <c r="AT4" s="636"/>
      <c r="AU4" s="641"/>
      <c r="AV4" s="636"/>
      <c r="AW4" s="636"/>
      <c r="AX4" s="636"/>
    </row>
    <row r="5" spans="1:50" ht="18.75" customHeight="1" x14ac:dyDescent="0.3">
      <c r="A5" s="687" t="s">
        <v>360</v>
      </c>
      <c r="B5" s="643"/>
      <c r="C5" s="643"/>
      <c r="D5" s="644"/>
      <c r="E5" s="645"/>
      <c r="F5" s="643"/>
      <c r="G5" s="644"/>
      <c r="H5" s="645"/>
      <c r="I5" s="643"/>
      <c r="J5" s="644"/>
      <c r="K5" s="645"/>
      <c r="L5" s="643"/>
      <c r="M5" s="644"/>
      <c r="N5" s="645"/>
      <c r="O5" s="643"/>
      <c r="P5" s="644"/>
      <c r="Q5" s="645"/>
      <c r="R5" s="643"/>
      <c r="S5" s="644"/>
      <c r="T5" s="645"/>
      <c r="U5" s="643"/>
      <c r="V5" s="644"/>
      <c r="W5" s="645"/>
      <c r="X5" s="643"/>
      <c r="Y5" s="644"/>
      <c r="Z5" s="645"/>
      <c r="AA5" s="643"/>
      <c r="AB5" s="644"/>
      <c r="AC5" s="645"/>
      <c r="AD5" s="643"/>
      <c r="AE5" s="644"/>
      <c r="AF5" s="645"/>
      <c r="AG5" s="643"/>
      <c r="AH5" s="644"/>
      <c r="AI5" s="645"/>
      <c r="AJ5" s="643"/>
      <c r="AK5" s="644"/>
      <c r="AL5" s="645"/>
      <c r="AM5" s="643"/>
      <c r="AN5" s="644"/>
      <c r="AO5" s="645"/>
      <c r="AP5" s="643"/>
      <c r="AQ5" s="644"/>
      <c r="AR5" s="645"/>
      <c r="AS5" s="643"/>
      <c r="AT5" s="644"/>
      <c r="AU5" s="641"/>
      <c r="AV5" s="641"/>
      <c r="AW5" s="636"/>
      <c r="AX5" s="636"/>
    </row>
    <row r="6" spans="1:50" ht="18.75" customHeight="1" x14ac:dyDescent="0.3">
      <c r="A6" s="646" t="s">
        <v>99</v>
      </c>
      <c r="B6" s="1050" t="s">
        <v>173</v>
      </c>
      <c r="C6" s="1051"/>
      <c r="D6" s="1052"/>
      <c r="E6" s="1050" t="s">
        <v>174</v>
      </c>
      <c r="F6" s="1051"/>
      <c r="G6" s="1052"/>
      <c r="H6" s="1050" t="s">
        <v>174</v>
      </c>
      <c r="I6" s="1051"/>
      <c r="J6" s="1052"/>
      <c r="K6" s="1050" t="s">
        <v>487</v>
      </c>
      <c r="L6" s="1051"/>
      <c r="M6" s="1052"/>
      <c r="N6" s="1050" t="s">
        <v>175</v>
      </c>
      <c r="O6" s="1051"/>
      <c r="P6" s="1052"/>
      <c r="Q6" s="1050" t="s">
        <v>176</v>
      </c>
      <c r="R6" s="1051"/>
      <c r="S6" s="1052"/>
      <c r="T6" s="1050" t="s">
        <v>177</v>
      </c>
      <c r="U6" s="1051"/>
      <c r="V6" s="1052"/>
      <c r="W6" s="944" t="s">
        <v>177</v>
      </c>
      <c r="X6" s="945"/>
      <c r="Y6" s="946"/>
      <c r="Z6" s="888"/>
      <c r="AA6" s="889"/>
      <c r="AB6" s="890"/>
      <c r="AC6" s="1050" t="s">
        <v>178</v>
      </c>
      <c r="AD6" s="1051"/>
      <c r="AE6" s="1052"/>
      <c r="AF6" s="959"/>
      <c r="AG6" s="960"/>
      <c r="AH6" s="961"/>
      <c r="AI6" s="1050"/>
      <c r="AJ6" s="1051"/>
      <c r="AK6" s="1052"/>
      <c r="AL6" s="1050" t="s">
        <v>72</v>
      </c>
      <c r="AM6" s="1051"/>
      <c r="AN6" s="1052"/>
      <c r="AO6" s="1053" t="s">
        <v>2</v>
      </c>
      <c r="AP6" s="1054"/>
      <c r="AQ6" s="1055"/>
      <c r="AR6" s="1050" t="s">
        <v>2</v>
      </c>
      <c r="AS6" s="1051"/>
      <c r="AT6" s="1052"/>
      <c r="AU6" s="641"/>
      <c r="AV6" s="641"/>
      <c r="AW6" s="636"/>
      <c r="AX6" s="636"/>
    </row>
    <row r="7" spans="1:50" ht="18.75" customHeight="1" x14ac:dyDescent="0.3">
      <c r="A7" s="647"/>
      <c r="B7" s="1047" t="s">
        <v>179</v>
      </c>
      <c r="C7" s="1048"/>
      <c r="D7" s="1049"/>
      <c r="E7" s="1047" t="s">
        <v>498</v>
      </c>
      <c r="F7" s="1048"/>
      <c r="G7" s="1049"/>
      <c r="H7" s="1047" t="s">
        <v>180</v>
      </c>
      <c r="I7" s="1048"/>
      <c r="J7" s="1049"/>
      <c r="K7" s="1047" t="s">
        <v>180</v>
      </c>
      <c r="L7" s="1048"/>
      <c r="M7" s="1049"/>
      <c r="N7" s="1047" t="s">
        <v>180</v>
      </c>
      <c r="O7" s="1048"/>
      <c r="P7" s="1049"/>
      <c r="Q7" s="1047" t="s">
        <v>181</v>
      </c>
      <c r="R7" s="1048"/>
      <c r="S7" s="1049"/>
      <c r="T7" s="1047" t="s">
        <v>90</v>
      </c>
      <c r="U7" s="1048"/>
      <c r="V7" s="1049"/>
      <c r="W7" s="1047" t="s">
        <v>63</v>
      </c>
      <c r="X7" s="1048"/>
      <c r="Y7" s="1049"/>
      <c r="Z7" s="1047" t="s">
        <v>65</v>
      </c>
      <c r="AA7" s="1048"/>
      <c r="AB7" s="1049"/>
      <c r="AC7" s="1047" t="s">
        <v>179</v>
      </c>
      <c r="AD7" s="1048"/>
      <c r="AE7" s="1049"/>
      <c r="AF7" s="1047" t="s">
        <v>71</v>
      </c>
      <c r="AG7" s="1048"/>
      <c r="AH7" s="1049"/>
      <c r="AI7" s="1047" t="s">
        <v>67</v>
      </c>
      <c r="AJ7" s="1048"/>
      <c r="AK7" s="1049"/>
      <c r="AL7" s="1047" t="s">
        <v>180</v>
      </c>
      <c r="AM7" s="1048"/>
      <c r="AN7" s="1049"/>
      <c r="AO7" s="1041" t="s">
        <v>284</v>
      </c>
      <c r="AP7" s="1042"/>
      <c r="AQ7" s="1043"/>
      <c r="AR7" s="1044" t="s">
        <v>285</v>
      </c>
      <c r="AS7" s="1045"/>
      <c r="AT7" s="1046"/>
      <c r="AU7" s="641"/>
      <c r="AV7" s="641"/>
      <c r="AW7" s="636"/>
      <c r="AX7" s="636"/>
    </row>
    <row r="8" spans="1:50" ht="18.75" customHeight="1" x14ac:dyDescent="0.3">
      <c r="A8" s="647"/>
      <c r="B8" s="592"/>
      <c r="C8" s="592"/>
      <c r="D8" s="593" t="s">
        <v>80</v>
      </c>
      <c r="E8" s="592"/>
      <c r="F8" s="592"/>
      <c r="G8" s="593" t="s">
        <v>80</v>
      </c>
      <c r="H8" s="592"/>
      <c r="I8" s="592"/>
      <c r="J8" s="593" t="s">
        <v>80</v>
      </c>
      <c r="K8" s="592"/>
      <c r="L8" s="592"/>
      <c r="M8" s="593" t="s">
        <v>80</v>
      </c>
      <c r="N8" s="592"/>
      <c r="O8" s="592"/>
      <c r="P8" s="593" t="s">
        <v>80</v>
      </c>
      <c r="Q8" s="592"/>
      <c r="R8" s="592"/>
      <c r="S8" s="593" t="s">
        <v>80</v>
      </c>
      <c r="T8" s="592"/>
      <c r="U8" s="592"/>
      <c r="V8" s="593" t="s">
        <v>80</v>
      </c>
      <c r="W8" s="592"/>
      <c r="X8" s="592"/>
      <c r="Y8" s="593" t="s">
        <v>80</v>
      </c>
      <c r="Z8" s="592"/>
      <c r="AA8" s="592"/>
      <c r="AB8" s="593" t="s">
        <v>80</v>
      </c>
      <c r="AC8" s="592"/>
      <c r="AD8" s="592"/>
      <c r="AE8" s="593" t="s">
        <v>80</v>
      </c>
      <c r="AF8" s="592"/>
      <c r="AG8" s="592"/>
      <c r="AH8" s="593" t="s">
        <v>80</v>
      </c>
      <c r="AI8" s="592"/>
      <c r="AJ8" s="592"/>
      <c r="AK8" s="593" t="s">
        <v>80</v>
      </c>
      <c r="AL8" s="592"/>
      <c r="AM8" s="592"/>
      <c r="AN8" s="593" t="s">
        <v>80</v>
      </c>
      <c r="AO8" s="592"/>
      <c r="AP8" s="592"/>
      <c r="AQ8" s="593" t="s">
        <v>80</v>
      </c>
      <c r="AR8" s="592"/>
      <c r="AS8" s="592"/>
      <c r="AT8" s="593" t="s">
        <v>80</v>
      </c>
      <c r="AU8" s="641"/>
      <c r="AV8" s="641"/>
      <c r="AW8" s="636"/>
      <c r="AX8" s="636"/>
    </row>
    <row r="9" spans="1:50" ht="18.75" customHeight="1" x14ac:dyDescent="0.3">
      <c r="A9" s="648" t="s">
        <v>286</v>
      </c>
      <c r="B9" s="595">
        <v>2019</v>
      </c>
      <c r="C9" s="595">
        <v>2020</v>
      </c>
      <c r="D9" s="596" t="s">
        <v>82</v>
      </c>
      <c r="E9" s="688">
        <f>$B$9</f>
        <v>2019</v>
      </c>
      <c r="F9" s="595">
        <f>$C$9</f>
        <v>2020</v>
      </c>
      <c r="G9" s="596" t="s">
        <v>82</v>
      </c>
      <c r="H9" s="688">
        <f>$B$9</f>
        <v>2019</v>
      </c>
      <c r="I9" s="595">
        <f>$C$9</f>
        <v>2020</v>
      </c>
      <c r="J9" s="596" t="s">
        <v>82</v>
      </c>
      <c r="K9" s="688">
        <f>$B$9</f>
        <v>2019</v>
      </c>
      <c r="L9" s="595">
        <f>$C$9</f>
        <v>2020</v>
      </c>
      <c r="M9" s="596" t="s">
        <v>82</v>
      </c>
      <c r="N9" s="688">
        <f>$B$9</f>
        <v>2019</v>
      </c>
      <c r="O9" s="595">
        <f>$C$9</f>
        <v>2020</v>
      </c>
      <c r="P9" s="596" t="s">
        <v>82</v>
      </c>
      <c r="Q9" s="688">
        <f>$B$9</f>
        <v>2019</v>
      </c>
      <c r="R9" s="595">
        <f>$C$9</f>
        <v>2020</v>
      </c>
      <c r="S9" s="596" t="s">
        <v>82</v>
      </c>
      <c r="T9" s="688">
        <f>$B$9</f>
        <v>2019</v>
      </c>
      <c r="U9" s="595">
        <f>$C$9</f>
        <v>2020</v>
      </c>
      <c r="V9" s="596" t="s">
        <v>82</v>
      </c>
      <c r="W9" s="688">
        <f>$B$9</f>
        <v>2019</v>
      </c>
      <c r="X9" s="595">
        <f>$C$9</f>
        <v>2020</v>
      </c>
      <c r="Y9" s="596" t="s">
        <v>82</v>
      </c>
      <c r="Z9" s="688">
        <f>$B$9</f>
        <v>2019</v>
      </c>
      <c r="AA9" s="595">
        <f>$C$9</f>
        <v>2020</v>
      </c>
      <c r="AB9" s="596" t="s">
        <v>82</v>
      </c>
      <c r="AC9" s="688">
        <f>$B$9</f>
        <v>2019</v>
      </c>
      <c r="AD9" s="595">
        <f>$C$9</f>
        <v>2020</v>
      </c>
      <c r="AE9" s="596" t="s">
        <v>82</v>
      </c>
      <c r="AF9" s="688">
        <f>$B$9</f>
        <v>2019</v>
      </c>
      <c r="AG9" s="595">
        <f>$C$9</f>
        <v>2020</v>
      </c>
      <c r="AH9" s="596" t="s">
        <v>82</v>
      </c>
      <c r="AI9" s="688">
        <f>$B$9</f>
        <v>2019</v>
      </c>
      <c r="AJ9" s="595">
        <f>$C$9</f>
        <v>2020</v>
      </c>
      <c r="AK9" s="596" t="s">
        <v>82</v>
      </c>
      <c r="AL9" s="688">
        <f>$B$9</f>
        <v>2019</v>
      </c>
      <c r="AM9" s="595">
        <f>$C$9</f>
        <v>2020</v>
      </c>
      <c r="AN9" s="596" t="s">
        <v>82</v>
      </c>
      <c r="AO9" s="688">
        <f>$B$9</f>
        <v>2019</v>
      </c>
      <c r="AP9" s="595">
        <f>$C$9</f>
        <v>2020</v>
      </c>
      <c r="AQ9" s="596" t="s">
        <v>82</v>
      </c>
      <c r="AR9" s="688">
        <f>$B$9</f>
        <v>2019</v>
      </c>
      <c r="AS9" s="595">
        <f>$C$9</f>
        <v>2020</v>
      </c>
      <c r="AT9" s="596" t="s">
        <v>82</v>
      </c>
      <c r="AU9" s="641"/>
      <c r="AV9" s="641"/>
      <c r="AW9" s="636"/>
      <c r="AX9" s="636"/>
    </row>
    <row r="10" spans="1:50" ht="18.75" customHeight="1" x14ac:dyDescent="0.3">
      <c r="A10" s="649"/>
      <c r="B10" s="907"/>
      <c r="C10" s="908"/>
      <c r="D10" s="650"/>
      <c r="E10" s="907"/>
      <c r="F10" s="908"/>
      <c r="G10" s="651"/>
      <c r="H10" s="907"/>
      <c r="I10" s="908"/>
      <c r="J10" s="651"/>
      <c r="K10" s="652"/>
      <c r="L10" s="908"/>
      <c r="M10" s="653"/>
      <c r="N10" s="907"/>
      <c r="O10" s="908"/>
      <c r="P10" s="653"/>
      <c r="Q10" s="907"/>
      <c r="R10" s="908"/>
      <c r="S10" s="650"/>
      <c r="T10" s="907"/>
      <c r="U10" s="908"/>
      <c r="V10" s="651"/>
      <c r="W10" s="907"/>
      <c r="X10" s="908"/>
      <c r="Y10" s="651"/>
      <c r="Z10" s="907"/>
      <c r="AA10" s="908"/>
      <c r="AB10" s="651"/>
      <c r="AC10" s="652"/>
      <c r="AD10" s="655"/>
      <c r="AE10" s="651"/>
      <c r="AF10" s="907"/>
      <c r="AG10" s="908"/>
      <c r="AH10" s="651"/>
      <c r="AI10" s="907"/>
      <c r="AJ10" s="908"/>
      <c r="AK10" s="651"/>
      <c r="AL10" s="907"/>
      <c r="AM10" s="908"/>
      <c r="AN10" s="651"/>
      <c r="AO10" s="650"/>
      <c r="AP10" s="650"/>
      <c r="AQ10" s="651"/>
      <c r="AR10" s="655"/>
      <c r="AS10" s="655"/>
      <c r="AT10" s="651"/>
      <c r="AU10" s="641"/>
      <c r="AV10" s="641"/>
      <c r="AW10" s="636"/>
      <c r="AX10" s="636"/>
    </row>
    <row r="11" spans="1:50" ht="18.75" customHeight="1" x14ac:dyDescent="0.3">
      <c r="A11" s="689" t="s">
        <v>399</v>
      </c>
      <c r="B11" s="915"/>
      <c r="C11" s="916"/>
      <c r="D11" s="692"/>
      <c r="E11" s="915"/>
      <c r="F11" s="916"/>
      <c r="G11" s="693"/>
      <c r="H11" s="915"/>
      <c r="I11" s="916"/>
      <c r="J11" s="693"/>
      <c r="K11" s="690"/>
      <c r="L11" s="916"/>
      <c r="M11" s="693"/>
      <c r="N11" s="915"/>
      <c r="O11" s="916"/>
      <c r="P11" s="693"/>
      <c r="Q11" s="915"/>
      <c r="R11" s="916"/>
      <c r="S11" s="692"/>
      <c r="T11" s="915"/>
      <c r="U11" s="916"/>
      <c r="V11" s="693"/>
      <c r="W11" s="915"/>
      <c r="X11" s="916"/>
      <c r="Y11" s="693"/>
      <c r="Z11" s="915"/>
      <c r="AA11" s="916"/>
      <c r="AB11" s="693"/>
      <c r="AC11" s="690"/>
      <c r="AD11" s="691"/>
      <c r="AE11" s="693"/>
      <c r="AF11" s="915"/>
      <c r="AG11" s="916"/>
      <c r="AH11" s="693"/>
      <c r="AI11" s="915"/>
      <c r="AJ11" s="916"/>
      <c r="AK11" s="693"/>
      <c r="AL11" s="915"/>
      <c r="AM11" s="916"/>
      <c r="AN11" s="693"/>
      <c r="AO11" s="692"/>
      <c r="AP11" s="692"/>
      <c r="AQ11" s="693"/>
      <c r="AR11" s="691"/>
      <c r="AS11" s="691"/>
      <c r="AT11" s="693"/>
      <c r="AU11" s="641"/>
      <c r="AV11" s="641"/>
      <c r="AW11" s="636"/>
      <c r="AX11" s="636"/>
    </row>
    <row r="12" spans="1:50" s="660" customFormat="1" ht="18.75" customHeight="1" x14ac:dyDescent="0.3">
      <c r="A12" s="608" t="s">
        <v>366</v>
      </c>
      <c r="B12" s="902">
        <v>1.6E-2</v>
      </c>
      <c r="C12" s="903">
        <v>1.0999999999999999E-2</v>
      </c>
      <c r="D12" s="658">
        <f>IF(B12=0, "    ---- ", IF(ABS(ROUND(100/B12*C12-100,1))&lt;999,ROUND(100/B12*C12-100,1),IF(ROUND(100/B12*C12-100,1)&gt;999,999,-999)))</f>
        <v>-31.3</v>
      </c>
      <c r="E12" s="902"/>
      <c r="F12" s="903"/>
      <c r="G12" s="659"/>
      <c r="H12" s="902">
        <v>-1.07</v>
      </c>
      <c r="I12" s="903">
        <v>-1</v>
      </c>
      <c r="J12" s="659">
        <f>IF(H12=0, "    ---- ", IF(ABS(ROUND(100/H12*I12-100,1))&lt;999,ROUND(100/H12*I12-100,1),IF(ROUND(100/H12*I12-100,1)&gt;999,999,-999)))</f>
        <v>-6.5</v>
      </c>
      <c r="K12" s="444"/>
      <c r="L12" s="903">
        <v>36</v>
      </c>
      <c r="M12" s="659" t="str">
        <f t="shared" ref="M12" si="0">IF(K12=0, "    ---- ", IF(ABS(ROUND(100/K12*L12-100,1))&lt;999,ROUND(100/K12*L12-100,1),IF(ROUND(100/K12*L12-100,1)&gt;999,999,-999)))</f>
        <v xml:space="preserve">    ---- </v>
      </c>
      <c r="N12" s="902">
        <v>4.4489999999999998</v>
      </c>
      <c r="O12" s="903">
        <v>3.786</v>
      </c>
      <c r="P12" s="659">
        <f t="shared" ref="P12:P34" si="1">IF(N12=0, "    ---- ", IF(ABS(ROUND(100/N12*O12-100,1))&lt;999,ROUND(100/N12*O12-100,1),IF(ROUND(100/N12*O12-100,1)&gt;999,999,-999)))</f>
        <v>-14.9</v>
      </c>
      <c r="Q12" s="902"/>
      <c r="R12" s="903"/>
      <c r="S12" s="658"/>
      <c r="T12" s="902">
        <v>0.68213626975381103</v>
      </c>
      <c r="U12" s="903">
        <v>0.56734041480610098</v>
      </c>
      <c r="V12" s="659">
        <f t="shared" ref="V12:V22" si="2">IF(T12=0, "    ---- ", IF(ABS(ROUND(100/T12*U12-100,1))&lt;999,ROUND(100/T12*U12-100,1),IF(ROUND(100/T12*U12-100,1)&gt;999,999,-999)))</f>
        <v>-16.8</v>
      </c>
      <c r="W12" s="902"/>
      <c r="X12" s="903"/>
      <c r="Y12" s="659"/>
      <c r="Z12" s="902"/>
      <c r="AA12" s="903"/>
      <c r="AB12" s="659"/>
      <c r="AC12" s="444"/>
      <c r="AD12" s="616"/>
      <c r="AE12" s="659"/>
      <c r="AF12" s="902"/>
      <c r="AG12" s="903"/>
      <c r="AH12" s="659"/>
      <c r="AI12" s="902">
        <v>31</v>
      </c>
      <c r="AJ12" s="903">
        <v>1</v>
      </c>
      <c r="AK12" s="659">
        <f t="shared" ref="AK12:AK34" si="3">IF(AI12=0, "    ---- ", IF(ABS(ROUND(100/AI12*AJ12-100,1))&lt;999,ROUND(100/AI12*AJ12-100,1),IF(ROUND(100/AI12*AJ12-100,1)&gt;999,999,-999)))</f>
        <v>-96.8</v>
      </c>
      <c r="AL12" s="902">
        <v>18.399999999999999</v>
      </c>
      <c r="AM12" s="903">
        <v>22</v>
      </c>
      <c r="AN12" s="659">
        <f>IF(AL12=0, "    ---- ", IF(ABS(ROUND(100/AL12*AM12-100,1))&lt;999,ROUND(100/AL12*AM12-100,1),IF(ROUND(100/AL12*AM12-100,1)&gt;999,999,-999)))</f>
        <v>19.600000000000001</v>
      </c>
      <c r="AO12" s="658">
        <f t="shared" ref="AO12:AO22" si="4">B12+H12+K12+N12+Q12+W12+E12+Z12+AC12+AI12+AL12</f>
        <v>52.794999999999995</v>
      </c>
      <c r="AP12" s="658">
        <f t="shared" ref="AP12:AP22" si="5">C12+I12+L12+O12+R12+X12+F12+AA12+AD12+AJ12+AM12</f>
        <v>61.797000000000004</v>
      </c>
      <c r="AQ12" s="659">
        <f t="shared" ref="AQ12:AQ22" si="6">IF(AO12=0, "    ---- ", IF(ABS(ROUND(100/AO12*AP12-100,1))&lt;999,ROUND(100/AO12*AP12-100,1),IF(ROUND(100/AO12*AP12-100,1)&gt;999,999,-999)))</f>
        <v>17.100000000000001</v>
      </c>
      <c r="AR12" s="616">
        <f t="shared" ref="AR12:AR22" si="7">+B12+H12+K12+N12+Q12+T12+W12+E12+Z12+AC12+AF12+AI12+AL12</f>
        <v>53.477136269753807</v>
      </c>
      <c r="AS12" s="616">
        <f t="shared" ref="AS12:AS22" si="8">+C12+I12+L12+O12+R12+U12+X12+F12+AA12+AD12+AG12+AJ12+AM12</f>
        <v>62.364340414806108</v>
      </c>
      <c r="AT12" s="659">
        <f t="shared" ref="AT12:AT22" si="9">IF(AR12=0, "    ---- ", IF(ABS(ROUND(100/AR12*AS12-100,1))&lt;999,ROUND(100/AR12*AS12-100,1),IF(ROUND(100/AR12*AS12-100,1)&gt;999,999,-999)))</f>
        <v>16.600000000000001</v>
      </c>
      <c r="AU12" s="641"/>
      <c r="AV12" s="641"/>
      <c r="AW12" s="636"/>
      <c r="AX12" s="636"/>
    </row>
    <row r="13" spans="1:50" s="660" customFormat="1" ht="18.75" customHeight="1" x14ac:dyDescent="0.3">
      <c r="A13" s="608" t="s">
        <v>367</v>
      </c>
      <c r="B13" s="902"/>
      <c r="C13" s="903"/>
      <c r="D13" s="658"/>
      <c r="E13" s="902"/>
      <c r="F13" s="903"/>
      <c r="G13" s="659"/>
      <c r="H13" s="902"/>
      <c r="I13" s="903"/>
      <c r="J13" s="659"/>
      <c r="K13" s="444"/>
      <c r="L13" s="903"/>
      <c r="M13" s="659"/>
      <c r="N13" s="902"/>
      <c r="O13" s="903"/>
      <c r="P13" s="659"/>
      <c r="Q13" s="902"/>
      <c r="R13" s="903"/>
      <c r="S13" s="658"/>
      <c r="T13" s="902"/>
      <c r="U13" s="903"/>
      <c r="V13" s="659"/>
      <c r="W13" s="902"/>
      <c r="X13" s="903"/>
      <c r="Y13" s="659"/>
      <c r="Z13" s="902"/>
      <c r="AA13" s="903"/>
      <c r="AB13" s="659"/>
      <c r="AC13" s="444"/>
      <c r="AD13" s="616"/>
      <c r="AE13" s="659"/>
      <c r="AF13" s="902"/>
      <c r="AG13" s="903"/>
      <c r="AH13" s="659"/>
      <c r="AI13" s="902"/>
      <c r="AJ13" s="903"/>
      <c r="AK13" s="659"/>
      <c r="AL13" s="902"/>
      <c r="AM13" s="903"/>
      <c r="AN13" s="659"/>
      <c r="AO13" s="658">
        <f t="shared" si="4"/>
        <v>0</v>
      </c>
      <c r="AP13" s="658">
        <f t="shared" si="5"/>
        <v>0</v>
      </c>
      <c r="AQ13" s="659" t="str">
        <f t="shared" si="6"/>
        <v xml:space="preserve">    ---- </v>
      </c>
      <c r="AR13" s="616">
        <f t="shared" si="7"/>
        <v>0</v>
      </c>
      <c r="AS13" s="616">
        <f t="shared" si="8"/>
        <v>0</v>
      </c>
      <c r="AT13" s="659" t="str">
        <f t="shared" si="9"/>
        <v xml:space="preserve">    ---- </v>
      </c>
      <c r="AU13" s="641"/>
      <c r="AV13" s="641"/>
      <c r="AW13" s="636"/>
      <c r="AX13" s="636"/>
    </row>
    <row r="14" spans="1:50" s="660" customFormat="1" ht="18.75" customHeight="1" x14ac:dyDescent="0.3">
      <c r="A14" s="608" t="s">
        <v>368</v>
      </c>
      <c r="B14" s="902">
        <v>-6.2E-2</v>
      </c>
      <c r="C14" s="903">
        <v>-8.5000000000000006E-2</v>
      </c>
      <c r="D14" s="658">
        <f>IF(B14=0, "    ---- ", IF(ABS(ROUND(100/B14*C14-100,1))&lt;999,ROUND(100/B14*C14-100,1),IF(ROUND(100/B14*C14-100,1)&gt;999,999,-999)))</f>
        <v>37.1</v>
      </c>
      <c r="E14" s="902"/>
      <c r="F14" s="903"/>
      <c r="G14" s="659"/>
      <c r="H14" s="902">
        <v>7.7519999999999998</v>
      </c>
      <c r="I14" s="903">
        <v>22</v>
      </c>
      <c r="J14" s="659">
        <f>IF(H14=0, "    ---- ", IF(ABS(ROUND(100/H14*I14-100,1))&lt;999,ROUND(100/H14*I14-100,1),IF(ROUND(100/H14*I14-100,1)&gt;999,999,-999)))</f>
        <v>183.8</v>
      </c>
      <c r="K14" s="444"/>
      <c r="L14" s="903">
        <v>-44</v>
      </c>
      <c r="M14" s="659" t="str">
        <f t="shared" ref="M14" si="10">IF(K14=0, "    ---- ", IF(ABS(ROUND(100/K14*L14-100,1))&lt;999,ROUND(100/K14*L14-100,1),IF(ROUND(100/K14*L14-100,1)&gt;999,999,-999)))</f>
        <v xml:space="preserve">    ---- </v>
      </c>
      <c r="N14" s="902">
        <v>-13.226000000000001</v>
      </c>
      <c r="O14" s="903">
        <v>-14.907999999999999</v>
      </c>
      <c r="P14" s="659">
        <f t="shared" si="1"/>
        <v>12.7</v>
      </c>
      <c r="Q14" s="902"/>
      <c r="R14" s="903"/>
      <c r="S14" s="658"/>
      <c r="T14" s="902">
        <v>-1.86920699491394</v>
      </c>
      <c r="U14" s="903">
        <v>-2.4397476880922602</v>
      </c>
      <c r="V14" s="659">
        <f t="shared" si="2"/>
        <v>30.5</v>
      </c>
      <c r="W14" s="902"/>
      <c r="X14" s="903">
        <v>-1.1027983708014264</v>
      </c>
      <c r="Y14" s="659" t="str">
        <f t="shared" ref="Y14:Y22" si="11">IF(W14=0, "    ---- ", IF(ABS(ROUND(100/W14*X14-100,1))&lt;999,ROUND(100/W14*X14-100,1),IF(ROUND(100/W14*X14-100,1)&gt;999,999,-999)))</f>
        <v xml:space="preserve">    ---- </v>
      </c>
      <c r="Z14" s="902"/>
      <c r="AA14" s="903"/>
      <c r="AB14" s="659"/>
      <c r="AC14" s="444"/>
      <c r="AD14" s="616"/>
      <c r="AE14" s="659"/>
      <c r="AF14" s="902"/>
      <c r="AG14" s="903"/>
      <c r="AH14" s="659"/>
      <c r="AI14" s="902">
        <v>-12</v>
      </c>
      <c r="AJ14" s="903">
        <v>2</v>
      </c>
      <c r="AK14" s="659">
        <f t="shared" si="3"/>
        <v>-116.7</v>
      </c>
      <c r="AL14" s="902">
        <v>0</v>
      </c>
      <c r="AM14" s="903">
        <v>14</v>
      </c>
      <c r="AN14" s="659" t="str">
        <f>IF(AL14=0, "    ---- ", IF(ABS(ROUND(100/AL14*AM14-100,1))&lt;999,ROUND(100/AL14*AM14-100,1),IF(ROUND(100/AL14*AM14-100,1)&gt;999,999,-999)))</f>
        <v xml:space="preserve">    ---- </v>
      </c>
      <c r="AO14" s="658">
        <f t="shared" si="4"/>
        <v>-17.536000000000001</v>
      </c>
      <c r="AP14" s="658">
        <f t="shared" si="5"/>
        <v>-22.095798370801425</v>
      </c>
      <c r="AQ14" s="659">
        <f t="shared" si="6"/>
        <v>26</v>
      </c>
      <c r="AR14" s="616">
        <f t="shared" si="7"/>
        <v>-19.405206994913939</v>
      </c>
      <c r="AS14" s="616">
        <f t="shared" si="8"/>
        <v>-24.535546058893686</v>
      </c>
      <c r="AT14" s="659">
        <f t="shared" si="9"/>
        <v>26.4</v>
      </c>
      <c r="AU14" s="641"/>
      <c r="AV14" s="641"/>
      <c r="AW14" s="636"/>
      <c r="AX14" s="636"/>
    </row>
    <row r="15" spans="1:50" s="660" customFormat="1" ht="18.75" customHeight="1" x14ac:dyDescent="0.3">
      <c r="A15" s="608" t="s">
        <v>369</v>
      </c>
      <c r="B15" s="902"/>
      <c r="C15" s="903"/>
      <c r="D15" s="658"/>
      <c r="E15" s="902"/>
      <c r="F15" s="903"/>
      <c r="G15" s="659"/>
      <c r="H15" s="902"/>
      <c r="I15" s="903"/>
      <c r="J15" s="659"/>
      <c r="K15" s="444"/>
      <c r="L15" s="903"/>
      <c r="M15" s="659"/>
      <c r="N15" s="902"/>
      <c r="O15" s="903"/>
      <c r="P15" s="659"/>
      <c r="Q15" s="902"/>
      <c r="R15" s="903"/>
      <c r="S15" s="658"/>
      <c r="T15" s="902"/>
      <c r="U15" s="903"/>
      <c r="V15" s="659"/>
      <c r="W15" s="902"/>
      <c r="X15" s="903"/>
      <c r="Y15" s="659"/>
      <c r="Z15" s="902"/>
      <c r="AA15" s="903"/>
      <c r="AB15" s="659"/>
      <c r="AC15" s="444"/>
      <c r="AD15" s="616"/>
      <c r="AE15" s="659"/>
      <c r="AF15" s="902"/>
      <c r="AG15" s="903"/>
      <c r="AH15" s="659"/>
      <c r="AI15" s="902"/>
      <c r="AJ15" s="903"/>
      <c r="AK15" s="659"/>
      <c r="AL15" s="902"/>
      <c r="AM15" s="903"/>
      <c r="AN15" s="659"/>
      <c r="AO15" s="658">
        <f t="shared" si="4"/>
        <v>0</v>
      </c>
      <c r="AP15" s="658">
        <f t="shared" si="5"/>
        <v>0</v>
      </c>
      <c r="AQ15" s="659" t="str">
        <f t="shared" si="6"/>
        <v xml:space="preserve">    ---- </v>
      </c>
      <c r="AR15" s="616">
        <f t="shared" si="7"/>
        <v>0</v>
      </c>
      <c r="AS15" s="616">
        <f t="shared" si="8"/>
        <v>0</v>
      </c>
      <c r="AT15" s="659" t="str">
        <f t="shared" si="9"/>
        <v xml:space="preserve">    ---- </v>
      </c>
      <c r="AU15" s="641"/>
      <c r="AV15" s="641"/>
      <c r="AW15" s="636"/>
      <c r="AX15" s="636"/>
    </row>
    <row r="16" spans="1:50" s="660" customFormat="1" ht="18.75" customHeight="1" x14ac:dyDescent="0.3">
      <c r="A16" s="608" t="s">
        <v>370</v>
      </c>
      <c r="B16" s="902"/>
      <c r="C16" s="903"/>
      <c r="D16" s="658"/>
      <c r="E16" s="902"/>
      <c r="F16" s="903"/>
      <c r="G16" s="659"/>
      <c r="H16" s="902"/>
      <c r="I16" s="903"/>
      <c r="J16" s="659"/>
      <c r="K16" s="444"/>
      <c r="L16" s="903"/>
      <c r="M16" s="659"/>
      <c r="N16" s="902"/>
      <c r="O16" s="903"/>
      <c r="P16" s="659"/>
      <c r="Q16" s="902"/>
      <c r="R16" s="903"/>
      <c r="S16" s="658"/>
      <c r="T16" s="902"/>
      <c r="U16" s="903"/>
      <c r="V16" s="659"/>
      <c r="W16" s="902"/>
      <c r="X16" s="903"/>
      <c r="Y16" s="659"/>
      <c r="Z16" s="902"/>
      <c r="AA16" s="903"/>
      <c r="AB16" s="659"/>
      <c r="AC16" s="444"/>
      <c r="AD16" s="616"/>
      <c r="AE16" s="659"/>
      <c r="AF16" s="902"/>
      <c r="AG16" s="903"/>
      <c r="AH16" s="659"/>
      <c r="AI16" s="902"/>
      <c r="AJ16" s="903"/>
      <c r="AK16" s="659"/>
      <c r="AL16" s="902"/>
      <c r="AM16" s="903"/>
      <c r="AN16" s="659"/>
      <c r="AO16" s="658">
        <f t="shared" si="4"/>
        <v>0</v>
      </c>
      <c r="AP16" s="658">
        <f t="shared" si="5"/>
        <v>0</v>
      </c>
      <c r="AQ16" s="659" t="str">
        <f t="shared" si="6"/>
        <v xml:space="preserve">    ---- </v>
      </c>
      <c r="AR16" s="616">
        <f t="shared" si="7"/>
        <v>0</v>
      </c>
      <c r="AS16" s="616">
        <f t="shared" si="8"/>
        <v>0</v>
      </c>
      <c r="AT16" s="659" t="str">
        <f t="shared" si="9"/>
        <v xml:space="preserve">    ---- </v>
      </c>
      <c r="AU16" s="641"/>
      <c r="AV16" s="641"/>
      <c r="AW16" s="636"/>
      <c r="AX16" s="636"/>
    </row>
    <row r="17" spans="1:50" s="660" customFormat="1" ht="18.75" customHeight="1" x14ac:dyDescent="0.3">
      <c r="A17" s="608" t="s">
        <v>371</v>
      </c>
      <c r="B17" s="902">
        <v>-0.64500000000000002</v>
      </c>
      <c r="C17" s="903">
        <v>1.5089999999999999</v>
      </c>
      <c r="D17" s="658">
        <f>IF(B17=0, "    ---- ", IF(ABS(ROUND(100/B17*C17-100,1))&lt;999,ROUND(100/B17*C17-100,1),IF(ROUND(100/B17*C17-100,1)&gt;999,999,-999)))</f>
        <v>-334</v>
      </c>
      <c r="E17" s="902"/>
      <c r="F17" s="903"/>
      <c r="G17" s="659"/>
      <c r="H17" s="902">
        <v>-52.676000000000002</v>
      </c>
      <c r="I17" s="903">
        <v>32</v>
      </c>
      <c r="J17" s="659">
        <f>IF(H17=0, "    ---- ", IF(ABS(ROUND(100/H17*I17-100,1))&lt;999,ROUND(100/H17*I17-100,1),IF(ROUND(100/H17*I17-100,1)&gt;999,999,-999)))</f>
        <v>-160.69999999999999</v>
      </c>
      <c r="K17" s="444"/>
      <c r="L17" s="903">
        <v>-96</v>
      </c>
      <c r="M17" s="659" t="str">
        <f t="shared" ref="M17" si="12">IF(K17=0, "    ---- ", IF(ABS(ROUND(100/K17*L17-100,1))&lt;999,ROUND(100/K17*L17-100,1),IF(ROUND(100/K17*L17-100,1)&gt;999,999,-999)))</f>
        <v xml:space="preserve">    ---- </v>
      </c>
      <c r="N17" s="902">
        <v>9.8859999999999992</v>
      </c>
      <c r="O17" s="903">
        <v>15.77</v>
      </c>
      <c r="P17" s="659">
        <f t="shared" si="1"/>
        <v>59.5</v>
      </c>
      <c r="Q17" s="902"/>
      <c r="R17" s="903"/>
      <c r="S17" s="658"/>
      <c r="T17" s="902">
        <v>-2.0764119999999999</v>
      </c>
      <c r="U17" s="903">
        <v>-0.43498751000000002</v>
      </c>
      <c r="V17" s="659">
        <f t="shared" si="2"/>
        <v>-79.099999999999994</v>
      </c>
      <c r="W17" s="902"/>
      <c r="X17" s="903">
        <v>-1.8741870636824625</v>
      </c>
      <c r="Y17" s="659" t="str">
        <f t="shared" si="11"/>
        <v xml:space="preserve">    ---- </v>
      </c>
      <c r="Z17" s="902"/>
      <c r="AA17" s="903"/>
      <c r="AB17" s="659"/>
      <c r="AC17" s="444"/>
      <c r="AD17" s="616"/>
      <c r="AE17" s="659"/>
      <c r="AF17" s="902"/>
      <c r="AG17" s="903"/>
      <c r="AH17" s="659"/>
      <c r="AI17" s="902">
        <v>40</v>
      </c>
      <c r="AJ17" s="903">
        <v>2</v>
      </c>
      <c r="AK17" s="659">
        <f t="shared" si="3"/>
        <v>-95</v>
      </c>
      <c r="AL17" s="902">
        <v>-59.5</v>
      </c>
      <c r="AM17" s="903">
        <v>-138</v>
      </c>
      <c r="AN17" s="659">
        <f>IF(AL17=0, "    ---- ", IF(ABS(ROUND(100/AL17*AM17-100,1))&lt;999,ROUND(100/AL17*AM17-100,1),IF(ROUND(100/AL17*AM17-100,1)&gt;999,999,-999)))</f>
        <v>131.9</v>
      </c>
      <c r="AO17" s="658">
        <f t="shared" si="4"/>
        <v>-62.935000000000002</v>
      </c>
      <c r="AP17" s="658">
        <f t="shared" si="5"/>
        <v>-184.59518706368246</v>
      </c>
      <c r="AQ17" s="659">
        <f t="shared" si="6"/>
        <v>193.3</v>
      </c>
      <c r="AR17" s="616">
        <f t="shared" si="7"/>
        <v>-65.011412000000007</v>
      </c>
      <c r="AS17" s="616">
        <f t="shared" si="8"/>
        <v>-185.03017457368247</v>
      </c>
      <c r="AT17" s="659">
        <f t="shared" si="9"/>
        <v>184.6</v>
      </c>
      <c r="AU17" s="641"/>
      <c r="AV17" s="641"/>
      <c r="AW17" s="636"/>
      <c r="AX17" s="636"/>
    </row>
    <row r="18" spans="1:50" s="660" customFormat="1" ht="18.75" customHeight="1" x14ac:dyDescent="0.3">
      <c r="A18" s="608" t="s">
        <v>372</v>
      </c>
      <c r="B18" s="902"/>
      <c r="C18" s="903"/>
      <c r="D18" s="658"/>
      <c r="E18" s="902"/>
      <c r="F18" s="903"/>
      <c r="G18" s="659"/>
      <c r="H18" s="902"/>
      <c r="I18" s="903"/>
      <c r="J18" s="659"/>
      <c r="K18" s="444"/>
      <c r="L18" s="903"/>
      <c r="M18" s="659"/>
      <c r="N18" s="902"/>
      <c r="O18" s="903"/>
      <c r="P18" s="659"/>
      <c r="Q18" s="902"/>
      <c r="R18" s="903"/>
      <c r="S18" s="658"/>
      <c r="T18" s="902"/>
      <c r="U18" s="903"/>
      <c r="V18" s="659"/>
      <c r="W18" s="902"/>
      <c r="X18" s="903"/>
      <c r="Y18" s="659"/>
      <c r="Z18" s="902"/>
      <c r="AA18" s="903"/>
      <c r="AB18" s="659"/>
      <c r="AC18" s="444"/>
      <c r="AD18" s="616"/>
      <c r="AE18" s="659"/>
      <c r="AF18" s="902"/>
      <c r="AG18" s="903"/>
      <c r="AH18" s="659"/>
      <c r="AI18" s="902"/>
      <c r="AJ18" s="903"/>
      <c r="AK18" s="659"/>
      <c r="AL18" s="902"/>
      <c r="AM18" s="903"/>
      <c r="AN18" s="659"/>
      <c r="AO18" s="658">
        <f t="shared" si="4"/>
        <v>0</v>
      </c>
      <c r="AP18" s="658">
        <f t="shared" si="5"/>
        <v>0</v>
      </c>
      <c r="AQ18" s="659" t="str">
        <f t="shared" si="6"/>
        <v xml:space="preserve">    ---- </v>
      </c>
      <c r="AR18" s="616">
        <f t="shared" si="7"/>
        <v>0</v>
      </c>
      <c r="AS18" s="616">
        <f t="shared" si="8"/>
        <v>0</v>
      </c>
      <c r="AT18" s="659" t="str">
        <f t="shared" si="9"/>
        <v xml:space="preserve">    ---- </v>
      </c>
      <c r="AU18" s="641"/>
      <c r="AV18" s="641"/>
      <c r="AW18" s="636"/>
      <c r="AX18" s="636"/>
    </row>
    <row r="19" spans="1:50" s="660" customFormat="1" ht="18.75" customHeight="1" x14ac:dyDescent="0.3">
      <c r="A19" s="608" t="s">
        <v>373</v>
      </c>
      <c r="B19" s="902"/>
      <c r="C19" s="903"/>
      <c r="D19" s="658"/>
      <c r="E19" s="902"/>
      <c r="F19" s="903"/>
      <c r="G19" s="659"/>
      <c r="H19" s="902"/>
      <c r="I19" s="903"/>
      <c r="J19" s="659"/>
      <c r="K19" s="444"/>
      <c r="L19" s="903"/>
      <c r="M19" s="659" t="str">
        <f t="shared" ref="M19:M20" si="13">IF(K19=0, "    ---- ", IF(ABS(ROUND(100/K19*L19-100,1))&lt;999,ROUND(100/K19*L19-100,1),IF(ROUND(100/K19*L19-100,1)&gt;999,999,-999)))</f>
        <v xml:space="preserve">    ---- </v>
      </c>
      <c r="N19" s="902">
        <v>3.0000000000000001E-3</v>
      </c>
      <c r="O19" s="903">
        <v>-7.2999999999999995E-2</v>
      </c>
      <c r="P19" s="659">
        <f t="shared" si="1"/>
        <v>-999</v>
      </c>
      <c r="Q19" s="902"/>
      <c r="R19" s="903"/>
      <c r="S19" s="658"/>
      <c r="T19" s="902"/>
      <c r="U19" s="903"/>
      <c r="V19" s="659"/>
      <c r="W19" s="902"/>
      <c r="X19" s="903"/>
      <c r="Y19" s="659"/>
      <c r="Z19" s="902"/>
      <c r="AA19" s="903"/>
      <c r="AB19" s="659"/>
      <c r="AC19" s="444"/>
      <c r="AD19" s="616"/>
      <c r="AE19" s="659"/>
      <c r="AF19" s="902"/>
      <c r="AG19" s="903"/>
      <c r="AH19" s="659"/>
      <c r="AI19" s="902"/>
      <c r="AJ19" s="903"/>
      <c r="AK19" s="659"/>
      <c r="AL19" s="902"/>
      <c r="AM19" s="903"/>
      <c r="AN19" s="659"/>
      <c r="AO19" s="658">
        <f t="shared" si="4"/>
        <v>3.0000000000000001E-3</v>
      </c>
      <c r="AP19" s="658">
        <f t="shared" si="5"/>
        <v>-7.2999999999999995E-2</v>
      </c>
      <c r="AQ19" s="659">
        <f t="shared" si="6"/>
        <v>-999</v>
      </c>
      <c r="AR19" s="616">
        <f t="shared" si="7"/>
        <v>3.0000000000000001E-3</v>
      </c>
      <c r="AS19" s="616">
        <f t="shared" si="8"/>
        <v>-7.2999999999999995E-2</v>
      </c>
      <c r="AT19" s="659">
        <f t="shared" si="9"/>
        <v>-999</v>
      </c>
      <c r="AU19" s="641"/>
      <c r="AV19" s="641"/>
      <c r="AW19" s="636"/>
      <c r="AX19" s="636"/>
    </row>
    <row r="20" spans="1:50" s="663" customFormat="1" ht="18.75" customHeight="1" x14ac:dyDescent="0.3">
      <c r="A20" s="602" t="s">
        <v>374</v>
      </c>
      <c r="B20" s="900">
        <f>SUM(B12:B17)+B19</f>
        <v>-0.69100000000000006</v>
      </c>
      <c r="C20" s="901">
        <f>SUM(C12:C17)+C19</f>
        <v>1.4349999999999998</v>
      </c>
      <c r="D20" s="656">
        <f>IF(B20=0, "    ---- ", IF(ABS(ROUND(100/B20*C20-100,1))&lt;999,ROUND(100/B20*C20-100,1),IF(ROUND(100/B20*C20-100,1)&gt;999,999,-999)))</f>
        <v>-307.7</v>
      </c>
      <c r="E20" s="900"/>
      <c r="F20" s="901"/>
      <c r="G20" s="657"/>
      <c r="H20" s="900">
        <f>SUM(H12:H17)+H19</f>
        <v>-45.994</v>
      </c>
      <c r="I20" s="901">
        <f>SUM(I12:I17)+I19</f>
        <v>53</v>
      </c>
      <c r="J20" s="657">
        <f>IF(H20=0, "    ---- ", IF(ABS(ROUND(100/H20*I20-100,1))&lt;999,ROUND(100/H20*I20-100,1),IF(ROUND(100/H20*I20-100,1)&gt;999,999,-999)))</f>
        <v>-215.2</v>
      </c>
      <c r="K20" s="603"/>
      <c r="L20" s="901">
        <f>SUM(L12:L17)+L19</f>
        <v>-104</v>
      </c>
      <c r="M20" s="657" t="str">
        <f t="shared" si="13"/>
        <v xml:space="preserve">    ---- </v>
      </c>
      <c r="N20" s="900">
        <f>SUM(N12:N17)+N19</f>
        <v>1.1119999999999981</v>
      </c>
      <c r="O20" s="901">
        <f>SUM(O12:O17)+O19</f>
        <v>4.5749999999999993</v>
      </c>
      <c r="P20" s="657">
        <f t="shared" si="1"/>
        <v>311.39999999999998</v>
      </c>
      <c r="Q20" s="900"/>
      <c r="R20" s="901"/>
      <c r="S20" s="656"/>
      <c r="T20" s="900">
        <f>SUM(T12:T17)+T19</f>
        <v>-3.263482725160129</v>
      </c>
      <c r="U20" s="901">
        <f>SUM(U12:U17)+U19</f>
        <v>-2.307394783286159</v>
      </c>
      <c r="V20" s="657">
        <f t="shared" si="2"/>
        <v>-29.3</v>
      </c>
      <c r="W20" s="900"/>
      <c r="X20" s="901">
        <f>SUM(X12:X17)+X19</f>
        <v>-2.9769854344838889</v>
      </c>
      <c r="Y20" s="657" t="str">
        <f t="shared" si="11"/>
        <v xml:space="preserve">    ---- </v>
      </c>
      <c r="Z20" s="900"/>
      <c r="AA20" s="901"/>
      <c r="AB20" s="657"/>
      <c r="AC20" s="603"/>
      <c r="AD20" s="618"/>
      <c r="AE20" s="657"/>
      <c r="AF20" s="900"/>
      <c r="AG20" s="901"/>
      <c r="AH20" s="657"/>
      <c r="AI20" s="900">
        <f>SUM(AI12:AI17)+AI19</f>
        <v>59</v>
      </c>
      <c r="AJ20" s="901">
        <f>SUM(AJ12:AJ17)+AJ19</f>
        <v>5</v>
      </c>
      <c r="AK20" s="657">
        <f t="shared" si="3"/>
        <v>-91.5</v>
      </c>
      <c r="AL20" s="900">
        <f>SUM(AL12:AL17)+AL19</f>
        <v>-41.1</v>
      </c>
      <c r="AM20" s="901">
        <f>SUM(AM12:AM17)+AM19</f>
        <v>-102</v>
      </c>
      <c r="AN20" s="657">
        <f>IF(AL20=0, "    ---- ", IF(ABS(ROUND(100/AL20*AM20-100,1))&lt;999,ROUND(100/AL20*AM20-100,1),IF(ROUND(100/AL20*AM20-100,1)&gt;999,999,-999)))</f>
        <v>148.19999999999999</v>
      </c>
      <c r="AO20" s="656">
        <f t="shared" si="4"/>
        <v>-27.673000000000009</v>
      </c>
      <c r="AP20" s="656">
        <f t="shared" si="5"/>
        <v>-144.96698543448389</v>
      </c>
      <c r="AQ20" s="657">
        <f t="shared" si="6"/>
        <v>423.9</v>
      </c>
      <c r="AR20" s="618">
        <f t="shared" si="7"/>
        <v>-30.93648272516014</v>
      </c>
      <c r="AS20" s="618">
        <f t="shared" si="8"/>
        <v>-147.27438021777004</v>
      </c>
      <c r="AT20" s="657">
        <f t="shared" si="9"/>
        <v>376.1</v>
      </c>
      <c r="AU20" s="639"/>
      <c r="AV20" s="639"/>
      <c r="AW20" s="662"/>
      <c r="AX20" s="662"/>
    </row>
    <row r="21" spans="1:50" s="660" customFormat="1" ht="18.75" customHeight="1" x14ac:dyDescent="0.3">
      <c r="A21" s="608" t="s">
        <v>375</v>
      </c>
      <c r="B21" s="902"/>
      <c r="C21" s="903"/>
      <c r="D21" s="658"/>
      <c r="E21" s="902"/>
      <c r="F21" s="903"/>
      <c r="G21" s="659"/>
      <c r="H21" s="902">
        <v>4.4560000000000004</v>
      </c>
      <c r="I21" s="903">
        <v>0</v>
      </c>
      <c r="J21" s="659">
        <f>IF(H21=0, "    ---- ", IF(ABS(ROUND(100/H21*I21-100,1))&lt;999,ROUND(100/H21*I21-100,1),IF(ROUND(100/H21*I21-100,1)&gt;999,999,-999)))</f>
        <v>-100</v>
      </c>
      <c r="K21" s="444"/>
      <c r="L21" s="903"/>
      <c r="M21" s="659"/>
      <c r="N21" s="902"/>
      <c r="O21" s="903"/>
      <c r="P21" s="659"/>
      <c r="Q21" s="902"/>
      <c r="R21" s="903"/>
      <c r="S21" s="658"/>
      <c r="T21" s="902"/>
      <c r="U21" s="903"/>
      <c r="V21" s="659"/>
      <c r="W21" s="902"/>
      <c r="X21" s="903"/>
      <c r="Y21" s="659"/>
      <c r="Z21" s="902"/>
      <c r="AA21" s="903"/>
      <c r="AB21" s="659"/>
      <c r="AC21" s="444"/>
      <c r="AD21" s="616"/>
      <c r="AE21" s="659"/>
      <c r="AF21" s="902"/>
      <c r="AG21" s="903"/>
      <c r="AH21" s="659"/>
      <c r="AI21" s="902"/>
      <c r="AJ21" s="903"/>
      <c r="AK21" s="659"/>
      <c r="AL21" s="902"/>
      <c r="AM21" s="903"/>
      <c r="AN21" s="659"/>
      <c r="AO21" s="658">
        <f t="shared" si="4"/>
        <v>4.4560000000000004</v>
      </c>
      <c r="AP21" s="658">
        <f t="shared" si="5"/>
        <v>0</v>
      </c>
      <c r="AQ21" s="659">
        <f t="shared" si="6"/>
        <v>-100</v>
      </c>
      <c r="AR21" s="616">
        <f t="shared" si="7"/>
        <v>4.4560000000000004</v>
      </c>
      <c r="AS21" s="616">
        <f t="shared" si="8"/>
        <v>0</v>
      </c>
      <c r="AT21" s="659">
        <f t="shared" si="9"/>
        <v>-100</v>
      </c>
      <c r="AU21" s="641"/>
      <c r="AV21" s="641"/>
      <c r="AW21" s="636"/>
      <c r="AX21" s="636"/>
    </row>
    <row r="22" spans="1:50" s="660" customFormat="1" ht="18.75" customHeight="1" x14ac:dyDescent="0.3">
      <c r="A22" s="608" t="s">
        <v>376</v>
      </c>
      <c r="B22" s="902">
        <v>-0.69099999999999995</v>
      </c>
      <c r="C22" s="903">
        <v>1.4350000000000001</v>
      </c>
      <c r="D22" s="658">
        <f>IF(B22=0, "    ---- ", IF(ABS(ROUND(100/B22*C22-100,1))&lt;999,ROUND(100/B22*C22-100,1),IF(ROUND(100/B22*C22-100,1)&gt;999,999,-999)))</f>
        <v>-307.7</v>
      </c>
      <c r="E22" s="902"/>
      <c r="F22" s="903"/>
      <c r="G22" s="659"/>
      <c r="H22" s="902">
        <v>-50.45</v>
      </c>
      <c r="I22" s="903">
        <v>53</v>
      </c>
      <c r="J22" s="659">
        <f>IF(H22=0, "    ---- ", IF(ABS(ROUND(100/H22*I22-100,1))&lt;999,ROUND(100/H22*I22-100,1),IF(ROUND(100/H22*I22-100,1)&gt;999,999,-999)))</f>
        <v>-205.1</v>
      </c>
      <c r="K22" s="444"/>
      <c r="L22" s="903">
        <f>+L20</f>
        <v>-104</v>
      </c>
      <c r="M22" s="659" t="str">
        <f t="shared" ref="M22" si="14">IF(K22=0, "    ---- ", IF(ABS(ROUND(100/K22*L22-100,1))&lt;999,ROUND(100/K22*L22-100,1),IF(ROUND(100/K22*L22-100,1)&gt;999,999,-999)))</f>
        <v xml:space="preserve">    ---- </v>
      </c>
      <c r="N22" s="902">
        <v>1.113</v>
      </c>
      <c r="O22" s="903">
        <v>4.5750000000000002</v>
      </c>
      <c r="P22" s="659">
        <f t="shared" si="1"/>
        <v>311.10000000000002</v>
      </c>
      <c r="Q22" s="902"/>
      <c r="R22" s="903"/>
      <c r="S22" s="658"/>
      <c r="T22" s="902">
        <v>-3.263482725160129</v>
      </c>
      <c r="U22" s="903">
        <v>-2.2999999999999998</v>
      </c>
      <c r="V22" s="659">
        <f t="shared" si="2"/>
        <v>-29.5</v>
      </c>
      <c r="W22" s="902"/>
      <c r="X22" s="903">
        <v>-2.9769854344838889</v>
      </c>
      <c r="Y22" s="659" t="str">
        <f t="shared" si="11"/>
        <v xml:space="preserve">    ---- </v>
      </c>
      <c r="Z22" s="902"/>
      <c r="AA22" s="903"/>
      <c r="AB22" s="659"/>
      <c r="AC22" s="444"/>
      <c r="AD22" s="616"/>
      <c r="AE22" s="659"/>
      <c r="AF22" s="902"/>
      <c r="AG22" s="903"/>
      <c r="AH22" s="659"/>
      <c r="AI22" s="902">
        <v>59</v>
      </c>
      <c r="AJ22" s="903">
        <v>5</v>
      </c>
      <c r="AK22" s="659">
        <f t="shared" si="3"/>
        <v>-91.5</v>
      </c>
      <c r="AL22" s="902">
        <v>-41</v>
      </c>
      <c r="AM22" s="903">
        <v>-102</v>
      </c>
      <c r="AN22" s="659">
        <f>IF(AL22=0, "    ---- ", IF(ABS(ROUND(100/AL22*AM22-100,1))&lt;999,ROUND(100/AL22*AM22-100,1),IF(ROUND(100/AL22*AM22-100,1)&gt;999,999,-999)))</f>
        <v>148.80000000000001</v>
      </c>
      <c r="AO22" s="658">
        <f t="shared" si="4"/>
        <v>-32.028000000000006</v>
      </c>
      <c r="AP22" s="658">
        <f t="shared" si="5"/>
        <v>-144.96698543448389</v>
      </c>
      <c r="AQ22" s="659">
        <f t="shared" si="6"/>
        <v>352.6</v>
      </c>
      <c r="AR22" s="616">
        <f t="shared" si="7"/>
        <v>-35.291482725160137</v>
      </c>
      <c r="AS22" s="616">
        <f t="shared" si="8"/>
        <v>-147.26698543448387</v>
      </c>
      <c r="AT22" s="659">
        <f t="shared" si="9"/>
        <v>317.3</v>
      </c>
      <c r="AU22" s="641"/>
      <c r="AV22" s="641"/>
      <c r="AW22" s="636"/>
      <c r="AX22" s="636"/>
    </row>
    <row r="23" spans="1:50" s="660" customFormat="1" ht="18.75" customHeight="1" x14ac:dyDescent="0.3">
      <c r="A23" s="602" t="s">
        <v>400</v>
      </c>
      <c r="B23" s="911"/>
      <c r="C23" s="912"/>
      <c r="D23" s="658"/>
      <c r="E23" s="911"/>
      <c r="F23" s="912"/>
      <c r="G23" s="659"/>
      <c r="H23" s="911"/>
      <c r="I23" s="912"/>
      <c r="J23" s="659"/>
      <c r="K23" s="665"/>
      <c r="L23" s="912"/>
      <c r="M23" s="659"/>
      <c r="N23" s="911"/>
      <c r="O23" s="912"/>
      <c r="P23" s="659"/>
      <c r="Q23" s="911"/>
      <c r="R23" s="912"/>
      <c r="S23" s="658"/>
      <c r="T23" s="911"/>
      <c r="U23" s="912"/>
      <c r="V23" s="659"/>
      <c r="W23" s="911"/>
      <c r="X23" s="912"/>
      <c r="Y23" s="659"/>
      <c r="Z23" s="911"/>
      <c r="AA23" s="912"/>
      <c r="AB23" s="659"/>
      <c r="AC23" s="665"/>
      <c r="AD23" s="656"/>
      <c r="AE23" s="659"/>
      <c r="AF23" s="911"/>
      <c r="AG23" s="912"/>
      <c r="AH23" s="659"/>
      <c r="AI23" s="911"/>
      <c r="AJ23" s="912"/>
      <c r="AK23" s="659"/>
      <c r="AL23" s="911"/>
      <c r="AM23" s="912"/>
      <c r="AN23" s="659"/>
      <c r="AO23" s="658"/>
      <c r="AP23" s="658"/>
      <c r="AQ23" s="659"/>
      <c r="AR23" s="616"/>
      <c r="AS23" s="616"/>
      <c r="AT23" s="659"/>
      <c r="AU23" s="641"/>
      <c r="AV23" s="641"/>
      <c r="AW23" s="636"/>
      <c r="AX23" s="636"/>
    </row>
    <row r="24" spans="1:50" s="660" customFormat="1" ht="18.75" customHeight="1" x14ac:dyDescent="0.3">
      <c r="A24" s="608" t="s">
        <v>366</v>
      </c>
      <c r="B24" s="909">
        <v>1.667</v>
      </c>
      <c r="C24" s="910">
        <v>1.0369999999999999</v>
      </c>
      <c r="D24" s="658">
        <f>IF(B24=0, "    ---- ", IF(ABS(ROUND(100/B24*C24-100,1))&lt;999,ROUND(100/B24*C24-100,1),IF(ROUND(100/B24*C24-100,1)&gt;999,999,-999)))</f>
        <v>-37.799999999999997</v>
      </c>
      <c r="E24" s="909"/>
      <c r="F24" s="910"/>
      <c r="G24" s="659"/>
      <c r="H24" s="909">
        <v>-49.39</v>
      </c>
      <c r="I24" s="910">
        <v>-12</v>
      </c>
      <c r="J24" s="659">
        <f>IF(H24=0, "    ---- ", IF(ABS(ROUND(100/H24*I24-100,1))&lt;999,ROUND(100/H24*I24-100,1),IF(ROUND(100/H24*I24-100,1)&gt;999,999,-999)))</f>
        <v>-75.7</v>
      </c>
      <c r="K24" s="664"/>
      <c r="L24" s="910">
        <v>8</v>
      </c>
      <c r="M24" s="659" t="str">
        <f t="shared" ref="M24" si="15">IF(K24=0, "    ---- ", IF(ABS(ROUND(100/K24*L24-100,1))&lt;999,ROUND(100/K24*L24-100,1),IF(ROUND(100/K24*L24-100,1)&gt;999,999,-999)))</f>
        <v xml:space="preserve">    ---- </v>
      </c>
      <c r="N24" s="909">
        <v>9.2439999999999998</v>
      </c>
      <c r="O24" s="910">
        <v>7.8230000000000004</v>
      </c>
      <c r="P24" s="659">
        <f t="shared" si="1"/>
        <v>-15.4</v>
      </c>
      <c r="Q24" s="909"/>
      <c r="R24" s="910"/>
      <c r="S24" s="659"/>
      <c r="T24" s="909"/>
      <c r="U24" s="910"/>
      <c r="V24" s="659"/>
      <c r="W24" s="909"/>
      <c r="X24" s="910"/>
      <c r="Y24" s="659"/>
      <c r="Z24" s="909">
        <v>1.148775028624456</v>
      </c>
      <c r="AA24" s="910">
        <v>1</v>
      </c>
      <c r="AB24" s="659">
        <f t="shared" ref="AB24:AB34" si="16">IF(Z24=0, "    ---- ", IF(ABS(ROUND(100/Z24*AA24-100,1))&lt;999,ROUND(100/Z24*AA24-100,1),IF(ROUND(100/Z24*AA24-100,1)&gt;999,999,-999)))</f>
        <v>-13</v>
      </c>
      <c r="AC24" s="664"/>
      <c r="AD24" s="658"/>
      <c r="AE24" s="659"/>
      <c r="AF24" s="909"/>
      <c r="AG24" s="910"/>
      <c r="AH24" s="659"/>
      <c r="AI24" s="909">
        <v>4</v>
      </c>
      <c r="AJ24" s="910"/>
      <c r="AK24" s="659">
        <f t="shared" si="3"/>
        <v>-100</v>
      </c>
      <c r="AL24" s="909">
        <v>7</v>
      </c>
      <c r="AM24" s="910">
        <v>6</v>
      </c>
      <c r="AN24" s="659">
        <f>IF(AL24=0, "    ---- ", IF(ABS(ROUND(100/AL24*AM24-100,1))&lt;999,ROUND(100/AL24*AM24-100,1),IF(ROUND(100/AL24*AM24-100,1)&gt;999,999,-999)))</f>
        <v>-14.3</v>
      </c>
      <c r="AO24" s="658">
        <f t="shared" ref="AO24:AO34" si="17">B24+H24+K24+N24+Q24+W24+E24+Z24+AC24+AI24+AL24</f>
        <v>-26.330224971375543</v>
      </c>
      <c r="AP24" s="658">
        <f t="shared" ref="AP24:AP34" si="18">C24+I24+L24+O24+R24+X24+F24+AA24+AD24+AJ24+AM24</f>
        <v>11.86</v>
      </c>
      <c r="AQ24" s="659">
        <f>IF(AO24=0, "    ---- ", IF(ABS(ROUND(100/AO24*AP24-100,1))&lt;999,ROUND(100/AO24*AP24-100,1),IF(ROUND(100/AO24*AP24-100,1)&gt;999,999,-999)))</f>
        <v>-145</v>
      </c>
      <c r="AR24" s="616">
        <f t="shared" ref="AR24:AR34" si="19">+B24+H24+K24+N24+Q24+T24+W24+E24+Z24+AC24+AF24+AI24+AL24</f>
        <v>-26.330224971375543</v>
      </c>
      <c r="AS24" s="616">
        <f t="shared" ref="AS24:AS34" si="20">+C24+I24+L24+O24+R24+U24+X24+F24+AA24+AD24+AG24+AJ24+AM24</f>
        <v>11.86</v>
      </c>
      <c r="AT24" s="659">
        <f>IF(AR24=0, "    ---- ", IF(ABS(ROUND(100/AR24*AS24-100,1))&lt;999,ROUND(100/AR24*AS24-100,1),IF(ROUND(100/AR24*AS24-100,1)&gt;999,999,-999)))</f>
        <v>-145</v>
      </c>
      <c r="AU24" s="641"/>
      <c r="AV24" s="641"/>
      <c r="AW24" s="636"/>
      <c r="AX24" s="636"/>
    </row>
    <row r="25" spans="1:50" s="660" customFormat="1" ht="18.75" customHeight="1" x14ac:dyDescent="0.3">
      <c r="A25" s="608" t="s">
        <v>367</v>
      </c>
      <c r="B25" s="909"/>
      <c r="C25" s="910"/>
      <c r="D25" s="658"/>
      <c r="E25" s="909"/>
      <c r="F25" s="910"/>
      <c r="G25" s="659"/>
      <c r="H25" s="909"/>
      <c r="I25" s="910"/>
      <c r="J25" s="659"/>
      <c r="K25" s="664"/>
      <c r="L25" s="910"/>
      <c r="M25" s="659"/>
      <c r="N25" s="909"/>
      <c r="O25" s="910"/>
      <c r="P25" s="659"/>
      <c r="Q25" s="909"/>
      <c r="R25" s="910"/>
      <c r="S25" s="658"/>
      <c r="T25" s="909"/>
      <c r="U25" s="910"/>
      <c r="V25" s="659"/>
      <c r="W25" s="909"/>
      <c r="X25" s="910"/>
      <c r="Y25" s="659"/>
      <c r="Z25" s="909"/>
      <c r="AA25" s="910"/>
      <c r="AB25" s="659"/>
      <c r="AC25" s="664"/>
      <c r="AD25" s="658"/>
      <c r="AE25" s="659"/>
      <c r="AF25" s="909"/>
      <c r="AG25" s="910"/>
      <c r="AH25" s="659"/>
      <c r="AI25" s="909"/>
      <c r="AJ25" s="910"/>
      <c r="AK25" s="659"/>
      <c r="AL25" s="909"/>
      <c r="AM25" s="910"/>
      <c r="AN25" s="659"/>
      <c r="AO25" s="658">
        <f t="shared" si="17"/>
        <v>0</v>
      </c>
      <c r="AP25" s="658">
        <f t="shared" si="18"/>
        <v>0</v>
      </c>
      <c r="AQ25" s="659" t="str">
        <f t="shared" ref="AQ25:AQ34" si="21">IF(AO25=0, "    ---- ", IF(ABS(ROUND(100/AO25*AP25-100,1))&lt;999,ROUND(100/AO25*AP25-100,1),IF(ROUND(100/AO25*AP25-100,1)&gt;999,999,-999)))</f>
        <v xml:space="preserve">    ---- </v>
      </c>
      <c r="AR25" s="616">
        <f t="shared" si="19"/>
        <v>0</v>
      </c>
      <c r="AS25" s="616">
        <f t="shared" si="20"/>
        <v>0</v>
      </c>
      <c r="AT25" s="659" t="str">
        <f t="shared" ref="AT25:AT34" si="22">IF(AR25=0, "    ---- ", IF(ABS(ROUND(100/AR25*AS25-100,1))&lt;999,ROUND(100/AR25*AS25-100,1),IF(ROUND(100/AR25*AS25-100,1)&gt;999,999,-999)))</f>
        <v xml:space="preserve">    ---- </v>
      </c>
      <c r="AU25" s="641"/>
      <c r="AV25" s="641"/>
      <c r="AW25" s="636"/>
      <c r="AX25" s="636"/>
    </row>
    <row r="26" spans="1:50" s="660" customFormat="1" ht="18.75" customHeight="1" x14ac:dyDescent="0.3">
      <c r="A26" s="608" t="s">
        <v>368</v>
      </c>
      <c r="B26" s="909">
        <v>-1.6990000000000001</v>
      </c>
      <c r="C26" s="910">
        <v>-2.7290000000000001</v>
      </c>
      <c r="D26" s="658">
        <f>IF(B26=0, "    ---- ", IF(ABS(ROUND(100/B26*C26-100,1))&lt;999,ROUND(100/B26*C26-100,1),IF(ROUND(100/B26*C26-100,1)&gt;999,999,-999)))</f>
        <v>60.6</v>
      </c>
      <c r="E26" s="909"/>
      <c r="F26" s="910"/>
      <c r="G26" s="659"/>
      <c r="H26" s="909">
        <v>-9.359</v>
      </c>
      <c r="I26" s="910">
        <v>16.399999999999999</v>
      </c>
      <c r="J26" s="659">
        <f>IF(H26=0, "    ---- ", IF(ABS(ROUND(100/H26*I26-100,1))&lt;999,ROUND(100/H26*I26-100,1),IF(ROUND(100/H26*I26-100,1)&gt;999,999,-999)))</f>
        <v>-275.2</v>
      </c>
      <c r="K26" s="664"/>
      <c r="L26" s="910">
        <v>-35</v>
      </c>
      <c r="M26" s="659" t="str">
        <f t="shared" ref="M26" si="23">IF(K26=0, "    ---- ", IF(ABS(ROUND(100/K26*L26-100,1))&lt;999,ROUND(100/K26*L26-100,1),IF(ROUND(100/K26*L26-100,1)&gt;999,999,-999)))</f>
        <v xml:space="preserve">    ---- </v>
      </c>
      <c r="N26" s="909">
        <v>0.53800000000000003</v>
      </c>
      <c r="O26" s="910">
        <v>-0.60599999999999998</v>
      </c>
      <c r="P26" s="659">
        <f t="shared" si="1"/>
        <v>-212.6</v>
      </c>
      <c r="Q26" s="909"/>
      <c r="R26" s="910"/>
      <c r="S26" s="658"/>
      <c r="T26" s="909"/>
      <c r="U26" s="910"/>
      <c r="V26" s="659"/>
      <c r="W26" s="909"/>
      <c r="X26" s="910"/>
      <c r="Y26" s="659"/>
      <c r="Z26" s="909">
        <v>14.011931115090372</v>
      </c>
      <c r="AA26" s="910">
        <v>32</v>
      </c>
      <c r="AB26" s="659">
        <f t="shared" si="16"/>
        <v>128.4</v>
      </c>
      <c r="AC26" s="664"/>
      <c r="AD26" s="658"/>
      <c r="AE26" s="659"/>
      <c r="AF26" s="909"/>
      <c r="AG26" s="910"/>
      <c r="AH26" s="659"/>
      <c r="AI26" s="909">
        <v>-11</v>
      </c>
      <c r="AJ26" s="910"/>
      <c r="AK26" s="659">
        <f t="shared" si="3"/>
        <v>-100</v>
      </c>
      <c r="AL26" s="909">
        <v>-22</v>
      </c>
      <c r="AM26" s="910">
        <v>-13</v>
      </c>
      <c r="AN26" s="659">
        <f>IF(AL26=0, "    ---- ", IF(ABS(ROUND(100/AL26*AM26-100,1))&lt;999,ROUND(100/AL26*AM26-100,1),IF(ROUND(100/AL26*AM26-100,1)&gt;999,999,-999)))</f>
        <v>-40.9</v>
      </c>
      <c r="AO26" s="658">
        <f t="shared" si="17"/>
        <v>-29.508068884909626</v>
      </c>
      <c r="AP26" s="658">
        <f t="shared" si="18"/>
        <v>-2.9350000000000023</v>
      </c>
      <c r="AQ26" s="659">
        <f t="shared" si="21"/>
        <v>-90.1</v>
      </c>
      <c r="AR26" s="616">
        <f t="shared" si="19"/>
        <v>-29.508068884909626</v>
      </c>
      <c r="AS26" s="616">
        <f t="shared" si="20"/>
        <v>-2.9350000000000023</v>
      </c>
      <c r="AT26" s="659">
        <f t="shared" si="22"/>
        <v>-90.1</v>
      </c>
      <c r="AU26" s="641"/>
      <c r="AV26" s="641"/>
      <c r="AW26" s="636"/>
      <c r="AX26" s="636"/>
    </row>
    <row r="27" spans="1:50" s="660" customFormat="1" ht="18.75" customHeight="1" x14ac:dyDescent="0.3">
      <c r="A27" s="608" t="s">
        <v>369</v>
      </c>
      <c r="B27" s="909"/>
      <c r="C27" s="910"/>
      <c r="D27" s="658"/>
      <c r="E27" s="909"/>
      <c r="F27" s="910"/>
      <c r="G27" s="659"/>
      <c r="H27" s="909"/>
      <c r="I27" s="910"/>
      <c r="J27" s="659"/>
      <c r="K27" s="664"/>
      <c r="L27" s="910"/>
      <c r="M27" s="659"/>
      <c r="N27" s="909"/>
      <c r="O27" s="910"/>
      <c r="P27" s="659"/>
      <c r="Q27" s="909"/>
      <c r="R27" s="910"/>
      <c r="S27" s="658"/>
      <c r="T27" s="909"/>
      <c r="U27" s="910"/>
      <c r="V27" s="659"/>
      <c r="W27" s="909"/>
      <c r="X27" s="910"/>
      <c r="Y27" s="659"/>
      <c r="Z27" s="909"/>
      <c r="AA27" s="910"/>
      <c r="AB27" s="659"/>
      <c r="AC27" s="664"/>
      <c r="AD27" s="658"/>
      <c r="AE27" s="659"/>
      <c r="AF27" s="909"/>
      <c r="AG27" s="910"/>
      <c r="AH27" s="659"/>
      <c r="AI27" s="909"/>
      <c r="AJ27" s="910"/>
      <c r="AK27" s="659"/>
      <c r="AL27" s="909"/>
      <c r="AM27" s="910"/>
      <c r="AN27" s="659"/>
      <c r="AO27" s="658">
        <f t="shared" si="17"/>
        <v>0</v>
      </c>
      <c r="AP27" s="658">
        <f t="shared" si="18"/>
        <v>0</v>
      </c>
      <c r="AQ27" s="659" t="str">
        <f t="shared" si="21"/>
        <v xml:space="preserve">    ---- </v>
      </c>
      <c r="AR27" s="616">
        <f t="shared" si="19"/>
        <v>0</v>
      </c>
      <c r="AS27" s="616">
        <f t="shared" si="20"/>
        <v>0</v>
      </c>
      <c r="AT27" s="659" t="str">
        <f t="shared" si="22"/>
        <v xml:space="preserve">    ---- </v>
      </c>
      <c r="AU27" s="641"/>
      <c r="AV27" s="641"/>
      <c r="AW27" s="636"/>
      <c r="AX27" s="636"/>
    </row>
    <row r="28" spans="1:50" s="660" customFormat="1" ht="18.75" customHeight="1" x14ac:dyDescent="0.3">
      <c r="A28" s="608" t="s">
        <v>370</v>
      </c>
      <c r="B28" s="909"/>
      <c r="C28" s="910"/>
      <c r="D28" s="658"/>
      <c r="E28" s="909"/>
      <c r="F28" s="910"/>
      <c r="G28" s="659"/>
      <c r="H28" s="909"/>
      <c r="I28" s="910"/>
      <c r="J28" s="659"/>
      <c r="K28" s="664"/>
      <c r="L28" s="910"/>
      <c r="M28" s="659"/>
      <c r="N28" s="909"/>
      <c r="O28" s="910"/>
      <c r="P28" s="659"/>
      <c r="Q28" s="909"/>
      <c r="R28" s="910"/>
      <c r="S28" s="658"/>
      <c r="T28" s="909"/>
      <c r="U28" s="910"/>
      <c r="V28" s="659"/>
      <c r="W28" s="909"/>
      <c r="X28" s="910"/>
      <c r="Y28" s="659"/>
      <c r="Z28" s="909"/>
      <c r="AA28" s="910"/>
      <c r="AB28" s="659"/>
      <c r="AC28" s="664"/>
      <c r="AD28" s="658"/>
      <c r="AE28" s="659"/>
      <c r="AF28" s="909"/>
      <c r="AG28" s="910"/>
      <c r="AH28" s="659"/>
      <c r="AI28" s="909"/>
      <c r="AJ28" s="910"/>
      <c r="AK28" s="659"/>
      <c r="AL28" s="909"/>
      <c r="AM28" s="910"/>
      <c r="AN28" s="659"/>
      <c r="AO28" s="658">
        <f t="shared" si="17"/>
        <v>0</v>
      </c>
      <c r="AP28" s="658">
        <f t="shared" si="18"/>
        <v>0</v>
      </c>
      <c r="AQ28" s="659" t="str">
        <f t="shared" si="21"/>
        <v xml:space="preserve">    ---- </v>
      </c>
      <c r="AR28" s="616">
        <f t="shared" si="19"/>
        <v>0</v>
      </c>
      <c r="AS28" s="616">
        <f t="shared" si="20"/>
        <v>0</v>
      </c>
      <c r="AT28" s="659" t="str">
        <f t="shared" si="22"/>
        <v xml:space="preserve">    ---- </v>
      </c>
      <c r="AU28" s="641"/>
      <c r="AV28" s="641"/>
      <c r="AW28" s="636"/>
      <c r="AX28" s="636"/>
    </row>
    <row r="29" spans="1:50" s="660" customFormat="1" ht="18.75" customHeight="1" x14ac:dyDescent="0.3">
      <c r="A29" s="608" t="s">
        <v>371</v>
      </c>
      <c r="B29" s="909">
        <v>8.14</v>
      </c>
      <c r="C29" s="910">
        <v>14.018000000000001</v>
      </c>
      <c r="D29" s="658">
        <f>IF(B29=0, "    ---- ", IF(ABS(ROUND(100/B29*C29-100,1))&lt;999,ROUND(100/B29*C29-100,1),IF(ROUND(100/B29*C29-100,1)&gt;999,999,-999)))</f>
        <v>72.2</v>
      </c>
      <c r="E29" s="909"/>
      <c r="F29" s="910"/>
      <c r="G29" s="659"/>
      <c r="H29" s="909">
        <v>10.98</v>
      </c>
      <c r="I29" s="910">
        <v>-30.5</v>
      </c>
      <c r="J29" s="659">
        <f>IF(H29=0, "    ---- ", IF(ABS(ROUND(100/H29*I29-100,1))&lt;999,ROUND(100/H29*I29-100,1),IF(ROUND(100/H29*I29-100,1)&gt;999,999,-999)))</f>
        <v>-377.8</v>
      </c>
      <c r="K29" s="664"/>
      <c r="L29" s="910">
        <v>6</v>
      </c>
      <c r="M29" s="659" t="str">
        <f t="shared" ref="M29" si="24">IF(K29=0, "    ---- ", IF(ABS(ROUND(100/K29*L29-100,1))&lt;999,ROUND(100/K29*L29-100,1),IF(ROUND(100/K29*L29-100,1)&gt;999,999,-999)))</f>
        <v xml:space="preserve">    ---- </v>
      </c>
      <c r="N29" s="909">
        <v>14.98</v>
      </c>
      <c r="O29" s="910">
        <v>9.7189999999999994</v>
      </c>
      <c r="P29" s="659">
        <f t="shared" si="1"/>
        <v>-35.1</v>
      </c>
      <c r="Q29" s="909"/>
      <c r="R29" s="910"/>
      <c r="S29" s="659"/>
      <c r="T29" s="909"/>
      <c r="U29" s="910"/>
      <c r="V29" s="659"/>
      <c r="W29" s="909"/>
      <c r="X29" s="910"/>
      <c r="Y29" s="659"/>
      <c r="Z29" s="909">
        <v>49.05452669718396</v>
      </c>
      <c r="AA29" s="910">
        <v>43</v>
      </c>
      <c r="AB29" s="659">
        <f t="shared" si="16"/>
        <v>-12.3</v>
      </c>
      <c r="AC29" s="664"/>
      <c r="AD29" s="658"/>
      <c r="AE29" s="659"/>
      <c r="AF29" s="909"/>
      <c r="AG29" s="910"/>
      <c r="AH29" s="659"/>
      <c r="AI29" s="909">
        <v>83</v>
      </c>
      <c r="AJ29" s="910"/>
      <c r="AK29" s="659">
        <f t="shared" si="3"/>
        <v>-100</v>
      </c>
      <c r="AL29" s="909">
        <v>30</v>
      </c>
      <c r="AM29" s="910">
        <v>-27</v>
      </c>
      <c r="AN29" s="659">
        <f>IF(AL29=0, "    ---- ", IF(ABS(ROUND(100/AL29*AM29-100,1))&lt;999,ROUND(100/AL29*AM29-100,1),IF(ROUND(100/AL29*AM29-100,1)&gt;999,999,-999)))</f>
        <v>-190</v>
      </c>
      <c r="AO29" s="658">
        <f t="shared" si="17"/>
        <v>196.15452669718397</v>
      </c>
      <c r="AP29" s="658">
        <f t="shared" si="18"/>
        <v>15.237000000000002</v>
      </c>
      <c r="AQ29" s="659">
        <f t="shared" si="21"/>
        <v>-92.2</v>
      </c>
      <c r="AR29" s="616">
        <f t="shared" si="19"/>
        <v>196.15452669718397</v>
      </c>
      <c r="AS29" s="616">
        <f t="shared" si="20"/>
        <v>15.237000000000002</v>
      </c>
      <c r="AT29" s="659">
        <f t="shared" si="22"/>
        <v>-92.2</v>
      </c>
      <c r="AU29" s="641"/>
      <c r="AV29" s="641"/>
      <c r="AW29" s="636"/>
      <c r="AX29" s="636"/>
    </row>
    <row r="30" spans="1:50" s="660" customFormat="1" ht="18.75" customHeight="1" x14ac:dyDescent="0.3">
      <c r="A30" s="608" t="s">
        <v>372</v>
      </c>
      <c r="B30" s="909"/>
      <c r="C30" s="910"/>
      <c r="D30" s="658"/>
      <c r="E30" s="909"/>
      <c r="F30" s="910"/>
      <c r="G30" s="659"/>
      <c r="H30" s="909"/>
      <c r="I30" s="910"/>
      <c r="J30" s="659"/>
      <c r="K30" s="664"/>
      <c r="L30" s="910"/>
      <c r="M30" s="659"/>
      <c r="N30" s="909"/>
      <c r="O30" s="910"/>
      <c r="P30" s="659"/>
      <c r="Q30" s="909"/>
      <c r="R30" s="910"/>
      <c r="S30" s="658"/>
      <c r="T30" s="909"/>
      <c r="U30" s="910"/>
      <c r="V30" s="659"/>
      <c r="W30" s="909"/>
      <c r="X30" s="910"/>
      <c r="Y30" s="659"/>
      <c r="Z30" s="909"/>
      <c r="AA30" s="910"/>
      <c r="AB30" s="659"/>
      <c r="AC30" s="664"/>
      <c r="AD30" s="658"/>
      <c r="AE30" s="659"/>
      <c r="AF30" s="909"/>
      <c r="AG30" s="910"/>
      <c r="AH30" s="659"/>
      <c r="AI30" s="909"/>
      <c r="AJ30" s="910"/>
      <c r="AK30" s="659"/>
      <c r="AL30" s="909"/>
      <c r="AM30" s="910"/>
      <c r="AN30" s="659"/>
      <c r="AO30" s="658">
        <f t="shared" si="17"/>
        <v>0</v>
      </c>
      <c r="AP30" s="658">
        <f t="shared" si="18"/>
        <v>0</v>
      </c>
      <c r="AQ30" s="659" t="str">
        <f t="shared" si="21"/>
        <v xml:space="preserve">    ---- </v>
      </c>
      <c r="AR30" s="616">
        <f t="shared" si="19"/>
        <v>0</v>
      </c>
      <c r="AS30" s="616">
        <f t="shared" si="20"/>
        <v>0</v>
      </c>
      <c r="AT30" s="659" t="str">
        <f t="shared" si="22"/>
        <v xml:space="preserve">    ---- </v>
      </c>
      <c r="AU30" s="641"/>
      <c r="AV30" s="641"/>
      <c r="AW30" s="636"/>
      <c r="AX30" s="636"/>
    </row>
    <row r="31" spans="1:50" s="660" customFormat="1" ht="18.75" customHeight="1" x14ac:dyDescent="0.3">
      <c r="A31" s="608" t="s">
        <v>373</v>
      </c>
      <c r="B31" s="909"/>
      <c r="C31" s="910"/>
      <c r="D31" s="658"/>
      <c r="E31" s="909"/>
      <c r="F31" s="910"/>
      <c r="G31" s="659"/>
      <c r="H31" s="909"/>
      <c r="I31" s="910"/>
      <c r="J31" s="659"/>
      <c r="K31" s="664"/>
      <c r="L31" s="910"/>
      <c r="M31" s="659" t="str">
        <f t="shared" ref="M31:M32" si="25">IF(K31=0, "    ---- ", IF(ABS(ROUND(100/K31*L31-100,1))&lt;999,ROUND(100/K31*L31-100,1),IF(ROUND(100/K31*L31-100,1)&gt;999,999,-999)))</f>
        <v xml:space="preserve">    ---- </v>
      </c>
      <c r="N31" s="909">
        <v>6.0000000000000001E-3</v>
      </c>
      <c r="O31" s="910">
        <v>-0.125</v>
      </c>
      <c r="P31" s="659">
        <f t="shared" si="1"/>
        <v>-999</v>
      </c>
      <c r="Q31" s="909"/>
      <c r="R31" s="910"/>
      <c r="S31" s="658"/>
      <c r="T31" s="909"/>
      <c r="U31" s="910"/>
      <c r="V31" s="659"/>
      <c r="W31" s="909"/>
      <c r="X31" s="910"/>
      <c r="Y31" s="659"/>
      <c r="Z31" s="909"/>
      <c r="AA31" s="910">
        <v>0</v>
      </c>
      <c r="AB31" s="659" t="str">
        <f t="shared" si="16"/>
        <v xml:space="preserve">    ---- </v>
      </c>
      <c r="AC31" s="664"/>
      <c r="AD31" s="658"/>
      <c r="AE31" s="659"/>
      <c r="AF31" s="909"/>
      <c r="AG31" s="910"/>
      <c r="AH31" s="659"/>
      <c r="AI31" s="909"/>
      <c r="AJ31" s="910"/>
      <c r="AK31" s="659"/>
      <c r="AL31" s="909"/>
      <c r="AM31" s="910"/>
      <c r="AN31" s="659"/>
      <c r="AO31" s="658">
        <f t="shared" si="17"/>
        <v>6.0000000000000001E-3</v>
      </c>
      <c r="AP31" s="658">
        <f t="shared" si="18"/>
        <v>-0.125</v>
      </c>
      <c r="AQ31" s="659">
        <f t="shared" si="21"/>
        <v>-999</v>
      </c>
      <c r="AR31" s="616">
        <f t="shared" si="19"/>
        <v>6.0000000000000001E-3</v>
      </c>
      <c r="AS31" s="616">
        <f t="shared" si="20"/>
        <v>-0.125</v>
      </c>
      <c r="AT31" s="659">
        <f t="shared" si="22"/>
        <v>-999</v>
      </c>
      <c r="AU31" s="641"/>
      <c r="AV31" s="641"/>
      <c r="AW31" s="636"/>
      <c r="AX31" s="636"/>
    </row>
    <row r="32" spans="1:50" s="663" customFormat="1" ht="18.75" customHeight="1" x14ac:dyDescent="0.3">
      <c r="A32" s="602" t="s">
        <v>374</v>
      </c>
      <c r="B32" s="911">
        <f>SUM(B24:B29)+B31</f>
        <v>8.1080000000000005</v>
      </c>
      <c r="C32" s="912">
        <f>SUM(C24:C29)+C31</f>
        <v>12.326000000000001</v>
      </c>
      <c r="D32" s="656">
        <f>IF(B32=0, "    ---- ", IF(ABS(ROUND(100/B32*C32-100,1))&lt;999,ROUND(100/B32*C32-100,1),IF(ROUND(100/B32*C32-100,1)&gt;999,999,-999)))</f>
        <v>52</v>
      </c>
      <c r="E32" s="911"/>
      <c r="F32" s="912"/>
      <c r="G32" s="657"/>
      <c r="H32" s="911">
        <f>SUM(H24:H29)+H31</f>
        <v>-47.769000000000005</v>
      </c>
      <c r="I32" s="912">
        <f>SUM(I24:I29)+I31</f>
        <v>-26.1</v>
      </c>
      <c r="J32" s="657">
        <f>IF(H32=0, "    ---- ", IF(ABS(ROUND(100/H32*I32-100,1))&lt;999,ROUND(100/H32*I32-100,1),IF(ROUND(100/H32*I32-100,1)&gt;999,999,-999)))</f>
        <v>-45.4</v>
      </c>
      <c r="K32" s="665"/>
      <c r="L32" s="912">
        <f>SUM(L24:L29)+L31</f>
        <v>-21</v>
      </c>
      <c r="M32" s="657" t="str">
        <f t="shared" si="25"/>
        <v xml:space="preserve">    ---- </v>
      </c>
      <c r="N32" s="911">
        <f>SUM(N24:N29)+N31</f>
        <v>24.768000000000001</v>
      </c>
      <c r="O32" s="912">
        <f>SUM(O24:O29)+O31</f>
        <v>16.811</v>
      </c>
      <c r="P32" s="657">
        <f t="shared" si="1"/>
        <v>-32.1</v>
      </c>
      <c r="Q32" s="911"/>
      <c r="R32" s="912"/>
      <c r="S32" s="656"/>
      <c r="T32" s="911"/>
      <c r="U32" s="912"/>
      <c r="V32" s="657"/>
      <c r="W32" s="911"/>
      <c r="X32" s="912"/>
      <c r="Y32" s="657"/>
      <c r="Z32" s="911">
        <f>SUM(Z24:Z29)+Z31</f>
        <v>64.215232840898793</v>
      </c>
      <c r="AA32" s="912">
        <f>SUM(AA24:AA29)+AA31</f>
        <v>76</v>
      </c>
      <c r="AB32" s="657">
        <f t="shared" si="16"/>
        <v>18.399999999999999</v>
      </c>
      <c r="AC32" s="665"/>
      <c r="AD32" s="656"/>
      <c r="AE32" s="657"/>
      <c r="AF32" s="911"/>
      <c r="AG32" s="912"/>
      <c r="AH32" s="657"/>
      <c r="AI32" s="911">
        <f>SUM(AI24:AI29)+AI31</f>
        <v>76</v>
      </c>
      <c r="AJ32" s="912">
        <f>SUM(AJ24:AJ29)+AJ31</f>
        <v>0</v>
      </c>
      <c r="AK32" s="657">
        <f t="shared" si="3"/>
        <v>-100</v>
      </c>
      <c r="AL32" s="911">
        <f>SUM(AL24:AL29)+AL31</f>
        <v>15</v>
      </c>
      <c r="AM32" s="912">
        <f>SUM(AM24:AM29)+AM31</f>
        <v>-34</v>
      </c>
      <c r="AN32" s="657">
        <f>IF(AL32=0, "    ---- ", IF(ABS(ROUND(100/AL32*AM32-100,1))&lt;999,ROUND(100/AL32*AM32-100,1),IF(ROUND(100/AL32*AM32-100,1)&gt;999,999,-999)))</f>
        <v>-326.7</v>
      </c>
      <c r="AO32" s="656">
        <f t="shared" si="17"/>
        <v>140.32223284089878</v>
      </c>
      <c r="AP32" s="656">
        <f t="shared" si="18"/>
        <v>24.036999999999999</v>
      </c>
      <c r="AQ32" s="657">
        <f t="shared" si="21"/>
        <v>-82.9</v>
      </c>
      <c r="AR32" s="618">
        <f t="shared" si="19"/>
        <v>140.32223284089878</v>
      </c>
      <c r="AS32" s="618">
        <f t="shared" si="20"/>
        <v>24.036999999999999</v>
      </c>
      <c r="AT32" s="657">
        <f t="shared" si="22"/>
        <v>-82.9</v>
      </c>
      <c r="AU32" s="639"/>
      <c r="AV32" s="639"/>
      <c r="AW32" s="662"/>
      <c r="AX32" s="662"/>
    </row>
    <row r="33" spans="1:50" s="660" customFormat="1" ht="18.75" customHeight="1" x14ac:dyDescent="0.3">
      <c r="A33" s="608" t="s">
        <v>375</v>
      </c>
      <c r="B33" s="909"/>
      <c r="C33" s="910"/>
      <c r="D33" s="658"/>
      <c r="E33" s="909"/>
      <c r="F33" s="910"/>
      <c r="G33" s="659"/>
      <c r="H33" s="909">
        <v>0</v>
      </c>
      <c r="I33" s="910">
        <v>0</v>
      </c>
      <c r="J33" s="659" t="str">
        <f>IF(H33=0, "    ---- ", IF(ABS(ROUND(100/H33*I33-100,1))&lt;999,ROUND(100/H33*I33-100,1),IF(ROUND(100/H33*I33-100,1)&gt;999,999,-999)))</f>
        <v xml:space="preserve">    ---- </v>
      </c>
      <c r="K33" s="664"/>
      <c r="L33" s="910"/>
      <c r="M33" s="659"/>
      <c r="N33" s="909"/>
      <c r="O33" s="910"/>
      <c r="P33" s="659"/>
      <c r="Q33" s="909"/>
      <c r="R33" s="910"/>
      <c r="S33" s="658"/>
      <c r="T33" s="909"/>
      <c r="U33" s="910"/>
      <c r="V33" s="659"/>
      <c r="W33" s="909"/>
      <c r="X33" s="910"/>
      <c r="Y33" s="659"/>
      <c r="Z33" s="909"/>
      <c r="AA33" s="910"/>
      <c r="AB33" s="659"/>
      <c r="AC33" s="664"/>
      <c r="AD33" s="658"/>
      <c r="AE33" s="659"/>
      <c r="AF33" s="909"/>
      <c r="AG33" s="910"/>
      <c r="AH33" s="659"/>
      <c r="AI33" s="909"/>
      <c r="AJ33" s="910"/>
      <c r="AK33" s="659"/>
      <c r="AL33" s="909"/>
      <c r="AM33" s="910"/>
      <c r="AN33" s="659"/>
      <c r="AO33" s="658">
        <f t="shared" si="17"/>
        <v>0</v>
      </c>
      <c r="AP33" s="658">
        <f t="shared" si="18"/>
        <v>0</v>
      </c>
      <c r="AQ33" s="659" t="str">
        <f t="shared" si="21"/>
        <v xml:space="preserve">    ---- </v>
      </c>
      <c r="AR33" s="616">
        <f t="shared" si="19"/>
        <v>0</v>
      </c>
      <c r="AS33" s="616">
        <f t="shared" si="20"/>
        <v>0</v>
      </c>
      <c r="AT33" s="659" t="str">
        <f t="shared" si="22"/>
        <v xml:space="preserve">    ---- </v>
      </c>
      <c r="AU33" s="641"/>
      <c r="AV33" s="641"/>
      <c r="AW33" s="636"/>
      <c r="AX33" s="636"/>
    </row>
    <row r="34" spans="1:50" s="660" customFormat="1" ht="18.75" customHeight="1" x14ac:dyDescent="0.3">
      <c r="A34" s="608" t="s">
        <v>376</v>
      </c>
      <c r="B34" s="909">
        <v>8.109</v>
      </c>
      <c r="C34" s="910">
        <v>12.326000000000001</v>
      </c>
      <c r="D34" s="658">
        <f>IF(B34=0, "    ---- ", IF(ABS(ROUND(100/B34*C34-100,1))&lt;999,ROUND(100/B34*C34-100,1),IF(ROUND(100/B34*C34-100,1)&gt;999,999,-999)))</f>
        <v>52</v>
      </c>
      <c r="E34" s="909"/>
      <c r="F34" s="910"/>
      <c r="G34" s="659"/>
      <c r="H34" s="909">
        <v>-47.77</v>
      </c>
      <c r="I34" s="910">
        <v>-26</v>
      </c>
      <c r="J34" s="659">
        <f>IF(H34=0, "    ---- ", IF(ABS(ROUND(100/H34*I34-100,1))&lt;999,ROUND(100/H34*I34-100,1),IF(ROUND(100/H34*I34-100,1)&gt;999,999,-999)))</f>
        <v>-45.6</v>
      </c>
      <c r="K34" s="664"/>
      <c r="L34" s="910">
        <f>+L32</f>
        <v>-21</v>
      </c>
      <c r="M34" s="659" t="str">
        <f t="shared" ref="M34" si="26">IF(K34=0, "    ---- ", IF(ABS(ROUND(100/K34*L34-100,1))&lt;999,ROUND(100/K34*L34-100,1),IF(ROUND(100/K34*L34-100,1)&gt;999,999,-999)))</f>
        <v xml:space="preserve">    ---- </v>
      </c>
      <c r="N34" s="909">
        <v>24.768000000000001</v>
      </c>
      <c r="O34" s="910">
        <v>16.811</v>
      </c>
      <c r="P34" s="659">
        <f t="shared" si="1"/>
        <v>-32.1</v>
      </c>
      <c r="Q34" s="909"/>
      <c r="R34" s="910"/>
      <c r="S34" s="658"/>
      <c r="T34" s="909"/>
      <c r="U34" s="910"/>
      <c r="V34" s="659"/>
      <c r="W34" s="909"/>
      <c r="X34" s="910"/>
      <c r="Y34" s="659"/>
      <c r="Z34" s="909">
        <v>64.215232840898793</v>
      </c>
      <c r="AA34" s="910">
        <v>76</v>
      </c>
      <c r="AB34" s="659">
        <f t="shared" si="16"/>
        <v>18.399999999999999</v>
      </c>
      <c r="AC34" s="664"/>
      <c r="AD34" s="658"/>
      <c r="AE34" s="659"/>
      <c r="AF34" s="909"/>
      <c r="AG34" s="910"/>
      <c r="AH34" s="659"/>
      <c r="AI34" s="909">
        <v>76</v>
      </c>
      <c r="AJ34" s="910"/>
      <c r="AK34" s="659">
        <f t="shared" si="3"/>
        <v>-100</v>
      </c>
      <c r="AL34" s="909">
        <v>15</v>
      </c>
      <c r="AM34" s="910">
        <v>-34</v>
      </c>
      <c r="AN34" s="659">
        <f>IF(AL34=0, "    ---- ", IF(ABS(ROUND(100/AL34*AM34-100,1))&lt;999,ROUND(100/AL34*AM34-100,1),IF(ROUND(100/AL34*AM34-100,1)&gt;999,999,-999)))</f>
        <v>-326.7</v>
      </c>
      <c r="AO34" s="658">
        <f t="shared" si="17"/>
        <v>140.32223284089878</v>
      </c>
      <c r="AP34" s="658">
        <f t="shared" si="18"/>
        <v>24.137</v>
      </c>
      <c r="AQ34" s="659">
        <f t="shared" si="21"/>
        <v>-82.8</v>
      </c>
      <c r="AR34" s="616">
        <f t="shared" si="19"/>
        <v>140.32223284089878</v>
      </c>
      <c r="AS34" s="616">
        <f t="shared" si="20"/>
        <v>24.137</v>
      </c>
      <c r="AT34" s="659">
        <f t="shared" si="22"/>
        <v>-82.8</v>
      </c>
      <c r="AU34" s="641"/>
      <c r="AV34" s="641"/>
      <c r="AW34" s="636"/>
      <c r="AX34" s="636"/>
    </row>
    <row r="35" spans="1:50" s="660" customFormat="1" ht="18.75" customHeight="1" x14ac:dyDescent="0.3">
      <c r="A35" s="620"/>
      <c r="B35" s="913"/>
      <c r="C35" s="914"/>
      <c r="D35" s="675"/>
      <c r="E35" s="913"/>
      <c r="F35" s="914"/>
      <c r="G35" s="676"/>
      <c r="H35" s="913"/>
      <c r="I35" s="914"/>
      <c r="J35" s="676"/>
      <c r="K35" s="674"/>
      <c r="L35" s="914"/>
      <c r="M35" s="676"/>
      <c r="N35" s="913"/>
      <c r="O35" s="914"/>
      <c r="P35" s="676"/>
      <c r="Q35" s="913"/>
      <c r="R35" s="914"/>
      <c r="S35" s="675"/>
      <c r="T35" s="913"/>
      <c r="U35" s="914"/>
      <c r="V35" s="676"/>
      <c r="W35" s="913"/>
      <c r="X35" s="914"/>
      <c r="Y35" s="676"/>
      <c r="Z35" s="913"/>
      <c r="AA35" s="914"/>
      <c r="AB35" s="676"/>
      <c r="AC35" s="674"/>
      <c r="AD35" s="675"/>
      <c r="AE35" s="676"/>
      <c r="AF35" s="913"/>
      <c r="AG35" s="914"/>
      <c r="AH35" s="676"/>
      <c r="AI35" s="913"/>
      <c r="AJ35" s="914"/>
      <c r="AK35" s="676"/>
      <c r="AL35" s="913"/>
      <c r="AM35" s="914"/>
      <c r="AN35" s="676"/>
      <c r="AO35" s="676"/>
      <c r="AP35" s="676"/>
      <c r="AQ35" s="676"/>
      <c r="AR35" s="624"/>
      <c r="AS35" s="624"/>
      <c r="AT35" s="676"/>
      <c r="AU35" s="641"/>
      <c r="AV35" s="641"/>
      <c r="AW35" s="636"/>
      <c r="AX35" s="636"/>
    </row>
    <row r="36" spans="1:50" s="660" customFormat="1" ht="18.75" customHeight="1" x14ac:dyDescent="0.3">
      <c r="A36" s="625"/>
      <c r="B36" s="910"/>
      <c r="C36" s="910"/>
      <c r="D36" s="658"/>
      <c r="E36" s="910"/>
      <c r="F36" s="910"/>
      <c r="G36" s="659"/>
      <c r="H36" s="910"/>
      <c r="I36" s="910"/>
      <c r="J36" s="659"/>
      <c r="K36" s="910"/>
      <c r="L36" s="910"/>
      <c r="M36" s="659"/>
      <c r="N36" s="910"/>
      <c r="O36" s="910"/>
      <c r="P36" s="659"/>
      <c r="Q36" s="910"/>
      <c r="R36" s="910"/>
      <c r="S36" s="658"/>
      <c r="T36" s="910"/>
      <c r="U36" s="910"/>
      <c r="V36" s="659"/>
      <c r="W36" s="910"/>
      <c r="X36" s="910"/>
      <c r="Y36" s="659"/>
      <c r="Z36" s="910"/>
      <c r="AA36" s="910"/>
      <c r="AB36" s="659"/>
      <c r="AC36" s="910"/>
      <c r="AD36" s="910"/>
      <c r="AE36" s="659"/>
      <c r="AF36" s="909"/>
      <c r="AG36" s="910"/>
      <c r="AH36" s="659"/>
      <c r="AI36" s="910"/>
      <c r="AJ36" s="910"/>
      <c r="AK36" s="659"/>
      <c r="AL36" s="979"/>
      <c r="AM36" s="910"/>
      <c r="AN36" s="659"/>
      <c r="AO36" s="658"/>
      <c r="AP36" s="658"/>
      <c r="AQ36" s="659"/>
      <c r="AR36" s="616"/>
      <c r="AS36" s="616"/>
      <c r="AT36" s="659"/>
      <c r="AU36" s="641"/>
      <c r="AV36" s="641"/>
      <c r="AW36" s="636"/>
      <c r="AX36" s="636"/>
    </row>
    <row r="37" spans="1:50" s="660" customFormat="1" ht="18.75" customHeight="1" x14ac:dyDescent="0.3">
      <c r="A37" s="602" t="s">
        <v>401</v>
      </c>
      <c r="B37" s="910"/>
      <c r="C37" s="910"/>
      <c r="D37" s="658"/>
      <c r="E37" s="910"/>
      <c r="F37" s="910"/>
      <c r="G37" s="659"/>
      <c r="H37" s="910"/>
      <c r="I37" s="910"/>
      <c r="J37" s="659"/>
      <c r="K37" s="910"/>
      <c r="L37" s="910"/>
      <c r="M37" s="659"/>
      <c r="N37" s="910"/>
      <c r="O37" s="910"/>
      <c r="P37" s="659"/>
      <c r="Q37" s="910"/>
      <c r="R37" s="910"/>
      <c r="S37" s="658"/>
      <c r="T37" s="910"/>
      <c r="U37" s="910"/>
      <c r="V37" s="659"/>
      <c r="W37" s="910"/>
      <c r="X37" s="910"/>
      <c r="Y37" s="659"/>
      <c r="Z37" s="910"/>
      <c r="AA37" s="910"/>
      <c r="AB37" s="659"/>
      <c r="AC37" s="910"/>
      <c r="AD37" s="910"/>
      <c r="AE37" s="659"/>
      <c r="AF37" s="909"/>
      <c r="AG37" s="910"/>
      <c r="AH37" s="659"/>
      <c r="AI37" s="910"/>
      <c r="AJ37" s="910"/>
      <c r="AK37" s="659"/>
      <c r="AL37" s="909"/>
      <c r="AM37" s="910"/>
      <c r="AN37" s="659"/>
      <c r="AO37" s="658"/>
      <c r="AP37" s="658"/>
      <c r="AQ37" s="659"/>
      <c r="AR37" s="616"/>
      <c r="AS37" s="616"/>
      <c r="AT37" s="659"/>
      <c r="AU37" s="641"/>
      <c r="AV37" s="641"/>
      <c r="AW37" s="636"/>
      <c r="AX37" s="636"/>
    </row>
    <row r="38" spans="1:50" s="660" customFormat="1" ht="18.75" customHeight="1" x14ac:dyDescent="0.3">
      <c r="A38" s="608" t="s">
        <v>366</v>
      </c>
      <c r="B38" s="658">
        <f>'Tabell 5.1'!B12+'Tabell 5.1'!B24+'Tabell 5.1'!B36+'Tabell 5.1'!B48+'Tabell 5.1'!B62+'Tabell 5.1'!B74+'Tabell 5.1'!B86+'Tabell 5.1'!B98+'Tabell 5.2'!B12+'Tabell 5.2'!B24+'Tabell 5.2'!B36+'Tabell 5.2'!B48+'Tabell 5.2'!B84+'Tabell 5.2'!B96+'Tabell 5.2'!B122+'Tabell 5.2'!B134+B12+B24+'Tabell 5.2'!B60+'Tabell 5.2'!B72+'Tabell 5.2'!B108</f>
        <v>17.831</v>
      </c>
      <c r="C38" s="658">
        <f>'Tabell 5.1'!C12+'Tabell 5.1'!C24+'Tabell 5.1'!C36+'Tabell 5.1'!C48+'Tabell 5.1'!C62+'Tabell 5.1'!C74+'Tabell 5.1'!C86+'Tabell 5.1'!C98+'Tabell 5.2'!C12+'Tabell 5.2'!C24+'Tabell 5.2'!C36+'Tabell 5.2'!C48+'Tabell 5.2'!C84+'Tabell 5.2'!C96+'Tabell 5.2'!C122+'Tabell 5.2'!C134+C12+C24+'Tabell 5.2'!C60+'Tabell 5.2'!C72+'Tabell 5.2'!C108</f>
        <v>14.033000000000001</v>
      </c>
      <c r="D38" s="658">
        <f t="shared" ref="D38:D48" si="27">IF(B38=0, "    ---- ", IF(ABS(ROUND(100/B38*C38-100,1))&lt;999,ROUND(100/B38*C38-100,1),IF(ROUND(100/B38*C38-100,1)&gt;999,999,-999)))</f>
        <v>-21.3</v>
      </c>
      <c r="E38" s="658">
        <f>'Tabell 5.1'!E12+'Tabell 5.1'!E24+'Tabell 5.1'!E36+'Tabell 5.1'!E48+'Tabell 5.1'!E62+'Tabell 5.1'!E74+'Tabell 5.1'!E86+'Tabell 5.1'!E98+'Tabell 5.2'!E12+'Tabell 5.2'!E24+'Tabell 5.2'!E36+'Tabell 5.2'!E48+'Tabell 5.2'!E84+'Tabell 5.2'!E96+'Tabell 5.2'!E122+'Tabell 5.2'!E134+E12+E24+'Tabell 5.2'!E60+'Tabell 5.2'!E72+'Tabell 5.2'!E108</f>
        <v>13</v>
      </c>
      <c r="F38" s="658">
        <f>'Tabell 5.1'!F12+'Tabell 5.1'!F24+'Tabell 5.1'!F36+'Tabell 5.1'!F48+'Tabell 5.1'!F62+'Tabell 5.1'!F74+'Tabell 5.1'!F86+'Tabell 5.1'!F98+'Tabell 5.2'!F12+'Tabell 5.2'!F24+'Tabell 5.2'!F36+'Tabell 5.2'!F48+'Tabell 5.2'!F84+'Tabell 5.2'!F96+'Tabell 5.2'!F122+'Tabell 5.2'!F134+F12+F24+'Tabell 5.2'!F60+'Tabell 5.2'!F72+'Tabell 5.2'!F108</f>
        <v>18</v>
      </c>
      <c r="G38" s="658">
        <f t="shared" ref="G38:G48" si="28">IF(E38=0, "    ---- ", IF(ABS(ROUND(100/E38*F38-100,1))&lt;999,ROUND(100/E38*F38-100,1),IF(ROUND(100/E38*F38-100,1)&gt;999,999,-999)))</f>
        <v>38.5</v>
      </c>
      <c r="H38" s="658">
        <f>'Tabell 5.1'!H12+'Tabell 5.1'!H24+'Tabell 5.1'!H36+'Tabell 5.1'!H48+'Tabell 5.1'!H62+'Tabell 5.1'!H74+'Tabell 5.1'!H86+'Tabell 5.1'!H98+'Tabell 5.2'!H12+'Tabell 5.2'!H24+'Tabell 5.2'!H36+'Tabell 5.2'!H48+'Tabell 5.2'!H84+'Tabell 5.2'!H96+'Tabell 5.2'!H122+'Tabell 5.2'!H134+H12+H24+'Tabell 5.2'!H60+'Tabell 5.2'!H72+'Tabell 5.2'!H108</f>
        <v>16203.672</v>
      </c>
      <c r="I38" s="658">
        <f>'Tabell 5.1'!I12+'Tabell 5.1'!I24+'Tabell 5.1'!I36+'Tabell 5.1'!I48+'Tabell 5.1'!I62+'Tabell 5.1'!I74+'Tabell 5.1'!I86+'Tabell 5.1'!I98+'Tabell 5.2'!I12+'Tabell 5.2'!I24+'Tabell 5.2'!I36+'Tabell 5.2'!I48+'Tabell 5.2'!I84+'Tabell 5.2'!I96+'Tabell 5.2'!I122+'Tabell 5.2'!I134+I12+I24+'Tabell 5.2'!I60+'Tabell 5.2'!I72+'Tabell 5.2'!I108</f>
        <v>7099</v>
      </c>
      <c r="J38" s="658">
        <f t="shared" ref="J38:J48" si="29">IF(H38=0, "    ---- ", IF(ABS(ROUND(100/H38*I38-100,1))&lt;999,ROUND(100/H38*I38-100,1),IF(ROUND(100/H38*I38-100,1)&gt;999,999,-999)))</f>
        <v>-56.2</v>
      </c>
      <c r="K38" s="658"/>
      <c r="L38" s="658">
        <f>'Tabell 5.1'!L12+'Tabell 5.1'!L24+'Tabell 5.1'!L36+'Tabell 5.1'!L48+'Tabell 5.1'!L62+'Tabell 5.1'!L74+'Tabell 5.1'!L86+'Tabell 5.1'!L98+'Tabell 5.2'!L12+'Tabell 5.2'!L24+'Tabell 5.2'!L36+'Tabell 5.2'!L48+'Tabell 5.2'!L84+'Tabell 5.2'!L96+'Tabell 5.2'!L122+'Tabell 5.2'!L134+L12+L24+'Tabell 5.2'!L60+'Tabell 5.2'!L72+'Tabell 5.2'!L108</f>
        <v>51.9</v>
      </c>
      <c r="M38" s="658" t="str">
        <f t="shared" ref="M38:M48" si="30">IF(K38=0, "    ---- ", IF(ABS(ROUND(100/K38*L38-100,1))&lt;999,ROUND(100/K38*L38-100,1),IF(ROUND(100/K38*L38-100,1)&gt;999,999,-999)))</f>
        <v xml:space="preserve">    ---- </v>
      </c>
      <c r="N38" s="658">
        <f>'Tabell 5.1'!N12+'Tabell 5.1'!N24+'Tabell 5.1'!N36+'Tabell 5.1'!N48+'Tabell 5.1'!N62+'Tabell 5.1'!N74+'Tabell 5.1'!N86+'Tabell 5.1'!N98+'Tabell 5.2'!N12+'Tabell 5.2'!N24+'Tabell 5.2'!N36+'Tabell 5.2'!N48+'Tabell 5.2'!N84+'Tabell 5.2'!N96+'Tabell 5.2'!N122+'Tabell 5.2'!N134+N12+N24+'Tabell 5.2'!N60+'Tabell 5.2'!N72+'Tabell 5.2'!N108</f>
        <v>76.534999999999997</v>
      </c>
      <c r="O38" s="658">
        <f>'Tabell 5.1'!O12+'Tabell 5.1'!O24+'Tabell 5.1'!O36+'Tabell 5.1'!O48+'Tabell 5.1'!O62+'Tabell 5.1'!O74+'Tabell 5.1'!O86+'Tabell 5.1'!O98+'Tabell 5.2'!O12+'Tabell 5.2'!O24+'Tabell 5.2'!O36+'Tabell 5.2'!O48+'Tabell 5.2'!O84+'Tabell 5.2'!O96+'Tabell 5.2'!O122+'Tabell 5.2'!O134+O12+O24+'Tabell 5.2'!O60+'Tabell 5.2'!O72+'Tabell 5.2'!O108</f>
        <v>65.13300000000001</v>
      </c>
      <c r="P38" s="658">
        <f t="shared" ref="P38:P48" si="31">IF(N38=0, "    ---- ", IF(ABS(ROUND(100/N38*O38-100,1))&lt;999,ROUND(100/N38*O38-100,1),IF(ROUND(100/N38*O38-100,1)&gt;999,999,-999)))</f>
        <v>-14.9</v>
      </c>
      <c r="Q38" s="658">
        <f>'Tabell 5.1'!Q12+'Tabell 5.1'!Q24+'Tabell 5.1'!Q36+'Tabell 5.1'!Q48+'Tabell 5.1'!Q62+'Tabell 5.1'!Q74+'Tabell 5.1'!Q86+'Tabell 5.1'!Q98+'Tabell 5.2'!Q12+'Tabell 5.2'!Q24+'Tabell 5.2'!Q36+'Tabell 5.2'!Q48+'Tabell 5.2'!Q84+'Tabell 5.2'!Q96+'Tabell 5.2'!Q122+'Tabell 5.2'!Q134+Q12+Q24+'Tabell 5.2'!Q60+'Tabell 5.2'!Q72+'Tabell 5.2'!Q108</f>
        <v>91.7</v>
      </c>
      <c r="R38" s="658">
        <f>'Tabell 5.1'!R12+'Tabell 5.1'!R24+'Tabell 5.1'!R36+'Tabell 5.1'!R48+'Tabell 5.1'!R62+'Tabell 5.1'!R74+'Tabell 5.1'!R86+'Tabell 5.1'!R98+'Tabell 5.2'!R12+'Tabell 5.2'!R24+'Tabell 5.2'!R36+'Tabell 5.2'!R48+'Tabell 5.2'!R84+'Tabell 5.2'!R96+'Tabell 5.2'!R122+'Tabell 5.2'!R134+R12+R24+'Tabell 5.2'!R60+'Tabell 5.2'!R72+'Tabell 5.2'!R108</f>
        <v>48.9</v>
      </c>
      <c r="S38" s="658">
        <f t="shared" ref="S38:S48" si="32">IF(Q38=0, "    ---- ", IF(ABS(ROUND(100/Q38*R38-100,1))&lt;999,ROUND(100/Q38*R38-100,1),IF(ROUND(100/Q38*R38-100,1)&gt;999,999,-999)))</f>
        <v>-46.7</v>
      </c>
      <c r="T38" s="658">
        <f>'Tabell 5.1'!T12+'Tabell 5.1'!T24+'Tabell 5.1'!T36+'Tabell 5.1'!T48+'Tabell 5.1'!T62+'Tabell 5.1'!T74+'Tabell 5.1'!T86+'Tabell 5.1'!T98+'Tabell 5.2'!T12+'Tabell 5.2'!T24+'Tabell 5.2'!T36+'Tabell 5.2'!T48+'Tabell 5.2'!T84+'Tabell 5.2'!T96+'Tabell 5.2'!T122+'Tabell 5.2'!T134+T12+T24+'Tabell 5.2'!T60+'Tabell 5.2'!T72+'Tabell 5.2'!T108</f>
        <v>2.2295504249602809</v>
      </c>
      <c r="U38" s="658">
        <f>'Tabell 5.1'!U12+'Tabell 5.1'!U24+'Tabell 5.1'!U36+'Tabell 5.1'!U48+'Tabell 5.1'!U62+'Tabell 5.1'!U74+'Tabell 5.1'!U86+'Tabell 5.1'!U98+'Tabell 5.2'!U12+'Tabell 5.2'!U24+'Tabell 5.2'!U36+'Tabell 5.2'!U48+'Tabell 5.2'!U84+'Tabell 5.2'!U96+'Tabell 5.2'!U122+'Tabell 5.2'!U134+U12+U24+'Tabell 5.2'!U60+'Tabell 5.2'!U72+'Tabell 5.2'!U108</f>
        <v>1.6126841400000009</v>
      </c>
      <c r="V38" s="658">
        <f t="shared" ref="V38:V48" si="33">IF(T38=0, "    ---- ", IF(ABS(ROUND(100/T38*U38-100,1))&lt;999,ROUND(100/T38*U38-100,1),IF(ROUND(100/T38*U38-100,1)&gt;999,999,-999)))</f>
        <v>-27.7</v>
      </c>
      <c r="W38" s="658">
        <f>'Tabell 5.1'!W12+'Tabell 5.1'!W24+'Tabell 5.1'!W36+'Tabell 5.1'!W48+'Tabell 5.1'!W62+'Tabell 5.1'!W74+'Tabell 5.1'!W86+'Tabell 5.1'!W98+'Tabell 5.2'!W12+'Tabell 5.2'!W24+'Tabell 5.2'!W36+'Tabell 5.2'!W48+'Tabell 5.2'!W84+'Tabell 5.2'!W96+'Tabell 5.2'!W122+'Tabell 5.2'!W134+W12+W24+'Tabell 5.2'!W60+'Tabell 5.2'!W72+'Tabell 5.2'!W108</f>
        <v>10638.926362487739</v>
      </c>
      <c r="X38" s="658">
        <f>'Tabell 5.1'!X12+'Tabell 5.1'!X24+'Tabell 5.1'!X36+'Tabell 5.1'!X48+'Tabell 5.1'!X62+'Tabell 5.1'!X74+'Tabell 5.1'!X86+'Tabell 5.1'!X98+'Tabell 5.2'!X12+'Tabell 5.2'!X24+'Tabell 5.2'!X36+'Tabell 5.2'!X48+'Tabell 5.2'!X84+'Tabell 5.2'!X96+'Tabell 5.2'!X122+'Tabell 5.2'!X134+X12+X24+'Tabell 5.2'!X60+'Tabell 5.2'!X72+'Tabell 5.2'!X108</f>
        <v>13099.79366156385</v>
      </c>
      <c r="Y38" s="658">
        <f t="shared" ref="Y38:Y48" si="34">IF(W38=0, "    ---- ", IF(ABS(ROUND(100/W38*X38-100,1))&lt;999,ROUND(100/W38*X38-100,1),IF(ROUND(100/W38*X38-100,1)&gt;999,999,-999)))</f>
        <v>23.1</v>
      </c>
      <c r="Z38" s="658">
        <f>'Tabell 5.1'!Z12+'Tabell 5.1'!Z24+'Tabell 5.1'!Z36+'Tabell 5.1'!Z48+'Tabell 5.1'!Z62+'Tabell 5.1'!Z74+'Tabell 5.1'!Z86+'Tabell 5.1'!Z98+'Tabell 5.2'!Z12+'Tabell 5.2'!Z24+'Tabell 5.2'!Z36+'Tabell 5.2'!Z48+'Tabell 5.2'!Z84+'Tabell 5.2'!Z96+'Tabell 5.2'!Z122+'Tabell 5.2'!Z134+Z12+Z24+'Tabell 5.2'!Z60+'Tabell 5.2'!Z72+'Tabell 5.2'!Z108</f>
        <v>827.72631261368508</v>
      </c>
      <c r="AA38" s="658">
        <f>'Tabell 5.1'!AA12+'Tabell 5.1'!AA24+'Tabell 5.1'!AA36+'Tabell 5.1'!AA48+'Tabell 5.1'!AA62+'Tabell 5.1'!AA74+'Tabell 5.1'!AA86+'Tabell 5.1'!AA98+'Tabell 5.2'!AA12+'Tabell 5.2'!AA24+'Tabell 5.2'!AA36+'Tabell 5.2'!AA48+'Tabell 5.2'!AA84+'Tabell 5.2'!AA96+'Tabell 5.2'!AA122+'Tabell 5.2'!AA134+AA12+AA24+'Tabell 5.2'!AA60+'Tabell 5.2'!AA72+'Tabell 5.2'!AA108</f>
        <v>292.34000000000003</v>
      </c>
      <c r="AB38" s="658">
        <f t="shared" ref="AB38:AB48" si="35">IF(Z38=0, "    ---- ", IF(ABS(ROUND(100/Z38*AA38-100,1))&lt;999,ROUND(100/Z38*AA38-100,1),IF(ROUND(100/Z38*AA38-100,1)&gt;999,999,-999)))</f>
        <v>-64.7</v>
      </c>
      <c r="AC38" s="658">
        <f>'Tabell 5.1'!AC12+'Tabell 5.1'!AC24+'Tabell 5.1'!AC36+'Tabell 5.1'!AC48+'Tabell 5.1'!AC62+'Tabell 5.1'!AC74+'Tabell 5.1'!AC86+'Tabell 5.1'!AC98+'Tabell 5.2'!AC12+'Tabell 5.2'!AC24+'Tabell 5.2'!AC36+'Tabell 5.2'!AC48+'Tabell 5.2'!AC84+'Tabell 5.2'!AC96+'Tabell 5.2'!AC122+'Tabell 5.2'!AC134+AC12+AC24+'Tabell 5.2'!AC60+'Tabell 5.2'!AC72+'Tabell 5.2'!AC108</f>
        <v>396</v>
      </c>
      <c r="AD38" s="658">
        <f>'Tabell 5.1'!AD12+'Tabell 5.1'!AD24+'Tabell 5.1'!AD36+'Tabell 5.1'!AD48+'Tabell 5.1'!AD62+'Tabell 5.1'!AD74+'Tabell 5.1'!AD86+'Tabell 5.1'!AD98+'Tabell 5.2'!AD12+'Tabell 5.2'!AD24+'Tabell 5.2'!AD36+'Tabell 5.2'!AD48+'Tabell 5.2'!AD84+'Tabell 5.2'!AD96+'Tabell 5.2'!AD122+'Tabell 5.2'!AD134+AD12+AD24+'Tabell 5.2'!AD60+'Tabell 5.2'!AD72+'Tabell 5.2'!AD108</f>
        <v>5064</v>
      </c>
      <c r="AE38" s="658">
        <f t="shared" ref="AE38:AE48" si="36">IF(AC38=0, "    ---- ", IF(ABS(ROUND(100/AC38*AD38-100,1))&lt;999,ROUND(100/AC38*AD38-100,1),IF(ROUND(100/AC38*AD38-100,1)&gt;999,999,-999)))</f>
        <v>999</v>
      </c>
      <c r="AF38" s="909">
        <f>'[2]Tabell 5.1'!AF12+'[2]Tabell 5.1'!AF24+'[2]Tabell 5.1'!AF36+'[2]Tabell 5.1'!AF48+'[2]Tabell 5.1'!AF62+'[2]Tabell 5.1'!AF74+'[2]Tabell 5.1'!AF86+'[2]Tabell 5.1'!AF98+'[2]Tabell 5.2'!AF12+'[2]Tabell 5.2'!AF24+'[2]Tabell 5.2'!AF36+'[2]Tabell 5.2'!AF48+'[2]Tabell 5.2'!AF84+'[2]Tabell 5.2'!AF96+'[2]Tabell 5.2'!AF122+'[2]Tabell 5.2'!AF134+AF12+AF24+'[2]Tabell 5.2'!AF60+'[2]Tabell 5.2'!AF72+'[2]Tabell 5.2'!AF108</f>
        <v>0</v>
      </c>
      <c r="AG38" s="910">
        <f>'[2]Tabell 5.1'!AG12+'[2]Tabell 5.1'!AG24+'[2]Tabell 5.1'!AG36+'[2]Tabell 5.1'!AG48+'[2]Tabell 5.1'!AG62+'[2]Tabell 5.1'!AG74+'[2]Tabell 5.1'!AG86+'[2]Tabell 5.1'!AG98+'[2]Tabell 5.2'!AG12+'[2]Tabell 5.2'!AG24+'[2]Tabell 5.2'!AG36+'[2]Tabell 5.2'!AG48+'[2]Tabell 5.2'!AG84+'[2]Tabell 5.2'!AG96+'[2]Tabell 5.2'!AG122+'[2]Tabell 5.2'!AG134+AG12+AG24+'[2]Tabell 5.2'!AG60+'[2]Tabell 5.2'!AG72+'[2]Tabell 5.2'!AG108</f>
        <v>0</v>
      </c>
      <c r="AH38" s="658" t="str">
        <f t="shared" ref="AH38:AH48" si="37">IF(AF38=0, "    ---- ", IF(ABS(ROUND(100/AF38*AG38-100,1))&lt;999,ROUND(100/AF38*AG38-100,1),IF(ROUND(100/AF38*AG38-100,1)&gt;999,999,-999)))</f>
        <v xml:space="preserve">    ---- </v>
      </c>
      <c r="AI38" s="658">
        <f>'Tabell 5.1'!AI12+'Tabell 5.1'!AI24+'Tabell 5.1'!AI36+'Tabell 5.1'!AI48+'Tabell 5.1'!AI62+'Tabell 5.1'!AI74+'Tabell 5.1'!AI86+'Tabell 5.1'!AI98+'Tabell 5.2'!AI12+'Tabell 5.2'!AI24+'Tabell 5.2'!AI36+'Tabell 5.2'!AI48+'Tabell 5.2'!AI84+'Tabell 5.2'!AI96+'Tabell 5.2'!AI122+'Tabell 5.2'!AI134+AI12+AI24+'Tabell 5.2'!AI60+'Tabell 5.2'!AI72+'Tabell 5.2'!AI108</f>
        <v>1249</v>
      </c>
      <c r="AJ38" s="658">
        <f>'Tabell 5.1'!AJ12+'Tabell 5.1'!AJ24+'Tabell 5.1'!AJ36+'Tabell 5.1'!AJ48+'Tabell 5.1'!AJ62+'Tabell 5.1'!AJ74+'Tabell 5.1'!AJ86+'Tabell 5.1'!AJ98+'Tabell 5.2'!AJ12+'Tabell 5.2'!AJ24+'Tabell 5.2'!AJ36+'Tabell 5.2'!AJ48+'Tabell 5.2'!AJ84+'Tabell 5.2'!AJ96+'Tabell 5.2'!AJ122+'Tabell 5.2'!AJ134+AJ12+AJ24+'Tabell 5.2'!AJ60+'Tabell 5.2'!AJ72+'Tabell 5.2'!AJ108</f>
        <v>4</v>
      </c>
      <c r="AK38" s="658">
        <f t="shared" ref="AK38:AK48" si="38">IF(AI38=0, "    ---- ", IF(ABS(ROUND(100/AI38*AJ38-100,1))&lt;999,ROUND(100/AI38*AJ38-100,1),IF(ROUND(100/AI38*AJ38-100,1)&gt;999,999,-999)))</f>
        <v>-99.7</v>
      </c>
      <c r="AL38" s="909">
        <v>1099</v>
      </c>
      <c r="AM38" s="658">
        <f>'Tabell 5.1'!AM12+'Tabell 5.1'!AM24+'Tabell 5.1'!AM36+'Tabell 5.1'!AM48+'Tabell 5.1'!AM62+'Tabell 5.1'!AM74+'Tabell 5.1'!AM86+'Tabell 5.1'!AM98+'Tabell 5.2'!AM12+'Tabell 5.2'!AM24+'Tabell 5.2'!AM36+'Tabell 5.2'!AM48+'Tabell 5.2'!AM84+'Tabell 5.2'!AM96+'Tabell 5.2'!AM122+'Tabell 5.2'!AM134+AM12+AM24+'Tabell 5.2'!AM60+'Tabell 5.2'!AM72+'Tabell 5.2'!AM108</f>
        <v>3103</v>
      </c>
      <c r="AN38" s="658">
        <f t="shared" ref="AN38:AN48" si="39">IF(AL38=0, "    ---- ", IF(ABS(ROUND(100/AL38*AM38-100,1))&lt;999,ROUND(100/AL38*AM38-100,1),IF(ROUND(100/AL38*AM38-100,1)&gt;999,999,-999)))</f>
        <v>182.3</v>
      </c>
      <c r="AO38" s="658">
        <f t="shared" ref="AO38:AO48" si="40">B38+H38+K38+N38+Q38+W38+E38+Z38+AC38+AI38+AL38</f>
        <v>30613.390675101426</v>
      </c>
      <c r="AP38" s="658">
        <f t="shared" ref="AP38:AP48" si="41">C38+I38+L38+O38+R38+X38+F38+AA38+AD38+AJ38+AM38</f>
        <v>28860.099661563851</v>
      </c>
      <c r="AQ38" s="658">
        <f t="shared" ref="AQ38:AQ48" si="42">IF(AO38=0, "    ---- ", IF(ABS(ROUND(100/AO38*AP38-100,1))&lt;999,ROUND(100/AO38*AP38-100,1),IF(ROUND(100/AO38*AP38-100,1)&gt;999,999,-999)))</f>
        <v>-5.7</v>
      </c>
      <c r="AR38" s="616">
        <f t="shared" ref="AR38:AR48" si="43">+B38+H38+K38+N38+Q38+T38+W38+E38+Z38+AC38+AF38+AI38+AL38</f>
        <v>30615.620225526385</v>
      </c>
      <c r="AS38" s="616">
        <f t="shared" ref="AS38:AS48" si="44">+C38+I38+L38+O38+R38+U38+X38+F38+AA38+AD38+AG38+AJ38+AM38</f>
        <v>28861.712345703851</v>
      </c>
      <c r="AT38" s="659">
        <f t="shared" ref="AT38:AT48" si="45">IF(AR38=0, "    ---- ", IF(ABS(ROUND(100/AR38*AS38-100,1))&lt;999,ROUND(100/AR38*AS38-100,1),IF(ROUND(100/AR38*AS38-100,1)&gt;999,999,-999)))</f>
        <v>-5.7</v>
      </c>
      <c r="AU38" s="694"/>
      <c r="AV38" s="641"/>
      <c r="AW38" s="636"/>
      <c r="AX38" s="636"/>
    </row>
    <row r="39" spans="1:50" s="660" customFormat="1" ht="18.75" customHeight="1" x14ac:dyDescent="0.3">
      <c r="A39" s="608" t="s">
        <v>367</v>
      </c>
      <c r="B39" s="658">
        <f>'Tabell 5.1'!B13+'Tabell 5.1'!B25+'Tabell 5.1'!B37+'Tabell 5.1'!B49+'Tabell 5.1'!B63+'Tabell 5.1'!B75+'Tabell 5.1'!B87+'Tabell 5.1'!B99+'Tabell 5.2'!B13+'Tabell 5.2'!B25+'Tabell 5.2'!B37+'Tabell 5.2'!B49+'Tabell 5.2'!B85+'Tabell 5.2'!B97+'Tabell 5.2'!B123+'Tabell 5.2'!B135+B13+B25+'Tabell 5.2'!B61+'Tabell 5.2'!B73+'Tabell 5.2'!B109</f>
        <v>0</v>
      </c>
      <c r="C39" s="658">
        <f>'Tabell 5.1'!C13+'Tabell 5.1'!C25+'Tabell 5.1'!C37+'Tabell 5.1'!C49+'Tabell 5.1'!C63+'Tabell 5.1'!C75+'Tabell 5.1'!C87+'Tabell 5.1'!C99+'Tabell 5.2'!C13+'Tabell 5.2'!C25+'Tabell 5.2'!C37+'Tabell 5.2'!C49+'Tabell 5.2'!C85+'Tabell 5.2'!C97+'Tabell 5.2'!C123+'Tabell 5.2'!C135+C13+C25+'Tabell 5.2'!C61+'Tabell 5.2'!C73+'Tabell 5.2'!C109</f>
        <v>0</v>
      </c>
      <c r="D39" s="658" t="str">
        <f t="shared" si="27"/>
        <v xml:space="preserve">    ---- </v>
      </c>
      <c r="E39" s="658">
        <f>'Tabell 5.1'!E13+'Tabell 5.1'!E25+'Tabell 5.1'!E37+'Tabell 5.1'!E49+'Tabell 5.1'!E63+'Tabell 5.1'!E75+'Tabell 5.1'!E87+'Tabell 5.1'!E99+'Tabell 5.2'!E13+'Tabell 5.2'!E25+'Tabell 5.2'!E37+'Tabell 5.2'!E49+'Tabell 5.2'!E85+'Tabell 5.2'!E97+'Tabell 5.2'!E123+'Tabell 5.2'!E135+E13+E25+'Tabell 5.2'!E61+'Tabell 5.2'!E73+'Tabell 5.2'!E109</f>
        <v>1</v>
      </c>
      <c r="F39" s="658">
        <f>'Tabell 5.1'!F13+'Tabell 5.1'!F25+'Tabell 5.1'!F37+'Tabell 5.1'!F49+'Tabell 5.1'!F63+'Tabell 5.1'!F75+'Tabell 5.1'!F87+'Tabell 5.1'!F99+'Tabell 5.2'!F13+'Tabell 5.2'!F25+'Tabell 5.2'!F37+'Tabell 5.2'!F49+'Tabell 5.2'!F85+'Tabell 5.2'!F97+'Tabell 5.2'!F123+'Tabell 5.2'!F135+F13+F25+'Tabell 5.2'!F61+'Tabell 5.2'!F73+'Tabell 5.2'!F109</f>
        <v>0</v>
      </c>
      <c r="G39" s="658">
        <f t="shared" si="28"/>
        <v>-100</v>
      </c>
      <c r="H39" s="658">
        <f>'Tabell 5.1'!H13+'Tabell 5.1'!H25+'Tabell 5.1'!H37+'Tabell 5.1'!H49+'Tabell 5.1'!H63+'Tabell 5.1'!H75+'Tabell 5.1'!H87+'Tabell 5.1'!H99+'Tabell 5.2'!H13+'Tabell 5.2'!H25+'Tabell 5.2'!H37+'Tabell 5.2'!H49+'Tabell 5.2'!H85+'Tabell 5.2'!H97+'Tabell 5.2'!H123+'Tabell 5.2'!H135+H13+H25+'Tabell 5.2'!H61+'Tabell 5.2'!H73+'Tabell 5.2'!H109</f>
        <v>-162.119</v>
      </c>
      <c r="I39" s="658">
        <f>'Tabell 5.1'!I13+'Tabell 5.1'!I25+'Tabell 5.1'!I37+'Tabell 5.1'!I49+'Tabell 5.1'!I63+'Tabell 5.1'!I75+'Tabell 5.1'!I87+'Tabell 5.1'!I99+'Tabell 5.2'!I13+'Tabell 5.2'!I25+'Tabell 5.2'!I37+'Tabell 5.2'!I49+'Tabell 5.2'!I85+'Tabell 5.2'!I97+'Tabell 5.2'!I123+'Tabell 5.2'!I135+I13+I25+'Tabell 5.2'!I61+'Tabell 5.2'!I73+'Tabell 5.2'!I109</f>
        <v>768.7</v>
      </c>
      <c r="J39" s="658">
        <f t="shared" si="29"/>
        <v>-574.20000000000005</v>
      </c>
      <c r="K39" s="658"/>
      <c r="L39" s="658">
        <f>'Tabell 5.1'!L13+'Tabell 5.1'!L25+'Tabell 5.1'!L37+'Tabell 5.1'!L49+'Tabell 5.1'!L63+'Tabell 5.1'!L75+'Tabell 5.1'!L87+'Tabell 5.1'!L99+'Tabell 5.2'!L13+'Tabell 5.2'!L25+'Tabell 5.2'!L37+'Tabell 5.2'!L49+'Tabell 5.2'!L85+'Tabell 5.2'!L97+'Tabell 5.2'!L123+'Tabell 5.2'!L135+L13+L25+'Tabell 5.2'!L61+'Tabell 5.2'!L73+'Tabell 5.2'!L109</f>
        <v>0</v>
      </c>
      <c r="M39" s="658" t="str">
        <f t="shared" si="30"/>
        <v xml:space="preserve">    ---- </v>
      </c>
      <c r="N39" s="658">
        <f>'Tabell 5.1'!N13+'Tabell 5.1'!N25+'Tabell 5.1'!N37+'Tabell 5.1'!N49+'Tabell 5.1'!N63+'Tabell 5.1'!N75+'Tabell 5.1'!N87+'Tabell 5.1'!N99+'Tabell 5.2'!N13+'Tabell 5.2'!N25+'Tabell 5.2'!N37+'Tabell 5.2'!N49+'Tabell 5.2'!N85+'Tabell 5.2'!N97+'Tabell 5.2'!N123+'Tabell 5.2'!N135+N13+N25+'Tabell 5.2'!N61+'Tabell 5.2'!N73+'Tabell 5.2'!N109</f>
        <v>0</v>
      </c>
      <c r="O39" s="658">
        <f>'Tabell 5.1'!O13+'Tabell 5.1'!O25+'Tabell 5.1'!O37+'Tabell 5.1'!O49+'Tabell 5.1'!O63+'Tabell 5.1'!O75+'Tabell 5.1'!O87+'Tabell 5.1'!O99+'Tabell 5.2'!O13+'Tabell 5.2'!O25+'Tabell 5.2'!O37+'Tabell 5.2'!O49+'Tabell 5.2'!O85+'Tabell 5.2'!O97+'Tabell 5.2'!O123+'Tabell 5.2'!O135+O13+O25+'Tabell 5.2'!O61+'Tabell 5.2'!O73+'Tabell 5.2'!O109</f>
        <v>0</v>
      </c>
      <c r="P39" s="658" t="str">
        <f t="shared" si="31"/>
        <v xml:space="preserve">    ---- </v>
      </c>
      <c r="Q39" s="658">
        <f>'Tabell 5.1'!Q13+'Tabell 5.1'!Q25+'Tabell 5.1'!Q37+'Tabell 5.1'!Q49+'Tabell 5.1'!Q63+'Tabell 5.1'!Q75+'Tabell 5.1'!Q87+'Tabell 5.1'!Q99+'Tabell 5.2'!Q13+'Tabell 5.2'!Q25+'Tabell 5.2'!Q37+'Tabell 5.2'!Q49+'Tabell 5.2'!Q85+'Tabell 5.2'!Q97+'Tabell 5.2'!Q123+'Tabell 5.2'!Q135+Q13+Q25+'Tabell 5.2'!Q61+'Tabell 5.2'!Q73+'Tabell 5.2'!Q109</f>
        <v>0</v>
      </c>
      <c r="R39" s="658">
        <f>'Tabell 5.1'!R13+'Tabell 5.1'!R25+'Tabell 5.1'!R37+'Tabell 5.1'!R49+'Tabell 5.1'!R63+'Tabell 5.1'!R75+'Tabell 5.1'!R87+'Tabell 5.1'!R99+'Tabell 5.2'!R13+'Tabell 5.2'!R25+'Tabell 5.2'!R37+'Tabell 5.2'!R49+'Tabell 5.2'!R85+'Tabell 5.2'!R97+'Tabell 5.2'!R123+'Tabell 5.2'!R135+R13+R25+'Tabell 5.2'!R61+'Tabell 5.2'!R73+'Tabell 5.2'!R109</f>
        <v>0</v>
      </c>
      <c r="S39" s="658" t="str">
        <f t="shared" si="32"/>
        <v xml:space="preserve">    ---- </v>
      </c>
      <c r="T39" s="658">
        <f>'Tabell 5.1'!T13+'Tabell 5.1'!T25+'Tabell 5.1'!T37+'Tabell 5.1'!T49+'Tabell 5.1'!T63+'Tabell 5.1'!T75+'Tabell 5.1'!T87+'Tabell 5.1'!T99+'Tabell 5.2'!T13+'Tabell 5.2'!T25+'Tabell 5.2'!T37+'Tabell 5.2'!T49+'Tabell 5.2'!T85+'Tabell 5.2'!T97+'Tabell 5.2'!T123+'Tabell 5.2'!T135+T13+T25+'Tabell 5.2'!T61+'Tabell 5.2'!T73+'Tabell 5.2'!T109</f>
        <v>0</v>
      </c>
      <c r="U39" s="658">
        <f>'Tabell 5.1'!U13+'Tabell 5.1'!U25+'Tabell 5.1'!U37+'Tabell 5.1'!U49+'Tabell 5.1'!U63+'Tabell 5.1'!U75+'Tabell 5.1'!U87+'Tabell 5.1'!U99+'Tabell 5.2'!U13+'Tabell 5.2'!U25+'Tabell 5.2'!U37+'Tabell 5.2'!U49+'Tabell 5.2'!U85+'Tabell 5.2'!U97+'Tabell 5.2'!U123+'Tabell 5.2'!U135+U13+U25+'Tabell 5.2'!U61+'Tabell 5.2'!U73+'Tabell 5.2'!U109</f>
        <v>0</v>
      </c>
      <c r="V39" s="658" t="str">
        <f t="shared" si="33"/>
        <v xml:space="preserve">    ---- </v>
      </c>
      <c r="W39" s="658">
        <f>'Tabell 5.1'!W13+'Tabell 5.1'!W25+'Tabell 5.1'!W37+'Tabell 5.1'!W49+'Tabell 5.1'!W63+'Tabell 5.1'!W75+'Tabell 5.1'!W87+'Tabell 5.1'!W99+'Tabell 5.2'!W13+'Tabell 5.2'!W25+'Tabell 5.2'!W37+'Tabell 5.2'!W49+'Tabell 5.2'!W85+'Tabell 5.2'!W97+'Tabell 5.2'!W123+'Tabell 5.2'!W135+W13+W25+'Tabell 5.2'!W61+'Tabell 5.2'!W73+'Tabell 5.2'!W109</f>
        <v>-15.442897</v>
      </c>
      <c r="X39" s="658">
        <f>'Tabell 5.1'!X13+'Tabell 5.1'!X25+'Tabell 5.1'!X37+'Tabell 5.1'!X49+'Tabell 5.1'!X63+'Tabell 5.1'!X75+'Tabell 5.1'!X87+'Tabell 5.1'!X99+'Tabell 5.2'!X13+'Tabell 5.2'!X25+'Tabell 5.2'!X37+'Tabell 5.2'!X49+'Tabell 5.2'!X85+'Tabell 5.2'!X97+'Tabell 5.2'!X123+'Tabell 5.2'!X135+X13+X25+'Tabell 5.2'!X61+'Tabell 5.2'!X73+'Tabell 5.2'!X109</f>
        <v>-489.97288800000001</v>
      </c>
      <c r="Y39" s="658">
        <f t="shared" si="34"/>
        <v>999</v>
      </c>
      <c r="Z39" s="658">
        <f>'Tabell 5.1'!Z13+'Tabell 5.1'!Z25+'Tabell 5.1'!Z37+'Tabell 5.1'!Z49+'Tabell 5.1'!Z63+'Tabell 5.1'!Z75+'Tabell 5.1'!Z87+'Tabell 5.1'!Z99+'Tabell 5.2'!Z13+'Tabell 5.2'!Z25+'Tabell 5.2'!Z37+'Tabell 5.2'!Z49+'Tabell 5.2'!Z85+'Tabell 5.2'!Z97+'Tabell 5.2'!Z123+'Tabell 5.2'!Z135+Z13+Z25+'Tabell 5.2'!Z61+'Tabell 5.2'!Z73+'Tabell 5.2'!Z109</f>
        <v>-488.19576938630001</v>
      </c>
      <c r="AA39" s="658">
        <f>'Tabell 5.1'!AA13+'Tabell 5.1'!AA25+'Tabell 5.1'!AA37+'Tabell 5.1'!AA49+'Tabell 5.1'!AA63+'Tabell 5.1'!AA75+'Tabell 5.1'!AA87+'Tabell 5.1'!AA99+'Tabell 5.2'!AA13+'Tabell 5.2'!AA25+'Tabell 5.2'!AA37+'Tabell 5.2'!AA49+'Tabell 5.2'!AA85+'Tabell 5.2'!AA97+'Tabell 5.2'!AA123+'Tabell 5.2'!AA135+AA13+AA25+'Tabell 5.2'!AA61+'Tabell 5.2'!AA73+'Tabell 5.2'!AA109</f>
        <v>-181.81</v>
      </c>
      <c r="AB39" s="658">
        <f t="shared" si="35"/>
        <v>-62.8</v>
      </c>
      <c r="AC39" s="658">
        <f>'Tabell 5.1'!AC13+'Tabell 5.1'!AC25+'Tabell 5.1'!AC37+'Tabell 5.1'!AC49+'Tabell 5.1'!AC63+'Tabell 5.1'!AC75+'Tabell 5.1'!AC87+'Tabell 5.1'!AC99+'Tabell 5.2'!AC13+'Tabell 5.2'!AC25+'Tabell 5.2'!AC37+'Tabell 5.2'!AC49+'Tabell 5.2'!AC85+'Tabell 5.2'!AC97+'Tabell 5.2'!AC123+'Tabell 5.2'!AC135+AC13+AC25+'Tabell 5.2'!AC61+'Tabell 5.2'!AC73+'Tabell 5.2'!AC109</f>
        <v>262</v>
      </c>
      <c r="AD39" s="658">
        <f>'Tabell 5.1'!AD13+'Tabell 5.1'!AD25+'Tabell 5.1'!AD37+'Tabell 5.1'!AD49+'Tabell 5.1'!AD63+'Tabell 5.1'!AD75+'Tabell 5.1'!AD87+'Tabell 5.1'!AD99+'Tabell 5.2'!AD13+'Tabell 5.2'!AD25+'Tabell 5.2'!AD37+'Tabell 5.2'!AD49+'Tabell 5.2'!AD85+'Tabell 5.2'!AD97+'Tabell 5.2'!AD123+'Tabell 5.2'!AD135+AD13+AD25+'Tabell 5.2'!AD61+'Tabell 5.2'!AD73+'Tabell 5.2'!AD109</f>
        <v>-657</v>
      </c>
      <c r="AE39" s="658">
        <f t="shared" si="36"/>
        <v>-350.8</v>
      </c>
      <c r="AF39" s="909">
        <f>'[2]Tabell 5.1'!AF13+'[2]Tabell 5.1'!AF25+'[2]Tabell 5.1'!AF37+'[2]Tabell 5.1'!AF49+'[2]Tabell 5.1'!AF63+'[2]Tabell 5.1'!AF75+'[2]Tabell 5.1'!AF87+'[2]Tabell 5.1'!AF99+'[2]Tabell 5.2'!AF13+'[2]Tabell 5.2'!AF25+'[2]Tabell 5.2'!AF37+'[2]Tabell 5.2'!AF49+'[2]Tabell 5.2'!AF85+'[2]Tabell 5.2'!AF97+'[2]Tabell 5.2'!AF123+'[2]Tabell 5.2'!AF135+AF13+AF25+'[2]Tabell 5.2'!AF61+'[2]Tabell 5.2'!AF73+'[2]Tabell 5.2'!AF109</f>
        <v>0</v>
      </c>
      <c r="AG39" s="910">
        <f>'[2]Tabell 5.1'!AG13+'[2]Tabell 5.1'!AG25+'[2]Tabell 5.1'!AG37+'[2]Tabell 5.1'!AG49+'[2]Tabell 5.1'!AG63+'[2]Tabell 5.1'!AG75+'[2]Tabell 5.1'!AG87+'[2]Tabell 5.1'!AG99+'[2]Tabell 5.2'!AG13+'[2]Tabell 5.2'!AG25+'[2]Tabell 5.2'!AG37+'[2]Tabell 5.2'!AG49+'[2]Tabell 5.2'!AG85+'[2]Tabell 5.2'!AG97+'[2]Tabell 5.2'!AG123+'[2]Tabell 5.2'!AG135+AG13+AG25+'[2]Tabell 5.2'!AG61+'[2]Tabell 5.2'!AG73+'[2]Tabell 5.2'!AG109</f>
        <v>0</v>
      </c>
      <c r="AH39" s="658" t="str">
        <f t="shared" si="37"/>
        <v xml:space="preserve">    ---- </v>
      </c>
      <c r="AI39" s="658">
        <f>'Tabell 5.1'!AI13+'Tabell 5.1'!AI25+'Tabell 5.1'!AI37+'Tabell 5.1'!AI49+'Tabell 5.1'!AI63+'Tabell 5.1'!AI75+'Tabell 5.1'!AI87+'Tabell 5.1'!AI99+'Tabell 5.2'!AI13+'Tabell 5.2'!AI25+'Tabell 5.2'!AI37+'Tabell 5.2'!AI49+'Tabell 5.2'!AI85+'Tabell 5.2'!AI97+'Tabell 5.2'!AI123+'Tabell 5.2'!AI135+AI13+AI25+'Tabell 5.2'!AI61+'Tabell 5.2'!AI73+'Tabell 5.2'!AI109</f>
        <v>-394</v>
      </c>
      <c r="AJ39" s="658">
        <f>'Tabell 5.1'!AJ13+'Tabell 5.1'!AJ25+'Tabell 5.1'!AJ37+'Tabell 5.1'!AJ49+'Tabell 5.1'!AJ63+'Tabell 5.1'!AJ75+'Tabell 5.1'!AJ87+'Tabell 5.1'!AJ99+'Tabell 5.2'!AJ13+'Tabell 5.2'!AJ25+'Tabell 5.2'!AJ37+'Tabell 5.2'!AJ49+'Tabell 5.2'!AJ85+'Tabell 5.2'!AJ97+'Tabell 5.2'!AJ123+'Tabell 5.2'!AJ135+AJ13+AJ25+'Tabell 5.2'!AJ61+'Tabell 5.2'!AJ73+'Tabell 5.2'!AJ109</f>
        <v>86</v>
      </c>
      <c r="AK39" s="658">
        <f t="shared" si="38"/>
        <v>-121.8</v>
      </c>
      <c r="AL39" s="909">
        <v>-853</v>
      </c>
      <c r="AM39" s="658">
        <f>'Tabell 5.1'!AM13+'Tabell 5.1'!AM25+'Tabell 5.1'!AM37+'Tabell 5.1'!AM49+'Tabell 5.1'!AM63+'Tabell 5.1'!AM75+'Tabell 5.1'!AM87+'Tabell 5.1'!AM99+'Tabell 5.2'!AM13+'Tabell 5.2'!AM25+'Tabell 5.2'!AM37+'Tabell 5.2'!AM49+'Tabell 5.2'!AM85+'Tabell 5.2'!AM97+'Tabell 5.2'!AM123+'Tabell 5.2'!AM135+AM13+AM25+'Tabell 5.2'!AM61+'Tabell 5.2'!AM73+'Tabell 5.2'!AM109</f>
        <v>-2524.8000000000002</v>
      </c>
      <c r="AN39" s="658">
        <f t="shared" si="39"/>
        <v>196</v>
      </c>
      <c r="AO39" s="658">
        <f t="shared" si="40"/>
        <v>-1649.7576663863001</v>
      </c>
      <c r="AP39" s="658">
        <f t="shared" si="41"/>
        <v>-2998.8828880000001</v>
      </c>
      <c r="AQ39" s="658">
        <f t="shared" si="42"/>
        <v>81.8</v>
      </c>
      <c r="AR39" s="616">
        <f t="shared" si="43"/>
        <v>-1649.7576663863001</v>
      </c>
      <c r="AS39" s="616">
        <f t="shared" si="44"/>
        <v>-2998.8828880000001</v>
      </c>
      <c r="AT39" s="659">
        <f t="shared" si="45"/>
        <v>81.8</v>
      </c>
      <c r="AU39" s="694"/>
      <c r="AV39" s="641"/>
      <c r="AW39" s="636"/>
      <c r="AX39" s="636"/>
    </row>
    <row r="40" spans="1:50" s="660" customFormat="1" ht="18.75" customHeight="1" x14ac:dyDescent="0.3">
      <c r="A40" s="608" t="s">
        <v>368</v>
      </c>
      <c r="B40" s="658">
        <f>'Tabell 5.1'!B14+'Tabell 5.1'!B26+'Tabell 5.1'!B38+'Tabell 5.1'!B50+'Tabell 5.1'!B64+'Tabell 5.1'!B76+'Tabell 5.1'!B88+'Tabell 5.1'!B100+'Tabell 5.2'!B14+'Tabell 5.2'!B26+'Tabell 5.2'!B38+'Tabell 5.2'!B50+'Tabell 5.2'!B86+'Tabell 5.2'!B98+'Tabell 5.2'!B124+'Tabell 5.2'!B136+B14+B26+'Tabell 5.2'!B62+'Tabell 5.2'!B74+'Tabell 5.2'!B110</f>
        <v>12.684999999999995</v>
      </c>
      <c r="C40" s="658">
        <f>'Tabell 5.1'!C14+'Tabell 5.1'!C26+'Tabell 5.1'!C38+'Tabell 5.1'!C50+'Tabell 5.1'!C64+'Tabell 5.1'!C76+'Tabell 5.1'!C88+'Tabell 5.1'!C100+'Tabell 5.2'!C14+'Tabell 5.2'!C26+'Tabell 5.2'!C38+'Tabell 5.2'!C50+'Tabell 5.2'!C86+'Tabell 5.2'!C98+'Tabell 5.2'!C124+'Tabell 5.2'!C136+C14+C26+'Tabell 5.2'!C62+'Tabell 5.2'!C74+'Tabell 5.2'!C110</f>
        <v>-12.822000000000006</v>
      </c>
      <c r="D40" s="658">
        <f t="shared" si="27"/>
        <v>-201.1</v>
      </c>
      <c r="E40" s="658">
        <f>'Tabell 5.1'!E14+'Tabell 5.1'!E26+'Tabell 5.1'!E38+'Tabell 5.1'!E50+'Tabell 5.1'!E64+'Tabell 5.1'!E76+'Tabell 5.1'!E88+'Tabell 5.1'!E100+'Tabell 5.2'!E14+'Tabell 5.2'!E26+'Tabell 5.2'!E38+'Tabell 5.2'!E50+'Tabell 5.2'!E86+'Tabell 5.2'!E98+'Tabell 5.2'!E124+'Tabell 5.2'!E136+E14+E26+'Tabell 5.2'!E62+'Tabell 5.2'!E74+'Tabell 5.2'!E110</f>
        <v>-38</v>
      </c>
      <c r="F40" s="658">
        <f>'Tabell 5.1'!F14+'Tabell 5.1'!F26+'Tabell 5.1'!F38+'Tabell 5.1'!F50+'Tabell 5.1'!F64+'Tabell 5.1'!F76+'Tabell 5.1'!F88+'Tabell 5.1'!F100+'Tabell 5.2'!F14+'Tabell 5.2'!F26+'Tabell 5.2'!F38+'Tabell 5.2'!F50+'Tabell 5.2'!F86+'Tabell 5.2'!F98+'Tabell 5.2'!F124+'Tabell 5.2'!F136+F14+F26+'Tabell 5.2'!F62+'Tabell 5.2'!F74+'Tabell 5.2'!F110</f>
        <v>-49</v>
      </c>
      <c r="G40" s="658">
        <f t="shared" si="28"/>
        <v>28.9</v>
      </c>
      <c r="H40" s="658">
        <f>'Tabell 5.1'!H14+'Tabell 5.1'!H26+'Tabell 5.1'!H38+'Tabell 5.1'!H50+'Tabell 5.1'!H64+'Tabell 5.1'!H76+'Tabell 5.1'!H88+'Tabell 5.1'!H100+'Tabell 5.2'!H14+'Tabell 5.2'!H26+'Tabell 5.2'!H38+'Tabell 5.2'!H50+'Tabell 5.2'!H86+'Tabell 5.2'!H98+'Tabell 5.2'!H124+'Tabell 5.2'!H136+H14+H26+'Tabell 5.2'!H62+'Tabell 5.2'!H74+'Tabell 5.2'!H110</f>
        <v>631.9459999999998</v>
      </c>
      <c r="I40" s="658">
        <f>'Tabell 5.1'!I14+'Tabell 5.1'!I26+'Tabell 5.1'!I38+'Tabell 5.1'!I50+'Tabell 5.1'!I64+'Tabell 5.1'!I76+'Tabell 5.1'!I88+'Tabell 5.1'!I100+'Tabell 5.2'!I14+'Tabell 5.2'!I26+'Tabell 5.2'!I38+'Tabell 5.2'!I50+'Tabell 5.2'!I86+'Tabell 5.2'!I98+'Tabell 5.2'!I124+'Tabell 5.2'!I136+I14+I26+'Tabell 5.2'!I62+'Tabell 5.2'!I74+'Tabell 5.2'!I110</f>
        <v>809.2</v>
      </c>
      <c r="J40" s="658">
        <f t="shared" si="29"/>
        <v>28</v>
      </c>
      <c r="K40" s="658"/>
      <c r="L40" s="658">
        <f>'Tabell 5.1'!L14+'Tabell 5.1'!L26+'Tabell 5.1'!L38+'Tabell 5.1'!L50+'Tabell 5.1'!L64+'Tabell 5.1'!L76+'Tabell 5.1'!L88+'Tabell 5.1'!L100+'Tabell 5.2'!L14+'Tabell 5.2'!L26+'Tabell 5.2'!L38+'Tabell 5.2'!L50+'Tabell 5.2'!L86+'Tabell 5.2'!L98+'Tabell 5.2'!L124+'Tabell 5.2'!L136+L14+L26+'Tabell 5.2'!L62+'Tabell 5.2'!L74+'Tabell 5.2'!L110</f>
        <v>-60</v>
      </c>
      <c r="M40" s="658" t="str">
        <f t="shared" si="30"/>
        <v xml:space="preserve">    ---- </v>
      </c>
      <c r="N40" s="658">
        <f>'Tabell 5.1'!N14+'Tabell 5.1'!N26+'Tabell 5.1'!N38+'Tabell 5.1'!N50+'Tabell 5.1'!N64+'Tabell 5.1'!N76+'Tabell 5.1'!N88+'Tabell 5.1'!N100+'Tabell 5.2'!N14+'Tabell 5.2'!N26+'Tabell 5.2'!N38+'Tabell 5.2'!N50+'Tabell 5.2'!N86+'Tabell 5.2'!N98+'Tabell 5.2'!N124+'Tabell 5.2'!N136+N14+N26+'Tabell 5.2'!N62+'Tabell 5.2'!N74+'Tabell 5.2'!N110</f>
        <v>-56.562000000000005</v>
      </c>
      <c r="O40" s="658">
        <f>'Tabell 5.1'!O14+'Tabell 5.1'!O26+'Tabell 5.1'!O38+'Tabell 5.1'!O50+'Tabell 5.1'!O64+'Tabell 5.1'!O76+'Tabell 5.1'!O88+'Tabell 5.1'!O100+'Tabell 5.2'!O14+'Tabell 5.2'!O26+'Tabell 5.2'!O38+'Tabell 5.2'!O50+'Tabell 5.2'!O86+'Tabell 5.2'!O98+'Tabell 5.2'!O124+'Tabell 5.2'!O136+O14+O26+'Tabell 5.2'!O62+'Tabell 5.2'!O74+'Tabell 5.2'!O110</f>
        <v>160.13900000000004</v>
      </c>
      <c r="P40" s="658">
        <f t="shared" si="31"/>
        <v>-383.1</v>
      </c>
      <c r="Q40" s="658">
        <f>'Tabell 5.1'!Q14+'Tabell 5.1'!Q26+'Tabell 5.1'!Q38+'Tabell 5.1'!Q50+'Tabell 5.1'!Q64+'Tabell 5.1'!Q76+'Tabell 5.1'!Q88+'Tabell 5.1'!Q100+'Tabell 5.2'!Q14+'Tabell 5.2'!Q26+'Tabell 5.2'!Q38+'Tabell 5.2'!Q50+'Tabell 5.2'!Q86+'Tabell 5.2'!Q98+'Tabell 5.2'!Q124+'Tabell 5.2'!Q136+Q14+Q26+'Tabell 5.2'!Q62+'Tabell 5.2'!Q74+'Tabell 5.2'!Q110</f>
        <v>116.10000000000001</v>
      </c>
      <c r="R40" s="658">
        <f>'Tabell 5.1'!R14+'Tabell 5.1'!R26+'Tabell 5.1'!R38+'Tabell 5.1'!R50+'Tabell 5.1'!R64+'Tabell 5.1'!R76+'Tabell 5.1'!R88+'Tabell 5.1'!R100+'Tabell 5.2'!R14+'Tabell 5.2'!R26+'Tabell 5.2'!R38+'Tabell 5.2'!R50+'Tabell 5.2'!R86+'Tabell 5.2'!R98+'Tabell 5.2'!R124+'Tabell 5.2'!R136+R14+R26+'Tabell 5.2'!R62+'Tabell 5.2'!R74+'Tabell 5.2'!R110</f>
        <v>126.70000000000002</v>
      </c>
      <c r="S40" s="658">
        <f t="shared" si="32"/>
        <v>9.1</v>
      </c>
      <c r="T40" s="658">
        <f>'Tabell 5.1'!T14+'Tabell 5.1'!T26+'Tabell 5.1'!T38+'Tabell 5.1'!T50+'Tabell 5.1'!T64+'Tabell 5.1'!T76+'Tabell 5.1'!T88+'Tabell 5.1'!T100+'Tabell 5.2'!T14+'Tabell 5.2'!T26+'Tabell 5.2'!T38+'Tabell 5.2'!T50+'Tabell 5.2'!T86+'Tabell 5.2'!T98+'Tabell 5.2'!T124+'Tabell 5.2'!T136+T14+T26+'Tabell 5.2'!T62+'Tabell 5.2'!T74+'Tabell 5.2'!T110</f>
        <v>4.33505124510034</v>
      </c>
      <c r="U40" s="658">
        <f>'Tabell 5.1'!U14+'Tabell 5.1'!U26+'Tabell 5.1'!U38+'Tabell 5.1'!U50+'Tabell 5.1'!U64+'Tabell 5.1'!U76+'Tabell 5.1'!U88+'Tabell 5.1'!U100+'Tabell 5.2'!U14+'Tabell 5.2'!U26+'Tabell 5.2'!U38+'Tabell 5.2'!U50+'Tabell 5.2'!U86+'Tabell 5.2'!U98+'Tabell 5.2'!U124+'Tabell 5.2'!U136+U14+U26+'Tabell 5.2'!U62+'Tabell 5.2'!U74+'Tabell 5.2'!U110</f>
        <v>3.26694438</v>
      </c>
      <c r="V40" s="658">
        <f t="shared" si="33"/>
        <v>-24.6</v>
      </c>
      <c r="W40" s="658">
        <f>'Tabell 5.1'!W14+'Tabell 5.1'!W26+'Tabell 5.1'!W38+'Tabell 5.1'!W50+'Tabell 5.1'!W64+'Tabell 5.1'!W76+'Tabell 5.1'!W88+'Tabell 5.1'!W100+'Tabell 5.2'!W14+'Tabell 5.2'!W26+'Tabell 5.2'!W38+'Tabell 5.2'!W50+'Tabell 5.2'!W86+'Tabell 5.2'!W98+'Tabell 5.2'!W124+'Tabell 5.2'!W136+W14+W26+'Tabell 5.2'!W62+'Tabell 5.2'!W74+'Tabell 5.2'!W110</f>
        <v>247.56660327240976</v>
      </c>
      <c r="X40" s="658">
        <f>'Tabell 5.1'!X14+'Tabell 5.1'!X26+'Tabell 5.1'!X38+'Tabell 5.1'!X50+'Tabell 5.1'!X64+'Tabell 5.1'!X76+'Tabell 5.1'!X88+'Tabell 5.1'!X100+'Tabell 5.2'!X14+'Tabell 5.2'!X26+'Tabell 5.2'!X38+'Tabell 5.2'!X50+'Tabell 5.2'!X86+'Tabell 5.2'!X98+'Tabell 5.2'!X124+'Tabell 5.2'!X136+X14+X26+'Tabell 5.2'!X62+'Tabell 5.2'!X74+'Tabell 5.2'!X110</f>
        <v>169.90088726880751</v>
      </c>
      <c r="Y40" s="658">
        <f t="shared" si="34"/>
        <v>-31.4</v>
      </c>
      <c r="Z40" s="658">
        <f>'Tabell 5.1'!Z14+'Tabell 5.1'!Z26+'Tabell 5.1'!Z38+'Tabell 5.1'!Z50+'Tabell 5.1'!Z64+'Tabell 5.1'!Z76+'Tabell 5.1'!Z88+'Tabell 5.1'!Z100+'Tabell 5.2'!Z14+'Tabell 5.2'!Z26+'Tabell 5.2'!Z38+'Tabell 5.2'!Z50+'Tabell 5.2'!Z86+'Tabell 5.2'!Z98+'Tabell 5.2'!Z124+'Tabell 5.2'!Z136+Z14+Z26+'Tabell 5.2'!Z62+'Tabell 5.2'!Z74+'Tabell 5.2'!Z110</f>
        <v>338.21830746719212</v>
      </c>
      <c r="AA40" s="658">
        <f>'Tabell 5.1'!AA14+'Tabell 5.1'!AA26+'Tabell 5.1'!AA38+'Tabell 5.1'!AA50+'Tabell 5.1'!AA64+'Tabell 5.1'!AA76+'Tabell 5.1'!AA88+'Tabell 5.1'!AA100+'Tabell 5.2'!AA14+'Tabell 5.2'!AA26+'Tabell 5.2'!AA38+'Tabell 5.2'!AA50+'Tabell 5.2'!AA86+'Tabell 5.2'!AA98+'Tabell 5.2'!AA124+'Tabell 5.2'!AA136+AA14+AA26+'Tabell 5.2'!AA62+'Tabell 5.2'!AA74+'Tabell 5.2'!AA110</f>
        <v>428.58000000000004</v>
      </c>
      <c r="AB40" s="658">
        <f t="shared" si="35"/>
        <v>26.7</v>
      </c>
      <c r="AC40" s="658">
        <f>'Tabell 5.1'!AC14+'Tabell 5.1'!AC26+'Tabell 5.1'!AC38+'Tabell 5.1'!AC50+'Tabell 5.1'!AC64+'Tabell 5.1'!AC76+'Tabell 5.1'!AC88+'Tabell 5.1'!AC100+'Tabell 5.2'!AC14+'Tabell 5.2'!AC26+'Tabell 5.2'!AC38+'Tabell 5.2'!AC50+'Tabell 5.2'!AC86+'Tabell 5.2'!AC98+'Tabell 5.2'!AC124+'Tabell 5.2'!AC136+AC14+AC26+'Tabell 5.2'!AC62+'Tabell 5.2'!AC74+'Tabell 5.2'!AC110</f>
        <v>55</v>
      </c>
      <c r="AD40" s="658">
        <f>'Tabell 5.1'!AD14+'Tabell 5.1'!AD26+'Tabell 5.1'!AD38+'Tabell 5.1'!AD50+'Tabell 5.1'!AD64+'Tabell 5.1'!AD76+'Tabell 5.1'!AD88+'Tabell 5.1'!AD100+'Tabell 5.2'!AD14+'Tabell 5.2'!AD26+'Tabell 5.2'!AD38+'Tabell 5.2'!AD50+'Tabell 5.2'!AD86+'Tabell 5.2'!AD98+'Tabell 5.2'!AD124+'Tabell 5.2'!AD136+AD14+AD26+'Tabell 5.2'!AD62+'Tabell 5.2'!AD74+'Tabell 5.2'!AD110</f>
        <v>16</v>
      </c>
      <c r="AE40" s="658">
        <f t="shared" si="36"/>
        <v>-70.900000000000006</v>
      </c>
      <c r="AF40" s="909">
        <f>'[2]Tabell 5.1'!AF14+'[2]Tabell 5.1'!AF26+'[2]Tabell 5.1'!AF38+'[2]Tabell 5.1'!AF50+'[2]Tabell 5.1'!AF64+'[2]Tabell 5.1'!AF76+'[2]Tabell 5.1'!AF88+'[2]Tabell 5.1'!AF100+'[2]Tabell 5.2'!AF14+'[2]Tabell 5.2'!AF26+'[2]Tabell 5.2'!AF38+'[2]Tabell 5.2'!AF50+'[2]Tabell 5.2'!AF86+'[2]Tabell 5.2'!AF98+'[2]Tabell 5.2'!AF124+'[2]Tabell 5.2'!AF136+AF14+AF26+'[2]Tabell 5.2'!AF62+'[2]Tabell 5.2'!AF74+'[2]Tabell 5.2'!AF110</f>
        <v>12.386465282550729</v>
      </c>
      <c r="AG40" s="910">
        <f>'[2]Tabell 5.1'!AG14+'[2]Tabell 5.1'!AG26+'[2]Tabell 5.1'!AG38+'[2]Tabell 5.1'!AG50+'[2]Tabell 5.1'!AG64+'[2]Tabell 5.1'!AG76+'[2]Tabell 5.1'!AG88+'[2]Tabell 5.1'!AG100+'[2]Tabell 5.2'!AG14+'[2]Tabell 5.2'!AG26+'[2]Tabell 5.2'!AG38+'[2]Tabell 5.2'!AG50+'[2]Tabell 5.2'!AG86+'[2]Tabell 5.2'!AG98+'[2]Tabell 5.2'!AG124+'[2]Tabell 5.2'!AG136+AG14+AG26+'[2]Tabell 5.2'!AG62+'[2]Tabell 5.2'!AG74+'[2]Tabell 5.2'!AG110</f>
        <v>13.56757828393199</v>
      </c>
      <c r="AH40" s="658">
        <f t="shared" si="37"/>
        <v>9.5</v>
      </c>
      <c r="AI40" s="658">
        <f>'Tabell 5.1'!AI14+'Tabell 5.1'!AI26+'Tabell 5.1'!AI38+'Tabell 5.1'!AI50+'Tabell 5.1'!AI64+'Tabell 5.1'!AI76+'Tabell 5.1'!AI88+'Tabell 5.1'!AI100+'Tabell 5.2'!AI14+'Tabell 5.2'!AI26+'Tabell 5.2'!AI38+'Tabell 5.2'!AI50+'Tabell 5.2'!AI86+'Tabell 5.2'!AI98+'Tabell 5.2'!AI124+'Tabell 5.2'!AI136+AI14+AI26+'Tabell 5.2'!AI62+'Tabell 5.2'!AI74+'Tabell 5.2'!AI110</f>
        <v>-369</v>
      </c>
      <c r="AJ40" s="658">
        <f>'Tabell 5.1'!AJ14+'Tabell 5.1'!AJ26+'Tabell 5.1'!AJ38+'Tabell 5.1'!AJ50+'Tabell 5.1'!AJ64+'Tabell 5.1'!AJ76+'Tabell 5.1'!AJ88+'Tabell 5.1'!AJ100+'Tabell 5.2'!AJ14+'Tabell 5.2'!AJ26+'Tabell 5.2'!AJ38+'Tabell 5.2'!AJ50+'Tabell 5.2'!AJ86+'Tabell 5.2'!AJ98+'Tabell 5.2'!AJ124+'Tabell 5.2'!AJ136+AJ14+AJ26+'Tabell 5.2'!AJ62+'Tabell 5.2'!AJ74+'Tabell 5.2'!AJ110</f>
        <v>17</v>
      </c>
      <c r="AK40" s="658">
        <f t="shared" si="38"/>
        <v>-104.6</v>
      </c>
      <c r="AL40" s="909">
        <v>342</v>
      </c>
      <c r="AM40" s="658">
        <f>'Tabell 5.1'!AM14+'Tabell 5.1'!AM26+'Tabell 5.1'!AM38+'Tabell 5.1'!AM50+'Tabell 5.1'!AM64+'Tabell 5.1'!AM76+'Tabell 5.1'!AM88+'Tabell 5.1'!AM100+'Tabell 5.2'!AM14+'Tabell 5.2'!AM26+'Tabell 5.2'!AM38+'Tabell 5.2'!AM50+'Tabell 5.2'!AM86+'Tabell 5.2'!AM98+'Tabell 5.2'!AM124+'Tabell 5.2'!AM136+AM14+AM26+'Tabell 5.2'!AM62+'Tabell 5.2'!AM74+'Tabell 5.2'!AM110</f>
        <v>522.15</v>
      </c>
      <c r="AN40" s="658">
        <f t="shared" si="39"/>
        <v>52.7</v>
      </c>
      <c r="AO40" s="658">
        <f t="shared" si="40"/>
        <v>1279.9539107396017</v>
      </c>
      <c r="AP40" s="658">
        <f t="shared" si="41"/>
        <v>2127.8478872688079</v>
      </c>
      <c r="AQ40" s="658">
        <f t="shared" si="42"/>
        <v>66.2</v>
      </c>
      <c r="AR40" s="616">
        <f t="shared" si="43"/>
        <v>1296.6754272672526</v>
      </c>
      <c r="AS40" s="616">
        <f t="shared" si="44"/>
        <v>2144.6824099327396</v>
      </c>
      <c r="AT40" s="659">
        <f t="shared" si="45"/>
        <v>65.400000000000006</v>
      </c>
      <c r="AU40" s="694"/>
      <c r="AV40" s="641"/>
      <c r="AW40" s="636"/>
      <c r="AX40" s="636"/>
    </row>
    <row r="41" spans="1:50" s="660" customFormat="1" ht="18.75" customHeight="1" x14ac:dyDescent="0.3">
      <c r="A41" s="608" t="s">
        <v>369</v>
      </c>
      <c r="B41" s="658">
        <f>'Tabell 5.1'!B15+'Tabell 5.1'!B27+'Tabell 5.1'!B39+'Tabell 5.1'!B51+'Tabell 5.1'!B65+'Tabell 5.1'!B77+'Tabell 5.1'!B89+'Tabell 5.1'!B101+'Tabell 5.2'!B15+'Tabell 5.2'!B27+'Tabell 5.2'!B39+'Tabell 5.2'!B51+'Tabell 5.2'!B87+'Tabell 5.2'!B99+'Tabell 5.2'!B125+'Tabell 5.2'!B137+B15+B27+'Tabell 5.2'!B63+'Tabell 5.2'!B75+'Tabell 5.2'!B111</f>
        <v>0</v>
      </c>
      <c r="C41" s="658">
        <f>'Tabell 5.1'!C15+'Tabell 5.1'!C27+'Tabell 5.1'!C39+'Tabell 5.1'!C51+'Tabell 5.1'!C65+'Tabell 5.1'!C77+'Tabell 5.1'!C89+'Tabell 5.1'!C101+'Tabell 5.2'!C15+'Tabell 5.2'!C27+'Tabell 5.2'!C39+'Tabell 5.2'!C51+'Tabell 5.2'!C87+'Tabell 5.2'!C99+'Tabell 5.2'!C125+'Tabell 5.2'!C137+C15+C27+'Tabell 5.2'!C63+'Tabell 5.2'!C75+'Tabell 5.2'!C111</f>
        <v>0</v>
      </c>
      <c r="D41" s="658" t="str">
        <f t="shared" si="27"/>
        <v xml:space="preserve">    ---- </v>
      </c>
      <c r="E41" s="658">
        <f>'Tabell 5.1'!E15+'Tabell 5.1'!E27+'Tabell 5.1'!E39+'Tabell 5.1'!E51+'Tabell 5.1'!E65+'Tabell 5.1'!E77+'Tabell 5.1'!E89+'Tabell 5.1'!E101+'Tabell 5.2'!E15+'Tabell 5.2'!E27+'Tabell 5.2'!E39+'Tabell 5.2'!E51+'Tabell 5.2'!E87+'Tabell 5.2'!E99+'Tabell 5.2'!E125+'Tabell 5.2'!E137+E15+E27+'Tabell 5.2'!E63+'Tabell 5.2'!E75+'Tabell 5.2'!E111</f>
        <v>4</v>
      </c>
      <c r="F41" s="658">
        <f>'Tabell 5.1'!F15+'Tabell 5.1'!F27+'Tabell 5.1'!F39+'Tabell 5.1'!F51+'Tabell 5.1'!F65+'Tabell 5.1'!F77+'Tabell 5.1'!F89+'Tabell 5.1'!F101+'Tabell 5.2'!F15+'Tabell 5.2'!F27+'Tabell 5.2'!F39+'Tabell 5.2'!F51+'Tabell 5.2'!F87+'Tabell 5.2'!F99+'Tabell 5.2'!F125+'Tabell 5.2'!F137+F15+F27+'Tabell 5.2'!F63+'Tabell 5.2'!F75+'Tabell 5.2'!F111</f>
        <v>4</v>
      </c>
      <c r="G41" s="658">
        <f t="shared" si="28"/>
        <v>0</v>
      </c>
      <c r="H41" s="658">
        <f>'Tabell 5.1'!H15+'Tabell 5.1'!H27+'Tabell 5.1'!H39+'Tabell 5.1'!H51+'Tabell 5.1'!H65+'Tabell 5.1'!H77+'Tabell 5.1'!H89+'Tabell 5.1'!H101+'Tabell 5.2'!H15+'Tabell 5.2'!H27+'Tabell 5.2'!H39+'Tabell 5.2'!H51+'Tabell 5.2'!H87+'Tabell 5.2'!H99+'Tabell 5.2'!H125+'Tabell 5.2'!H137+H15+H27+'Tabell 5.2'!H63+'Tabell 5.2'!H75+'Tabell 5.2'!H111</f>
        <v>25.09</v>
      </c>
      <c r="I41" s="658">
        <f>'Tabell 5.1'!I15+'Tabell 5.1'!I27+'Tabell 5.1'!I39+'Tabell 5.1'!I51+'Tabell 5.1'!I65+'Tabell 5.1'!I77+'Tabell 5.1'!I89+'Tabell 5.1'!I101+'Tabell 5.2'!I15+'Tabell 5.2'!I27+'Tabell 5.2'!I39+'Tabell 5.2'!I51+'Tabell 5.2'!I87+'Tabell 5.2'!I99+'Tabell 5.2'!I125+'Tabell 5.2'!I137+I15+I27+'Tabell 5.2'!I63+'Tabell 5.2'!I75+'Tabell 5.2'!I111</f>
        <v>22.3</v>
      </c>
      <c r="J41" s="658">
        <f t="shared" si="29"/>
        <v>-11.1</v>
      </c>
      <c r="K41" s="658"/>
      <c r="L41" s="658">
        <f>'Tabell 5.1'!L15+'Tabell 5.1'!L27+'Tabell 5.1'!L39+'Tabell 5.1'!L51+'Tabell 5.1'!L65+'Tabell 5.1'!L77+'Tabell 5.1'!L89+'Tabell 5.1'!L101+'Tabell 5.2'!L15+'Tabell 5.2'!L27+'Tabell 5.2'!L39+'Tabell 5.2'!L51+'Tabell 5.2'!L87+'Tabell 5.2'!L99+'Tabell 5.2'!L125+'Tabell 5.2'!L137+L15+L27+'Tabell 5.2'!L63+'Tabell 5.2'!L75+'Tabell 5.2'!L111</f>
        <v>0</v>
      </c>
      <c r="M41" s="658" t="str">
        <f t="shared" si="30"/>
        <v xml:space="preserve">    ---- </v>
      </c>
      <c r="N41" s="658">
        <f>'Tabell 5.1'!N15+'Tabell 5.1'!N27+'Tabell 5.1'!N39+'Tabell 5.1'!N51+'Tabell 5.1'!N65+'Tabell 5.1'!N77+'Tabell 5.1'!N89+'Tabell 5.1'!N101+'Tabell 5.2'!N15+'Tabell 5.2'!N27+'Tabell 5.2'!N39+'Tabell 5.2'!N51+'Tabell 5.2'!N87+'Tabell 5.2'!N99+'Tabell 5.2'!N125+'Tabell 5.2'!N137+N15+N27+'Tabell 5.2'!N63+'Tabell 5.2'!N75+'Tabell 5.2'!N111</f>
        <v>0</v>
      </c>
      <c r="O41" s="658">
        <f>'Tabell 5.1'!O15+'Tabell 5.1'!O27+'Tabell 5.1'!O39+'Tabell 5.1'!O51+'Tabell 5.1'!O65+'Tabell 5.1'!O77+'Tabell 5.1'!O89+'Tabell 5.1'!O101+'Tabell 5.2'!O15+'Tabell 5.2'!O27+'Tabell 5.2'!O39+'Tabell 5.2'!O51+'Tabell 5.2'!O87+'Tabell 5.2'!O99+'Tabell 5.2'!O125+'Tabell 5.2'!O137+O15+O27+'Tabell 5.2'!O63+'Tabell 5.2'!O75+'Tabell 5.2'!O111</f>
        <v>0</v>
      </c>
      <c r="P41" s="658" t="str">
        <f t="shared" si="31"/>
        <v xml:space="preserve">    ---- </v>
      </c>
      <c r="Q41" s="658">
        <f>'Tabell 5.1'!Q15+'Tabell 5.1'!Q27+'Tabell 5.1'!Q39+'Tabell 5.1'!Q51+'Tabell 5.1'!Q65+'Tabell 5.1'!Q77+'Tabell 5.1'!Q89+'Tabell 5.1'!Q101+'Tabell 5.2'!Q15+'Tabell 5.2'!Q27+'Tabell 5.2'!Q39+'Tabell 5.2'!Q51+'Tabell 5.2'!Q87+'Tabell 5.2'!Q99+'Tabell 5.2'!Q125+'Tabell 5.2'!Q137+Q15+Q27+'Tabell 5.2'!Q63+'Tabell 5.2'!Q75+'Tabell 5.2'!Q111</f>
        <v>1.5</v>
      </c>
      <c r="R41" s="658">
        <f>'Tabell 5.1'!R15+'Tabell 5.1'!R27+'Tabell 5.1'!R39+'Tabell 5.1'!R51+'Tabell 5.1'!R65+'Tabell 5.1'!R77+'Tabell 5.1'!R89+'Tabell 5.1'!R101+'Tabell 5.2'!R15+'Tabell 5.2'!R27+'Tabell 5.2'!R39+'Tabell 5.2'!R51+'Tabell 5.2'!R87+'Tabell 5.2'!R99+'Tabell 5.2'!R125+'Tabell 5.2'!R137+R15+R27+'Tabell 5.2'!R63+'Tabell 5.2'!R75+'Tabell 5.2'!R111</f>
        <v>1.8</v>
      </c>
      <c r="S41" s="658">
        <f t="shared" si="32"/>
        <v>20</v>
      </c>
      <c r="T41" s="658">
        <f>'Tabell 5.1'!T15+'Tabell 5.1'!T27+'Tabell 5.1'!T39+'Tabell 5.1'!T51+'Tabell 5.1'!T65+'Tabell 5.1'!T77+'Tabell 5.1'!T89+'Tabell 5.1'!T101+'Tabell 5.2'!T15+'Tabell 5.2'!T27+'Tabell 5.2'!T39+'Tabell 5.2'!T51+'Tabell 5.2'!T87+'Tabell 5.2'!T99+'Tabell 5.2'!T125+'Tabell 5.2'!T137+T15+T27+'Tabell 5.2'!T63+'Tabell 5.2'!T75+'Tabell 5.2'!T111</f>
        <v>0</v>
      </c>
      <c r="U41" s="658">
        <f>'Tabell 5.1'!U15+'Tabell 5.1'!U27+'Tabell 5.1'!U39+'Tabell 5.1'!U51+'Tabell 5.1'!U65+'Tabell 5.1'!U77+'Tabell 5.1'!U89+'Tabell 5.1'!U101+'Tabell 5.2'!U15+'Tabell 5.2'!U27+'Tabell 5.2'!U39+'Tabell 5.2'!U51+'Tabell 5.2'!U87+'Tabell 5.2'!U99+'Tabell 5.2'!U125+'Tabell 5.2'!U137+U15+U27+'Tabell 5.2'!U63+'Tabell 5.2'!U75+'Tabell 5.2'!U111</f>
        <v>0</v>
      </c>
      <c r="V41" s="658" t="str">
        <f t="shared" si="33"/>
        <v xml:space="preserve">    ---- </v>
      </c>
      <c r="W41" s="658">
        <f>'Tabell 5.1'!W15+'Tabell 5.1'!W27+'Tabell 5.1'!W39+'Tabell 5.1'!W51+'Tabell 5.1'!W65+'Tabell 5.1'!W77+'Tabell 5.1'!W89+'Tabell 5.1'!W101+'Tabell 5.2'!W15+'Tabell 5.2'!W27+'Tabell 5.2'!W39+'Tabell 5.2'!W51+'Tabell 5.2'!W87+'Tabell 5.2'!W99+'Tabell 5.2'!W125+'Tabell 5.2'!W137+W15+W27+'Tabell 5.2'!W63+'Tabell 5.2'!W75+'Tabell 5.2'!W111</f>
        <v>0</v>
      </c>
      <c r="X41" s="658">
        <f>'Tabell 5.1'!X15+'Tabell 5.1'!X27+'Tabell 5.1'!X39+'Tabell 5.1'!X51+'Tabell 5.1'!X65+'Tabell 5.1'!X77+'Tabell 5.1'!X89+'Tabell 5.1'!X101+'Tabell 5.2'!X15+'Tabell 5.2'!X27+'Tabell 5.2'!X39+'Tabell 5.2'!X51+'Tabell 5.2'!X87+'Tabell 5.2'!X99+'Tabell 5.2'!X125+'Tabell 5.2'!X137+X15+X27+'Tabell 5.2'!X63+'Tabell 5.2'!X75+'Tabell 5.2'!X111</f>
        <v>0</v>
      </c>
      <c r="Y41" s="658" t="str">
        <f t="shared" si="34"/>
        <v xml:space="preserve">    ---- </v>
      </c>
      <c r="Z41" s="658">
        <f>'Tabell 5.1'!Z15+'Tabell 5.1'!Z27+'Tabell 5.1'!Z39+'Tabell 5.1'!Z51+'Tabell 5.1'!Z65+'Tabell 5.1'!Z77+'Tabell 5.1'!Z89+'Tabell 5.1'!Z101+'Tabell 5.2'!Z15+'Tabell 5.2'!Z27+'Tabell 5.2'!Z39+'Tabell 5.2'!Z51+'Tabell 5.2'!Z87+'Tabell 5.2'!Z99+'Tabell 5.2'!Z125+'Tabell 5.2'!Z137+Z15+Z27+'Tabell 5.2'!Z63+'Tabell 5.2'!Z75+'Tabell 5.2'!Z111</f>
        <v>0.86702040000000002</v>
      </c>
      <c r="AA41" s="658">
        <f>'Tabell 5.1'!AA15+'Tabell 5.1'!AA27+'Tabell 5.1'!AA39+'Tabell 5.1'!AA51+'Tabell 5.1'!AA65+'Tabell 5.1'!AA77+'Tabell 5.1'!AA89+'Tabell 5.1'!AA101+'Tabell 5.2'!AA15+'Tabell 5.2'!AA27+'Tabell 5.2'!AA39+'Tabell 5.2'!AA51+'Tabell 5.2'!AA87+'Tabell 5.2'!AA99+'Tabell 5.2'!AA125+'Tabell 5.2'!AA137+AA15+AA27+'Tabell 5.2'!AA63+'Tabell 5.2'!AA75+'Tabell 5.2'!AA111</f>
        <v>0.62</v>
      </c>
      <c r="AB41" s="658">
        <f t="shared" si="35"/>
        <v>-28.5</v>
      </c>
      <c r="AC41" s="658">
        <f>'Tabell 5.1'!AC15+'Tabell 5.1'!AC27+'Tabell 5.1'!AC39+'Tabell 5.1'!AC51+'Tabell 5.1'!AC65+'Tabell 5.1'!AC77+'Tabell 5.1'!AC89+'Tabell 5.1'!AC101+'Tabell 5.2'!AC15+'Tabell 5.2'!AC27+'Tabell 5.2'!AC39+'Tabell 5.2'!AC51+'Tabell 5.2'!AC87+'Tabell 5.2'!AC99+'Tabell 5.2'!AC125+'Tabell 5.2'!AC137+AC15+AC27+'Tabell 5.2'!AC63+'Tabell 5.2'!AC75+'Tabell 5.2'!AC111</f>
        <v>0</v>
      </c>
      <c r="AD41" s="658">
        <f>'Tabell 5.1'!AD15+'Tabell 5.1'!AD27+'Tabell 5.1'!AD39+'Tabell 5.1'!AD51+'Tabell 5.1'!AD65+'Tabell 5.1'!AD77+'Tabell 5.1'!AD89+'Tabell 5.1'!AD101+'Tabell 5.2'!AD15+'Tabell 5.2'!AD27+'Tabell 5.2'!AD39+'Tabell 5.2'!AD51+'Tabell 5.2'!AD87+'Tabell 5.2'!AD99+'Tabell 5.2'!AD125+'Tabell 5.2'!AD137+AD15+AD27+'Tabell 5.2'!AD63+'Tabell 5.2'!AD75+'Tabell 5.2'!AD111</f>
        <v>0</v>
      </c>
      <c r="AE41" s="658" t="str">
        <f t="shared" si="36"/>
        <v xml:space="preserve">    ---- </v>
      </c>
      <c r="AF41" s="909">
        <f>'[2]Tabell 5.1'!AF15+'[2]Tabell 5.1'!AF27+'[2]Tabell 5.1'!AF39+'[2]Tabell 5.1'!AF51+'[2]Tabell 5.1'!AF65+'[2]Tabell 5.1'!AF77+'[2]Tabell 5.1'!AF89+'[2]Tabell 5.1'!AF101+'[2]Tabell 5.2'!AF15+'[2]Tabell 5.2'!AF27+'[2]Tabell 5.2'!AF39+'[2]Tabell 5.2'!AF51+'[2]Tabell 5.2'!AF87+'[2]Tabell 5.2'!AF99+'[2]Tabell 5.2'!AF125+'[2]Tabell 5.2'!AF137+AF15+AF27+'[2]Tabell 5.2'!AF63+'[2]Tabell 5.2'!AF75+'[2]Tabell 5.2'!AF111</f>
        <v>0</v>
      </c>
      <c r="AG41" s="910">
        <f>'[2]Tabell 5.1'!AG15+'[2]Tabell 5.1'!AG27+'[2]Tabell 5.1'!AG39+'[2]Tabell 5.1'!AG51+'[2]Tabell 5.1'!AG65+'[2]Tabell 5.1'!AG77+'[2]Tabell 5.1'!AG89+'[2]Tabell 5.1'!AG101+'[2]Tabell 5.2'!AG15+'[2]Tabell 5.2'!AG27+'[2]Tabell 5.2'!AG39+'[2]Tabell 5.2'!AG51+'[2]Tabell 5.2'!AG87+'[2]Tabell 5.2'!AG99+'[2]Tabell 5.2'!AG125+'[2]Tabell 5.2'!AG137+AG15+AG27+'[2]Tabell 5.2'!AG63+'[2]Tabell 5.2'!AG75+'[2]Tabell 5.2'!AG111</f>
        <v>0</v>
      </c>
      <c r="AH41" s="658" t="str">
        <f t="shared" si="37"/>
        <v xml:space="preserve">    ---- </v>
      </c>
      <c r="AI41" s="658">
        <f>'Tabell 5.1'!AI15+'Tabell 5.1'!AI27+'Tabell 5.1'!AI39+'Tabell 5.1'!AI51+'Tabell 5.1'!AI65+'Tabell 5.1'!AI77+'Tabell 5.1'!AI89+'Tabell 5.1'!AI101+'Tabell 5.2'!AI15+'Tabell 5.2'!AI27+'Tabell 5.2'!AI39+'Tabell 5.2'!AI51+'Tabell 5.2'!AI87+'Tabell 5.2'!AI99+'Tabell 5.2'!AI125+'Tabell 5.2'!AI137+AI15+AI27+'Tabell 5.2'!AI63+'Tabell 5.2'!AI75+'Tabell 5.2'!AI111</f>
        <v>0</v>
      </c>
      <c r="AJ41" s="658">
        <f>'Tabell 5.1'!AJ15+'Tabell 5.1'!AJ27+'Tabell 5.1'!AJ39+'Tabell 5.1'!AJ51+'Tabell 5.1'!AJ65+'Tabell 5.1'!AJ77+'Tabell 5.1'!AJ89+'Tabell 5.1'!AJ101+'Tabell 5.2'!AJ15+'Tabell 5.2'!AJ27+'Tabell 5.2'!AJ39+'Tabell 5.2'!AJ51+'Tabell 5.2'!AJ87+'Tabell 5.2'!AJ99+'Tabell 5.2'!AJ125+'Tabell 5.2'!AJ137+AJ15+AJ27+'Tabell 5.2'!AJ63+'Tabell 5.2'!AJ75+'Tabell 5.2'!AJ111</f>
        <v>0</v>
      </c>
      <c r="AK41" s="658" t="str">
        <f t="shared" si="38"/>
        <v xml:space="preserve">    ---- </v>
      </c>
      <c r="AL41" s="909">
        <v>41</v>
      </c>
      <c r="AM41" s="658">
        <f>'Tabell 5.1'!AM15+'Tabell 5.1'!AM27+'Tabell 5.1'!AM39+'Tabell 5.1'!AM51+'Tabell 5.1'!AM65+'Tabell 5.1'!AM77+'Tabell 5.1'!AM89+'Tabell 5.1'!AM101+'Tabell 5.2'!AM15+'Tabell 5.2'!AM27+'Tabell 5.2'!AM39+'Tabell 5.2'!AM51+'Tabell 5.2'!AM87+'Tabell 5.2'!AM99+'Tabell 5.2'!AM125+'Tabell 5.2'!AM137+AM15+AM27+'Tabell 5.2'!AM63+'Tabell 5.2'!AM75+'Tabell 5.2'!AM111</f>
        <v>37</v>
      </c>
      <c r="AN41" s="658">
        <f t="shared" si="39"/>
        <v>-9.8000000000000007</v>
      </c>
      <c r="AO41" s="658">
        <f t="shared" si="40"/>
        <v>72.457020400000005</v>
      </c>
      <c r="AP41" s="658">
        <f t="shared" si="41"/>
        <v>65.72</v>
      </c>
      <c r="AQ41" s="658">
        <f t="shared" si="42"/>
        <v>-9.3000000000000007</v>
      </c>
      <c r="AR41" s="616">
        <f t="shared" si="43"/>
        <v>72.457020400000005</v>
      </c>
      <c r="AS41" s="616">
        <f t="shared" si="44"/>
        <v>65.72</v>
      </c>
      <c r="AT41" s="659">
        <f t="shared" si="45"/>
        <v>-9.3000000000000007</v>
      </c>
      <c r="AU41" s="694"/>
      <c r="AV41" s="641"/>
      <c r="AW41" s="636"/>
      <c r="AX41" s="636"/>
    </row>
    <row r="42" spans="1:50" s="660" customFormat="1" ht="18.75" customHeight="1" x14ac:dyDescent="0.3">
      <c r="A42" s="608" t="s">
        <v>370</v>
      </c>
      <c r="B42" s="658">
        <f>'Tabell 5.1'!B16+'Tabell 5.1'!B28+'Tabell 5.1'!B40+'Tabell 5.1'!B52+'Tabell 5.1'!B66+'Tabell 5.1'!B78+'Tabell 5.1'!B90+'Tabell 5.1'!B102+'Tabell 5.2'!B16+'Tabell 5.2'!B28+'Tabell 5.2'!B40+'Tabell 5.2'!B52+'Tabell 5.2'!B88+'Tabell 5.2'!B100+'Tabell 5.2'!B126+'Tabell 5.2'!B138+B16+B28+'Tabell 5.2'!B64+'Tabell 5.2'!B76+'Tabell 5.2'!B112</f>
        <v>1.339</v>
      </c>
      <c r="C42" s="658">
        <f>'Tabell 5.1'!C16+'Tabell 5.1'!C28+'Tabell 5.1'!C40+'Tabell 5.1'!C52+'Tabell 5.1'!C66+'Tabell 5.1'!C78+'Tabell 5.1'!C90+'Tabell 5.1'!C102+'Tabell 5.2'!C16+'Tabell 5.2'!C28+'Tabell 5.2'!C40+'Tabell 5.2'!C52+'Tabell 5.2'!C88+'Tabell 5.2'!C100+'Tabell 5.2'!C126+'Tabell 5.2'!C138+C16+C28+'Tabell 5.2'!C64+'Tabell 5.2'!C76+'Tabell 5.2'!C112</f>
        <v>1.552</v>
      </c>
      <c r="D42" s="658">
        <f t="shared" si="27"/>
        <v>15.9</v>
      </c>
      <c r="E42" s="658">
        <f>'Tabell 5.1'!E16+'Tabell 5.1'!E28+'Tabell 5.1'!E40+'Tabell 5.1'!E52+'Tabell 5.1'!E66+'Tabell 5.1'!E78+'Tabell 5.1'!E90+'Tabell 5.1'!E102+'Tabell 5.2'!E16+'Tabell 5.2'!E28+'Tabell 5.2'!E40+'Tabell 5.2'!E52+'Tabell 5.2'!E88+'Tabell 5.2'!E100+'Tabell 5.2'!E126+'Tabell 5.2'!E138+E16+E28+'Tabell 5.2'!E64+'Tabell 5.2'!E76+'Tabell 5.2'!E112</f>
        <v>2</v>
      </c>
      <c r="F42" s="658">
        <f>'Tabell 5.1'!F16+'Tabell 5.1'!F28+'Tabell 5.1'!F40+'Tabell 5.1'!F52+'Tabell 5.1'!F66+'Tabell 5.1'!F78+'Tabell 5.1'!F90+'Tabell 5.1'!F102+'Tabell 5.2'!F16+'Tabell 5.2'!F28+'Tabell 5.2'!F40+'Tabell 5.2'!F52+'Tabell 5.2'!F88+'Tabell 5.2'!F100+'Tabell 5.2'!F126+'Tabell 5.2'!F138+F16+F28+'Tabell 5.2'!F64+'Tabell 5.2'!F76+'Tabell 5.2'!F112</f>
        <v>2</v>
      </c>
      <c r="G42" s="658">
        <f t="shared" si="28"/>
        <v>0</v>
      </c>
      <c r="H42" s="658">
        <f>'Tabell 5.1'!H16+'Tabell 5.1'!H28+'Tabell 5.1'!H40+'Tabell 5.1'!H52+'Tabell 5.1'!H66+'Tabell 5.1'!H78+'Tabell 5.1'!H90+'Tabell 5.1'!H102+'Tabell 5.2'!H16+'Tabell 5.2'!H28+'Tabell 5.2'!H40+'Tabell 5.2'!H52+'Tabell 5.2'!H88+'Tabell 5.2'!H100+'Tabell 5.2'!H126+'Tabell 5.2'!H138+H16+H28+'Tabell 5.2'!H64+'Tabell 5.2'!H76+'Tabell 5.2'!H112</f>
        <v>178.55399999999997</v>
      </c>
      <c r="I42" s="658">
        <f>'Tabell 5.1'!I16+'Tabell 5.1'!I28+'Tabell 5.1'!I40+'Tabell 5.1'!I52+'Tabell 5.1'!I66+'Tabell 5.1'!I78+'Tabell 5.1'!I90+'Tabell 5.1'!I102+'Tabell 5.2'!I16+'Tabell 5.2'!I28+'Tabell 5.2'!I40+'Tabell 5.2'!I52+'Tabell 5.2'!I88+'Tabell 5.2'!I100+'Tabell 5.2'!I126+'Tabell 5.2'!I138+I16+I28+'Tabell 5.2'!I64+'Tabell 5.2'!I76+'Tabell 5.2'!I112</f>
        <v>161.19999999999999</v>
      </c>
      <c r="J42" s="658">
        <f t="shared" si="29"/>
        <v>-9.6999999999999993</v>
      </c>
      <c r="K42" s="658"/>
      <c r="L42" s="658">
        <f>'Tabell 5.1'!L16+'Tabell 5.1'!L28+'Tabell 5.1'!L40+'Tabell 5.1'!L52+'Tabell 5.1'!L66+'Tabell 5.1'!L78+'Tabell 5.1'!L90+'Tabell 5.1'!L102+'Tabell 5.2'!L16+'Tabell 5.2'!L28+'Tabell 5.2'!L40+'Tabell 5.2'!L52+'Tabell 5.2'!L88+'Tabell 5.2'!L100+'Tabell 5.2'!L126+'Tabell 5.2'!L138+L16+L28+'Tabell 5.2'!L64+'Tabell 5.2'!L76+'Tabell 5.2'!L112</f>
        <v>0</v>
      </c>
      <c r="M42" s="658" t="str">
        <f t="shared" si="30"/>
        <v xml:space="preserve">    ---- </v>
      </c>
      <c r="N42" s="658">
        <f>'Tabell 5.1'!N16+'Tabell 5.1'!N28+'Tabell 5.1'!N40+'Tabell 5.1'!N52+'Tabell 5.1'!N66+'Tabell 5.1'!N78+'Tabell 5.1'!N90+'Tabell 5.1'!N102+'Tabell 5.2'!N16+'Tabell 5.2'!N28+'Tabell 5.2'!N40+'Tabell 5.2'!N52+'Tabell 5.2'!N88+'Tabell 5.2'!N100+'Tabell 5.2'!N126+'Tabell 5.2'!N138+N16+N28+'Tabell 5.2'!N64+'Tabell 5.2'!N76+'Tabell 5.2'!N112</f>
        <v>0</v>
      </c>
      <c r="O42" s="658">
        <f>'Tabell 5.1'!O16+'Tabell 5.1'!O28+'Tabell 5.1'!O40+'Tabell 5.1'!O52+'Tabell 5.1'!O66+'Tabell 5.1'!O78+'Tabell 5.1'!O90+'Tabell 5.1'!O102+'Tabell 5.2'!O16+'Tabell 5.2'!O28+'Tabell 5.2'!O40+'Tabell 5.2'!O52+'Tabell 5.2'!O88+'Tabell 5.2'!O100+'Tabell 5.2'!O126+'Tabell 5.2'!O138+O16+O28+'Tabell 5.2'!O64+'Tabell 5.2'!O76+'Tabell 5.2'!O112</f>
        <v>0</v>
      </c>
      <c r="P42" s="658" t="str">
        <f t="shared" si="31"/>
        <v xml:space="preserve">    ---- </v>
      </c>
      <c r="Q42" s="658">
        <f>'Tabell 5.1'!Q16+'Tabell 5.1'!Q28+'Tabell 5.1'!Q40+'Tabell 5.1'!Q52+'Tabell 5.1'!Q66+'Tabell 5.1'!Q78+'Tabell 5.1'!Q90+'Tabell 5.1'!Q102+'Tabell 5.2'!Q16+'Tabell 5.2'!Q28+'Tabell 5.2'!Q40+'Tabell 5.2'!Q52+'Tabell 5.2'!Q88+'Tabell 5.2'!Q100+'Tabell 5.2'!Q126+'Tabell 5.2'!Q138+Q16+Q28+'Tabell 5.2'!Q64+'Tabell 5.2'!Q76+'Tabell 5.2'!Q112</f>
        <v>4.5</v>
      </c>
      <c r="R42" s="658">
        <f>'Tabell 5.1'!R16+'Tabell 5.1'!R28+'Tabell 5.1'!R40+'Tabell 5.1'!R52+'Tabell 5.1'!R66+'Tabell 5.1'!R78+'Tabell 5.1'!R90+'Tabell 5.1'!R102+'Tabell 5.2'!R16+'Tabell 5.2'!R28+'Tabell 5.2'!R40+'Tabell 5.2'!R52+'Tabell 5.2'!R88+'Tabell 5.2'!R100+'Tabell 5.2'!R126+'Tabell 5.2'!R138+R16+R28+'Tabell 5.2'!R64+'Tabell 5.2'!R76+'Tabell 5.2'!R112</f>
        <v>5.5</v>
      </c>
      <c r="S42" s="658">
        <f t="shared" si="32"/>
        <v>22.2</v>
      </c>
      <c r="T42" s="658">
        <f>'Tabell 5.1'!T16+'Tabell 5.1'!T28+'Tabell 5.1'!T40+'Tabell 5.1'!T52+'Tabell 5.1'!T66+'Tabell 5.1'!T78+'Tabell 5.1'!T90+'Tabell 5.1'!T102+'Tabell 5.2'!T16+'Tabell 5.2'!T28+'Tabell 5.2'!T40+'Tabell 5.2'!T52+'Tabell 5.2'!T88+'Tabell 5.2'!T100+'Tabell 5.2'!T126+'Tabell 5.2'!T138+T16+T28+'Tabell 5.2'!T64+'Tabell 5.2'!T76+'Tabell 5.2'!T112</f>
        <v>0</v>
      </c>
      <c r="U42" s="658">
        <f>'Tabell 5.1'!U16+'Tabell 5.1'!U28+'Tabell 5.1'!U40+'Tabell 5.1'!U52+'Tabell 5.1'!U66+'Tabell 5.1'!U78+'Tabell 5.1'!U90+'Tabell 5.1'!U102+'Tabell 5.2'!U16+'Tabell 5.2'!U28+'Tabell 5.2'!U40+'Tabell 5.2'!U52+'Tabell 5.2'!U88+'Tabell 5.2'!U100+'Tabell 5.2'!U126+'Tabell 5.2'!U138+U16+U28+'Tabell 5.2'!U64+'Tabell 5.2'!U76+'Tabell 5.2'!U112</f>
        <v>0</v>
      </c>
      <c r="V42" s="658" t="str">
        <f t="shared" si="33"/>
        <v xml:space="preserve">    ---- </v>
      </c>
      <c r="W42" s="658">
        <f>'Tabell 5.1'!W16+'Tabell 5.1'!W28+'Tabell 5.1'!W40+'Tabell 5.1'!W52+'Tabell 5.1'!W66+'Tabell 5.1'!W78+'Tabell 5.1'!W90+'Tabell 5.1'!W102+'Tabell 5.2'!W16+'Tabell 5.2'!W28+'Tabell 5.2'!W40+'Tabell 5.2'!W52+'Tabell 5.2'!W88+'Tabell 5.2'!W100+'Tabell 5.2'!W126+'Tabell 5.2'!W138+W16+W28+'Tabell 5.2'!W64+'Tabell 5.2'!W76+'Tabell 5.2'!W112</f>
        <v>476.27288700000003</v>
      </c>
      <c r="X42" s="658">
        <f>'Tabell 5.1'!X16+'Tabell 5.1'!X28+'Tabell 5.1'!X40+'Tabell 5.1'!X52+'Tabell 5.1'!X66+'Tabell 5.1'!X78+'Tabell 5.1'!X90+'Tabell 5.1'!X102+'Tabell 5.2'!X16+'Tabell 5.2'!X28+'Tabell 5.2'!X40+'Tabell 5.2'!X52+'Tabell 5.2'!X88+'Tabell 5.2'!X100+'Tabell 5.2'!X126+'Tabell 5.2'!X138+X16+X28+'Tabell 5.2'!X64+'Tabell 5.2'!X76+'Tabell 5.2'!X112</f>
        <v>494.42402499999997</v>
      </c>
      <c r="Y42" s="658">
        <f t="shared" si="34"/>
        <v>3.8</v>
      </c>
      <c r="Z42" s="658">
        <f>'Tabell 5.1'!Z16+'Tabell 5.1'!Z28+'Tabell 5.1'!Z40+'Tabell 5.1'!Z52+'Tabell 5.1'!Z66+'Tabell 5.1'!Z78+'Tabell 5.1'!Z90+'Tabell 5.1'!Z102+'Tabell 5.2'!Z16+'Tabell 5.2'!Z28+'Tabell 5.2'!Z40+'Tabell 5.2'!Z52+'Tabell 5.2'!Z88+'Tabell 5.2'!Z100+'Tabell 5.2'!Z126+'Tabell 5.2'!Z138+Z16+Z28+'Tabell 5.2'!Z64+'Tabell 5.2'!Z76+'Tabell 5.2'!Z112</f>
        <v>87.972115083333321</v>
      </c>
      <c r="AA42" s="658">
        <f>'Tabell 5.1'!AA16+'Tabell 5.1'!AA28+'Tabell 5.1'!AA40+'Tabell 5.1'!AA52+'Tabell 5.1'!AA66+'Tabell 5.1'!AA78+'Tabell 5.1'!AA90+'Tabell 5.1'!AA102+'Tabell 5.2'!AA16+'Tabell 5.2'!AA28+'Tabell 5.2'!AA40+'Tabell 5.2'!AA52+'Tabell 5.2'!AA88+'Tabell 5.2'!AA100+'Tabell 5.2'!AA126+'Tabell 5.2'!AA138+AA16+AA28+'Tabell 5.2'!AA64+'Tabell 5.2'!AA76+'Tabell 5.2'!AA112</f>
        <v>69.78</v>
      </c>
      <c r="AB42" s="658">
        <f t="shared" si="35"/>
        <v>-20.7</v>
      </c>
      <c r="AC42" s="658">
        <f>'Tabell 5.1'!AC16+'Tabell 5.1'!AC28+'Tabell 5.1'!AC40+'Tabell 5.1'!AC52+'Tabell 5.1'!AC66+'Tabell 5.1'!AC78+'Tabell 5.1'!AC90+'Tabell 5.1'!AC102+'Tabell 5.2'!AC16+'Tabell 5.2'!AC28+'Tabell 5.2'!AC40+'Tabell 5.2'!AC52+'Tabell 5.2'!AC88+'Tabell 5.2'!AC100+'Tabell 5.2'!AC126+'Tabell 5.2'!AC138+AC16+AC28+'Tabell 5.2'!AC64+'Tabell 5.2'!AC76+'Tabell 5.2'!AC112</f>
        <v>306</v>
      </c>
      <c r="AD42" s="658">
        <f>'Tabell 5.1'!AD16+'Tabell 5.1'!AD28+'Tabell 5.1'!AD40+'Tabell 5.1'!AD52+'Tabell 5.1'!AD66+'Tabell 5.1'!AD78+'Tabell 5.1'!AD90+'Tabell 5.1'!AD102+'Tabell 5.2'!AD16+'Tabell 5.2'!AD28+'Tabell 5.2'!AD40+'Tabell 5.2'!AD52+'Tabell 5.2'!AD88+'Tabell 5.2'!AD100+'Tabell 5.2'!AD126+'Tabell 5.2'!AD138+AD16+AD28+'Tabell 5.2'!AD64+'Tabell 5.2'!AD76+'Tabell 5.2'!AD112</f>
        <v>340</v>
      </c>
      <c r="AE42" s="658">
        <f t="shared" si="36"/>
        <v>11.1</v>
      </c>
      <c r="AF42" s="909">
        <f>'[2]Tabell 5.1'!AF16+'[2]Tabell 5.1'!AF28+'[2]Tabell 5.1'!AF40+'[2]Tabell 5.1'!AF52+'[2]Tabell 5.1'!AF66+'[2]Tabell 5.1'!AF78+'[2]Tabell 5.1'!AF90+'[2]Tabell 5.1'!AF102+'[2]Tabell 5.2'!AF16+'[2]Tabell 5.2'!AF28+'[2]Tabell 5.2'!AF40+'[2]Tabell 5.2'!AF52+'[2]Tabell 5.2'!AF88+'[2]Tabell 5.2'!AF100+'[2]Tabell 5.2'!AF126+'[2]Tabell 5.2'!AF138+AF16+AF28+'[2]Tabell 5.2'!AF64+'[2]Tabell 5.2'!AF76+'[2]Tabell 5.2'!AF112</f>
        <v>0</v>
      </c>
      <c r="AG42" s="910">
        <f>'[2]Tabell 5.1'!AG16+'[2]Tabell 5.1'!AG28+'[2]Tabell 5.1'!AG40+'[2]Tabell 5.1'!AG52+'[2]Tabell 5.1'!AG66+'[2]Tabell 5.1'!AG78+'[2]Tabell 5.1'!AG90+'[2]Tabell 5.1'!AG102+'[2]Tabell 5.2'!AG16+'[2]Tabell 5.2'!AG28+'[2]Tabell 5.2'!AG40+'[2]Tabell 5.2'!AG52+'[2]Tabell 5.2'!AG88+'[2]Tabell 5.2'!AG100+'[2]Tabell 5.2'!AG126+'[2]Tabell 5.2'!AG138+AG16+AG28+'[2]Tabell 5.2'!AG64+'[2]Tabell 5.2'!AG76+'[2]Tabell 5.2'!AG112</f>
        <v>0</v>
      </c>
      <c r="AH42" s="658" t="str">
        <f t="shared" si="37"/>
        <v xml:space="preserve">    ---- </v>
      </c>
      <c r="AI42" s="658">
        <f>'Tabell 5.1'!AI16+'Tabell 5.1'!AI28+'Tabell 5.1'!AI40+'Tabell 5.1'!AI52+'Tabell 5.1'!AI66+'Tabell 5.1'!AI78+'Tabell 5.1'!AI90+'Tabell 5.1'!AI102+'Tabell 5.2'!AI16+'Tabell 5.2'!AI28+'Tabell 5.2'!AI40+'Tabell 5.2'!AI52+'Tabell 5.2'!AI88+'Tabell 5.2'!AI100+'Tabell 5.2'!AI126+'Tabell 5.2'!AI138+AI16+AI28+'Tabell 5.2'!AI64+'Tabell 5.2'!AI76+'Tabell 5.2'!AI112</f>
        <v>23</v>
      </c>
      <c r="AJ42" s="658">
        <f>'Tabell 5.1'!AJ16+'Tabell 5.1'!AJ28+'Tabell 5.1'!AJ40+'Tabell 5.1'!AJ52+'Tabell 5.1'!AJ66+'Tabell 5.1'!AJ78+'Tabell 5.1'!AJ90+'Tabell 5.1'!AJ102+'Tabell 5.2'!AJ16+'Tabell 5.2'!AJ28+'Tabell 5.2'!AJ40+'Tabell 5.2'!AJ52+'Tabell 5.2'!AJ88+'Tabell 5.2'!AJ100+'Tabell 5.2'!AJ126+'Tabell 5.2'!AJ138+AJ16+AJ28+'Tabell 5.2'!AJ64+'Tabell 5.2'!AJ76+'Tabell 5.2'!AJ112</f>
        <v>23</v>
      </c>
      <c r="AK42" s="658">
        <f t="shared" si="38"/>
        <v>0</v>
      </c>
      <c r="AL42" s="909">
        <v>265</v>
      </c>
      <c r="AM42" s="658">
        <f>'Tabell 5.1'!AM16+'Tabell 5.1'!AM28+'Tabell 5.1'!AM40+'Tabell 5.1'!AM52+'Tabell 5.1'!AM66+'Tabell 5.1'!AM78+'Tabell 5.1'!AM90+'Tabell 5.1'!AM102+'Tabell 5.2'!AM16+'Tabell 5.2'!AM28+'Tabell 5.2'!AM40+'Tabell 5.2'!AM52+'Tabell 5.2'!AM88+'Tabell 5.2'!AM100+'Tabell 5.2'!AM126+'Tabell 5.2'!AM138+AM16+AM28+'Tabell 5.2'!AM64+'Tabell 5.2'!AM76+'Tabell 5.2'!AM112</f>
        <v>222.7</v>
      </c>
      <c r="AN42" s="658">
        <f t="shared" si="39"/>
        <v>-16</v>
      </c>
      <c r="AO42" s="658">
        <f t="shared" si="40"/>
        <v>1344.6380020833333</v>
      </c>
      <c r="AP42" s="658">
        <f t="shared" si="41"/>
        <v>1320.156025</v>
      </c>
      <c r="AQ42" s="658">
        <f t="shared" si="42"/>
        <v>-1.8</v>
      </c>
      <c r="AR42" s="616">
        <f t="shared" si="43"/>
        <v>1344.6380020833333</v>
      </c>
      <c r="AS42" s="616">
        <f t="shared" si="44"/>
        <v>1320.156025</v>
      </c>
      <c r="AT42" s="659">
        <f t="shared" si="45"/>
        <v>-1.8</v>
      </c>
      <c r="AU42" s="694"/>
      <c r="AV42" s="641"/>
      <c r="AW42" s="636"/>
      <c r="AX42" s="636"/>
    </row>
    <row r="43" spans="1:50" s="660" customFormat="1" ht="18.75" customHeight="1" x14ac:dyDescent="0.3">
      <c r="A43" s="608" t="s">
        <v>371</v>
      </c>
      <c r="B43" s="658">
        <f>'Tabell 5.1'!B17+'Tabell 5.1'!B29+'Tabell 5.1'!B41+'Tabell 5.1'!B53+'Tabell 5.1'!B67+'Tabell 5.1'!B79+'Tabell 5.1'!B91+'Tabell 5.1'!B103+'Tabell 5.2'!B17+'Tabell 5.2'!B29+'Tabell 5.2'!B41+'Tabell 5.2'!B53+'Tabell 5.2'!B89+'Tabell 5.2'!B101+'Tabell 5.2'!B127+'Tabell 5.2'!B139+B17+B29+'Tabell 5.2'!B65+'Tabell 5.2'!B77+'Tabell 5.2'!B113</f>
        <v>130.584</v>
      </c>
      <c r="C43" s="658">
        <f>'Tabell 5.1'!C17+'Tabell 5.1'!C29+'Tabell 5.1'!C41+'Tabell 5.1'!C53+'Tabell 5.1'!C67+'Tabell 5.1'!C79+'Tabell 5.1'!C91+'Tabell 5.1'!C103+'Tabell 5.2'!C17+'Tabell 5.2'!C29+'Tabell 5.2'!C41+'Tabell 5.2'!C53+'Tabell 5.2'!C89+'Tabell 5.2'!C101+'Tabell 5.2'!C127+'Tabell 5.2'!C139+C17+C29+'Tabell 5.2'!C65+'Tabell 5.2'!C77+'Tabell 5.2'!C113</f>
        <v>103.58800000000001</v>
      </c>
      <c r="D43" s="658">
        <f t="shared" si="27"/>
        <v>-20.7</v>
      </c>
      <c r="E43" s="658">
        <f>'Tabell 5.1'!E17+'Tabell 5.1'!E29+'Tabell 5.1'!E41+'Tabell 5.1'!E53+'Tabell 5.1'!E67+'Tabell 5.1'!E79+'Tabell 5.1'!E91+'Tabell 5.1'!E103+'Tabell 5.2'!E17+'Tabell 5.2'!E29+'Tabell 5.2'!E41+'Tabell 5.2'!E53+'Tabell 5.2'!E89+'Tabell 5.2'!E101+'Tabell 5.2'!E127+'Tabell 5.2'!E139+E17+E29+'Tabell 5.2'!E65+'Tabell 5.2'!E77+'Tabell 5.2'!E113</f>
        <v>8</v>
      </c>
      <c r="F43" s="658">
        <f>'Tabell 5.1'!F17+'Tabell 5.1'!F29+'Tabell 5.1'!F41+'Tabell 5.1'!F53+'Tabell 5.1'!F67+'Tabell 5.1'!F79+'Tabell 5.1'!F91+'Tabell 5.1'!F103+'Tabell 5.2'!F17+'Tabell 5.2'!F29+'Tabell 5.2'!F41+'Tabell 5.2'!F53+'Tabell 5.2'!F89+'Tabell 5.2'!F101+'Tabell 5.2'!F127+'Tabell 5.2'!F139+F17+F29+'Tabell 5.2'!F65+'Tabell 5.2'!F77+'Tabell 5.2'!F113</f>
        <v>-19</v>
      </c>
      <c r="G43" s="658">
        <f t="shared" si="28"/>
        <v>-337.5</v>
      </c>
      <c r="H43" s="658">
        <f>'Tabell 5.1'!H17+'Tabell 5.1'!H29+'Tabell 5.1'!H41+'Tabell 5.1'!H53+'Tabell 5.1'!H67+'Tabell 5.1'!H79+'Tabell 5.1'!H91+'Tabell 5.1'!H103+'Tabell 5.2'!H17+'Tabell 5.2'!H29+'Tabell 5.2'!H41+'Tabell 5.2'!H53+'Tabell 5.2'!H89+'Tabell 5.2'!H101+'Tabell 5.2'!H127+'Tabell 5.2'!H139+H17+H29+'Tabell 5.2'!H65+'Tabell 5.2'!H77+'Tabell 5.2'!H113</f>
        <v>432.57900000000006</v>
      </c>
      <c r="I43" s="658">
        <f>'Tabell 5.1'!I17+'Tabell 5.1'!I29+'Tabell 5.1'!I41+'Tabell 5.1'!I53+'Tabell 5.1'!I67+'Tabell 5.1'!I79+'Tabell 5.1'!I91+'Tabell 5.1'!I103+'Tabell 5.2'!I17+'Tabell 5.2'!I29+'Tabell 5.2'!I41+'Tabell 5.2'!I53+'Tabell 5.2'!I89+'Tabell 5.2'!I101+'Tabell 5.2'!I127+'Tabell 5.2'!I139+I17+I29+'Tabell 5.2'!I65+'Tabell 5.2'!I77+'Tabell 5.2'!I113</f>
        <v>240.5</v>
      </c>
      <c r="J43" s="658">
        <f t="shared" si="29"/>
        <v>-44.4</v>
      </c>
      <c r="K43" s="658"/>
      <c r="L43" s="658">
        <f>'Tabell 5.1'!L17+'Tabell 5.1'!L29+'Tabell 5.1'!L41+'Tabell 5.1'!L53+'Tabell 5.1'!L67+'Tabell 5.1'!L79+'Tabell 5.1'!L91+'Tabell 5.1'!L103+'Tabell 5.2'!L17+'Tabell 5.2'!L29+'Tabell 5.2'!L41+'Tabell 5.2'!L53+'Tabell 5.2'!L89+'Tabell 5.2'!L101+'Tabell 5.2'!L127+'Tabell 5.2'!L139+L17+L29+'Tabell 5.2'!L65+'Tabell 5.2'!L77+'Tabell 5.2'!L113</f>
        <v>305</v>
      </c>
      <c r="M43" s="658" t="str">
        <f t="shared" si="30"/>
        <v xml:space="preserve">    ---- </v>
      </c>
      <c r="N43" s="658">
        <f>'Tabell 5.1'!N17+'Tabell 5.1'!N29+'Tabell 5.1'!N41+'Tabell 5.1'!N53+'Tabell 5.1'!N67+'Tabell 5.1'!N79+'Tabell 5.1'!N91+'Tabell 5.1'!N103+'Tabell 5.2'!N17+'Tabell 5.2'!N29+'Tabell 5.2'!N41+'Tabell 5.2'!N53+'Tabell 5.2'!N89+'Tabell 5.2'!N101+'Tabell 5.2'!N127+'Tabell 5.2'!N139+N17+N29+'Tabell 5.2'!N65+'Tabell 5.2'!N77+'Tabell 5.2'!N113</f>
        <v>138.012</v>
      </c>
      <c r="O43" s="658">
        <f>'Tabell 5.1'!O17+'Tabell 5.1'!O29+'Tabell 5.1'!O41+'Tabell 5.1'!O53+'Tabell 5.1'!O67+'Tabell 5.1'!O79+'Tabell 5.1'!O91+'Tabell 5.1'!O103+'Tabell 5.2'!O17+'Tabell 5.2'!O29+'Tabell 5.2'!O41+'Tabell 5.2'!O53+'Tabell 5.2'!O89+'Tabell 5.2'!O101+'Tabell 5.2'!O127+'Tabell 5.2'!O139+O17+O29+'Tabell 5.2'!O65+'Tabell 5.2'!O77+'Tabell 5.2'!O113</f>
        <v>130.09100000000001</v>
      </c>
      <c r="P43" s="658">
        <f t="shared" si="31"/>
        <v>-5.7</v>
      </c>
      <c r="Q43" s="658">
        <f>'Tabell 5.1'!Q17+'Tabell 5.1'!Q29+'Tabell 5.1'!Q41+'Tabell 5.1'!Q53+'Tabell 5.1'!Q67+'Tabell 5.1'!Q79+'Tabell 5.1'!Q91+'Tabell 5.1'!Q103+'Tabell 5.2'!Q17+'Tabell 5.2'!Q29+'Tabell 5.2'!Q41+'Tabell 5.2'!Q53+'Tabell 5.2'!Q89+'Tabell 5.2'!Q101+'Tabell 5.2'!Q127+'Tabell 5.2'!Q139+Q17+Q29+'Tabell 5.2'!Q65+'Tabell 5.2'!Q77+'Tabell 5.2'!Q113</f>
        <v>54.6</v>
      </c>
      <c r="R43" s="658">
        <f>'Tabell 5.1'!R17+'Tabell 5.1'!R29+'Tabell 5.1'!R41+'Tabell 5.1'!R53+'Tabell 5.1'!R67+'Tabell 5.1'!R79+'Tabell 5.1'!R91+'Tabell 5.1'!R103+'Tabell 5.2'!R17+'Tabell 5.2'!R29+'Tabell 5.2'!R41+'Tabell 5.2'!R53+'Tabell 5.2'!R89+'Tabell 5.2'!R101+'Tabell 5.2'!R127+'Tabell 5.2'!R139+R17+R29+'Tabell 5.2'!R65+'Tabell 5.2'!R77+'Tabell 5.2'!R113</f>
        <v>-4.5999999999999996</v>
      </c>
      <c r="S43" s="658">
        <f t="shared" si="32"/>
        <v>-108.4</v>
      </c>
      <c r="T43" s="658">
        <f>'Tabell 5.1'!T17+'Tabell 5.1'!T29+'Tabell 5.1'!T41+'Tabell 5.1'!T53+'Tabell 5.1'!T67+'Tabell 5.1'!T79+'Tabell 5.1'!T91+'Tabell 5.1'!T103+'Tabell 5.2'!T17+'Tabell 5.2'!T29+'Tabell 5.2'!T41+'Tabell 5.2'!T53+'Tabell 5.2'!T89+'Tabell 5.2'!T101+'Tabell 5.2'!T127+'Tabell 5.2'!T139+T17+T29+'Tabell 5.2'!T65+'Tabell 5.2'!T77+'Tabell 5.2'!T113</f>
        <v>-0.79258959999999989</v>
      </c>
      <c r="U43" s="658">
        <f>'Tabell 5.1'!U17+'Tabell 5.1'!U29+'Tabell 5.1'!U41+'Tabell 5.1'!U53+'Tabell 5.1'!U67+'Tabell 5.1'!U79+'Tabell 5.1'!U91+'Tabell 5.1'!U103+'Tabell 5.2'!U17+'Tabell 5.2'!U29+'Tabell 5.2'!U41+'Tabell 5.2'!U53+'Tabell 5.2'!U89+'Tabell 5.2'!U101+'Tabell 5.2'!U127+'Tabell 5.2'!U139+U17+U29+'Tabell 5.2'!U65+'Tabell 5.2'!U77+'Tabell 5.2'!U113</f>
        <v>9.2454504899999996</v>
      </c>
      <c r="V43" s="658">
        <f t="shared" si="33"/>
        <v>-999</v>
      </c>
      <c r="W43" s="658">
        <f>'Tabell 5.1'!W17+'Tabell 5.1'!W29+'Tabell 5.1'!W41+'Tabell 5.1'!W53+'Tabell 5.1'!W67+'Tabell 5.1'!W79+'Tabell 5.1'!W91+'Tabell 5.1'!W103+'Tabell 5.2'!W17+'Tabell 5.2'!W29+'Tabell 5.2'!W41+'Tabell 5.2'!W53+'Tabell 5.2'!W89+'Tabell 5.2'!W101+'Tabell 5.2'!W127+'Tabell 5.2'!W139+W17+W29+'Tabell 5.2'!W65+'Tabell 5.2'!W77+'Tabell 5.2'!W113</f>
        <v>1031.492685925688</v>
      </c>
      <c r="X43" s="658">
        <f>'Tabell 5.1'!X17+'Tabell 5.1'!X29+'Tabell 5.1'!X41+'Tabell 5.1'!X53+'Tabell 5.1'!X67+'Tabell 5.1'!X79+'Tabell 5.1'!X91+'Tabell 5.1'!X103+'Tabell 5.2'!X17+'Tabell 5.2'!X29+'Tabell 5.2'!X41+'Tabell 5.2'!X53+'Tabell 5.2'!X89+'Tabell 5.2'!X101+'Tabell 5.2'!X127+'Tabell 5.2'!X139+X17+X29+'Tabell 5.2'!X65+'Tabell 5.2'!X77+'Tabell 5.2'!X113</f>
        <v>-397.04831133238844</v>
      </c>
      <c r="Y43" s="658">
        <f t="shared" si="34"/>
        <v>-138.5</v>
      </c>
      <c r="Z43" s="658">
        <f>'Tabell 5.1'!Z17+'Tabell 5.1'!Z29+'Tabell 5.1'!Z41+'Tabell 5.1'!Z53+'Tabell 5.1'!Z67+'Tabell 5.1'!Z79+'Tabell 5.1'!Z91+'Tabell 5.1'!Z103+'Tabell 5.2'!Z17+'Tabell 5.2'!Z29+'Tabell 5.2'!Z41+'Tabell 5.2'!Z53+'Tabell 5.2'!Z89+'Tabell 5.2'!Z101+'Tabell 5.2'!Z127+'Tabell 5.2'!Z139+Z17+Z29+'Tabell 5.2'!Z65+'Tabell 5.2'!Z77+'Tabell 5.2'!Z113</f>
        <v>287.29351942545674</v>
      </c>
      <c r="AA43" s="658">
        <f>'Tabell 5.1'!AA17+'Tabell 5.1'!AA29+'Tabell 5.1'!AA41+'Tabell 5.1'!AA53+'Tabell 5.1'!AA67+'Tabell 5.1'!AA79+'Tabell 5.1'!AA91+'Tabell 5.1'!AA103+'Tabell 5.2'!AA17+'Tabell 5.2'!AA29+'Tabell 5.2'!AA41+'Tabell 5.2'!AA53+'Tabell 5.2'!AA89+'Tabell 5.2'!AA101+'Tabell 5.2'!AA127+'Tabell 5.2'!AA139+AA17+AA29+'Tabell 5.2'!AA65+'Tabell 5.2'!AA77+'Tabell 5.2'!AA113</f>
        <v>178.75</v>
      </c>
      <c r="AB43" s="658">
        <f t="shared" si="35"/>
        <v>-37.799999999999997</v>
      </c>
      <c r="AC43" s="658">
        <f>'Tabell 5.1'!AC17+'Tabell 5.1'!AC29+'Tabell 5.1'!AC41+'Tabell 5.1'!AC53+'Tabell 5.1'!AC67+'Tabell 5.1'!AC79+'Tabell 5.1'!AC91+'Tabell 5.1'!AC103+'Tabell 5.2'!AC17+'Tabell 5.2'!AC29+'Tabell 5.2'!AC41+'Tabell 5.2'!AC53+'Tabell 5.2'!AC89+'Tabell 5.2'!AC101+'Tabell 5.2'!AC127+'Tabell 5.2'!AC139+AC17+AC29+'Tabell 5.2'!AC65+'Tabell 5.2'!AC77+'Tabell 5.2'!AC113</f>
        <v>309</v>
      </c>
      <c r="AD43" s="658">
        <f>'Tabell 5.1'!AD17+'Tabell 5.1'!AD29+'Tabell 5.1'!AD41+'Tabell 5.1'!AD53+'Tabell 5.1'!AD67+'Tabell 5.1'!AD79+'Tabell 5.1'!AD91+'Tabell 5.1'!AD103+'Tabell 5.2'!AD17+'Tabell 5.2'!AD29+'Tabell 5.2'!AD41+'Tabell 5.2'!AD53+'Tabell 5.2'!AD89+'Tabell 5.2'!AD101+'Tabell 5.2'!AD127+'Tabell 5.2'!AD139+AD17+AD29+'Tabell 5.2'!AD65+'Tabell 5.2'!AD77+'Tabell 5.2'!AD113</f>
        <v>130</v>
      </c>
      <c r="AE43" s="658">
        <f t="shared" si="36"/>
        <v>-57.9</v>
      </c>
      <c r="AF43" s="909">
        <f>'[2]Tabell 5.1'!AF17+'[2]Tabell 5.1'!AF29+'[2]Tabell 5.1'!AF41+'[2]Tabell 5.1'!AF53+'[2]Tabell 5.1'!AF67+'[2]Tabell 5.1'!AF79+'[2]Tabell 5.1'!AF91+'[2]Tabell 5.1'!AF103+'[2]Tabell 5.2'!AF17+'[2]Tabell 5.2'!AF29+'[2]Tabell 5.2'!AF41+'[2]Tabell 5.2'!AF53+'[2]Tabell 5.2'!AF89+'[2]Tabell 5.2'!AF101+'[2]Tabell 5.2'!AF127+'[2]Tabell 5.2'!AF139+AF17+AF29+'[2]Tabell 5.2'!AF65+'[2]Tabell 5.2'!AF77+'[2]Tabell 5.2'!AF113</f>
        <v>0</v>
      </c>
      <c r="AG43" s="910">
        <f>'[2]Tabell 5.1'!AG17+'[2]Tabell 5.1'!AG29+'[2]Tabell 5.1'!AG41+'[2]Tabell 5.1'!AG53+'[2]Tabell 5.1'!AG67+'[2]Tabell 5.1'!AG79+'[2]Tabell 5.1'!AG91+'[2]Tabell 5.1'!AG103+'[2]Tabell 5.2'!AG17+'[2]Tabell 5.2'!AG29+'[2]Tabell 5.2'!AG41+'[2]Tabell 5.2'!AG53+'[2]Tabell 5.2'!AG89+'[2]Tabell 5.2'!AG101+'[2]Tabell 5.2'!AG127+'[2]Tabell 5.2'!AG139+AG17+AG29+'[2]Tabell 5.2'!AG65+'[2]Tabell 5.2'!AG77+'[2]Tabell 5.2'!AG113</f>
        <v>0</v>
      </c>
      <c r="AH43" s="658" t="str">
        <f t="shared" si="37"/>
        <v xml:space="preserve">    ---- </v>
      </c>
      <c r="AI43" s="658">
        <f>'Tabell 5.1'!AI17+'Tabell 5.1'!AI29+'Tabell 5.1'!AI41+'Tabell 5.1'!AI53+'Tabell 5.1'!AI67+'Tabell 5.1'!AI79+'Tabell 5.1'!AI91+'Tabell 5.1'!AI103+'Tabell 5.2'!AI17+'Tabell 5.2'!AI29+'Tabell 5.2'!AI41+'Tabell 5.2'!AI53+'Tabell 5.2'!AI89+'Tabell 5.2'!AI101+'Tabell 5.2'!AI127+'Tabell 5.2'!AI139+AI17+AI29+'Tabell 5.2'!AI65+'Tabell 5.2'!AI77+'Tabell 5.2'!AI113</f>
        <v>507</v>
      </c>
      <c r="AJ43" s="658">
        <f>'Tabell 5.1'!AJ17+'Tabell 5.1'!AJ29+'Tabell 5.1'!AJ41+'Tabell 5.1'!AJ53+'Tabell 5.1'!AJ67+'Tabell 5.1'!AJ79+'Tabell 5.1'!AJ91+'Tabell 5.1'!AJ103+'Tabell 5.2'!AJ17+'Tabell 5.2'!AJ29+'Tabell 5.2'!AJ41+'Tabell 5.2'!AJ53+'Tabell 5.2'!AJ89+'Tabell 5.2'!AJ101+'Tabell 5.2'!AJ127+'Tabell 5.2'!AJ139+AJ17+AJ29+'Tabell 5.2'!AJ65+'Tabell 5.2'!AJ77+'Tabell 5.2'!AJ113</f>
        <v>70</v>
      </c>
      <c r="AK43" s="658">
        <f t="shared" si="38"/>
        <v>-86.2</v>
      </c>
      <c r="AL43" s="909">
        <v>724</v>
      </c>
      <c r="AM43" s="658">
        <f>'Tabell 5.1'!AM17+'Tabell 5.1'!AM29+'Tabell 5.1'!AM41+'Tabell 5.1'!AM53+'Tabell 5.1'!AM67+'Tabell 5.1'!AM79+'Tabell 5.1'!AM91+'Tabell 5.1'!AM103+'Tabell 5.2'!AM17+'Tabell 5.2'!AM29+'Tabell 5.2'!AM41+'Tabell 5.2'!AM53+'Tabell 5.2'!AM89+'Tabell 5.2'!AM101+'Tabell 5.2'!AM127+'Tabell 5.2'!AM139+AM17+AM29+'Tabell 5.2'!AM65+'Tabell 5.2'!AM77+'Tabell 5.2'!AM113</f>
        <v>152.69999999999999</v>
      </c>
      <c r="AN43" s="658">
        <f t="shared" si="39"/>
        <v>-78.900000000000006</v>
      </c>
      <c r="AO43" s="658">
        <f t="shared" si="40"/>
        <v>3622.561205351145</v>
      </c>
      <c r="AP43" s="658">
        <f t="shared" si="41"/>
        <v>889.9806886676115</v>
      </c>
      <c r="AQ43" s="658">
        <f t="shared" si="42"/>
        <v>-75.400000000000006</v>
      </c>
      <c r="AR43" s="616">
        <f t="shared" si="43"/>
        <v>3621.7686157511448</v>
      </c>
      <c r="AS43" s="616">
        <f t="shared" si="44"/>
        <v>899.22613915761167</v>
      </c>
      <c r="AT43" s="659">
        <f t="shared" si="45"/>
        <v>-75.2</v>
      </c>
      <c r="AU43" s="694"/>
      <c r="AV43" s="641"/>
      <c r="AW43" s="636"/>
      <c r="AX43" s="636"/>
    </row>
    <row r="44" spans="1:50" s="660" customFormat="1" ht="18.75" customHeight="1" x14ac:dyDescent="0.3">
      <c r="A44" s="608" t="s">
        <v>372</v>
      </c>
      <c r="B44" s="658">
        <f>'Tabell 5.1'!B18+'Tabell 5.1'!B30+'Tabell 5.1'!B42+'Tabell 5.1'!B54+'Tabell 5.1'!B68+'Tabell 5.1'!B80+'Tabell 5.1'!B92+'Tabell 5.1'!B104+'Tabell 5.2'!B18+'Tabell 5.2'!B30+'Tabell 5.2'!B42+'Tabell 5.2'!B54+'Tabell 5.2'!B90+'Tabell 5.2'!B102+'Tabell 5.2'!B128+'Tabell 5.2'!B140+B18+B30+'Tabell 5.2'!B66+'Tabell 5.2'!B78+'Tabell 5.2'!B114</f>
        <v>0</v>
      </c>
      <c r="C44" s="658">
        <f>'Tabell 5.1'!C18+'Tabell 5.1'!C30+'Tabell 5.1'!C42+'Tabell 5.1'!C54+'Tabell 5.1'!C68+'Tabell 5.1'!C80+'Tabell 5.1'!C92+'Tabell 5.1'!C104+'Tabell 5.2'!C18+'Tabell 5.2'!C30+'Tabell 5.2'!C42+'Tabell 5.2'!C54+'Tabell 5.2'!C90+'Tabell 5.2'!C102+'Tabell 5.2'!C128+'Tabell 5.2'!C140+C18+C30+'Tabell 5.2'!C66+'Tabell 5.2'!C78+'Tabell 5.2'!C114</f>
        <v>0</v>
      </c>
      <c r="D44" s="658" t="str">
        <f t="shared" si="27"/>
        <v xml:space="preserve">    ---- </v>
      </c>
      <c r="E44" s="658">
        <f>'Tabell 5.1'!E18+'Tabell 5.1'!E30+'Tabell 5.1'!E42+'Tabell 5.1'!E54+'Tabell 5.1'!E68+'Tabell 5.1'!E80+'Tabell 5.1'!E92+'Tabell 5.1'!E104+'Tabell 5.2'!E18+'Tabell 5.2'!E30+'Tabell 5.2'!E42+'Tabell 5.2'!E54+'Tabell 5.2'!E90+'Tabell 5.2'!E102+'Tabell 5.2'!E128+'Tabell 5.2'!E140+E18+E30+'Tabell 5.2'!E66+'Tabell 5.2'!E78+'Tabell 5.2'!E114</f>
        <v>-2</v>
      </c>
      <c r="F44" s="658">
        <f>'Tabell 5.1'!F18+'Tabell 5.1'!F30+'Tabell 5.1'!F42+'Tabell 5.1'!F54+'Tabell 5.1'!F68+'Tabell 5.1'!F80+'Tabell 5.1'!F92+'Tabell 5.1'!F104+'Tabell 5.2'!F18+'Tabell 5.2'!F30+'Tabell 5.2'!F42+'Tabell 5.2'!F54+'Tabell 5.2'!F90+'Tabell 5.2'!F102+'Tabell 5.2'!F128+'Tabell 5.2'!F140+F18+F30+'Tabell 5.2'!F66+'Tabell 5.2'!F78+'Tabell 5.2'!F114</f>
        <v>0</v>
      </c>
      <c r="G44" s="658">
        <f t="shared" si="28"/>
        <v>-100</v>
      </c>
      <c r="H44" s="658">
        <f>'Tabell 5.1'!H18+'Tabell 5.1'!H30+'Tabell 5.1'!H42+'Tabell 5.1'!H54+'Tabell 5.1'!H68+'Tabell 5.1'!H80+'Tabell 5.1'!H92+'Tabell 5.1'!H104+'Tabell 5.2'!H18+'Tabell 5.2'!H30+'Tabell 5.2'!H42+'Tabell 5.2'!H54+'Tabell 5.2'!H90+'Tabell 5.2'!H102+'Tabell 5.2'!H128+'Tabell 5.2'!H140+H18+H30+'Tabell 5.2'!H66+'Tabell 5.2'!H78+'Tabell 5.2'!H114</f>
        <v>0</v>
      </c>
      <c r="I44" s="658">
        <f>'Tabell 5.1'!I18+'Tabell 5.1'!I30+'Tabell 5.1'!I42+'Tabell 5.1'!I54+'Tabell 5.1'!I68+'Tabell 5.1'!I80+'Tabell 5.1'!I92+'Tabell 5.1'!I104+'Tabell 5.2'!I18+'Tabell 5.2'!I30+'Tabell 5.2'!I42+'Tabell 5.2'!I54+'Tabell 5.2'!I90+'Tabell 5.2'!I102+'Tabell 5.2'!I128+'Tabell 5.2'!I140+I18+I30+'Tabell 5.2'!I66+'Tabell 5.2'!I78+'Tabell 5.2'!I114</f>
        <v>0</v>
      </c>
      <c r="J44" s="658" t="str">
        <f t="shared" si="29"/>
        <v xml:space="preserve">    ---- </v>
      </c>
      <c r="K44" s="658"/>
      <c r="L44" s="658">
        <f>'Tabell 5.1'!L18+'Tabell 5.1'!L30+'Tabell 5.1'!L42+'Tabell 5.1'!L54+'Tabell 5.1'!L68+'Tabell 5.1'!L80+'Tabell 5.1'!L92+'Tabell 5.1'!L104+'Tabell 5.2'!L18+'Tabell 5.2'!L30+'Tabell 5.2'!L42+'Tabell 5.2'!L54+'Tabell 5.2'!L90+'Tabell 5.2'!L102+'Tabell 5.2'!L128+'Tabell 5.2'!L140+L18+L30+'Tabell 5.2'!L66+'Tabell 5.2'!L78+'Tabell 5.2'!L114</f>
        <v>0</v>
      </c>
      <c r="M44" s="658" t="str">
        <f t="shared" si="30"/>
        <v xml:space="preserve">    ---- </v>
      </c>
      <c r="N44" s="658">
        <f>'Tabell 5.1'!N18+'Tabell 5.1'!N30+'Tabell 5.1'!N42+'Tabell 5.1'!N54+'Tabell 5.1'!N68+'Tabell 5.1'!N80+'Tabell 5.1'!N92+'Tabell 5.1'!N104+'Tabell 5.2'!N18+'Tabell 5.2'!N30+'Tabell 5.2'!N42+'Tabell 5.2'!N54+'Tabell 5.2'!N90+'Tabell 5.2'!N102+'Tabell 5.2'!N128+'Tabell 5.2'!N140+N18+N30+'Tabell 5.2'!N66+'Tabell 5.2'!N78+'Tabell 5.2'!N114</f>
        <v>0</v>
      </c>
      <c r="O44" s="658">
        <f>'Tabell 5.1'!O18+'Tabell 5.1'!O30+'Tabell 5.1'!O42+'Tabell 5.1'!O54+'Tabell 5.1'!O68+'Tabell 5.1'!O80+'Tabell 5.1'!O92+'Tabell 5.1'!O104+'Tabell 5.2'!O18+'Tabell 5.2'!O30+'Tabell 5.2'!O42+'Tabell 5.2'!O54+'Tabell 5.2'!O90+'Tabell 5.2'!O102+'Tabell 5.2'!O128+'Tabell 5.2'!O140+O18+O30+'Tabell 5.2'!O66+'Tabell 5.2'!O78+'Tabell 5.2'!O114</f>
        <v>0</v>
      </c>
      <c r="P44" s="658" t="str">
        <f t="shared" si="31"/>
        <v xml:space="preserve">    ---- </v>
      </c>
      <c r="Q44" s="658">
        <f>'Tabell 5.1'!Q18+'Tabell 5.1'!Q30+'Tabell 5.1'!Q42+'Tabell 5.1'!Q54+'Tabell 5.1'!Q68+'Tabell 5.1'!Q80+'Tabell 5.1'!Q92+'Tabell 5.1'!Q104+'Tabell 5.2'!Q18+'Tabell 5.2'!Q30+'Tabell 5.2'!Q42+'Tabell 5.2'!Q54+'Tabell 5.2'!Q90+'Tabell 5.2'!Q102+'Tabell 5.2'!Q128+'Tabell 5.2'!Q140+Q18+Q30+'Tabell 5.2'!Q66+'Tabell 5.2'!Q78+'Tabell 5.2'!Q114</f>
        <v>22.7</v>
      </c>
      <c r="R44" s="658">
        <f>'Tabell 5.1'!R18+'Tabell 5.1'!R30+'Tabell 5.1'!R42+'Tabell 5.1'!R54+'Tabell 5.1'!R68+'Tabell 5.1'!R80+'Tabell 5.1'!R92+'Tabell 5.1'!R104+'Tabell 5.2'!R18+'Tabell 5.2'!R30+'Tabell 5.2'!R42+'Tabell 5.2'!R54+'Tabell 5.2'!R90+'Tabell 5.2'!R102+'Tabell 5.2'!R128+'Tabell 5.2'!R140+R18+R30+'Tabell 5.2'!R66+'Tabell 5.2'!R78+'Tabell 5.2'!R114</f>
        <v>-2</v>
      </c>
      <c r="S44" s="658">
        <f t="shared" si="32"/>
        <v>-108.8</v>
      </c>
      <c r="T44" s="658">
        <f>'Tabell 5.1'!T18+'Tabell 5.1'!T30+'Tabell 5.1'!T42+'Tabell 5.1'!T54+'Tabell 5.1'!T68+'Tabell 5.1'!T80+'Tabell 5.1'!T92+'Tabell 5.1'!T104+'Tabell 5.2'!T18+'Tabell 5.2'!T30+'Tabell 5.2'!T42+'Tabell 5.2'!T54+'Tabell 5.2'!T90+'Tabell 5.2'!T102+'Tabell 5.2'!T128+'Tabell 5.2'!T140+T18+T30+'Tabell 5.2'!T66+'Tabell 5.2'!T78+'Tabell 5.2'!T114</f>
        <v>0</v>
      </c>
      <c r="U44" s="658">
        <f>'Tabell 5.1'!U18+'Tabell 5.1'!U30+'Tabell 5.1'!U42+'Tabell 5.1'!U54+'Tabell 5.1'!U68+'Tabell 5.1'!U80+'Tabell 5.1'!U92+'Tabell 5.1'!U104+'Tabell 5.2'!U18+'Tabell 5.2'!U30+'Tabell 5.2'!U42+'Tabell 5.2'!U54+'Tabell 5.2'!U90+'Tabell 5.2'!U102+'Tabell 5.2'!U128+'Tabell 5.2'!U140+U18+U30+'Tabell 5.2'!U66+'Tabell 5.2'!U78+'Tabell 5.2'!U114</f>
        <v>0</v>
      </c>
      <c r="V44" s="658" t="str">
        <f t="shared" si="33"/>
        <v xml:space="preserve">    ---- </v>
      </c>
      <c r="W44" s="658">
        <f>'Tabell 5.1'!W18+'Tabell 5.1'!W30+'Tabell 5.1'!W42+'Tabell 5.1'!W54+'Tabell 5.1'!W68+'Tabell 5.1'!W80+'Tabell 5.1'!W92+'Tabell 5.1'!W104+'Tabell 5.2'!W18+'Tabell 5.2'!W30+'Tabell 5.2'!W42+'Tabell 5.2'!W54+'Tabell 5.2'!W90+'Tabell 5.2'!W102+'Tabell 5.2'!W128+'Tabell 5.2'!W140+W18+W30+'Tabell 5.2'!W66+'Tabell 5.2'!W78+'Tabell 5.2'!W114</f>
        <v>518.50259711856904</v>
      </c>
      <c r="X44" s="658">
        <f>'Tabell 5.1'!X18+'Tabell 5.1'!X30+'Tabell 5.1'!X42+'Tabell 5.1'!X54+'Tabell 5.1'!X68+'Tabell 5.1'!X80+'Tabell 5.1'!X92+'Tabell 5.1'!X104+'Tabell 5.2'!X18+'Tabell 5.2'!X30+'Tabell 5.2'!X42+'Tabell 5.2'!X54+'Tabell 5.2'!X90+'Tabell 5.2'!X102+'Tabell 5.2'!X128+'Tabell 5.2'!X140+X18+X30+'Tabell 5.2'!X66+'Tabell 5.2'!X78+'Tabell 5.2'!X114</f>
        <v>479.90902800000003</v>
      </c>
      <c r="Y44" s="658">
        <f t="shared" si="34"/>
        <v>-7.4</v>
      </c>
      <c r="Z44" s="658">
        <f>'Tabell 5.1'!Z18+'Tabell 5.1'!Z30+'Tabell 5.1'!Z42+'Tabell 5.1'!Z54+'Tabell 5.1'!Z68+'Tabell 5.1'!Z80+'Tabell 5.1'!Z92+'Tabell 5.1'!Z104+'Tabell 5.2'!Z18+'Tabell 5.2'!Z30+'Tabell 5.2'!Z42+'Tabell 5.2'!Z54+'Tabell 5.2'!Z90+'Tabell 5.2'!Z102+'Tabell 5.2'!Z128+'Tabell 5.2'!Z140+Z18+Z30+'Tabell 5.2'!Z66+'Tabell 5.2'!Z78+'Tabell 5.2'!Z114</f>
        <v>30.210871860586963</v>
      </c>
      <c r="AA44" s="658">
        <f>'Tabell 5.1'!AA18+'Tabell 5.1'!AA30+'Tabell 5.1'!AA42+'Tabell 5.1'!AA54+'Tabell 5.1'!AA68+'Tabell 5.1'!AA80+'Tabell 5.1'!AA92+'Tabell 5.1'!AA104+'Tabell 5.2'!AA18+'Tabell 5.2'!AA30+'Tabell 5.2'!AA42+'Tabell 5.2'!AA54+'Tabell 5.2'!AA90+'Tabell 5.2'!AA102+'Tabell 5.2'!AA128+'Tabell 5.2'!AA140+AA18+AA30+'Tabell 5.2'!AA66+'Tabell 5.2'!AA78+'Tabell 5.2'!AA114</f>
        <v>53.839999999999996</v>
      </c>
      <c r="AB44" s="658">
        <f t="shared" si="35"/>
        <v>78.2</v>
      </c>
      <c r="AC44" s="658">
        <f>'Tabell 5.1'!AC18+'Tabell 5.1'!AC30+'Tabell 5.1'!AC42+'Tabell 5.1'!AC54+'Tabell 5.1'!AC68+'Tabell 5.1'!AC80+'Tabell 5.1'!AC92+'Tabell 5.1'!AC104+'Tabell 5.2'!AC18+'Tabell 5.2'!AC30+'Tabell 5.2'!AC42+'Tabell 5.2'!AC54+'Tabell 5.2'!AC90+'Tabell 5.2'!AC102+'Tabell 5.2'!AC128+'Tabell 5.2'!AC140+AC18+AC30+'Tabell 5.2'!AC66+'Tabell 5.2'!AC78+'Tabell 5.2'!AC114</f>
        <v>0</v>
      </c>
      <c r="AD44" s="658">
        <f>'Tabell 5.1'!AD18+'Tabell 5.1'!AD30+'Tabell 5.1'!AD42+'Tabell 5.1'!AD54+'Tabell 5.1'!AD68+'Tabell 5.1'!AD80+'Tabell 5.1'!AD92+'Tabell 5.1'!AD104+'Tabell 5.2'!AD18+'Tabell 5.2'!AD30+'Tabell 5.2'!AD42+'Tabell 5.2'!AD54+'Tabell 5.2'!AD90+'Tabell 5.2'!AD102+'Tabell 5.2'!AD128+'Tabell 5.2'!AD140+AD18+AD30+'Tabell 5.2'!AD66+'Tabell 5.2'!AD78+'Tabell 5.2'!AD114</f>
        <v>60</v>
      </c>
      <c r="AE44" s="658" t="str">
        <f t="shared" si="36"/>
        <v xml:space="preserve">    ---- </v>
      </c>
      <c r="AF44" s="909">
        <f>'[2]Tabell 5.1'!AF18+'[2]Tabell 5.1'!AF30+'[2]Tabell 5.1'!AF42+'[2]Tabell 5.1'!AF54+'[2]Tabell 5.1'!AF68+'[2]Tabell 5.1'!AF80+'[2]Tabell 5.1'!AF92+'[2]Tabell 5.1'!AF104+'[2]Tabell 5.2'!AF18+'[2]Tabell 5.2'!AF30+'[2]Tabell 5.2'!AF42+'[2]Tabell 5.2'!AF54+'[2]Tabell 5.2'!AF90+'[2]Tabell 5.2'!AF102+'[2]Tabell 5.2'!AF128+'[2]Tabell 5.2'!AF140+AF18+AF30+'[2]Tabell 5.2'!AF66+'[2]Tabell 5.2'!AF78+'[2]Tabell 5.2'!AF114</f>
        <v>0</v>
      </c>
      <c r="AG44" s="910">
        <f>'[2]Tabell 5.1'!AG18+'[2]Tabell 5.1'!AG30+'[2]Tabell 5.1'!AG42+'[2]Tabell 5.1'!AG54+'[2]Tabell 5.1'!AG68+'[2]Tabell 5.1'!AG80+'[2]Tabell 5.1'!AG92+'[2]Tabell 5.1'!AG104+'[2]Tabell 5.2'!AG18+'[2]Tabell 5.2'!AG30+'[2]Tabell 5.2'!AG42+'[2]Tabell 5.2'!AG54+'[2]Tabell 5.2'!AG90+'[2]Tabell 5.2'!AG102+'[2]Tabell 5.2'!AG128+'[2]Tabell 5.2'!AG140+AG18+AG30+'[2]Tabell 5.2'!AG66+'[2]Tabell 5.2'!AG78+'[2]Tabell 5.2'!AG114</f>
        <v>0</v>
      </c>
      <c r="AH44" s="658" t="str">
        <f t="shared" si="37"/>
        <v xml:space="preserve">    ---- </v>
      </c>
      <c r="AI44" s="658">
        <f>'Tabell 5.1'!AI18+'Tabell 5.1'!AI30+'Tabell 5.1'!AI42+'Tabell 5.1'!AI54+'Tabell 5.1'!AI68+'Tabell 5.1'!AI80+'Tabell 5.1'!AI92+'Tabell 5.1'!AI104+'Tabell 5.2'!AI18+'Tabell 5.2'!AI30+'Tabell 5.2'!AI42+'Tabell 5.2'!AI54+'Tabell 5.2'!AI90+'Tabell 5.2'!AI102+'Tabell 5.2'!AI128+'Tabell 5.2'!AI140+AI18+AI30+'Tabell 5.2'!AI66+'Tabell 5.2'!AI78+'Tabell 5.2'!AI114</f>
        <v>0</v>
      </c>
      <c r="AJ44" s="658">
        <f>'Tabell 5.1'!AJ18+'Tabell 5.1'!AJ30+'Tabell 5.1'!AJ42+'Tabell 5.1'!AJ54+'Tabell 5.1'!AJ68+'Tabell 5.1'!AJ80+'Tabell 5.1'!AJ92+'Tabell 5.1'!AJ104+'Tabell 5.2'!AJ18+'Tabell 5.2'!AJ30+'Tabell 5.2'!AJ42+'Tabell 5.2'!AJ54+'Tabell 5.2'!AJ90+'Tabell 5.2'!AJ102+'Tabell 5.2'!AJ128+'Tabell 5.2'!AJ140+AJ18+AJ30+'Tabell 5.2'!AJ66+'Tabell 5.2'!AJ78+'Tabell 5.2'!AJ114</f>
        <v>0</v>
      </c>
      <c r="AK44" s="658" t="str">
        <f t="shared" si="38"/>
        <v xml:space="preserve">    ---- </v>
      </c>
      <c r="AL44" s="909">
        <v>232</v>
      </c>
      <c r="AM44" s="658">
        <f>'Tabell 5.1'!AM18+'Tabell 5.1'!AM30+'Tabell 5.1'!AM42+'Tabell 5.1'!AM54+'Tabell 5.1'!AM68+'Tabell 5.1'!AM80+'Tabell 5.1'!AM92+'Tabell 5.1'!AM104+'Tabell 5.2'!AM18+'Tabell 5.2'!AM30+'Tabell 5.2'!AM42+'Tabell 5.2'!AM54+'Tabell 5.2'!AM90+'Tabell 5.2'!AM102+'Tabell 5.2'!AM128+'Tabell 5.2'!AM140+AM18+AM30+'Tabell 5.2'!AM66+'Tabell 5.2'!AM78+'Tabell 5.2'!AM114</f>
        <v>-27</v>
      </c>
      <c r="AN44" s="658">
        <f t="shared" si="39"/>
        <v>-111.6</v>
      </c>
      <c r="AO44" s="658">
        <f t="shared" si="40"/>
        <v>801.41346897915605</v>
      </c>
      <c r="AP44" s="658">
        <f t="shared" si="41"/>
        <v>564.74902800000007</v>
      </c>
      <c r="AQ44" s="658">
        <f t="shared" si="42"/>
        <v>-29.5</v>
      </c>
      <c r="AR44" s="616">
        <f t="shared" si="43"/>
        <v>801.41346897915605</v>
      </c>
      <c r="AS44" s="616">
        <f t="shared" si="44"/>
        <v>564.74902800000007</v>
      </c>
      <c r="AT44" s="659">
        <f t="shared" si="45"/>
        <v>-29.5</v>
      </c>
      <c r="AU44" s="694"/>
      <c r="AV44" s="641"/>
      <c r="AW44" s="636"/>
      <c r="AX44" s="636"/>
    </row>
    <row r="45" spans="1:50" s="660" customFormat="1" ht="18.75" customHeight="1" x14ac:dyDescent="0.3">
      <c r="A45" s="608" t="s">
        <v>373</v>
      </c>
      <c r="B45" s="658">
        <f>'Tabell 5.1'!B19+'Tabell 5.1'!B31+'Tabell 5.1'!B43+'Tabell 5.1'!B55+'Tabell 5.1'!B69+'Tabell 5.1'!B81+'Tabell 5.1'!B93+'Tabell 5.1'!B105+'Tabell 5.2'!B19+'Tabell 5.2'!B31+'Tabell 5.2'!B43+'Tabell 5.2'!B55+'Tabell 5.2'!B91+'Tabell 5.2'!B103+'Tabell 5.2'!B129+'Tabell 5.2'!B141+B19+B31+'Tabell 5.2'!B67+'Tabell 5.2'!B79+'Tabell 5.2'!B115</f>
        <v>0</v>
      </c>
      <c r="C45" s="658">
        <f>'Tabell 5.1'!C19+'Tabell 5.1'!C31+'Tabell 5.1'!C43+'Tabell 5.1'!C55+'Tabell 5.1'!C69+'Tabell 5.1'!C81+'Tabell 5.1'!C93+'Tabell 5.1'!C105+'Tabell 5.2'!C19+'Tabell 5.2'!C31+'Tabell 5.2'!C43+'Tabell 5.2'!C55+'Tabell 5.2'!C91+'Tabell 5.2'!C103+'Tabell 5.2'!C129+'Tabell 5.2'!C141+C19+C31+'Tabell 5.2'!C67+'Tabell 5.2'!C79+'Tabell 5.2'!C115</f>
        <v>0</v>
      </c>
      <c r="D45" s="658" t="str">
        <f t="shared" si="27"/>
        <v xml:space="preserve">    ---- </v>
      </c>
      <c r="E45" s="658">
        <f>'Tabell 5.1'!E19+'Tabell 5.1'!E31+'Tabell 5.1'!E43+'Tabell 5.1'!E55+'Tabell 5.1'!E69+'Tabell 5.1'!E81+'Tabell 5.1'!E93+'Tabell 5.1'!E105+'Tabell 5.2'!E19+'Tabell 5.2'!E31+'Tabell 5.2'!E43+'Tabell 5.2'!E55+'Tabell 5.2'!E91+'Tabell 5.2'!E103+'Tabell 5.2'!E129+'Tabell 5.2'!E141+E19+E31+'Tabell 5.2'!E67+'Tabell 5.2'!E79+'Tabell 5.2'!E115</f>
        <v>-1</v>
      </c>
      <c r="F45" s="658">
        <f>'Tabell 5.1'!F19+'Tabell 5.1'!F31+'Tabell 5.1'!F43+'Tabell 5.1'!F55+'Tabell 5.1'!F69+'Tabell 5.1'!F81+'Tabell 5.1'!F93+'Tabell 5.1'!F105+'Tabell 5.2'!F19+'Tabell 5.2'!F31+'Tabell 5.2'!F43+'Tabell 5.2'!F55+'Tabell 5.2'!F91+'Tabell 5.2'!F103+'Tabell 5.2'!F129+'Tabell 5.2'!F141+F19+F31+'Tabell 5.2'!F67+'Tabell 5.2'!F79+'Tabell 5.2'!F115</f>
        <v>-6</v>
      </c>
      <c r="G45" s="658">
        <f t="shared" si="28"/>
        <v>500</v>
      </c>
      <c r="H45" s="658">
        <f>'Tabell 5.1'!H19+'Tabell 5.1'!H31+'Tabell 5.1'!H43+'Tabell 5.1'!H55+'Tabell 5.1'!H69+'Tabell 5.1'!H81+'Tabell 5.1'!H93+'Tabell 5.1'!H105+'Tabell 5.2'!H19+'Tabell 5.2'!H31+'Tabell 5.2'!H43+'Tabell 5.2'!H55+'Tabell 5.2'!H91+'Tabell 5.2'!H103+'Tabell 5.2'!H129+'Tabell 5.2'!H141+H19+H31+'Tabell 5.2'!H67+'Tabell 5.2'!H79+'Tabell 5.2'!H115</f>
        <v>0</v>
      </c>
      <c r="I45" s="658">
        <f>'Tabell 5.1'!I19+'Tabell 5.1'!I31+'Tabell 5.1'!I43+'Tabell 5.1'!I55+'Tabell 5.1'!I69+'Tabell 5.1'!I81+'Tabell 5.1'!I93+'Tabell 5.1'!I105+'Tabell 5.2'!I19+'Tabell 5.2'!I31+'Tabell 5.2'!I43+'Tabell 5.2'!I55+'Tabell 5.2'!I91+'Tabell 5.2'!I103+'Tabell 5.2'!I129+'Tabell 5.2'!I141+I19+I31+'Tabell 5.2'!I67+'Tabell 5.2'!I79+'Tabell 5.2'!I115</f>
        <v>0</v>
      </c>
      <c r="J45" s="658" t="str">
        <f t="shared" si="29"/>
        <v xml:space="preserve">    ---- </v>
      </c>
      <c r="K45" s="658"/>
      <c r="L45" s="658">
        <f>'Tabell 5.1'!L19+'Tabell 5.1'!L31+'Tabell 5.1'!L43+'Tabell 5.1'!L55+'Tabell 5.1'!L69+'Tabell 5.1'!L81+'Tabell 5.1'!L93+'Tabell 5.1'!L105+'Tabell 5.2'!L19+'Tabell 5.2'!L31+'Tabell 5.2'!L43+'Tabell 5.2'!L55+'Tabell 5.2'!L91+'Tabell 5.2'!L103+'Tabell 5.2'!L129+'Tabell 5.2'!L141+L19+L31+'Tabell 5.2'!L67+'Tabell 5.2'!L79+'Tabell 5.2'!L115</f>
        <v>0</v>
      </c>
      <c r="M45" s="658" t="str">
        <f t="shared" si="30"/>
        <v xml:space="preserve">    ---- </v>
      </c>
      <c r="N45" s="658">
        <f>'Tabell 5.1'!N19+'Tabell 5.1'!N31+'Tabell 5.1'!N43+'Tabell 5.1'!N55+'Tabell 5.1'!N69+'Tabell 5.1'!N81+'Tabell 5.1'!N93+'Tabell 5.1'!N105+'Tabell 5.2'!N19+'Tabell 5.2'!N31+'Tabell 5.2'!N43+'Tabell 5.2'!N55+'Tabell 5.2'!N91+'Tabell 5.2'!N103+'Tabell 5.2'!N129+'Tabell 5.2'!N141+N19+N31+'Tabell 5.2'!N67+'Tabell 5.2'!N79+'Tabell 5.2'!N115</f>
        <v>5.1000000000000004E-2</v>
      </c>
      <c r="O45" s="658">
        <f>'Tabell 5.1'!O19+'Tabell 5.1'!O31+'Tabell 5.1'!O43+'Tabell 5.1'!O55+'Tabell 5.1'!O69+'Tabell 5.1'!O81+'Tabell 5.1'!O93+'Tabell 5.1'!O105+'Tabell 5.2'!O19+'Tabell 5.2'!O31+'Tabell 5.2'!O43+'Tabell 5.2'!O55+'Tabell 5.2'!O91+'Tabell 5.2'!O103+'Tabell 5.2'!O129+'Tabell 5.2'!O141+O19+O31+'Tabell 5.2'!O67+'Tabell 5.2'!O79+'Tabell 5.2'!O115</f>
        <v>-1.0429999999999999</v>
      </c>
      <c r="P45" s="658">
        <f t="shared" si="31"/>
        <v>-999</v>
      </c>
      <c r="Q45" s="658">
        <f>'Tabell 5.1'!Q19+'Tabell 5.1'!Q31+'Tabell 5.1'!Q43+'Tabell 5.1'!Q55+'Tabell 5.1'!Q69+'Tabell 5.1'!Q81+'Tabell 5.1'!Q93+'Tabell 5.1'!Q105+'Tabell 5.2'!Q19+'Tabell 5.2'!Q31+'Tabell 5.2'!Q43+'Tabell 5.2'!Q55+'Tabell 5.2'!Q91+'Tabell 5.2'!Q103+'Tabell 5.2'!Q129+'Tabell 5.2'!Q141+Q19+Q31+'Tabell 5.2'!Q67+'Tabell 5.2'!Q79+'Tabell 5.2'!Q115</f>
        <v>0</v>
      </c>
      <c r="R45" s="658">
        <f>'Tabell 5.1'!R19+'Tabell 5.1'!R31+'Tabell 5.1'!R43+'Tabell 5.1'!R55+'Tabell 5.1'!R69+'Tabell 5.1'!R81+'Tabell 5.1'!R93+'Tabell 5.1'!R105+'Tabell 5.2'!R19+'Tabell 5.2'!R31+'Tabell 5.2'!R43+'Tabell 5.2'!R55+'Tabell 5.2'!R91+'Tabell 5.2'!R103+'Tabell 5.2'!R129+'Tabell 5.2'!R141+R19+R31+'Tabell 5.2'!R67+'Tabell 5.2'!R79+'Tabell 5.2'!R115</f>
        <v>0</v>
      </c>
      <c r="S45" s="658" t="str">
        <f t="shared" si="32"/>
        <v xml:space="preserve">    ---- </v>
      </c>
      <c r="T45" s="658">
        <f>'Tabell 5.1'!T19+'Tabell 5.1'!T31+'Tabell 5.1'!T43+'Tabell 5.1'!T55+'Tabell 5.1'!T69+'Tabell 5.1'!T81+'Tabell 5.1'!T93+'Tabell 5.1'!T105+'Tabell 5.2'!T19+'Tabell 5.2'!T31+'Tabell 5.2'!T43+'Tabell 5.2'!T55+'Tabell 5.2'!T91+'Tabell 5.2'!T103+'Tabell 5.2'!T129+'Tabell 5.2'!T141+T19+T31+'Tabell 5.2'!T67+'Tabell 5.2'!T79+'Tabell 5.2'!T115</f>
        <v>0</v>
      </c>
      <c r="U45" s="658">
        <f>'Tabell 5.1'!U19+'Tabell 5.1'!U31+'Tabell 5.1'!U43+'Tabell 5.1'!U55+'Tabell 5.1'!U69+'Tabell 5.1'!U81+'Tabell 5.1'!U93+'Tabell 5.1'!U105+'Tabell 5.2'!U19+'Tabell 5.2'!U31+'Tabell 5.2'!U43+'Tabell 5.2'!U55+'Tabell 5.2'!U91+'Tabell 5.2'!U103+'Tabell 5.2'!U129+'Tabell 5.2'!U141+U19+U31+'Tabell 5.2'!U67+'Tabell 5.2'!U79+'Tabell 5.2'!U115</f>
        <v>0</v>
      </c>
      <c r="V45" s="658" t="str">
        <f t="shared" si="33"/>
        <v xml:space="preserve">    ---- </v>
      </c>
      <c r="W45" s="658">
        <f>'Tabell 5.1'!W19+'Tabell 5.1'!W31+'Tabell 5.1'!W43+'Tabell 5.1'!W55+'Tabell 5.1'!W69+'Tabell 5.1'!W81+'Tabell 5.1'!W93+'Tabell 5.1'!W105+'Tabell 5.2'!W19+'Tabell 5.2'!W31+'Tabell 5.2'!W43+'Tabell 5.2'!W55+'Tabell 5.2'!W91+'Tabell 5.2'!W103+'Tabell 5.2'!W129+'Tabell 5.2'!W141+W19+W31+'Tabell 5.2'!W67+'Tabell 5.2'!W79+'Tabell 5.2'!W115</f>
        <v>0</v>
      </c>
      <c r="X45" s="658">
        <f>'Tabell 5.1'!X19+'Tabell 5.1'!X31+'Tabell 5.1'!X43+'Tabell 5.1'!X55+'Tabell 5.1'!X69+'Tabell 5.1'!X81+'Tabell 5.1'!X93+'Tabell 5.1'!X105+'Tabell 5.2'!X19+'Tabell 5.2'!X31+'Tabell 5.2'!X43+'Tabell 5.2'!X55+'Tabell 5.2'!X91+'Tabell 5.2'!X103+'Tabell 5.2'!X129+'Tabell 5.2'!X141+X19+X31+'Tabell 5.2'!X67+'Tabell 5.2'!X79+'Tabell 5.2'!X115</f>
        <v>0</v>
      </c>
      <c r="Y45" s="658" t="str">
        <f t="shared" si="34"/>
        <v xml:space="preserve">    ---- </v>
      </c>
      <c r="Z45" s="658">
        <f>'Tabell 5.1'!Z19+'Tabell 5.1'!Z31+'Tabell 5.1'!Z43+'Tabell 5.1'!Z55+'Tabell 5.1'!Z69+'Tabell 5.1'!Z81+'Tabell 5.1'!Z93+'Tabell 5.1'!Z105+'Tabell 5.2'!Z19+'Tabell 5.2'!Z31+'Tabell 5.2'!Z43+'Tabell 5.2'!Z55+'Tabell 5.2'!Z91+'Tabell 5.2'!Z103+'Tabell 5.2'!Z129+'Tabell 5.2'!Z141+Z19+Z31+'Tabell 5.2'!Z67+'Tabell 5.2'!Z79+'Tabell 5.2'!Z115</f>
        <v>-333.0729245</v>
      </c>
      <c r="AA45" s="658">
        <f>'Tabell 5.1'!AA19+'Tabell 5.1'!AA31+'Tabell 5.1'!AA43+'Tabell 5.1'!AA55+'Tabell 5.1'!AA69+'Tabell 5.1'!AA81+'Tabell 5.1'!AA93+'Tabell 5.1'!AA105+'Tabell 5.2'!AA19+'Tabell 5.2'!AA31+'Tabell 5.2'!AA43+'Tabell 5.2'!AA55+'Tabell 5.2'!AA91+'Tabell 5.2'!AA103+'Tabell 5.2'!AA129+'Tabell 5.2'!AA141+AA19+AA31+'Tabell 5.2'!AA67+'Tabell 5.2'!AA79+'Tabell 5.2'!AA115</f>
        <v>-6.34</v>
      </c>
      <c r="AB45" s="658">
        <f t="shared" si="35"/>
        <v>-98.1</v>
      </c>
      <c r="AC45" s="658">
        <f>'Tabell 5.1'!AC19+'Tabell 5.1'!AC31+'Tabell 5.1'!AC43+'Tabell 5.1'!AC55+'Tabell 5.1'!AC69+'Tabell 5.1'!AC81+'Tabell 5.1'!AC93+'Tabell 5.1'!AC105+'Tabell 5.2'!AC19+'Tabell 5.2'!AC31+'Tabell 5.2'!AC43+'Tabell 5.2'!AC55+'Tabell 5.2'!AC91+'Tabell 5.2'!AC103+'Tabell 5.2'!AC129+'Tabell 5.2'!AC141+AC19+AC31+'Tabell 5.2'!AC67+'Tabell 5.2'!AC79+'Tabell 5.2'!AC115</f>
        <v>0</v>
      </c>
      <c r="AD45" s="658">
        <f>'Tabell 5.1'!AD19+'Tabell 5.1'!AD31+'Tabell 5.1'!AD43+'Tabell 5.1'!AD55+'Tabell 5.1'!AD69+'Tabell 5.1'!AD81+'Tabell 5.1'!AD93+'Tabell 5.1'!AD105+'Tabell 5.2'!AD19+'Tabell 5.2'!AD31+'Tabell 5.2'!AD43+'Tabell 5.2'!AD55+'Tabell 5.2'!AD91+'Tabell 5.2'!AD103+'Tabell 5.2'!AD129+'Tabell 5.2'!AD141+AD19+AD31+'Tabell 5.2'!AD67+'Tabell 5.2'!AD79+'Tabell 5.2'!AD115</f>
        <v>0</v>
      </c>
      <c r="AE45" s="658" t="str">
        <f t="shared" si="36"/>
        <v xml:space="preserve">    ---- </v>
      </c>
      <c r="AF45" s="909">
        <f>'[2]Tabell 5.1'!AF19+'[2]Tabell 5.1'!AF31+'[2]Tabell 5.1'!AF43+'[2]Tabell 5.1'!AF55+'[2]Tabell 5.1'!AF69+'[2]Tabell 5.1'!AF81+'[2]Tabell 5.1'!AF93+'[2]Tabell 5.1'!AF105+'[2]Tabell 5.2'!AF19+'[2]Tabell 5.2'!AF31+'[2]Tabell 5.2'!AF43+'[2]Tabell 5.2'!AF55+'[2]Tabell 5.2'!AF91+'[2]Tabell 5.2'!AF103+'[2]Tabell 5.2'!AF129+'[2]Tabell 5.2'!AF141+AF19+AF31+'[2]Tabell 5.2'!AF67+'[2]Tabell 5.2'!AF79+'[2]Tabell 5.2'!AF115</f>
        <v>0</v>
      </c>
      <c r="AG45" s="910">
        <f>'[2]Tabell 5.1'!AG19+'[2]Tabell 5.1'!AG31+'[2]Tabell 5.1'!AG43+'[2]Tabell 5.1'!AG55+'[2]Tabell 5.1'!AG69+'[2]Tabell 5.1'!AG81+'[2]Tabell 5.1'!AG93+'[2]Tabell 5.1'!AG105+'[2]Tabell 5.2'!AG19+'[2]Tabell 5.2'!AG31+'[2]Tabell 5.2'!AG43+'[2]Tabell 5.2'!AG55+'[2]Tabell 5.2'!AG91+'[2]Tabell 5.2'!AG103+'[2]Tabell 5.2'!AG129+'[2]Tabell 5.2'!AG141+AG19+AG31+'[2]Tabell 5.2'!AG67+'[2]Tabell 5.2'!AG79+'[2]Tabell 5.2'!AG115</f>
        <v>0</v>
      </c>
      <c r="AH45" s="658" t="str">
        <f t="shared" si="37"/>
        <v xml:space="preserve">    ---- </v>
      </c>
      <c r="AI45" s="658">
        <f>'Tabell 5.1'!AI19+'Tabell 5.1'!AI31+'Tabell 5.1'!AI43+'Tabell 5.1'!AI55+'Tabell 5.1'!AI69+'Tabell 5.1'!AI81+'Tabell 5.1'!AI93+'Tabell 5.1'!AI105+'Tabell 5.2'!AI19+'Tabell 5.2'!AI31+'Tabell 5.2'!AI43+'Tabell 5.2'!AI55+'Tabell 5.2'!AI91+'Tabell 5.2'!AI103+'Tabell 5.2'!AI129+'Tabell 5.2'!AI141+AI19+AI31+'Tabell 5.2'!AI67+'Tabell 5.2'!AI79+'Tabell 5.2'!AI115</f>
        <v>0</v>
      </c>
      <c r="AJ45" s="658">
        <f>'Tabell 5.1'!AJ19+'Tabell 5.1'!AJ31+'Tabell 5.1'!AJ43+'Tabell 5.1'!AJ55+'Tabell 5.1'!AJ69+'Tabell 5.1'!AJ81+'Tabell 5.1'!AJ93+'Tabell 5.1'!AJ105+'Tabell 5.2'!AJ19+'Tabell 5.2'!AJ31+'Tabell 5.2'!AJ43+'Tabell 5.2'!AJ55+'Tabell 5.2'!AJ91+'Tabell 5.2'!AJ103+'Tabell 5.2'!AJ129+'Tabell 5.2'!AJ141+AJ19+AJ31+'Tabell 5.2'!AJ67+'Tabell 5.2'!AJ79+'Tabell 5.2'!AJ115</f>
        <v>0</v>
      </c>
      <c r="AK45" s="658" t="str">
        <f t="shared" si="38"/>
        <v xml:space="preserve">    ---- </v>
      </c>
      <c r="AL45" s="909"/>
      <c r="AM45" s="658">
        <f>'Tabell 5.1'!AM19+'Tabell 5.1'!AM31+'Tabell 5.1'!AM43+'Tabell 5.1'!AM55+'Tabell 5.1'!AM69+'Tabell 5.1'!AM81+'Tabell 5.1'!AM93+'Tabell 5.1'!AM105+'Tabell 5.2'!AM19+'Tabell 5.2'!AM31+'Tabell 5.2'!AM43+'Tabell 5.2'!AM55+'Tabell 5.2'!AM91+'Tabell 5.2'!AM103+'Tabell 5.2'!AM129+'Tabell 5.2'!AM141+AM19+AM31+'Tabell 5.2'!AM67+'Tabell 5.2'!AM79+'Tabell 5.2'!AM115</f>
        <v>0</v>
      </c>
      <c r="AN45" s="658" t="str">
        <f t="shared" si="39"/>
        <v xml:space="preserve">    ---- </v>
      </c>
      <c r="AO45" s="658">
        <f t="shared" si="40"/>
        <v>-334.02192450000001</v>
      </c>
      <c r="AP45" s="658">
        <f t="shared" si="41"/>
        <v>-13.382999999999999</v>
      </c>
      <c r="AQ45" s="658">
        <f t="shared" si="42"/>
        <v>-96</v>
      </c>
      <c r="AR45" s="616">
        <f t="shared" si="43"/>
        <v>-334.02192450000001</v>
      </c>
      <c r="AS45" s="616">
        <f t="shared" si="44"/>
        <v>-13.382999999999999</v>
      </c>
      <c r="AT45" s="659">
        <f t="shared" si="45"/>
        <v>-96</v>
      </c>
      <c r="AU45" s="694"/>
      <c r="AV45" s="641"/>
      <c r="AW45" s="636"/>
      <c r="AX45" s="636"/>
    </row>
    <row r="46" spans="1:50" s="663" customFormat="1" ht="18.75" customHeight="1" x14ac:dyDescent="0.3">
      <c r="A46" s="602" t="s">
        <v>374</v>
      </c>
      <c r="B46" s="656">
        <f>'Tabell 5.1'!B20+'Tabell 5.1'!B32+'Tabell 5.1'!B44+'Tabell 5.1'!B56+'Tabell 5.1'!B70+'Tabell 5.1'!B82+'Tabell 5.1'!B94+'Tabell 5.1'!B106+'Tabell 5.2'!B20+'Tabell 5.2'!B32+'Tabell 5.2'!B44+'Tabell 5.2'!B56+'Tabell 5.2'!B92+'Tabell 5.2'!B104+'Tabell 5.2'!B130+'Tabell 5.2'!B142+B20+B32+'Tabell 5.2'!B68+'Tabell 5.2'!B80+'Tabell 5.2'!B116</f>
        <v>162.43899999999999</v>
      </c>
      <c r="C46" s="656">
        <f>'Tabell 5.1'!C20+'Tabell 5.1'!C32+'Tabell 5.1'!C44+'Tabell 5.1'!C56+'Tabell 5.1'!C70+'Tabell 5.1'!C82+'Tabell 5.1'!C94+'Tabell 5.1'!C106+'Tabell 5.2'!C20+'Tabell 5.2'!C32+'Tabell 5.2'!C44+'Tabell 5.2'!C56+'Tabell 5.2'!C92+'Tabell 5.2'!C104+'Tabell 5.2'!C130+'Tabell 5.2'!C142+C20+C32+'Tabell 5.2'!C68+'Tabell 5.2'!C80+'Tabell 5.2'!C116</f>
        <v>106.351</v>
      </c>
      <c r="D46" s="656">
        <f t="shared" si="27"/>
        <v>-34.5</v>
      </c>
      <c r="E46" s="656">
        <f>'Tabell 5.1'!E20+'Tabell 5.1'!E32+'Tabell 5.1'!E44+'Tabell 5.1'!E56+'Tabell 5.1'!E70+'Tabell 5.1'!E82+'Tabell 5.1'!E94+'Tabell 5.1'!E106+'Tabell 5.2'!E20+'Tabell 5.2'!E32+'Tabell 5.2'!E44+'Tabell 5.2'!E56+'Tabell 5.2'!E92+'Tabell 5.2'!E104+'Tabell 5.2'!E130+'Tabell 5.2'!E142+E20+E32+'Tabell 5.2'!E68+'Tabell 5.2'!E80+'Tabell 5.2'!E116</f>
        <v>-11</v>
      </c>
      <c r="F46" s="656">
        <f>'Tabell 5.1'!F20+'Tabell 5.1'!F32+'Tabell 5.1'!F44+'Tabell 5.1'!F56+'Tabell 5.1'!F70+'Tabell 5.1'!F82+'Tabell 5.1'!F94+'Tabell 5.1'!F106+'Tabell 5.2'!F20+'Tabell 5.2'!F32+'Tabell 5.2'!F44+'Tabell 5.2'!F56+'Tabell 5.2'!F92+'Tabell 5.2'!F104+'Tabell 5.2'!F130+'Tabell 5.2'!F142+F20+F32+'Tabell 5.2'!F68+'Tabell 5.2'!F80+'Tabell 5.2'!F116</f>
        <v>-50</v>
      </c>
      <c r="G46" s="656">
        <f t="shared" si="28"/>
        <v>354.5</v>
      </c>
      <c r="H46" s="656">
        <f>'Tabell 5.1'!H20+'Tabell 5.1'!H32+'Tabell 5.1'!H44+'Tabell 5.1'!H56+'Tabell 5.1'!H70+'Tabell 5.1'!H82+'Tabell 5.1'!H94+'Tabell 5.1'!H106+'Tabell 5.2'!H20+'Tabell 5.2'!H32+'Tabell 5.2'!H44+'Tabell 5.2'!H56+'Tabell 5.2'!H92+'Tabell 5.2'!H104+'Tabell 5.2'!H130+'Tabell 5.2'!H142+H20+H32+'Tabell 5.2'!H68+'Tabell 5.2'!H80+'Tabell 5.2'!H116</f>
        <v>17309.722000000002</v>
      </c>
      <c r="I46" s="656">
        <f>'Tabell 5.1'!I20+'Tabell 5.1'!I32+'Tabell 5.1'!I44+'Tabell 5.1'!I56+'Tabell 5.1'!I70+'Tabell 5.1'!I82+'Tabell 5.1'!I94+'Tabell 5.1'!I106+'Tabell 5.2'!I20+'Tabell 5.2'!I32+'Tabell 5.2'!I44+'Tabell 5.2'!I56+'Tabell 5.2'!I92+'Tabell 5.2'!I104+'Tabell 5.2'!I130+'Tabell 5.2'!I142+I20+I32+'Tabell 5.2'!I68+'Tabell 5.2'!I80+'Tabell 5.2'!I116</f>
        <v>9100.9</v>
      </c>
      <c r="J46" s="656">
        <f t="shared" si="29"/>
        <v>-47.4</v>
      </c>
      <c r="K46" s="656"/>
      <c r="L46" s="656">
        <f>'Tabell 5.1'!L20+'Tabell 5.1'!L32+'Tabell 5.1'!L44+'Tabell 5.1'!L56+'Tabell 5.1'!L70+'Tabell 5.1'!L82+'Tabell 5.1'!L94+'Tabell 5.1'!L106+'Tabell 5.2'!L20+'Tabell 5.2'!L32+'Tabell 5.2'!L44+'Tabell 5.2'!L56+'Tabell 5.2'!L92+'Tabell 5.2'!L104+'Tabell 5.2'!L130+'Tabell 5.2'!L142+L20+L32+'Tabell 5.2'!L68+'Tabell 5.2'!L80+'Tabell 5.2'!L116</f>
        <v>296.89999999999998</v>
      </c>
      <c r="M46" s="656" t="str">
        <f t="shared" si="30"/>
        <v xml:space="preserve">    ---- </v>
      </c>
      <c r="N46" s="656">
        <f>'Tabell 5.1'!N20+'Tabell 5.1'!N32+'Tabell 5.1'!N44+'Tabell 5.1'!N56+'Tabell 5.1'!N70+'Tabell 5.1'!N82+'Tabell 5.1'!N94+'Tabell 5.1'!N106+'Tabell 5.2'!N20+'Tabell 5.2'!N32+'Tabell 5.2'!N44+'Tabell 5.2'!N56+'Tabell 5.2'!N92+'Tabell 5.2'!N104+'Tabell 5.2'!N130+'Tabell 5.2'!N142+N20+N32+'Tabell 5.2'!N68+'Tabell 5.2'!N80+'Tabell 5.2'!N116</f>
        <v>158.03599999999997</v>
      </c>
      <c r="O46" s="656">
        <f>'Tabell 5.1'!O20+'Tabell 5.1'!O32+'Tabell 5.1'!O44+'Tabell 5.1'!O56+'Tabell 5.1'!O70+'Tabell 5.1'!O82+'Tabell 5.1'!O94+'Tabell 5.1'!O106+'Tabell 5.2'!O20+'Tabell 5.2'!O32+'Tabell 5.2'!O44+'Tabell 5.2'!O56+'Tabell 5.2'!O92+'Tabell 5.2'!O104+'Tabell 5.2'!O130+'Tabell 5.2'!O142+O20+O32+'Tabell 5.2'!O68+'Tabell 5.2'!O80+'Tabell 5.2'!O116</f>
        <v>354.32</v>
      </c>
      <c r="P46" s="656">
        <f t="shared" si="31"/>
        <v>124.2</v>
      </c>
      <c r="Q46" s="656">
        <f>'Tabell 5.1'!Q20+'Tabell 5.1'!Q32+'Tabell 5.1'!Q44+'Tabell 5.1'!Q56+'Tabell 5.1'!Q70+'Tabell 5.1'!Q82+'Tabell 5.1'!Q94+'Tabell 5.1'!Q106+'Tabell 5.2'!Q20+'Tabell 5.2'!Q32+'Tabell 5.2'!Q44+'Tabell 5.2'!Q56+'Tabell 5.2'!Q92+'Tabell 5.2'!Q104+'Tabell 5.2'!Q130+'Tabell 5.2'!Q142+Q20+Q32+'Tabell 5.2'!Q68+'Tabell 5.2'!Q80+'Tabell 5.2'!Q116</f>
        <v>268.39999999999998</v>
      </c>
      <c r="R46" s="656">
        <f>'Tabell 5.1'!R20+'Tabell 5.1'!R32+'Tabell 5.1'!R44+'Tabell 5.1'!R56+'Tabell 5.1'!R70+'Tabell 5.1'!R82+'Tabell 5.1'!R94+'Tabell 5.1'!R106+'Tabell 5.2'!R20+'Tabell 5.2'!R32+'Tabell 5.2'!R44+'Tabell 5.2'!R56+'Tabell 5.2'!R92+'Tabell 5.2'!R104+'Tabell 5.2'!R130+'Tabell 5.2'!R142+R20+R32+'Tabell 5.2'!R68+'Tabell 5.2'!R80+'Tabell 5.2'!R116</f>
        <v>178.29999999999998</v>
      </c>
      <c r="S46" s="656">
        <f t="shared" si="32"/>
        <v>-33.6</v>
      </c>
      <c r="T46" s="656">
        <f>'Tabell 5.1'!T20+'Tabell 5.1'!T32+'Tabell 5.1'!T44+'Tabell 5.1'!T56+'Tabell 5.1'!T70+'Tabell 5.1'!T82+'Tabell 5.1'!T94+'Tabell 5.1'!T106+'Tabell 5.2'!T20+'Tabell 5.2'!T32+'Tabell 5.2'!T44+'Tabell 5.2'!T56+'Tabell 5.2'!T92+'Tabell 5.2'!T104+'Tabell 5.2'!T130+'Tabell 5.2'!T142+T20+T32+'Tabell 5.2'!T68+'Tabell 5.2'!T80+'Tabell 5.2'!T116</f>
        <v>5.7720120700606206</v>
      </c>
      <c r="U46" s="656">
        <f>'Tabell 5.1'!U20+'Tabell 5.1'!U32+'Tabell 5.1'!U44+'Tabell 5.1'!U56+'Tabell 5.1'!U70+'Tabell 5.1'!U82+'Tabell 5.1'!U94+'Tabell 5.1'!U106+'Tabell 5.2'!U20+'Tabell 5.2'!U32+'Tabell 5.2'!U44+'Tabell 5.2'!U56+'Tabell 5.2'!U92+'Tabell 5.2'!U104+'Tabell 5.2'!U130+'Tabell 5.2'!U142+U20+U32+'Tabell 5.2'!U68+'Tabell 5.2'!U80+'Tabell 5.2'!U116</f>
        <v>14.12507901</v>
      </c>
      <c r="V46" s="656">
        <f t="shared" si="33"/>
        <v>144.69999999999999</v>
      </c>
      <c r="W46" s="656">
        <f>'Tabell 5.1'!W20+'Tabell 5.1'!W32+'Tabell 5.1'!W44+'Tabell 5.1'!W56+'Tabell 5.1'!W70+'Tabell 5.1'!W82+'Tabell 5.1'!W94+'Tabell 5.1'!W106+'Tabell 5.2'!W20+'Tabell 5.2'!W32+'Tabell 5.2'!W44+'Tabell 5.2'!W56+'Tabell 5.2'!W92+'Tabell 5.2'!W104+'Tabell 5.2'!W130+'Tabell 5.2'!W142+W20+W32+'Tabell 5.2'!W68+'Tabell 5.2'!W80+'Tabell 5.2'!W116</f>
        <v>12378.81564168584</v>
      </c>
      <c r="X46" s="656">
        <f>'Tabell 5.1'!X20+'Tabell 5.1'!X32+'Tabell 5.1'!X44+'Tabell 5.1'!X56+'Tabell 5.1'!X70+'Tabell 5.1'!X82+'Tabell 5.1'!X94+'Tabell 5.1'!X106+'Tabell 5.2'!X20+'Tabell 5.2'!X32+'Tabell 5.2'!X44+'Tabell 5.2'!X56+'Tabell 5.2'!X92+'Tabell 5.2'!X104+'Tabell 5.2'!X130+'Tabell 5.2'!X142+X20+X32+'Tabell 5.2'!X68+'Tabell 5.2'!X80+'Tabell 5.2'!X116</f>
        <v>12877.09737450027</v>
      </c>
      <c r="Y46" s="656">
        <f t="shared" si="34"/>
        <v>4</v>
      </c>
      <c r="Z46" s="656">
        <f>'Tabell 5.1'!Z20+'Tabell 5.1'!Z32+'Tabell 5.1'!Z44+'Tabell 5.1'!Z56+'Tabell 5.1'!Z70+'Tabell 5.1'!Z82+'Tabell 5.1'!Z94+'Tabell 5.1'!Z106+'Tabell 5.2'!Z20+'Tabell 5.2'!Z32+'Tabell 5.2'!Z44+'Tabell 5.2'!Z56+'Tabell 5.2'!Z92+'Tabell 5.2'!Z104+'Tabell 5.2'!Z130+'Tabell 5.2'!Z142+Z20+Z32+'Tabell 5.2'!Z68+'Tabell 5.2'!Z80+'Tabell 5.2'!Z116</f>
        <v>720.80858110336749</v>
      </c>
      <c r="AA46" s="656">
        <f>'Tabell 5.1'!AA20+'Tabell 5.1'!AA32+'Tabell 5.1'!AA44+'Tabell 5.1'!AA56+'Tabell 5.1'!AA70+'Tabell 5.1'!AA82+'Tabell 5.1'!AA94+'Tabell 5.1'!AA106+'Tabell 5.2'!AA20+'Tabell 5.2'!AA32+'Tabell 5.2'!AA44+'Tabell 5.2'!AA56+'Tabell 5.2'!AA92+'Tabell 5.2'!AA104+'Tabell 5.2'!AA130+'Tabell 5.2'!AA142+AA20+AA32+'Tabell 5.2'!AA68+'Tabell 5.2'!AA80+'Tabell 5.2'!AA116</f>
        <v>781.92</v>
      </c>
      <c r="AB46" s="656">
        <f t="shared" si="35"/>
        <v>8.5</v>
      </c>
      <c r="AC46" s="656">
        <f>'Tabell 5.1'!AC20+'Tabell 5.1'!AC32+'Tabell 5.1'!AC44+'Tabell 5.1'!AC56+'Tabell 5.1'!AC70+'Tabell 5.1'!AC82+'Tabell 5.1'!AC94+'Tabell 5.1'!AC106+'Tabell 5.2'!AC20+'Tabell 5.2'!AC32+'Tabell 5.2'!AC44+'Tabell 5.2'!AC56+'Tabell 5.2'!AC92+'Tabell 5.2'!AC104+'Tabell 5.2'!AC130+'Tabell 5.2'!AC142+AC20+AC32+'Tabell 5.2'!AC68+'Tabell 5.2'!AC80+'Tabell 5.2'!AC116</f>
        <v>1328</v>
      </c>
      <c r="AD46" s="656">
        <f>'Tabell 5.1'!AD20+'Tabell 5.1'!AD32+'Tabell 5.1'!AD44+'Tabell 5.1'!AD56+'Tabell 5.1'!AD70+'Tabell 5.1'!AD82+'Tabell 5.1'!AD94+'Tabell 5.1'!AD106+'Tabell 5.2'!AD20+'Tabell 5.2'!AD32+'Tabell 5.2'!AD44+'Tabell 5.2'!AD56+'Tabell 5.2'!AD92+'Tabell 5.2'!AD104+'Tabell 5.2'!AD130+'Tabell 5.2'!AD142+AD20+AD32+'Tabell 5.2'!AD68+'Tabell 5.2'!AD80+'Tabell 5.2'!AD116</f>
        <v>4893</v>
      </c>
      <c r="AE46" s="656">
        <f t="shared" si="36"/>
        <v>268.39999999999998</v>
      </c>
      <c r="AF46" s="911">
        <f>'[2]Tabell 5.1'!AF20+'[2]Tabell 5.1'!AF32+'[2]Tabell 5.1'!AF44+'[2]Tabell 5.1'!AF56+'[2]Tabell 5.1'!AF70+'[2]Tabell 5.1'!AF82+'[2]Tabell 5.1'!AF94+'[2]Tabell 5.1'!AF106+'[2]Tabell 5.2'!AF20+'[2]Tabell 5.2'!AF32+'[2]Tabell 5.2'!AF44+'[2]Tabell 5.2'!AF56+'[2]Tabell 5.2'!AF92+'[2]Tabell 5.2'!AF104+'[2]Tabell 5.2'!AF130+'[2]Tabell 5.2'!AF142+AF20+AF32+'[2]Tabell 5.2'!AF68+'[2]Tabell 5.2'!AF80+'[2]Tabell 5.2'!AF116</f>
        <v>12.386465282550729</v>
      </c>
      <c r="AG46" s="912">
        <f>'[2]Tabell 5.1'!AG20+'[2]Tabell 5.1'!AG32+'[2]Tabell 5.1'!AG44+'[2]Tabell 5.1'!AG56+'[2]Tabell 5.1'!AG70+'[2]Tabell 5.1'!AG82+'[2]Tabell 5.1'!AG94+'[2]Tabell 5.1'!AG106+'[2]Tabell 5.2'!AG20+'[2]Tabell 5.2'!AG32+'[2]Tabell 5.2'!AG44+'[2]Tabell 5.2'!AG56+'[2]Tabell 5.2'!AG92+'[2]Tabell 5.2'!AG104+'[2]Tabell 5.2'!AG130+'[2]Tabell 5.2'!AG142+AG20+AG32+'[2]Tabell 5.2'!AG68+'[2]Tabell 5.2'!AG80+'[2]Tabell 5.2'!AG116</f>
        <v>13.56757828393199</v>
      </c>
      <c r="AH46" s="656">
        <f t="shared" si="37"/>
        <v>9.5</v>
      </c>
      <c r="AI46" s="656">
        <f>'Tabell 5.1'!AI20+'Tabell 5.1'!AI32+'Tabell 5.1'!AI44+'Tabell 5.1'!AI56+'Tabell 5.1'!AI70+'Tabell 5.1'!AI82+'Tabell 5.1'!AI94+'Tabell 5.1'!AI106+'Tabell 5.2'!AI20+'Tabell 5.2'!AI32+'Tabell 5.2'!AI44+'Tabell 5.2'!AI56+'Tabell 5.2'!AI92+'Tabell 5.2'!AI104+'Tabell 5.2'!AI130+'Tabell 5.2'!AI142+AI20+AI32+'Tabell 5.2'!AI68+'Tabell 5.2'!AI80+'Tabell 5.2'!AI116</f>
        <v>1016</v>
      </c>
      <c r="AJ46" s="656">
        <f>'Tabell 5.1'!AJ20+'Tabell 5.1'!AJ32+'Tabell 5.1'!AJ44+'Tabell 5.1'!AJ56+'Tabell 5.1'!AJ70+'Tabell 5.1'!AJ82+'Tabell 5.1'!AJ94+'Tabell 5.1'!AJ106+'Tabell 5.2'!AJ20+'Tabell 5.2'!AJ32+'Tabell 5.2'!AJ44+'Tabell 5.2'!AJ56+'Tabell 5.2'!AJ92+'Tabell 5.2'!AJ104+'Tabell 5.2'!AJ130+'Tabell 5.2'!AJ142+AJ20+AJ32+'Tabell 5.2'!AJ68+'Tabell 5.2'!AJ80+'Tabell 5.2'!AJ116</f>
        <v>200</v>
      </c>
      <c r="AK46" s="656">
        <f t="shared" si="38"/>
        <v>-80.3</v>
      </c>
      <c r="AL46" s="911">
        <v>1615.9</v>
      </c>
      <c r="AM46" s="656">
        <f>'Tabell 5.1'!AM20+'Tabell 5.1'!AM32+'Tabell 5.1'!AM44+'Tabell 5.1'!AM56+'Tabell 5.1'!AM70+'Tabell 5.1'!AM82+'Tabell 5.1'!AM94+'Tabell 5.1'!AM106+'Tabell 5.2'!AM20+'Tabell 5.2'!AM32+'Tabell 5.2'!AM44+'Tabell 5.2'!AM56+'Tabell 5.2'!AM92+'Tabell 5.2'!AM104+'Tabell 5.2'!AM130+'Tabell 5.2'!AM142+AM20+AM32+'Tabell 5.2'!AM68+'Tabell 5.2'!AM80+'Tabell 5.2'!AM116</f>
        <v>1512.75</v>
      </c>
      <c r="AN46" s="656">
        <f t="shared" si="39"/>
        <v>-6.4</v>
      </c>
      <c r="AO46" s="656">
        <f t="shared" si="40"/>
        <v>34947.12122278921</v>
      </c>
      <c r="AP46" s="656">
        <f t="shared" si="41"/>
        <v>30251.538374500269</v>
      </c>
      <c r="AQ46" s="656">
        <f t="shared" si="42"/>
        <v>-13.4</v>
      </c>
      <c r="AR46" s="618">
        <f t="shared" si="43"/>
        <v>34965.279700141822</v>
      </c>
      <c r="AS46" s="618">
        <f t="shared" si="44"/>
        <v>30279.231031794199</v>
      </c>
      <c r="AT46" s="657">
        <f t="shared" si="45"/>
        <v>-13.4</v>
      </c>
      <c r="AU46" s="695"/>
      <c r="AV46" s="639"/>
      <c r="AW46" s="662"/>
      <c r="AX46" s="662"/>
    </row>
    <row r="47" spans="1:50" s="660" customFormat="1" ht="18.75" customHeight="1" x14ac:dyDescent="0.3">
      <c r="A47" s="608" t="s">
        <v>375</v>
      </c>
      <c r="B47" s="658">
        <f>'Tabell 5.1'!B21+'Tabell 5.1'!B33+'Tabell 5.1'!B45+'Tabell 5.1'!B57+'Tabell 5.1'!B71+'Tabell 5.1'!B83+'Tabell 5.1'!B95+'Tabell 5.1'!B107+'Tabell 5.2'!B21+'Tabell 5.2'!B33+'Tabell 5.2'!B45+'Tabell 5.2'!B57+'Tabell 5.2'!B93+'Tabell 5.2'!B105+'Tabell 5.2'!B131+'Tabell 5.2'!B143+B21+B33+'Tabell 5.2'!B69+'Tabell 5.2'!B81+'Tabell 5.2'!B117</f>
        <v>0.27300000000000002</v>
      </c>
      <c r="C47" s="658">
        <f>'Tabell 5.1'!C21+'Tabell 5.1'!C33+'Tabell 5.1'!C45+'Tabell 5.1'!C57+'Tabell 5.1'!C71+'Tabell 5.1'!C83+'Tabell 5.1'!C95+'Tabell 5.1'!C107+'Tabell 5.2'!C21+'Tabell 5.2'!C33+'Tabell 5.2'!C45+'Tabell 5.2'!C57+'Tabell 5.2'!C93+'Tabell 5.2'!C105+'Tabell 5.2'!C131+'Tabell 5.2'!C143+C21+C33+'Tabell 5.2'!C69+'Tabell 5.2'!C81+'Tabell 5.2'!C117</f>
        <v>2.1309999999999998</v>
      </c>
      <c r="D47" s="658">
        <f t="shared" si="27"/>
        <v>680.6</v>
      </c>
      <c r="E47" s="658">
        <f>'Tabell 5.1'!E21+'Tabell 5.1'!E33+'Tabell 5.1'!E45+'Tabell 5.1'!E57+'Tabell 5.1'!E71+'Tabell 5.1'!E83+'Tabell 5.1'!E95+'Tabell 5.1'!E107+'Tabell 5.2'!E21+'Tabell 5.2'!E33+'Tabell 5.2'!E45+'Tabell 5.2'!E57+'Tabell 5.2'!E93+'Tabell 5.2'!E105+'Tabell 5.2'!E131+'Tabell 5.2'!E143+E21+E33+'Tabell 5.2'!E69+'Tabell 5.2'!E81+'Tabell 5.2'!E117</f>
        <v>16</v>
      </c>
      <c r="F47" s="658">
        <f>'Tabell 5.1'!F21+'Tabell 5.1'!F33+'Tabell 5.1'!F45+'Tabell 5.1'!F57+'Tabell 5.1'!F71+'Tabell 5.1'!F83+'Tabell 5.1'!F95+'Tabell 5.1'!F107+'Tabell 5.2'!F21+'Tabell 5.2'!F33+'Tabell 5.2'!F45+'Tabell 5.2'!F57+'Tabell 5.2'!F93+'Tabell 5.2'!F105+'Tabell 5.2'!F131+'Tabell 5.2'!F143+F21+F33+'Tabell 5.2'!F69+'Tabell 5.2'!F81+'Tabell 5.2'!F117</f>
        <v>16</v>
      </c>
      <c r="G47" s="658">
        <f t="shared" si="28"/>
        <v>0</v>
      </c>
      <c r="H47" s="658">
        <f>'Tabell 5.1'!H21+'Tabell 5.1'!H33+'Tabell 5.1'!H45+'Tabell 5.1'!H57+'Tabell 5.1'!H71+'Tabell 5.1'!H83+'Tabell 5.1'!H95+'Tabell 5.1'!H107+'Tabell 5.2'!H21+'Tabell 5.2'!H33+'Tabell 5.2'!H45+'Tabell 5.2'!H57+'Tabell 5.2'!H93+'Tabell 5.2'!H105+'Tabell 5.2'!H131+'Tabell 5.2'!H143+H21+H33+'Tabell 5.2'!H69+'Tabell 5.2'!H81+'Tabell 5.2'!H117</f>
        <v>16090.871999999999</v>
      </c>
      <c r="I47" s="658">
        <f>'Tabell 5.1'!I21+'Tabell 5.1'!I33+'Tabell 5.1'!I45+'Tabell 5.1'!I57+'Tabell 5.1'!I71+'Tabell 5.1'!I83+'Tabell 5.1'!I95+'Tabell 5.1'!I107+'Tabell 5.2'!I21+'Tabell 5.2'!I33+'Tabell 5.2'!I45+'Tabell 5.2'!I57+'Tabell 5.2'!I93+'Tabell 5.2'!I105+'Tabell 5.2'!I131+'Tabell 5.2'!I143+I21+I33+'Tabell 5.2'!I69+'Tabell 5.2'!I81+'Tabell 5.2'!I117</f>
        <v>8067.2</v>
      </c>
      <c r="J47" s="658">
        <f t="shared" si="29"/>
        <v>-49.9</v>
      </c>
      <c r="K47" s="658"/>
      <c r="L47" s="658">
        <f>'Tabell 5.1'!L21+'Tabell 5.1'!L33+'Tabell 5.1'!L45+'Tabell 5.1'!L57+'Tabell 5.1'!L71+'Tabell 5.1'!L83+'Tabell 5.1'!L95+'Tabell 5.1'!L107+'Tabell 5.2'!L21+'Tabell 5.2'!L33+'Tabell 5.2'!L45+'Tabell 5.2'!L57+'Tabell 5.2'!L93+'Tabell 5.2'!L105+'Tabell 5.2'!L131+'Tabell 5.2'!L143+L21+L33+'Tabell 5.2'!L69+'Tabell 5.2'!L81+'Tabell 5.2'!L117</f>
        <v>0</v>
      </c>
      <c r="M47" s="658" t="str">
        <f t="shared" si="30"/>
        <v xml:space="preserve">    ---- </v>
      </c>
      <c r="N47" s="658">
        <f>'Tabell 5.1'!N21+'Tabell 5.1'!N33+'Tabell 5.1'!N45+'Tabell 5.1'!N57+'Tabell 5.1'!N71+'Tabell 5.1'!N83+'Tabell 5.1'!N95+'Tabell 5.1'!N107+'Tabell 5.2'!N21+'Tabell 5.2'!N33+'Tabell 5.2'!N45+'Tabell 5.2'!N57+'Tabell 5.2'!N93+'Tabell 5.2'!N105+'Tabell 5.2'!N131+'Tabell 5.2'!N143+N21+N33+'Tabell 5.2'!N69+'Tabell 5.2'!N81+'Tabell 5.2'!N117</f>
        <v>0</v>
      </c>
      <c r="O47" s="658">
        <f>'Tabell 5.1'!O21+'Tabell 5.1'!O33+'Tabell 5.1'!O45+'Tabell 5.1'!O57+'Tabell 5.1'!O71+'Tabell 5.1'!O83+'Tabell 5.1'!O95+'Tabell 5.1'!O107+'Tabell 5.2'!O21+'Tabell 5.2'!O33+'Tabell 5.2'!O45+'Tabell 5.2'!O57+'Tabell 5.2'!O93+'Tabell 5.2'!O105+'Tabell 5.2'!O131+'Tabell 5.2'!O143+O21+O33+'Tabell 5.2'!O69+'Tabell 5.2'!O81+'Tabell 5.2'!O117</f>
        <v>0</v>
      </c>
      <c r="P47" s="658" t="str">
        <f t="shared" si="31"/>
        <v xml:space="preserve">    ---- </v>
      </c>
      <c r="Q47" s="658">
        <f>'Tabell 5.1'!Q21+'Tabell 5.1'!Q33+'Tabell 5.1'!Q45+'Tabell 5.1'!Q57+'Tabell 5.1'!Q71+'Tabell 5.1'!Q83+'Tabell 5.1'!Q95+'Tabell 5.1'!Q107+'Tabell 5.2'!Q21+'Tabell 5.2'!Q33+'Tabell 5.2'!Q45+'Tabell 5.2'!Q57+'Tabell 5.2'!Q93+'Tabell 5.2'!Q105+'Tabell 5.2'!Q131+'Tabell 5.2'!Q143+Q21+Q33+'Tabell 5.2'!Q69+'Tabell 5.2'!Q81+'Tabell 5.2'!Q117</f>
        <v>75.900000000000006</v>
      </c>
      <c r="R47" s="658">
        <f>'Tabell 5.1'!R21+'Tabell 5.1'!R33+'Tabell 5.1'!R45+'Tabell 5.1'!R57+'Tabell 5.1'!R71+'Tabell 5.1'!R83+'Tabell 5.1'!R95+'Tabell 5.1'!R107+'Tabell 5.2'!R21+'Tabell 5.2'!R33+'Tabell 5.2'!R45+'Tabell 5.2'!R57+'Tabell 5.2'!R93+'Tabell 5.2'!R105+'Tabell 5.2'!R131+'Tabell 5.2'!R143+R21+R33+'Tabell 5.2'!R69+'Tabell 5.2'!R81+'Tabell 5.2'!R117</f>
        <v>17.7</v>
      </c>
      <c r="S47" s="658">
        <f t="shared" si="32"/>
        <v>-76.7</v>
      </c>
      <c r="T47" s="658">
        <f>'Tabell 5.1'!T21+'Tabell 5.1'!T33+'Tabell 5.1'!T45+'Tabell 5.1'!T57+'Tabell 5.1'!T71+'Tabell 5.1'!T83+'Tabell 5.1'!T95+'Tabell 5.1'!T107+'Tabell 5.2'!T21+'Tabell 5.2'!T33+'Tabell 5.2'!T45+'Tabell 5.2'!T57+'Tabell 5.2'!T93+'Tabell 5.2'!T105+'Tabell 5.2'!T131+'Tabell 5.2'!T143+T21+T33+'Tabell 5.2'!T69+'Tabell 5.2'!T81+'Tabell 5.2'!T117</f>
        <v>0</v>
      </c>
      <c r="U47" s="658">
        <f>'Tabell 5.1'!U21+'Tabell 5.1'!U33+'Tabell 5.1'!U45+'Tabell 5.1'!U57+'Tabell 5.1'!U71+'Tabell 5.1'!U83+'Tabell 5.1'!U95+'Tabell 5.1'!U107+'Tabell 5.2'!U21+'Tabell 5.2'!U33+'Tabell 5.2'!U45+'Tabell 5.2'!U57+'Tabell 5.2'!U93+'Tabell 5.2'!U105+'Tabell 5.2'!U131+'Tabell 5.2'!U143+U21+U33+'Tabell 5.2'!U69+'Tabell 5.2'!U81+'Tabell 5.2'!U117</f>
        <v>0</v>
      </c>
      <c r="V47" s="658" t="str">
        <f t="shared" si="33"/>
        <v xml:space="preserve">    ---- </v>
      </c>
      <c r="W47" s="658">
        <f>'Tabell 5.1'!W21+'Tabell 5.1'!W33+'Tabell 5.1'!W45+'Tabell 5.1'!W57+'Tabell 5.1'!W71+'Tabell 5.1'!W83+'Tabell 5.1'!W95+'Tabell 5.1'!W107+'Tabell 5.2'!W21+'Tabell 5.2'!W33+'Tabell 5.2'!W45+'Tabell 5.2'!W57+'Tabell 5.2'!W93+'Tabell 5.2'!W105+'Tabell 5.2'!W131+'Tabell 5.2'!W143+W21+W33+'Tabell 5.2'!W69+'Tabell 5.2'!W81+'Tabell 5.2'!W117</f>
        <v>10909.253580229999</v>
      </c>
      <c r="X47" s="658">
        <f>'Tabell 5.1'!X21+'Tabell 5.1'!X33+'Tabell 5.1'!X45+'Tabell 5.1'!X57+'Tabell 5.1'!X71+'Tabell 5.1'!X83+'Tabell 5.1'!X95+'Tabell 5.1'!X107+'Tabell 5.2'!X21+'Tabell 5.2'!X33+'Tabell 5.2'!X45+'Tabell 5.2'!X57+'Tabell 5.2'!X93+'Tabell 5.2'!X105+'Tabell 5.2'!X131+'Tabell 5.2'!X143+X21+X33+'Tabell 5.2'!X69+'Tabell 5.2'!X81+'Tabell 5.2'!X117</f>
        <v>12350.488425966603</v>
      </c>
      <c r="Y47" s="658">
        <f t="shared" si="34"/>
        <v>13.2</v>
      </c>
      <c r="Z47" s="658">
        <f>'Tabell 5.1'!Z21+'Tabell 5.1'!Z33+'Tabell 5.1'!Z45+'Tabell 5.1'!Z57+'Tabell 5.1'!Z71+'Tabell 5.1'!Z83+'Tabell 5.1'!Z95+'Tabell 5.1'!Z107+'Tabell 5.2'!Z21+'Tabell 5.2'!Z33+'Tabell 5.2'!Z45+'Tabell 5.2'!Z57+'Tabell 5.2'!Z93+'Tabell 5.2'!Z105+'Tabell 5.2'!Z131+'Tabell 5.2'!Z143+Z21+Z33+'Tabell 5.2'!Z69+'Tabell 5.2'!Z81+'Tabell 5.2'!Z117</f>
        <v>78.222258450105173</v>
      </c>
      <c r="AA47" s="658">
        <f>'Tabell 5.1'!AA21+'Tabell 5.1'!AA33+'Tabell 5.1'!AA45+'Tabell 5.1'!AA57+'Tabell 5.1'!AA71+'Tabell 5.1'!AA83+'Tabell 5.1'!AA95+'Tabell 5.1'!AA107+'Tabell 5.2'!AA21+'Tabell 5.2'!AA33+'Tabell 5.2'!AA45+'Tabell 5.2'!AA57+'Tabell 5.2'!AA93+'Tabell 5.2'!AA105+'Tabell 5.2'!AA131+'Tabell 5.2'!AA143+AA21+AA33+'Tabell 5.2'!AA69+'Tabell 5.2'!AA81+'Tabell 5.2'!AA117</f>
        <v>119.24000000000001</v>
      </c>
      <c r="AB47" s="658">
        <f t="shared" si="35"/>
        <v>52.4</v>
      </c>
      <c r="AC47" s="658">
        <f>'Tabell 5.1'!AC21+'Tabell 5.1'!AC33+'Tabell 5.1'!AC45+'Tabell 5.1'!AC57+'Tabell 5.1'!AC71+'Tabell 5.1'!AC83+'Tabell 5.1'!AC95+'Tabell 5.1'!AC107+'Tabell 5.2'!AC21+'Tabell 5.2'!AC33+'Tabell 5.2'!AC45+'Tabell 5.2'!AC57+'Tabell 5.2'!AC93+'Tabell 5.2'!AC105+'Tabell 5.2'!AC131+'Tabell 5.2'!AC143+AC21+AC33+'Tabell 5.2'!AC69+'Tabell 5.2'!AC81+'Tabell 5.2'!AC117</f>
        <v>309</v>
      </c>
      <c r="AD47" s="658">
        <f>'Tabell 5.1'!AD21+'Tabell 5.1'!AD33+'Tabell 5.1'!AD45+'Tabell 5.1'!AD57+'Tabell 5.1'!AD71+'Tabell 5.1'!AD83+'Tabell 5.1'!AD95+'Tabell 5.1'!AD107+'Tabell 5.2'!AD21+'Tabell 5.2'!AD33+'Tabell 5.2'!AD45+'Tabell 5.2'!AD57+'Tabell 5.2'!AD93+'Tabell 5.2'!AD105+'Tabell 5.2'!AD131+'Tabell 5.2'!AD143+AD21+AD33+'Tabell 5.2'!AD69+'Tabell 5.2'!AD81+'Tabell 5.2'!AD117</f>
        <v>3765</v>
      </c>
      <c r="AE47" s="658">
        <f t="shared" si="36"/>
        <v>999</v>
      </c>
      <c r="AF47" s="909">
        <f>'[2]Tabell 5.1'!AF21+'[2]Tabell 5.1'!AF33+'[2]Tabell 5.1'!AF45+'[2]Tabell 5.1'!AF57+'[2]Tabell 5.1'!AF71+'[2]Tabell 5.1'!AF83+'[2]Tabell 5.1'!AF95+'[2]Tabell 5.1'!AF107+'[2]Tabell 5.2'!AF21+'[2]Tabell 5.2'!AF33+'[2]Tabell 5.2'!AF45+'[2]Tabell 5.2'!AF57+'[2]Tabell 5.2'!AF93+'[2]Tabell 5.2'!AF105+'[2]Tabell 5.2'!AF131+'[2]Tabell 5.2'!AF143+AF21+AF33+'[2]Tabell 5.2'!AF69+'[2]Tabell 5.2'!AF81+'[2]Tabell 5.2'!AF117</f>
        <v>0</v>
      </c>
      <c r="AG47" s="910">
        <f>'[2]Tabell 5.1'!AG21+'[2]Tabell 5.1'!AG33+'[2]Tabell 5.1'!AG45+'[2]Tabell 5.1'!AG57+'[2]Tabell 5.1'!AG71+'[2]Tabell 5.1'!AG83+'[2]Tabell 5.1'!AG95+'[2]Tabell 5.1'!AG107+'[2]Tabell 5.2'!AG21+'[2]Tabell 5.2'!AG33+'[2]Tabell 5.2'!AG45+'[2]Tabell 5.2'!AG57+'[2]Tabell 5.2'!AG93+'[2]Tabell 5.2'!AG105+'[2]Tabell 5.2'!AG131+'[2]Tabell 5.2'!AG143+AG21+AG33+'[2]Tabell 5.2'!AG69+'[2]Tabell 5.2'!AG81+'[2]Tabell 5.2'!AG117</f>
        <v>0</v>
      </c>
      <c r="AH47" s="658" t="str">
        <f t="shared" si="37"/>
        <v xml:space="preserve">    ---- </v>
      </c>
      <c r="AI47" s="658">
        <f>'Tabell 5.1'!AI21+'Tabell 5.1'!AI33+'Tabell 5.1'!AI45+'Tabell 5.1'!AI57+'Tabell 5.1'!AI71+'Tabell 5.1'!AI83+'Tabell 5.1'!AI95+'Tabell 5.1'!AI107+'Tabell 5.2'!AI21+'Tabell 5.2'!AI33+'Tabell 5.2'!AI45+'Tabell 5.2'!AI57+'Tabell 5.2'!AI93+'Tabell 5.2'!AI105+'Tabell 5.2'!AI131+'Tabell 5.2'!AI143+AI21+AI33+'Tabell 5.2'!AI69+'Tabell 5.2'!AI81+'Tabell 5.2'!AI117</f>
        <v>641</v>
      </c>
      <c r="AJ47" s="658">
        <f>'Tabell 5.1'!AJ21+'Tabell 5.1'!AJ33+'Tabell 5.1'!AJ45+'Tabell 5.1'!AJ57+'Tabell 5.1'!AJ71+'Tabell 5.1'!AJ83+'Tabell 5.1'!AJ95+'Tabell 5.1'!AJ107+'Tabell 5.2'!AJ21+'Tabell 5.2'!AJ33+'Tabell 5.2'!AJ45+'Tabell 5.2'!AJ57+'Tabell 5.2'!AJ93+'Tabell 5.2'!AJ105+'Tabell 5.2'!AJ131+'Tabell 5.2'!AJ143+AJ21+AJ33+'Tabell 5.2'!AJ69+'Tabell 5.2'!AJ81+'Tabell 5.2'!AJ117</f>
        <v>111</v>
      </c>
      <c r="AK47" s="658">
        <f t="shared" si="38"/>
        <v>-82.7</v>
      </c>
      <c r="AL47" s="909">
        <v>438</v>
      </c>
      <c r="AM47" s="658">
        <f>'Tabell 5.1'!AM21+'Tabell 5.1'!AM33+'Tabell 5.1'!AM45+'Tabell 5.1'!AM57+'Tabell 5.1'!AM71+'Tabell 5.1'!AM83+'Tabell 5.1'!AM95+'Tabell 5.1'!AM107+'Tabell 5.2'!AM21+'Tabell 5.2'!AM33+'Tabell 5.2'!AM45+'Tabell 5.2'!AM57+'Tabell 5.2'!AM93+'Tabell 5.2'!AM105+'Tabell 5.2'!AM131+'Tabell 5.2'!AM143+AM21+AM33+'Tabell 5.2'!AM69+'Tabell 5.2'!AM81+'Tabell 5.2'!AM117</f>
        <v>704.81999999999994</v>
      </c>
      <c r="AN47" s="658">
        <f t="shared" si="39"/>
        <v>60.9</v>
      </c>
      <c r="AO47" s="658">
        <f t="shared" si="40"/>
        <v>28558.520838680102</v>
      </c>
      <c r="AP47" s="658">
        <f t="shared" si="41"/>
        <v>25153.579425966604</v>
      </c>
      <c r="AQ47" s="658">
        <f t="shared" si="42"/>
        <v>-11.9</v>
      </c>
      <c r="AR47" s="616">
        <f t="shared" si="43"/>
        <v>28558.520838680102</v>
      </c>
      <c r="AS47" s="616">
        <f t="shared" si="44"/>
        <v>25153.579425966604</v>
      </c>
      <c r="AT47" s="659">
        <f t="shared" si="45"/>
        <v>-11.9</v>
      </c>
      <c r="AU47" s="694"/>
      <c r="AV47" s="641"/>
      <c r="AW47" s="636"/>
      <c r="AX47" s="636"/>
    </row>
    <row r="48" spans="1:50" s="660" customFormat="1" ht="18.75" customHeight="1" x14ac:dyDescent="0.3">
      <c r="A48" s="620" t="s">
        <v>376</v>
      </c>
      <c r="B48" s="676">
        <f>'Tabell 5.1'!B22+'Tabell 5.1'!B34+'Tabell 5.1'!B46+'Tabell 5.1'!B58+'Tabell 5.1'!B72+'Tabell 5.1'!B84+'Tabell 5.1'!B96+'Tabell 5.1'!B108+'Tabell 5.2'!B22+'Tabell 5.2'!B34+'Tabell 5.2'!B46+'Tabell 5.2'!B58+'Tabell 5.2'!B94+'Tabell 5.2'!B106+'Tabell 5.2'!B132+'Tabell 5.2'!B144+B22+B34+'Tabell 5.2'!B70+'Tabell 5.2'!B82+'Tabell 5.2'!B118</f>
        <v>162.18</v>
      </c>
      <c r="C48" s="676">
        <f>'Tabell 5.1'!C22+'Tabell 5.1'!C34+'Tabell 5.1'!C46+'Tabell 5.1'!C58+'Tabell 5.1'!C72+'Tabell 5.1'!C84+'Tabell 5.1'!C96+'Tabell 5.1'!C108+'Tabell 5.2'!C22+'Tabell 5.2'!C34+'Tabell 5.2'!C46+'Tabell 5.2'!C58+'Tabell 5.2'!C94+'Tabell 5.2'!C106+'Tabell 5.2'!C132+'Tabell 5.2'!C144+C22+C34+'Tabell 5.2'!C70+'Tabell 5.2'!C82+'Tabell 5.2'!C118</f>
        <v>104.23899999999998</v>
      </c>
      <c r="D48" s="675">
        <f t="shared" si="27"/>
        <v>-35.700000000000003</v>
      </c>
      <c r="E48" s="676">
        <f>'Tabell 5.1'!E22+'Tabell 5.1'!E34+'Tabell 5.1'!E46+'Tabell 5.1'!E58+'Tabell 5.1'!E72+'Tabell 5.1'!E84+'Tabell 5.1'!E96+'Tabell 5.1'!E108+'Tabell 5.2'!E22+'Tabell 5.2'!E34+'Tabell 5.2'!E46+'Tabell 5.2'!E58+'Tabell 5.2'!E94+'Tabell 5.2'!E106+'Tabell 5.2'!E132+'Tabell 5.2'!E144+E22+E34+'Tabell 5.2'!E70+'Tabell 5.2'!E82+'Tabell 5.2'!E118</f>
        <v>-27</v>
      </c>
      <c r="F48" s="676">
        <f>'Tabell 5.1'!F22+'Tabell 5.1'!F34+'Tabell 5.1'!F46+'Tabell 5.1'!F58+'Tabell 5.1'!F72+'Tabell 5.1'!F84+'Tabell 5.1'!F96+'Tabell 5.1'!F108+'Tabell 5.2'!F22+'Tabell 5.2'!F34+'Tabell 5.2'!F46+'Tabell 5.2'!F58+'Tabell 5.2'!F94+'Tabell 5.2'!F106+'Tabell 5.2'!F132+'Tabell 5.2'!F144+F22+F34+'Tabell 5.2'!F70+'Tabell 5.2'!F82+'Tabell 5.2'!F118</f>
        <v>-66</v>
      </c>
      <c r="G48" s="675">
        <f t="shared" si="28"/>
        <v>144.4</v>
      </c>
      <c r="H48" s="676">
        <f>'Tabell 5.1'!H22+'Tabell 5.1'!H34+'Tabell 5.1'!H46+'Tabell 5.1'!H58+'Tabell 5.1'!H72+'Tabell 5.1'!H84+'Tabell 5.1'!H96+'Tabell 5.1'!H108+'Tabell 5.2'!H22+'Tabell 5.2'!H34+'Tabell 5.2'!H46+'Tabell 5.2'!H58+'Tabell 5.2'!H94+'Tabell 5.2'!H106+'Tabell 5.2'!H132+'Tabell 5.2'!H144+H22+H34+'Tabell 5.2'!H70+'Tabell 5.2'!H82+'Tabell 5.2'!H118</f>
        <v>1219.0489999999998</v>
      </c>
      <c r="I48" s="676">
        <f>'Tabell 5.1'!I22+'Tabell 5.1'!I34+'Tabell 5.1'!I46+'Tabell 5.1'!I58+'Tabell 5.1'!I72+'Tabell 5.1'!I84+'Tabell 5.1'!I96+'Tabell 5.1'!I108+'Tabell 5.2'!I22+'Tabell 5.2'!I34+'Tabell 5.2'!I46+'Tabell 5.2'!I58+'Tabell 5.2'!I94+'Tabell 5.2'!I106+'Tabell 5.2'!I132+'Tabell 5.2'!I144+I22+I34+'Tabell 5.2'!I70+'Tabell 5.2'!I82+'Tabell 5.2'!I118</f>
        <v>1033.3000000000002</v>
      </c>
      <c r="J48" s="675">
        <f t="shared" si="29"/>
        <v>-15.2</v>
      </c>
      <c r="K48" s="676"/>
      <c r="L48" s="676">
        <f>'Tabell 5.1'!L22+'Tabell 5.1'!L34+'Tabell 5.1'!L46+'Tabell 5.1'!L58+'Tabell 5.1'!L72+'Tabell 5.1'!L84+'Tabell 5.1'!L96+'Tabell 5.1'!L108+'Tabell 5.2'!L22+'Tabell 5.2'!L34+'Tabell 5.2'!L46+'Tabell 5.2'!L58+'Tabell 5.2'!L94+'Tabell 5.2'!L106+'Tabell 5.2'!L132+'Tabell 5.2'!L144+L22+L34+'Tabell 5.2'!L70+'Tabell 5.2'!L82+'Tabell 5.2'!L118</f>
        <v>297</v>
      </c>
      <c r="M48" s="675" t="str">
        <f t="shared" si="30"/>
        <v xml:space="preserve">    ---- </v>
      </c>
      <c r="N48" s="676">
        <f>'Tabell 5.1'!N22+'Tabell 5.1'!N34+'Tabell 5.1'!N46+'Tabell 5.1'!N58+'Tabell 5.1'!N72+'Tabell 5.1'!N84+'Tabell 5.1'!N96+'Tabell 5.1'!N108+'Tabell 5.2'!N22+'Tabell 5.2'!N34+'Tabell 5.2'!N46+'Tabell 5.2'!N58+'Tabell 5.2'!N94+'Tabell 5.2'!N106+'Tabell 5.2'!N132+'Tabell 5.2'!N144+N22+N34+'Tabell 5.2'!N70+'Tabell 5.2'!N82+'Tabell 5.2'!N118</f>
        <v>158.03700000000001</v>
      </c>
      <c r="O48" s="676">
        <f>'Tabell 5.1'!O22+'Tabell 5.1'!O34+'Tabell 5.1'!O46+'Tabell 5.1'!O58+'Tabell 5.1'!O72+'Tabell 5.1'!O84+'Tabell 5.1'!O96+'Tabell 5.1'!O108+'Tabell 5.2'!O22+'Tabell 5.2'!O34+'Tabell 5.2'!O46+'Tabell 5.2'!O58+'Tabell 5.2'!O94+'Tabell 5.2'!O106+'Tabell 5.2'!O132+'Tabell 5.2'!O144+O22+O34+'Tabell 5.2'!O70+'Tabell 5.2'!O82+'Tabell 5.2'!O118</f>
        <v>354.31899999999996</v>
      </c>
      <c r="P48" s="675">
        <f t="shared" si="31"/>
        <v>124.2</v>
      </c>
      <c r="Q48" s="676">
        <f>'Tabell 5.1'!Q22+'Tabell 5.1'!Q34+'Tabell 5.1'!Q46+'Tabell 5.1'!Q58+'Tabell 5.1'!Q72+'Tabell 5.1'!Q84+'Tabell 5.1'!Q96+'Tabell 5.1'!Q108+'Tabell 5.2'!Q22+'Tabell 5.2'!Q34+'Tabell 5.2'!Q46+'Tabell 5.2'!Q58+'Tabell 5.2'!Q94+'Tabell 5.2'!Q106+'Tabell 5.2'!Q132+'Tabell 5.2'!Q144+Q22+Q34+'Tabell 5.2'!Q70+'Tabell 5.2'!Q82+'Tabell 5.2'!Q118</f>
        <v>192.6</v>
      </c>
      <c r="R48" s="676">
        <f>'Tabell 5.1'!R22+'Tabell 5.1'!R34+'Tabell 5.1'!R46+'Tabell 5.1'!R58+'Tabell 5.1'!R72+'Tabell 5.1'!R84+'Tabell 5.1'!R96+'Tabell 5.1'!R108+'Tabell 5.2'!R22+'Tabell 5.2'!R34+'Tabell 5.2'!R46+'Tabell 5.2'!R58+'Tabell 5.2'!R94+'Tabell 5.2'!R106+'Tabell 5.2'!R132+'Tabell 5.2'!R144+R22+R34+'Tabell 5.2'!R70+'Tabell 5.2'!R82+'Tabell 5.2'!R118</f>
        <v>160.6</v>
      </c>
      <c r="S48" s="675">
        <f t="shared" si="32"/>
        <v>-16.600000000000001</v>
      </c>
      <c r="T48" s="676">
        <f>'Tabell 5.1'!T22+'Tabell 5.1'!T34+'Tabell 5.1'!T46+'Tabell 5.1'!T58+'Tabell 5.1'!T72+'Tabell 5.1'!T84+'Tabell 5.1'!T96+'Tabell 5.1'!T108+'Tabell 5.2'!T22+'Tabell 5.2'!T34+'Tabell 5.2'!T46+'Tabell 5.2'!T58+'Tabell 5.2'!T94+'Tabell 5.2'!T106+'Tabell 5.2'!T132+'Tabell 5.2'!T144+T22+T34+'Tabell 5.2'!T70+'Tabell 5.2'!T82+'Tabell 5.2'!T118</f>
        <v>5.736517274839871</v>
      </c>
      <c r="U48" s="676">
        <f>'Tabell 5.1'!U22+'Tabell 5.1'!U34+'Tabell 5.1'!U46+'Tabell 5.1'!U58+'Tabell 5.1'!U72+'Tabell 5.1'!U84+'Tabell 5.1'!U96+'Tabell 5.1'!U108+'Tabell 5.2'!U22+'Tabell 5.2'!U34+'Tabell 5.2'!U46+'Tabell 5.2'!U58+'Tabell 5.2'!U94+'Tabell 5.2'!U106+'Tabell 5.2'!U132+'Tabell 5.2'!U144+U22+U34+'Tabell 5.2'!U70+'Tabell 5.2'!U82+'Tabell 5.2'!U118</f>
        <v>13.7</v>
      </c>
      <c r="V48" s="675">
        <f t="shared" si="33"/>
        <v>138.80000000000001</v>
      </c>
      <c r="W48" s="676">
        <f>'Tabell 5.1'!W22+'Tabell 5.1'!W34+'Tabell 5.1'!W46+'Tabell 5.1'!W58+'Tabell 5.1'!W72+'Tabell 5.1'!W84+'Tabell 5.1'!W96+'Tabell 5.1'!W108+'Tabell 5.2'!W22+'Tabell 5.2'!W34+'Tabell 5.2'!W46+'Tabell 5.2'!W58+'Tabell 5.2'!W94+'Tabell 5.2'!W106+'Tabell 5.2'!W132+'Tabell 5.2'!W144+W22+W34+'Tabell 5.2'!W70+'Tabell 5.2'!W82+'Tabell 5.2'!W118</f>
        <v>1469.56206145584</v>
      </c>
      <c r="X48" s="676">
        <f>'Tabell 5.1'!X22+'Tabell 5.1'!X34+'Tabell 5.1'!X46+'Tabell 5.1'!X58+'Tabell 5.1'!X72+'Tabell 5.1'!X84+'Tabell 5.1'!X96+'Tabell 5.1'!X108+'Tabell 5.2'!X22+'Tabell 5.2'!X34+'Tabell 5.2'!X46+'Tabell 5.2'!X58+'Tabell 5.2'!X94+'Tabell 5.2'!X106+'Tabell 5.2'!X132+'Tabell 5.2'!X144+X22+X34+'Tabell 5.2'!X70+'Tabell 5.2'!X82+'Tabell 5.2'!X118</f>
        <v>526.60894853366437</v>
      </c>
      <c r="Y48" s="675">
        <f t="shared" si="34"/>
        <v>-64.2</v>
      </c>
      <c r="Z48" s="676">
        <f>'Tabell 5.1'!Z22+'Tabell 5.1'!Z34+'Tabell 5.1'!Z46+'Tabell 5.1'!Z58+'Tabell 5.1'!Z72+'Tabell 5.1'!Z84+'Tabell 5.1'!Z96+'Tabell 5.1'!Z108+'Tabell 5.2'!Z22+'Tabell 5.2'!Z34+'Tabell 5.2'!Z46+'Tabell 5.2'!Z58+'Tabell 5.2'!Z94+'Tabell 5.2'!Z106+'Tabell 5.2'!Z132+'Tabell 5.2'!Z144+Z22+Z34+'Tabell 5.2'!Z70+'Tabell 5.2'!Z82+'Tabell 5.2'!Z118</f>
        <v>642.58632265326241</v>
      </c>
      <c r="AA48" s="676">
        <f>'Tabell 5.1'!AA22+'Tabell 5.1'!AA34+'Tabell 5.1'!AA46+'Tabell 5.1'!AA58+'Tabell 5.1'!AA72+'Tabell 5.1'!AA84+'Tabell 5.1'!AA96+'Tabell 5.1'!AA108+'Tabell 5.2'!AA22+'Tabell 5.2'!AA34+'Tabell 5.2'!AA46+'Tabell 5.2'!AA58+'Tabell 5.2'!AA94+'Tabell 5.2'!AA106+'Tabell 5.2'!AA132+'Tabell 5.2'!AA144+AA22+AA34+'Tabell 5.2'!AA70+'Tabell 5.2'!AA82+'Tabell 5.2'!AA118</f>
        <v>662.59000000000015</v>
      </c>
      <c r="AB48" s="675">
        <f t="shared" si="35"/>
        <v>3.1</v>
      </c>
      <c r="AC48" s="676">
        <f>'Tabell 5.1'!AC22+'Tabell 5.1'!AC34+'Tabell 5.1'!AC46+'Tabell 5.1'!AC58+'Tabell 5.1'!AC72+'Tabell 5.1'!AC84+'Tabell 5.1'!AC96+'Tabell 5.1'!AC108+'Tabell 5.2'!AC22+'Tabell 5.2'!AC34+'Tabell 5.2'!AC46+'Tabell 5.2'!AC58+'Tabell 5.2'!AC94+'Tabell 5.2'!AC106+'Tabell 5.2'!AC132+'Tabell 5.2'!AC144+AC22+AC34+'Tabell 5.2'!AC70+'Tabell 5.2'!AC82+'Tabell 5.2'!AC118</f>
        <v>1019</v>
      </c>
      <c r="AD48" s="676">
        <f>'Tabell 5.1'!AD22+'Tabell 5.1'!AD34+'Tabell 5.1'!AD46+'Tabell 5.1'!AD58+'Tabell 5.1'!AD72+'Tabell 5.1'!AD84+'Tabell 5.1'!AD96+'Tabell 5.1'!AD108+'Tabell 5.2'!AD22+'Tabell 5.2'!AD34+'Tabell 5.2'!AD46+'Tabell 5.2'!AD58+'Tabell 5.2'!AD94+'Tabell 5.2'!AD106+'Tabell 5.2'!AD132+'Tabell 5.2'!AD144+AD22+AD34+'Tabell 5.2'!AD70+'Tabell 5.2'!AD82+'Tabell 5.2'!AD118</f>
        <v>1128</v>
      </c>
      <c r="AE48" s="675">
        <f t="shared" si="36"/>
        <v>10.7</v>
      </c>
      <c r="AF48" s="917">
        <f>'[2]Tabell 5.1'!AF22+'[2]Tabell 5.1'!AF34+'[2]Tabell 5.1'!AF46+'[2]Tabell 5.1'!AF58+'[2]Tabell 5.1'!AF72+'[2]Tabell 5.1'!AF84+'[2]Tabell 5.1'!AF96+'[2]Tabell 5.1'!AF108+'[2]Tabell 5.2'!AF22+'[2]Tabell 5.2'!AF34+'[2]Tabell 5.2'!AF46+'[2]Tabell 5.2'!AF58+'[2]Tabell 5.2'!AF94+'[2]Tabell 5.2'!AF106+'[2]Tabell 5.2'!AF132+'[2]Tabell 5.2'!AF144+AF22+AF34+'[2]Tabell 5.2'!AF70+'[2]Tabell 5.2'!AF82+'[2]Tabell 5.2'!AF118</f>
        <v>12.429814796239629</v>
      </c>
      <c r="AG48" s="918">
        <f>'[2]Tabell 5.1'!AG22+'[2]Tabell 5.1'!AG34+'[2]Tabell 5.1'!AG46+'[2]Tabell 5.1'!AG58+'[2]Tabell 5.1'!AG72+'[2]Tabell 5.1'!AG84+'[2]Tabell 5.1'!AG96+'[2]Tabell 5.1'!AG108+'[2]Tabell 5.2'!AG22+'[2]Tabell 5.2'!AG34+'[2]Tabell 5.2'!AG46+'[2]Tabell 5.2'!AG58+'[2]Tabell 5.2'!AG94+'[2]Tabell 5.2'!AG106+'[2]Tabell 5.2'!AG132+'[2]Tabell 5.2'!AG144+AG22+AG34+'[2]Tabell 5.2'!AG70+'[2]Tabell 5.2'!AG82+'[2]Tabell 5.2'!AG118</f>
        <v>14</v>
      </c>
      <c r="AH48" s="675">
        <f t="shared" si="37"/>
        <v>12.6</v>
      </c>
      <c r="AI48" s="676">
        <f>'Tabell 5.1'!AI22+'Tabell 5.1'!AI34+'Tabell 5.1'!AI46+'Tabell 5.1'!AI58+'Tabell 5.1'!AI72+'Tabell 5.1'!AI84+'Tabell 5.1'!AI96+'Tabell 5.1'!AI108+'Tabell 5.2'!AI22+'Tabell 5.2'!AI34+'Tabell 5.2'!AI46+'Tabell 5.2'!AI58+'Tabell 5.2'!AI94+'Tabell 5.2'!AI106+'Tabell 5.2'!AI132+'Tabell 5.2'!AI144+AI22+AI34+'Tabell 5.2'!AI70+'Tabell 5.2'!AI82+'Tabell 5.2'!AI118</f>
        <v>375</v>
      </c>
      <c r="AJ48" s="676">
        <f>'Tabell 5.1'!AJ22+'Tabell 5.1'!AJ34+'Tabell 5.1'!AJ46+'Tabell 5.1'!AJ58+'Tabell 5.1'!AJ72+'Tabell 5.1'!AJ84+'Tabell 5.1'!AJ96+'Tabell 5.1'!AJ108+'Tabell 5.2'!AJ22+'Tabell 5.2'!AJ34+'Tabell 5.2'!AJ46+'Tabell 5.2'!AJ58+'Tabell 5.2'!AJ94+'Tabell 5.2'!AJ106+'Tabell 5.2'!AJ132+'Tabell 5.2'!AJ144+AJ22+AJ34+'Tabell 5.2'!AJ70+'Tabell 5.2'!AJ82+'Tabell 5.2'!AJ118</f>
        <v>89</v>
      </c>
      <c r="AK48" s="675">
        <f t="shared" si="38"/>
        <v>-76.3</v>
      </c>
      <c r="AL48" s="917">
        <v>1180</v>
      </c>
      <c r="AM48" s="676">
        <f>'Tabell 5.1'!AM22+'Tabell 5.1'!AM34+'Tabell 5.1'!AM46+'Tabell 5.1'!AM58+'Tabell 5.1'!AM72+'Tabell 5.1'!AM84+'Tabell 5.1'!AM96+'Tabell 5.1'!AM108+'Tabell 5.2'!AM22+'Tabell 5.2'!AM34+'Tabell 5.2'!AM46+'Tabell 5.2'!AM58+'Tabell 5.2'!AM94+'Tabell 5.2'!AM106+'Tabell 5.2'!AM132+'Tabell 5.2'!AM144+AM22+AM34+'Tabell 5.2'!AM70+'Tabell 5.2'!AM82+'Tabell 5.2'!AM118</f>
        <v>807.39</v>
      </c>
      <c r="AN48" s="675">
        <f t="shared" si="39"/>
        <v>-31.6</v>
      </c>
      <c r="AO48" s="676">
        <f t="shared" si="40"/>
        <v>6391.0143841091021</v>
      </c>
      <c r="AP48" s="676">
        <f t="shared" si="41"/>
        <v>5097.0469485336644</v>
      </c>
      <c r="AQ48" s="675">
        <f t="shared" si="42"/>
        <v>-20.2</v>
      </c>
      <c r="AR48" s="624">
        <f t="shared" si="43"/>
        <v>6409.1807161801826</v>
      </c>
      <c r="AS48" s="624">
        <f t="shared" si="44"/>
        <v>5124.7469485336651</v>
      </c>
      <c r="AT48" s="676">
        <f t="shared" si="45"/>
        <v>-20</v>
      </c>
      <c r="AU48" s="694"/>
      <c r="AV48" s="641"/>
      <c r="AW48" s="636"/>
      <c r="AX48" s="636"/>
    </row>
    <row r="49" spans="1:50" s="678" customFormat="1" ht="18.75" customHeight="1" x14ac:dyDescent="0.3">
      <c r="A49" s="636" t="s">
        <v>250</v>
      </c>
      <c r="B49" s="581"/>
      <c r="C49" s="677"/>
      <c r="D49" s="677"/>
      <c r="E49" s="636"/>
      <c r="F49" s="636"/>
      <c r="G49" s="636"/>
      <c r="H49" s="677"/>
      <c r="I49" s="677"/>
      <c r="J49" s="677"/>
      <c r="K49" s="641"/>
      <c r="L49" s="636"/>
      <c r="M49" s="636"/>
      <c r="N49" s="641"/>
      <c r="O49" s="636"/>
      <c r="P49" s="636"/>
      <c r="R49" s="636"/>
      <c r="S49" s="636"/>
      <c r="U49" s="636"/>
      <c r="V49" s="636"/>
      <c r="W49" s="636"/>
      <c r="X49" s="636"/>
      <c r="Y49" s="636"/>
      <c r="Z49" s="636"/>
      <c r="AA49" s="636"/>
      <c r="AB49" s="636"/>
      <c r="AC49" s="636"/>
      <c r="AD49" s="636"/>
      <c r="AE49" s="636"/>
      <c r="AF49" s="636"/>
      <c r="AG49" s="636"/>
      <c r="AH49" s="636"/>
      <c r="AI49" s="636"/>
      <c r="AJ49" s="636"/>
      <c r="AK49" s="636"/>
      <c r="AL49" s="636"/>
      <c r="AM49" s="636"/>
      <c r="AN49" s="636"/>
      <c r="AO49" s="636"/>
      <c r="AP49" s="636"/>
      <c r="AQ49" s="636"/>
      <c r="AR49" s="641"/>
      <c r="AS49" s="641"/>
      <c r="AT49" s="641"/>
      <c r="AU49" s="679"/>
      <c r="AV49" s="680"/>
      <c r="AW49" s="679"/>
      <c r="AX49" s="679"/>
    </row>
    <row r="50" spans="1:50" s="678" customFormat="1" ht="18.75" x14ac:dyDescent="0.3">
      <c r="A50" s="679"/>
      <c r="B50" s="677"/>
      <c r="C50" s="677"/>
      <c r="D50" s="677"/>
      <c r="E50" s="679"/>
      <c r="F50" s="679"/>
      <c r="G50" s="679"/>
      <c r="H50" s="677"/>
      <c r="I50" s="677"/>
      <c r="J50" s="677"/>
      <c r="K50" s="680"/>
      <c r="L50" s="679"/>
      <c r="M50" s="679"/>
      <c r="N50" s="680"/>
      <c r="O50" s="679"/>
      <c r="P50" s="679"/>
      <c r="Q50" s="679"/>
      <c r="R50" s="679"/>
      <c r="S50" s="679"/>
      <c r="T50" s="679"/>
      <c r="U50" s="679"/>
      <c r="V50" s="679"/>
      <c r="W50" s="679"/>
      <c r="X50" s="679"/>
      <c r="Y50" s="679"/>
      <c r="Z50" s="679"/>
      <c r="AA50" s="679"/>
      <c r="AB50" s="679"/>
      <c r="AC50" s="679"/>
      <c r="AD50" s="679"/>
      <c r="AE50" s="679"/>
      <c r="AF50" s="679"/>
      <c r="AG50" s="679"/>
      <c r="AH50" s="679"/>
      <c r="AI50" s="679"/>
      <c r="AJ50" s="679"/>
      <c r="AK50" s="679"/>
      <c r="AL50" s="679"/>
      <c r="AM50" s="679"/>
      <c r="AN50" s="679"/>
      <c r="AO50" s="679"/>
      <c r="AP50" s="679"/>
      <c r="AQ50" s="679"/>
      <c r="AR50" s="679"/>
      <c r="AS50" s="679"/>
      <c r="AT50" s="679"/>
      <c r="AU50" s="679"/>
      <c r="AV50" s="680"/>
      <c r="AW50" s="679"/>
      <c r="AX50" s="679"/>
    </row>
    <row r="51" spans="1:50" s="678" customFormat="1" ht="18.75" x14ac:dyDescent="0.3">
      <c r="A51" s="679"/>
      <c r="B51" s="677"/>
      <c r="C51" s="677"/>
      <c r="D51" s="677"/>
      <c r="E51" s="679"/>
      <c r="F51" s="679"/>
      <c r="G51" s="679"/>
      <c r="H51" s="677"/>
      <c r="I51" s="677"/>
      <c r="J51" s="677"/>
      <c r="K51" s="680"/>
      <c r="L51" s="679"/>
      <c r="M51" s="679"/>
      <c r="N51" s="680"/>
      <c r="O51" s="679"/>
      <c r="P51" s="679"/>
      <c r="Q51" s="679"/>
      <c r="R51" s="679"/>
      <c r="S51" s="679"/>
      <c r="T51" s="679"/>
      <c r="U51" s="679"/>
      <c r="V51" s="679"/>
      <c r="W51" s="679"/>
      <c r="X51" s="679"/>
      <c r="Y51" s="679"/>
      <c r="Z51" s="679"/>
      <c r="AA51" s="679"/>
      <c r="AB51" s="679"/>
      <c r="AC51" s="679"/>
      <c r="AD51" s="679"/>
      <c r="AE51" s="679"/>
      <c r="AF51" s="679"/>
      <c r="AG51" s="679"/>
      <c r="AH51" s="679"/>
      <c r="AI51" s="679"/>
      <c r="AJ51" s="679"/>
      <c r="AK51" s="679"/>
      <c r="AL51" s="679"/>
      <c r="AM51" s="679"/>
      <c r="AN51" s="679"/>
      <c r="AO51" s="679"/>
      <c r="AP51" s="679"/>
      <c r="AQ51" s="679"/>
      <c r="AR51" s="679"/>
      <c r="AS51" s="679"/>
      <c r="AT51" s="679"/>
      <c r="AU51" s="679"/>
      <c r="AV51" s="680"/>
      <c r="AW51" s="679"/>
      <c r="AX51" s="679"/>
    </row>
    <row r="52" spans="1:50" s="678" customFormat="1" ht="18.75" x14ac:dyDescent="0.3">
      <c r="A52" s="679"/>
      <c r="B52" s="697"/>
      <c r="C52" s="677"/>
      <c r="D52" s="677"/>
      <c r="E52" s="679"/>
      <c r="F52" s="679"/>
      <c r="G52" s="679"/>
      <c r="H52" s="677"/>
      <c r="I52" s="677"/>
      <c r="J52" s="677"/>
      <c r="K52" s="680"/>
      <c r="L52" s="679"/>
      <c r="M52" s="679"/>
      <c r="N52" s="680"/>
      <c r="O52" s="679"/>
      <c r="P52" s="679"/>
      <c r="Q52" s="679"/>
      <c r="R52" s="679"/>
      <c r="S52" s="679"/>
      <c r="T52" s="679"/>
      <c r="U52" s="679"/>
      <c r="V52" s="679"/>
      <c r="W52" s="679"/>
      <c r="X52" s="679"/>
      <c r="Y52" s="679"/>
      <c r="Z52" s="679"/>
      <c r="AA52" s="679"/>
      <c r="AB52" s="679"/>
      <c r="AC52" s="679"/>
      <c r="AD52" s="679"/>
      <c r="AE52" s="679"/>
      <c r="AF52" s="679"/>
      <c r="AG52" s="679"/>
      <c r="AH52" s="679"/>
      <c r="AI52" s="679"/>
      <c r="AJ52" s="679"/>
      <c r="AK52" s="679"/>
      <c r="AL52" s="679"/>
      <c r="AM52" s="679"/>
      <c r="AN52" s="679"/>
      <c r="AO52" s="679"/>
      <c r="AP52" s="679"/>
      <c r="AQ52" s="679"/>
      <c r="AR52" s="679"/>
      <c r="AS52" s="679"/>
      <c r="AT52" s="679"/>
      <c r="AU52" s="679"/>
      <c r="AV52" s="680"/>
      <c r="AW52" s="679"/>
      <c r="AX52" s="679"/>
    </row>
    <row r="53" spans="1:50" s="678" customFormat="1" ht="18.75" x14ac:dyDescent="0.3">
      <c r="A53" s="679"/>
      <c r="B53" s="677"/>
      <c r="C53" s="677"/>
      <c r="D53" s="677"/>
      <c r="H53" s="677"/>
      <c r="I53" s="677"/>
      <c r="J53" s="677"/>
      <c r="K53" s="683"/>
      <c r="N53" s="683"/>
      <c r="AV53" s="683"/>
    </row>
    <row r="54" spans="1:50" s="678" customFormat="1" ht="18.75" x14ac:dyDescent="0.3">
      <c r="A54" s="679"/>
      <c r="W54" s="698"/>
      <c r="X54" s="698"/>
      <c r="AV54" s="683"/>
    </row>
    <row r="55" spans="1:50" s="678" customFormat="1" ht="18.75" x14ac:dyDescent="0.3">
      <c r="A55" s="679"/>
      <c r="W55" s="698"/>
      <c r="X55" s="698"/>
      <c r="AV55" s="683"/>
    </row>
    <row r="56" spans="1:50" s="678" customFormat="1" ht="18.75" x14ac:dyDescent="0.3">
      <c r="A56" s="679"/>
      <c r="W56" s="698"/>
      <c r="X56" s="698"/>
      <c r="AV56" s="683"/>
    </row>
    <row r="57" spans="1:50" ht="18.75" x14ac:dyDescent="0.3">
      <c r="A57" s="636"/>
      <c r="W57" s="660"/>
      <c r="X57" s="660"/>
      <c r="AV57" s="685"/>
    </row>
    <row r="58" spans="1:50" ht="18.75" x14ac:dyDescent="0.3">
      <c r="A58" s="636"/>
      <c r="W58" s="660"/>
      <c r="X58" s="660"/>
      <c r="AV58" s="685"/>
    </row>
    <row r="59" spans="1:50" ht="18.75" x14ac:dyDescent="0.3">
      <c r="A59" s="636"/>
      <c r="W59" s="660"/>
      <c r="X59" s="660"/>
      <c r="AV59" s="685"/>
    </row>
    <row r="60" spans="1:50" ht="18.75" x14ac:dyDescent="0.3">
      <c r="A60" s="636"/>
      <c r="W60" s="660"/>
      <c r="X60" s="660"/>
      <c r="AV60" s="685"/>
    </row>
    <row r="61" spans="1:50" ht="18.75" x14ac:dyDescent="0.3">
      <c r="A61" s="636"/>
      <c r="W61" s="660"/>
      <c r="X61" s="660"/>
      <c r="AV61" s="685"/>
    </row>
    <row r="62" spans="1:50" ht="18.75" x14ac:dyDescent="0.3">
      <c r="A62" s="636"/>
      <c r="W62" s="660"/>
      <c r="X62" s="660"/>
      <c r="AV62" s="685"/>
    </row>
    <row r="63" spans="1:50" ht="18.75" x14ac:dyDescent="0.3">
      <c r="A63" s="636"/>
      <c r="W63" s="660"/>
      <c r="X63" s="660"/>
      <c r="AV63" s="685"/>
    </row>
    <row r="64" spans="1:50" ht="18.75" x14ac:dyDescent="0.3">
      <c r="A64" s="636"/>
      <c r="W64" s="660"/>
      <c r="X64" s="660"/>
      <c r="AV64" s="685"/>
    </row>
    <row r="65" spans="1:48" ht="18.75" x14ac:dyDescent="0.3">
      <c r="A65" s="636"/>
      <c r="W65" s="660"/>
      <c r="X65" s="660"/>
      <c r="AV65" s="685"/>
    </row>
    <row r="66" spans="1:48" ht="18.75" x14ac:dyDescent="0.3">
      <c r="A66" s="636"/>
      <c r="W66" s="660"/>
      <c r="X66" s="660"/>
      <c r="AV66" s="685"/>
    </row>
    <row r="67" spans="1:48" ht="18.75" x14ac:dyDescent="0.3">
      <c r="A67" s="636"/>
      <c r="W67" s="660"/>
      <c r="X67" s="660"/>
      <c r="AV67" s="685"/>
    </row>
    <row r="68" spans="1:48" ht="18.75" x14ac:dyDescent="0.3">
      <c r="A68" s="636"/>
      <c r="W68" s="660"/>
      <c r="X68" s="660"/>
      <c r="AV68" s="685"/>
    </row>
    <row r="69" spans="1:48" ht="18.75" x14ac:dyDescent="0.3">
      <c r="A69" s="636"/>
      <c r="W69" s="660"/>
      <c r="X69" s="660"/>
      <c r="AV69" s="685"/>
    </row>
    <row r="70" spans="1:48" ht="18.75" x14ac:dyDescent="0.3">
      <c r="A70" s="636"/>
      <c r="W70" s="660"/>
      <c r="X70" s="660"/>
      <c r="AV70" s="685"/>
    </row>
    <row r="71" spans="1:48" ht="18.75" x14ac:dyDescent="0.3">
      <c r="A71" s="636"/>
      <c r="W71" s="660"/>
      <c r="X71" s="660"/>
      <c r="AV71" s="685"/>
    </row>
    <row r="72" spans="1:48" ht="18.75" x14ac:dyDescent="0.3">
      <c r="A72" s="636"/>
      <c r="W72" s="660"/>
      <c r="X72" s="660"/>
      <c r="AV72" s="685"/>
    </row>
    <row r="73" spans="1:48" ht="18.75" x14ac:dyDescent="0.3">
      <c r="A73" s="636"/>
      <c r="W73" s="660"/>
      <c r="X73" s="660"/>
      <c r="AV73" s="685"/>
    </row>
    <row r="74" spans="1:48" ht="18.75" x14ac:dyDescent="0.3">
      <c r="A74" s="636"/>
      <c r="W74" s="660"/>
      <c r="X74" s="660"/>
      <c r="AV74" s="685"/>
    </row>
    <row r="75" spans="1:48" ht="18.75" x14ac:dyDescent="0.3">
      <c r="A75" s="636"/>
      <c r="W75" s="660"/>
      <c r="X75" s="660"/>
      <c r="AV75" s="685"/>
    </row>
    <row r="76" spans="1:48" ht="18.75" x14ac:dyDescent="0.3">
      <c r="A76" s="636"/>
      <c r="W76" s="660"/>
      <c r="X76" s="660"/>
      <c r="AV76" s="685"/>
    </row>
    <row r="77" spans="1:48" ht="18.75" x14ac:dyDescent="0.3">
      <c r="A77" s="636"/>
      <c r="W77" s="660"/>
      <c r="X77" s="660"/>
      <c r="AV77" s="685"/>
    </row>
    <row r="78" spans="1:48" ht="18.75" x14ac:dyDescent="0.3">
      <c r="A78" s="636"/>
      <c r="W78" s="660"/>
      <c r="X78" s="660"/>
      <c r="AV78" s="685"/>
    </row>
    <row r="79" spans="1:48" ht="18.75" x14ac:dyDescent="0.3">
      <c r="A79" s="636"/>
      <c r="W79" s="660"/>
      <c r="X79" s="660"/>
      <c r="AV79" s="685"/>
    </row>
    <row r="80" spans="1:48" ht="18.75" x14ac:dyDescent="0.3">
      <c r="A80" s="636"/>
      <c r="W80" s="660"/>
      <c r="X80" s="660"/>
      <c r="AV80" s="685"/>
    </row>
    <row r="81" spans="1:48" ht="18.75" x14ac:dyDescent="0.3">
      <c r="A81" s="636"/>
      <c r="W81" s="660"/>
      <c r="X81" s="660"/>
      <c r="AV81" s="685"/>
    </row>
    <row r="82" spans="1:48" ht="18.75" x14ac:dyDescent="0.3">
      <c r="A82" s="636"/>
      <c r="W82" s="660"/>
      <c r="X82" s="660"/>
      <c r="AV82" s="685"/>
    </row>
    <row r="83" spans="1:48" ht="18.75" x14ac:dyDescent="0.3">
      <c r="A83" s="636"/>
      <c r="W83" s="660"/>
      <c r="X83" s="660"/>
      <c r="AV83" s="685"/>
    </row>
    <row r="84" spans="1:48" ht="18.75" x14ac:dyDescent="0.3">
      <c r="A84" s="636"/>
      <c r="W84" s="660"/>
      <c r="X84" s="660"/>
      <c r="AV84" s="685"/>
    </row>
    <row r="85" spans="1:48" ht="18.75" x14ac:dyDescent="0.3">
      <c r="A85" s="636"/>
      <c r="W85" s="660"/>
      <c r="X85" s="660"/>
      <c r="AV85" s="685"/>
    </row>
    <row r="86" spans="1:48" ht="18.75" x14ac:dyDescent="0.3">
      <c r="A86" s="636"/>
      <c r="W86" s="660"/>
      <c r="X86" s="660"/>
      <c r="AV86" s="685"/>
    </row>
    <row r="87" spans="1:48" ht="18.75" x14ac:dyDescent="0.3">
      <c r="A87" s="636"/>
      <c r="W87" s="660"/>
      <c r="X87" s="660"/>
      <c r="AV87" s="685"/>
    </row>
    <row r="88" spans="1:48" ht="18.75" x14ac:dyDescent="0.3">
      <c r="A88" s="636"/>
      <c r="W88" s="660"/>
      <c r="X88" s="660"/>
      <c r="AV88" s="685"/>
    </row>
    <row r="89" spans="1:48" ht="18.75" x14ac:dyDescent="0.3">
      <c r="A89" s="636"/>
      <c r="W89" s="660"/>
      <c r="X89" s="660"/>
      <c r="AV89" s="685"/>
    </row>
    <row r="90" spans="1:48" ht="18.75" x14ac:dyDescent="0.3">
      <c r="A90" s="636"/>
      <c r="W90" s="660"/>
      <c r="X90" s="660"/>
      <c r="AV90" s="685"/>
    </row>
    <row r="91" spans="1:48" ht="18.75" x14ac:dyDescent="0.3">
      <c r="A91" s="636"/>
      <c r="W91" s="660"/>
      <c r="X91" s="660"/>
      <c r="AV91" s="685"/>
    </row>
    <row r="92" spans="1:48" ht="18.75" x14ac:dyDescent="0.3">
      <c r="A92" s="636"/>
      <c r="W92" s="660"/>
      <c r="X92" s="660"/>
      <c r="AV92" s="685"/>
    </row>
    <row r="93" spans="1:48" ht="18.75" x14ac:dyDescent="0.3">
      <c r="A93" s="636"/>
      <c r="W93" s="660"/>
      <c r="X93" s="660"/>
      <c r="AV93" s="685"/>
    </row>
    <row r="94" spans="1:48" ht="18.75" x14ac:dyDescent="0.3">
      <c r="A94" s="636"/>
      <c r="W94" s="660"/>
      <c r="X94" s="660"/>
      <c r="AV94" s="685"/>
    </row>
    <row r="95" spans="1:48" ht="18.75" x14ac:dyDescent="0.3">
      <c r="A95" s="636"/>
      <c r="W95" s="660"/>
      <c r="X95" s="660"/>
      <c r="AV95" s="685"/>
    </row>
    <row r="96" spans="1:48" ht="18.75" x14ac:dyDescent="0.3">
      <c r="A96" s="636"/>
      <c r="W96" s="660"/>
      <c r="X96" s="660"/>
      <c r="AV96" s="685"/>
    </row>
    <row r="97" spans="1:48" ht="18.75" x14ac:dyDescent="0.3">
      <c r="A97" s="636"/>
      <c r="W97" s="660"/>
      <c r="X97" s="660"/>
      <c r="AV97" s="685"/>
    </row>
    <row r="98" spans="1:48" ht="18.75" x14ac:dyDescent="0.3">
      <c r="A98" s="636"/>
      <c r="W98" s="660"/>
      <c r="X98" s="660"/>
      <c r="AV98" s="685"/>
    </row>
    <row r="99" spans="1:48" ht="18.75" x14ac:dyDescent="0.3">
      <c r="A99" s="636"/>
      <c r="W99" s="660"/>
      <c r="X99" s="660"/>
      <c r="AV99" s="685"/>
    </row>
    <row r="100" spans="1:48" ht="18.75" x14ac:dyDescent="0.3">
      <c r="A100" s="636"/>
      <c r="W100" s="660"/>
      <c r="X100" s="660"/>
      <c r="AV100" s="685"/>
    </row>
    <row r="101" spans="1:48" ht="18.75" x14ac:dyDescent="0.3">
      <c r="A101" s="636"/>
      <c r="H101" s="637">
        <v>0</v>
      </c>
      <c r="W101" s="660">
        <v>8021.1680385597992</v>
      </c>
      <c r="X101" s="660"/>
      <c r="AV101" s="685"/>
    </row>
    <row r="102" spans="1:48" ht="18.75" x14ac:dyDescent="0.3">
      <c r="A102" s="636"/>
      <c r="H102" s="637">
        <v>0</v>
      </c>
      <c r="W102" s="660">
        <v>4.3610605525112156</v>
      </c>
      <c r="X102" s="660"/>
      <c r="AV102" s="685"/>
    </row>
    <row r="103" spans="1:48" ht="18.75" x14ac:dyDescent="0.3">
      <c r="A103" s="636"/>
      <c r="H103" s="637">
        <v>-10.638999999999999</v>
      </c>
      <c r="W103" s="660">
        <v>-49.179410697877408</v>
      </c>
      <c r="X103" s="660"/>
      <c r="AV103" s="685"/>
    </row>
    <row r="104" spans="1:48" ht="18.75" x14ac:dyDescent="0.3">
      <c r="A104" s="636"/>
      <c r="H104" s="637">
        <v>0.87009999999999998</v>
      </c>
      <c r="W104" s="660"/>
      <c r="X104" s="660"/>
      <c r="AV104" s="685"/>
    </row>
    <row r="105" spans="1:48" ht="18.75" x14ac:dyDescent="0.3">
      <c r="A105" s="636"/>
      <c r="H105" s="637">
        <v>4.2350000000000003</v>
      </c>
      <c r="W105" s="660">
        <v>683.36542899999995</v>
      </c>
      <c r="X105" s="660"/>
      <c r="AV105" s="685"/>
    </row>
    <row r="106" spans="1:48" ht="18.75" x14ac:dyDescent="0.3">
      <c r="A106" s="636"/>
      <c r="H106" s="637">
        <v>27.494</v>
      </c>
      <c r="W106" s="660">
        <v>784.80863243128704</v>
      </c>
      <c r="X106" s="660"/>
      <c r="AV106" s="685"/>
    </row>
    <row r="107" spans="1:48" ht="18.75" x14ac:dyDescent="0.3">
      <c r="A107" s="636"/>
      <c r="W107" s="660">
        <v>392.40431699999999</v>
      </c>
      <c r="X107" s="660"/>
      <c r="AV107" s="685"/>
    </row>
    <row r="108" spans="1:48" ht="18.75" x14ac:dyDescent="0.3">
      <c r="A108" s="636"/>
      <c r="W108" s="660"/>
      <c r="X108" s="660"/>
      <c r="AV108" s="685"/>
    </row>
    <row r="109" spans="1:48" ht="18.75" x14ac:dyDescent="0.3">
      <c r="A109" s="636"/>
      <c r="H109" s="637">
        <v>21.960100000000001</v>
      </c>
      <c r="W109" s="660">
        <v>9444.5237498457191</v>
      </c>
      <c r="X109" s="660"/>
      <c r="AV109" s="685"/>
    </row>
    <row r="110" spans="1:48" ht="18.75" x14ac:dyDescent="0.3">
      <c r="A110" s="636"/>
      <c r="H110" s="637">
        <v>13.747</v>
      </c>
      <c r="W110" s="660">
        <v>8266.1340353077503</v>
      </c>
      <c r="X110" s="660"/>
      <c r="AV110" s="685"/>
    </row>
    <row r="111" spans="1:48" ht="18.75" x14ac:dyDescent="0.3">
      <c r="A111" s="636"/>
      <c r="H111" s="637">
        <v>8.2140000000000004</v>
      </c>
      <c r="W111" s="660">
        <v>1178.3897145379706</v>
      </c>
      <c r="X111" s="660"/>
      <c r="AV111" s="685"/>
    </row>
    <row r="112" spans="1:48" ht="18.75" x14ac:dyDescent="0.3">
      <c r="A112" s="636"/>
      <c r="W112" s="660"/>
      <c r="X112" s="660"/>
      <c r="AV112" s="685"/>
    </row>
    <row r="113" spans="1:48" ht="18.75" x14ac:dyDescent="0.3">
      <c r="A113" s="636"/>
      <c r="W113" s="660">
        <v>75.069982449999998</v>
      </c>
      <c r="X113" s="660"/>
      <c r="AV113" s="685"/>
    </row>
    <row r="114" spans="1:48" ht="18.75" x14ac:dyDescent="0.3">
      <c r="A114" s="636"/>
      <c r="W114" s="660">
        <v>-5.1040498539805413E-7</v>
      </c>
      <c r="X114" s="660"/>
      <c r="AV114" s="685"/>
    </row>
    <row r="115" spans="1:48" ht="18.75" x14ac:dyDescent="0.3">
      <c r="A115" s="636"/>
      <c r="W115" s="660">
        <v>0.52398130088905714</v>
      </c>
      <c r="X115" s="660"/>
      <c r="AV115" s="685"/>
    </row>
    <row r="116" spans="1:48" ht="18.75" x14ac:dyDescent="0.3">
      <c r="A116" s="636"/>
      <c r="W116" s="660"/>
      <c r="X116" s="660"/>
      <c r="AV116" s="685"/>
    </row>
    <row r="117" spans="1:48" ht="18.75" x14ac:dyDescent="0.3">
      <c r="A117" s="636"/>
      <c r="W117" s="660">
        <v>6.8000999999999996</v>
      </c>
      <c r="X117" s="660"/>
      <c r="AV117" s="685"/>
    </row>
    <row r="118" spans="1:48" ht="18.75" x14ac:dyDescent="0.3">
      <c r="A118" s="636"/>
      <c r="W118" s="660">
        <v>3.4650685687130585</v>
      </c>
      <c r="X118" s="660"/>
      <c r="AV118" s="685"/>
    </row>
    <row r="119" spans="1:48" ht="18.75" x14ac:dyDescent="0.3">
      <c r="A119" s="636"/>
      <c r="W119" s="660">
        <v>1.732534</v>
      </c>
      <c r="X119" s="660"/>
      <c r="AV119" s="685"/>
    </row>
    <row r="120" spans="1:48" ht="18.75" x14ac:dyDescent="0.3">
      <c r="A120" s="636"/>
      <c r="W120" s="660"/>
      <c r="X120" s="660"/>
      <c r="AV120" s="685"/>
    </row>
    <row r="121" spans="1:48" ht="18.75" x14ac:dyDescent="0.3">
      <c r="A121" s="636"/>
      <c r="W121" s="660">
        <v>85.859131809197137</v>
      </c>
      <c r="X121" s="660"/>
      <c r="AV121" s="685"/>
    </row>
    <row r="122" spans="1:48" ht="18.75" x14ac:dyDescent="0.3">
      <c r="A122" s="636"/>
      <c r="W122" s="660">
        <v>76.802516734356502</v>
      </c>
      <c r="X122" s="660"/>
    </row>
    <row r="123" spans="1:48" ht="18.75" x14ac:dyDescent="0.3">
      <c r="A123" s="636"/>
      <c r="W123" s="660">
        <v>9.0566150748406198</v>
      </c>
      <c r="X123" s="660"/>
    </row>
    <row r="124" spans="1:48" ht="18.75" x14ac:dyDescent="0.3">
      <c r="A124" s="636"/>
    </row>
    <row r="125" spans="1:48" ht="18.75" x14ac:dyDescent="0.3">
      <c r="A125" s="636"/>
    </row>
    <row r="126" spans="1:48" ht="18.75" x14ac:dyDescent="0.3">
      <c r="A126" s="636"/>
    </row>
    <row r="127" spans="1:48" ht="18.75" x14ac:dyDescent="0.3">
      <c r="A127" s="636"/>
    </row>
    <row r="128" spans="1:48" ht="18.75" x14ac:dyDescent="0.3">
      <c r="A128" s="636"/>
    </row>
    <row r="129" spans="1:1" ht="18.75" x14ac:dyDescent="0.3">
      <c r="A129" s="636"/>
    </row>
    <row r="130" spans="1:1" ht="18.75" x14ac:dyDescent="0.3">
      <c r="A130" s="636"/>
    </row>
    <row r="131" spans="1:1" ht="18.75" x14ac:dyDescent="0.3">
      <c r="A131" s="636"/>
    </row>
  </sheetData>
  <mergeCells count="27">
    <mergeCell ref="AR6:AT6"/>
    <mergeCell ref="B6:D6"/>
    <mergeCell ref="H6:J6"/>
    <mergeCell ref="N6:P6"/>
    <mergeCell ref="Q6:S6"/>
    <mergeCell ref="T6:V6"/>
    <mergeCell ref="E6:G6"/>
    <mergeCell ref="K6:M6"/>
    <mergeCell ref="AC6:AE6"/>
    <mergeCell ref="AI6:AK6"/>
    <mergeCell ref="AL6:AN6"/>
    <mergeCell ref="AL7:AN7"/>
    <mergeCell ref="AO6:AQ6"/>
    <mergeCell ref="B7:D7"/>
    <mergeCell ref="H7:J7"/>
    <mergeCell ref="N7:P7"/>
    <mergeCell ref="Q7:S7"/>
    <mergeCell ref="T7:V7"/>
    <mergeCell ref="K7:M7"/>
    <mergeCell ref="AO7:AQ7"/>
    <mergeCell ref="AR7:AT7"/>
    <mergeCell ref="E7:G7"/>
    <mergeCell ref="Z7:AB7"/>
    <mergeCell ref="AC7:AE7"/>
    <mergeCell ref="AF7:AH7"/>
    <mergeCell ref="AI7:AK7"/>
    <mergeCell ref="W7:Y7"/>
  </mergeCells>
  <conditionalFormatting sqref="AC32">
    <cfRule type="expression" dxfId="337" priority="201">
      <formula>#REF!="32≠24+25+26+27+28+29+31"</formula>
    </cfRule>
  </conditionalFormatting>
  <conditionalFormatting sqref="AC32">
    <cfRule type="expression" dxfId="336" priority="202">
      <formula>#REF!="32≠33+34"</formula>
    </cfRule>
  </conditionalFormatting>
  <conditionalFormatting sqref="AC20">
    <cfRule type="expression" dxfId="335" priority="203">
      <formula>#REF!="20≠12+13+14+15+16+17+19"</formula>
    </cfRule>
    <cfRule type="expression" dxfId="334" priority="204">
      <formula>#REF!="20≠21+22"</formula>
    </cfRule>
  </conditionalFormatting>
  <conditionalFormatting sqref="K32">
    <cfRule type="expression" dxfId="333" priority="93">
      <formula>#REF!="32≠24+25+26+27+28+29+31"</formula>
    </cfRule>
  </conditionalFormatting>
  <conditionalFormatting sqref="K32">
    <cfRule type="expression" dxfId="332" priority="94">
      <formula>#REF!="32≠33+34"</formula>
    </cfRule>
  </conditionalFormatting>
  <conditionalFormatting sqref="K20">
    <cfRule type="expression" dxfId="331" priority="95">
      <formula>#REF!="20≠12+13+14+15+16+17+19"</formula>
    </cfRule>
    <cfRule type="expression" dxfId="330" priority="96">
      <formula>#REF!="20≠21+22"</formula>
    </cfRule>
  </conditionalFormatting>
  <conditionalFormatting sqref="Z20">
    <cfRule type="expression" dxfId="329" priority="85">
      <formula>#REF!="20≠12+13+14+15+16+17+19"</formula>
    </cfRule>
    <cfRule type="expression" dxfId="328" priority="86">
      <formula>#REF!="20≠21+22"</formula>
    </cfRule>
  </conditionalFormatting>
  <conditionalFormatting sqref="Z32">
    <cfRule type="expression" dxfId="327" priority="87">
      <formula>#REF!="32≠24+25+26+27+28+29+31"</formula>
    </cfRule>
  </conditionalFormatting>
  <conditionalFormatting sqref="Z32">
    <cfRule type="expression" dxfId="326" priority="88">
      <formula>#REF!="32≠33+34"</formula>
    </cfRule>
  </conditionalFormatting>
  <conditionalFormatting sqref="B20">
    <cfRule type="expression" dxfId="325" priority="77">
      <formula>#REF!="20≠12+13+14+15+16+17+19"</formula>
    </cfRule>
    <cfRule type="expression" dxfId="324" priority="78">
      <formula>#REF!="20≠21+22"</formula>
    </cfRule>
  </conditionalFormatting>
  <conditionalFormatting sqref="B32">
    <cfRule type="expression" dxfId="323" priority="79">
      <formula>#REF!="32≠24+25+26+27+28+29+31"</formula>
    </cfRule>
  </conditionalFormatting>
  <conditionalFormatting sqref="B32">
    <cfRule type="expression" dxfId="322" priority="80">
      <formula>#REF!="32≠33+34"</formula>
    </cfRule>
  </conditionalFormatting>
  <conditionalFormatting sqref="Q20">
    <cfRule type="expression" dxfId="321" priority="69">
      <formula>#REF!="20≠12+13+14+15+16+17+19"</formula>
    </cfRule>
    <cfRule type="expression" dxfId="320" priority="70">
      <formula>#REF!="20≠21+22"</formula>
    </cfRule>
  </conditionalFormatting>
  <conditionalFormatting sqref="Q32">
    <cfRule type="expression" dxfId="319" priority="71">
      <formula>#REF!="32≠24+25+26+27+28+29+31"</formula>
    </cfRule>
  </conditionalFormatting>
  <conditionalFormatting sqref="Q32">
    <cfRule type="expression" dxfId="318" priority="72">
      <formula>#REF!="32≠33+34"</formula>
    </cfRule>
  </conditionalFormatting>
  <conditionalFormatting sqref="AL20">
    <cfRule type="expression" dxfId="317" priority="61">
      <formula>#REF!="20≠12+13+14+15+16+17+19"</formula>
    </cfRule>
    <cfRule type="expression" dxfId="316" priority="62">
      <formula>#REF!="20≠21+22"</formula>
    </cfRule>
  </conditionalFormatting>
  <conditionalFormatting sqref="AL32">
    <cfRule type="expression" dxfId="315" priority="63">
      <formula>#REF!="32≠24+25+26+27+28+29+31"</formula>
    </cfRule>
  </conditionalFormatting>
  <conditionalFormatting sqref="AL32">
    <cfRule type="expression" dxfId="314" priority="64">
      <formula>#REF!="32≠33+34"</formula>
    </cfRule>
  </conditionalFormatting>
  <conditionalFormatting sqref="W20">
    <cfRule type="expression" dxfId="313" priority="53">
      <formula>#REF!="20≠12+13+14+15+16+17+19"</formula>
    </cfRule>
    <cfRule type="expression" dxfId="312" priority="54">
      <formula>#REF!="20≠21+22"</formula>
    </cfRule>
  </conditionalFormatting>
  <conditionalFormatting sqref="W32">
    <cfRule type="expression" dxfId="311" priority="55">
      <formula>#REF!="32≠24+25+26+27+28+29+31"</formula>
    </cfRule>
  </conditionalFormatting>
  <conditionalFormatting sqref="W32">
    <cfRule type="expression" dxfId="310" priority="56">
      <formula>#REF!="32≠33+34"</formula>
    </cfRule>
  </conditionalFormatting>
  <conditionalFormatting sqref="AI20">
    <cfRule type="expression" dxfId="309" priority="45">
      <formula>#REF!="20≠12+13+14+15+16+17+19"</formula>
    </cfRule>
    <cfRule type="expression" dxfId="308" priority="46">
      <formula>#REF!="20≠21+22"</formula>
    </cfRule>
  </conditionalFormatting>
  <conditionalFormatting sqref="AI32">
    <cfRule type="expression" dxfId="307" priority="47">
      <formula>#REF!="32≠24+25+26+27+28+29+31"</formula>
    </cfRule>
  </conditionalFormatting>
  <conditionalFormatting sqref="AI32">
    <cfRule type="expression" dxfId="306" priority="48">
      <formula>#REF!="32≠33+34"</formula>
    </cfRule>
  </conditionalFormatting>
  <conditionalFormatting sqref="N20">
    <cfRule type="expression" dxfId="305" priority="37">
      <formula>#REF!="20≠12+13+14+15+16+17+19"</formula>
    </cfRule>
    <cfRule type="expression" dxfId="304" priority="38">
      <formula>#REF!="20≠21+22"</formula>
    </cfRule>
  </conditionalFormatting>
  <conditionalFormatting sqref="N32">
    <cfRule type="expression" dxfId="303" priority="39">
      <formula>#REF!="32≠24+25+26+27+28+29+31"</formula>
    </cfRule>
  </conditionalFormatting>
  <conditionalFormatting sqref="N32">
    <cfRule type="expression" dxfId="302" priority="40">
      <formula>#REF!="32≠33+34"</formula>
    </cfRule>
  </conditionalFormatting>
  <conditionalFormatting sqref="T20">
    <cfRule type="expression" dxfId="301" priority="29">
      <formula>#REF!="20≠12+13+14+15+16+17+19"</formula>
    </cfRule>
    <cfRule type="expression" dxfId="300" priority="30">
      <formula>#REF!="20≠21+22"</formula>
    </cfRule>
  </conditionalFormatting>
  <conditionalFormatting sqref="T32">
    <cfRule type="expression" dxfId="299" priority="31">
      <formula>#REF!="32≠24+25+26+27+28+29+31"</formula>
    </cfRule>
  </conditionalFormatting>
  <conditionalFormatting sqref="T32">
    <cfRule type="expression" dxfId="298" priority="32">
      <formula>#REF!="32≠33+34"</formula>
    </cfRule>
  </conditionalFormatting>
  <conditionalFormatting sqref="AF20">
    <cfRule type="expression" dxfId="297" priority="21">
      <formula>#REF!="20≠12+13+14+15+16+17+19"</formula>
    </cfRule>
    <cfRule type="expression" dxfId="296" priority="22">
      <formula>#REF!="20≠21+22"</formula>
    </cfRule>
  </conditionalFormatting>
  <conditionalFormatting sqref="AF32">
    <cfRule type="expression" dxfId="295" priority="23">
      <formula>#REF!="32≠24+25+26+27+28+29+31"</formula>
    </cfRule>
  </conditionalFormatting>
  <conditionalFormatting sqref="AF32">
    <cfRule type="expression" dxfId="294" priority="24">
      <formula>#REF!="32≠33+34"</formula>
    </cfRule>
  </conditionalFormatting>
  <conditionalFormatting sqref="E20">
    <cfRule type="expression" dxfId="293" priority="13">
      <formula>#REF!="20≠12+13+14+15+16+17+19"</formula>
    </cfRule>
    <cfRule type="expression" dxfId="292" priority="14">
      <formula>#REF!="20≠21+22"</formula>
    </cfRule>
  </conditionalFormatting>
  <conditionalFormatting sqref="E32">
    <cfRule type="expression" dxfId="291" priority="15">
      <formula>#REF!="32≠24+25+26+27+28+29+31"</formula>
    </cfRule>
  </conditionalFormatting>
  <conditionalFormatting sqref="E32">
    <cfRule type="expression" dxfId="290" priority="16">
      <formula>#REF!="32≠33+34"</formula>
    </cfRule>
  </conditionalFormatting>
  <conditionalFormatting sqref="H20">
    <cfRule type="expression" dxfId="289" priority="5">
      <formula>#REF!="20≠12+13+14+15+16+17+19"</formula>
    </cfRule>
    <cfRule type="expression" dxfId="288" priority="6">
      <formula>#REF!="20≠21+22"</formula>
    </cfRule>
  </conditionalFormatting>
  <conditionalFormatting sqref="H32">
    <cfRule type="expression" dxfId="287" priority="7">
      <formula>#REF!="32≠24+25+26+27+28+29+31"</formula>
    </cfRule>
  </conditionalFormatting>
  <conditionalFormatting sqref="H32">
    <cfRule type="expression" dxfId="286" priority="8">
      <formula>#REF!="32≠33+34"</formula>
    </cfRule>
  </conditionalFormatting>
  <conditionalFormatting sqref="AD20 AA20 C20 R20 AM20 X20 AJ20 O20 U20 AG20 F20 I20 L20">
    <cfRule type="expression" dxfId="285" priority="1129">
      <formula>#REF!="20≠12+13+14+15+16+17+19"</formula>
    </cfRule>
    <cfRule type="expression" dxfId="284" priority="1130">
      <formula>#REF!="20≠21+22"</formula>
    </cfRule>
  </conditionalFormatting>
  <conditionalFormatting sqref="AD32 AA32 C32 R32 AM32 X32 AJ32 O32 U32 AG32 F32 I32 L32">
    <cfRule type="expression" dxfId="283" priority="1131">
      <formula>#REF!="32≠24+25+26+27+28+29+31"</formula>
    </cfRule>
  </conditionalFormatting>
  <conditionalFormatting sqref="AD32 AA32 C32 R32 AM32 X32 AJ32 O32 U32 AG32 F32 I32 L32">
    <cfRule type="expression" dxfId="282" priority="1132">
      <formula>#REF!="32≠33+34"</formula>
    </cfRule>
  </conditionalFormatting>
  <hyperlinks>
    <hyperlink ref="B1" location="Innhold!A1" display="Tilbake" xr:uid="{00000000-0004-0000-2100-000000000000}"/>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34"/>
  <dimension ref="A1:BK130"/>
  <sheetViews>
    <sheetView showGridLines="0" zoomScale="80" zoomScaleNormal="8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106.7109375" style="468" customWidth="1"/>
    <col min="2" max="40" width="11.7109375" style="468" customWidth="1"/>
    <col min="41" max="41" width="15.28515625" style="468" customWidth="1"/>
    <col min="42" max="42" width="13" style="468" customWidth="1"/>
    <col min="43" max="43" width="11.7109375" style="468" customWidth="1"/>
    <col min="44" max="45" width="13" style="468" customWidth="1"/>
    <col min="46" max="46" width="11.7109375" style="468" customWidth="1"/>
    <col min="47" max="16384" width="11.42578125" style="468"/>
  </cols>
  <sheetData>
    <row r="1" spans="1:63" ht="20.25" customHeight="1" x14ac:dyDescent="0.3">
      <c r="A1" s="473" t="s">
        <v>170</v>
      </c>
      <c r="B1" s="474" t="s">
        <v>52</v>
      </c>
      <c r="C1" s="475"/>
      <c r="D1" s="475"/>
      <c r="H1" s="475"/>
      <c r="I1" s="475"/>
      <c r="J1" s="475"/>
      <c r="K1" s="475"/>
      <c r="L1" s="475"/>
      <c r="M1" s="475"/>
      <c r="N1" s="475"/>
      <c r="O1" s="475"/>
      <c r="P1" s="475"/>
      <c r="AU1" s="476"/>
    </row>
    <row r="2" spans="1:63" ht="20.100000000000001" customHeight="1" x14ac:dyDescent="0.3">
      <c r="A2" s="473" t="s">
        <v>171</v>
      </c>
      <c r="AU2" s="476"/>
    </row>
    <row r="3" spans="1:63" ht="20.100000000000001" customHeight="1" x14ac:dyDescent="0.3">
      <c r="A3" s="477" t="s">
        <v>172</v>
      </c>
      <c r="B3" s="478"/>
      <c r="C3" s="478"/>
      <c r="D3" s="478"/>
      <c r="H3" s="478"/>
      <c r="I3" s="478"/>
      <c r="J3" s="478"/>
      <c r="K3" s="478"/>
      <c r="L3" s="478"/>
      <c r="M3" s="478"/>
      <c r="N3" s="478"/>
      <c r="O3" s="478"/>
      <c r="P3" s="478"/>
      <c r="AU3" s="479"/>
    </row>
    <row r="4" spans="1:63" ht="18.75" customHeight="1" x14ac:dyDescent="0.25">
      <c r="A4" s="480" t="s">
        <v>360</v>
      </c>
      <c r="B4" s="481"/>
      <c r="C4" s="481"/>
      <c r="D4" s="482"/>
      <c r="E4" s="485"/>
      <c r="F4" s="484"/>
      <c r="G4" s="486"/>
      <c r="H4" s="481"/>
      <c r="I4" s="481"/>
      <c r="J4" s="482"/>
      <c r="K4" s="483"/>
      <c r="L4" s="481"/>
      <c r="M4" s="482"/>
      <c r="N4" s="483"/>
      <c r="O4" s="481"/>
      <c r="P4" s="482"/>
      <c r="Q4" s="484"/>
      <c r="R4" s="484"/>
      <c r="S4" s="484"/>
      <c r="T4" s="485"/>
      <c r="U4" s="484"/>
      <c r="V4" s="486"/>
      <c r="W4" s="485"/>
      <c r="X4" s="484"/>
      <c r="Y4" s="486"/>
      <c r="Z4" s="485"/>
      <c r="AA4" s="484"/>
      <c r="AB4" s="486"/>
      <c r="AC4" s="485"/>
      <c r="AD4" s="484"/>
      <c r="AE4" s="486"/>
      <c r="AF4" s="485"/>
      <c r="AG4" s="484"/>
      <c r="AH4" s="486"/>
      <c r="AI4" s="485"/>
      <c r="AJ4" s="484"/>
      <c r="AK4" s="486"/>
      <c r="AL4" s="485"/>
      <c r="AM4" s="484"/>
      <c r="AN4" s="486"/>
      <c r="AO4" s="485"/>
      <c r="AP4" s="484"/>
      <c r="AQ4" s="486"/>
      <c r="AR4" s="485"/>
      <c r="AS4" s="484"/>
      <c r="AT4" s="486"/>
      <c r="AU4" s="487"/>
      <c r="AV4" s="488"/>
      <c r="AW4" s="488"/>
      <c r="AX4" s="488"/>
      <c r="AY4" s="488"/>
      <c r="AZ4" s="488"/>
      <c r="BA4" s="488"/>
      <c r="BB4" s="488"/>
      <c r="BC4" s="488"/>
      <c r="BD4" s="488"/>
      <c r="BE4" s="488"/>
      <c r="BF4" s="488"/>
      <c r="BG4" s="488"/>
      <c r="BH4" s="488"/>
      <c r="BI4" s="488"/>
      <c r="BJ4" s="488"/>
      <c r="BK4" s="488"/>
    </row>
    <row r="5" spans="1:63" ht="18.75" customHeight="1" x14ac:dyDescent="0.3">
      <c r="A5" s="489" t="s">
        <v>99</v>
      </c>
      <c r="B5" s="1056" t="s">
        <v>173</v>
      </c>
      <c r="C5" s="1057"/>
      <c r="D5" s="1058"/>
      <c r="E5" s="1056" t="s">
        <v>174</v>
      </c>
      <c r="F5" s="1057"/>
      <c r="G5" s="1058"/>
      <c r="H5" s="1056" t="s">
        <v>174</v>
      </c>
      <c r="I5" s="1057"/>
      <c r="J5" s="1058"/>
      <c r="K5" s="1056" t="s">
        <v>487</v>
      </c>
      <c r="L5" s="1057"/>
      <c r="M5" s="1058"/>
      <c r="N5" s="1056" t="s">
        <v>175</v>
      </c>
      <c r="O5" s="1057"/>
      <c r="P5" s="1058"/>
      <c r="Q5" s="1056" t="s">
        <v>176</v>
      </c>
      <c r="R5" s="1057"/>
      <c r="S5" s="1058"/>
      <c r="T5" s="1056" t="s">
        <v>177</v>
      </c>
      <c r="U5" s="1057"/>
      <c r="V5" s="1058"/>
      <c r="W5" s="947" t="s">
        <v>177</v>
      </c>
      <c r="X5" s="948"/>
      <c r="Y5" s="949"/>
      <c r="Z5" s="891"/>
      <c r="AA5" s="892"/>
      <c r="AB5" s="893"/>
      <c r="AC5" s="1056" t="s">
        <v>178</v>
      </c>
      <c r="AD5" s="1057"/>
      <c r="AE5" s="1058"/>
      <c r="AF5" s="962"/>
      <c r="AG5" s="963"/>
      <c r="AH5" s="964"/>
      <c r="AI5" s="1056"/>
      <c r="AJ5" s="1057"/>
      <c r="AK5" s="1058"/>
      <c r="AL5" s="1056" t="s">
        <v>72</v>
      </c>
      <c r="AM5" s="1057"/>
      <c r="AN5" s="1058"/>
      <c r="AO5" s="1056" t="s">
        <v>2</v>
      </c>
      <c r="AP5" s="1057"/>
      <c r="AQ5" s="1058"/>
      <c r="AR5" s="1056" t="s">
        <v>2</v>
      </c>
      <c r="AS5" s="1057"/>
      <c r="AT5" s="1058"/>
      <c r="AU5" s="490"/>
      <c r="AV5" s="491"/>
      <c r="AW5" s="1062"/>
      <c r="AX5" s="1062"/>
      <c r="AY5" s="1062"/>
      <c r="AZ5" s="1062"/>
      <c r="BA5" s="1062"/>
      <c r="BB5" s="1062"/>
      <c r="BC5" s="1062"/>
      <c r="BD5" s="1062"/>
      <c r="BE5" s="1062"/>
      <c r="BF5" s="1062"/>
      <c r="BG5" s="1062"/>
      <c r="BH5" s="1062"/>
      <c r="BI5" s="1062"/>
      <c r="BJ5" s="1062"/>
      <c r="BK5" s="1062"/>
    </row>
    <row r="6" spans="1:63" ht="21" customHeight="1" x14ac:dyDescent="0.3">
      <c r="A6" s="492"/>
      <c r="B6" s="1059" t="s">
        <v>179</v>
      </c>
      <c r="C6" s="1060"/>
      <c r="D6" s="1061"/>
      <c r="E6" s="1059" t="s">
        <v>498</v>
      </c>
      <c r="F6" s="1060"/>
      <c r="G6" s="1061"/>
      <c r="H6" s="1059" t="s">
        <v>180</v>
      </c>
      <c r="I6" s="1060"/>
      <c r="J6" s="1061"/>
      <c r="K6" s="1059" t="s">
        <v>180</v>
      </c>
      <c r="L6" s="1060"/>
      <c r="M6" s="1061"/>
      <c r="N6" s="1059" t="s">
        <v>180</v>
      </c>
      <c r="O6" s="1060"/>
      <c r="P6" s="1061"/>
      <c r="Q6" s="1059" t="s">
        <v>181</v>
      </c>
      <c r="R6" s="1060"/>
      <c r="S6" s="1061"/>
      <c r="T6" s="1059" t="s">
        <v>90</v>
      </c>
      <c r="U6" s="1060"/>
      <c r="V6" s="1061"/>
      <c r="W6" s="1059" t="s">
        <v>63</v>
      </c>
      <c r="X6" s="1060"/>
      <c r="Y6" s="1061"/>
      <c r="Z6" s="1059" t="s">
        <v>65</v>
      </c>
      <c r="AA6" s="1060"/>
      <c r="AB6" s="1061"/>
      <c r="AC6" s="1059" t="s">
        <v>179</v>
      </c>
      <c r="AD6" s="1060"/>
      <c r="AE6" s="1061"/>
      <c r="AF6" s="1059" t="s">
        <v>71</v>
      </c>
      <c r="AG6" s="1060"/>
      <c r="AH6" s="1061"/>
      <c r="AI6" s="1059" t="s">
        <v>67</v>
      </c>
      <c r="AJ6" s="1060"/>
      <c r="AK6" s="1061"/>
      <c r="AL6" s="1059" t="s">
        <v>180</v>
      </c>
      <c r="AM6" s="1060"/>
      <c r="AN6" s="1061"/>
      <c r="AO6" s="1059" t="s">
        <v>182</v>
      </c>
      <c r="AP6" s="1060"/>
      <c r="AQ6" s="1061"/>
      <c r="AR6" s="1059" t="s">
        <v>183</v>
      </c>
      <c r="AS6" s="1060"/>
      <c r="AT6" s="1061"/>
      <c r="AU6" s="490"/>
      <c r="AV6" s="491"/>
      <c r="AW6" s="1062"/>
      <c r="AX6" s="1062"/>
      <c r="AY6" s="1062"/>
      <c r="AZ6" s="1062"/>
      <c r="BA6" s="1062"/>
      <c r="BB6" s="1062"/>
      <c r="BC6" s="1062"/>
      <c r="BD6" s="1062"/>
      <c r="BE6" s="1062"/>
      <c r="BF6" s="1062"/>
      <c r="BG6" s="1062"/>
      <c r="BH6" s="1062"/>
      <c r="BI6" s="1062"/>
      <c r="BJ6" s="1062"/>
      <c r="BK6" s="1062"/>
    </row>
    <row r="7" spans="1:63" ht="18.75" customHeight="1" x14ac:dyDescent="0.3">
      <c r="A7" s="492"/>
      <c r="B7" s="525"/>
      <c r="C7" s="525"/>
      <c r="D7" s="493" t="s">
        <v>80</v>
      </c>
      <c r="E7" s="525"/>
      <c r="F7" s="525"/>
      <c r="G7" s="493" t="s">
        <v>80</v>
      </c>
      <c r="H7" s="525"/>
      <c r="I7" s="525"/>
      <c r="J7" s="493" t="s">
        <v>80</v>
      </c>
      <c r="K7" s="525"/>
      <c r="L7" s="525"/>
      <c r="M7" s="493" t="s">
        <v>80</v>
      </c>
      <c r="N7" s="525"/>
      <c r="O7" s="525"/>
      <c r="P7" s="493" t="s">
        <v>80</v>
      </c>
      <c r="Q7" s="525"/>
      <c r="R7" s="525"/>
      <c r="S7" s="493" t="s">
        <v>80</v>
      </c>
      <c r="T7" s="525"/>
      <c r="U7" s="525"/>
      <c r="V7" s="493" t="s">
        <v>80</v>
      </c>
      <c r="W7" s="525"/>
      <c r="X7" s="525"/>
      <c r="Y7" s="493" t="s">
        <v>80</v>
      </c>
      <c r="Z7" s="525"/>
      <c r="AA7" s="525"/>
      <c r="AB7" s="493" t="s">
        <v>80</v>
      </c>
      <c r="AC7" s="525"/>
      <c r="AD7" s="525"/>
      <c r="AE7" s="493" t="s">
        <v>80</v>
      </c>
      <c r="AF7" s="525"/>
      <c r="AG7" s="525"/>
      <c r="AH7" s="493" t="s">
        <v>80</v>
      </c>
      <c r="AI7" s="525"/>
      <c r="AJ7" s="525"/>
      <c r="AK7" s="493" t="s">
        <v>80</v>
      </c>
      <c r="AL7" s="525"/>
      <c r="AM7" s="525"/>
      <c r="AN7" s="493" t="s">
        <v>80</v>
      </c>
      <c r="AO7" s="525"/>
      <c r="AP7" s="525"/>
      <c r="AQ7" s="493" t="s">
        <v>80</v>
      </c>
      <c r="AR7" s="525"/>
      <c r="AS7" s="525"/>
      <c r="AT7" s="493" t="s">
        <v>80</v>
      </c>
      <c r="AU7" s="490"/>
      <c r="AV7" s="491"/>
      <c r="AW7" s="491"/>
      <c r="AX7" s="491"/>
      <c r="AY7" s="491"/>
      <c r="AZ7" s="491"/>
      <c r="BA7" s="491"/>
      <c r="BB7" s="491"/>
      <c r="BC7" s="491"/>
      <c r="BD7" s="491"/>
      <c r="BE7" s="491"/>
      <c r="BF7" s="491"/>
      <c r="BG7" s="491"/>
      <c r="BH7" s="491"/>
      <c r="BI7" s="491"/>
      <c r="BJ7" s="491"/>
      <c r="BK7" s="491"/>
    </row>
    <row r="8" spans="1:63" ht="18.75" customHeight="1" x14ac:dyDescent="0.25">
      <c r="A8" s="458" t="s">
        <v>184</v>
      </c>
      <c r="B8" s="862">
        <v>2019</v>
      </c>
      <c r="C8" s="862">
        <v>2020</v>
      </c>
      <c r="D8" s="459" t="s">
        <v>82</v>
      </c>
      <c r="E8" s="862">
        <v>2019</v>
      </c>
      <c r="F8" s="862">
        <v>2020</v>
      </c>
      <c r="G8" s="459" t="s">
        <v>82</v>
      </c>
      <c r="H8" s="862">
        <v>2019</v>
      </c>
      <c r="I8" s="862">
        <v>2020</v>
      </c>
      <c r="J8" s="459" t="s">
        <v>82</v>
      </c>
      <c r="K8" s="862">
        <v>2019</v>
      </c>
      <c r="L8" s="862">
        <v>2020</v>
      </c>
      <c r="M8" s="459" t="s">
        <v>82</v>
      </c>
      <c r="N8" s="862">
        <v>2019</v>
      </c>
      <c r="O8" s="862">
        <v>2020</v>
      </c>
      <c r="P8" s="459" t="s">
        <v>82</v>
      </c>
      <c r="Q8" s="840">
        <v>2019</v>
      </c>
      <c r="R8" s="840">
        <v>2020</v>
      </c>
      <c r="S8" s="459" t="s">
        <v>82</v>
      </c>
      <c r="T8" s="862">
        <v>2019</v>
      </c>
      <c r="U8" s="862">
        <v>2020</v>
      </c>
      <c r="V8" s="459" t="s">
        <v>82</v>
      </c>
      <c r="W8" s="862">
        <v>2019</v>
      </c>
      <c r="X8" s="862">
        <v>2020</v>
      </c>
      <c r="Y8" s="459" t="s">
        <v>82</v>
      </c>
      <c r="Z8" s="864">
        <v>2019</v>
      </c>
      <c r="AA8" s="864">
        <v>2020</v>
      </c>
      <c r="AB8" s="459" t="s">
        <v>82</v>
      </c>
      <c r="AC8" s="862">
        <v>2019</v>
      </c>
      <c r="AD8" s="862">
        <v>2020</v>
      </c>
      <c r="AE8" s="459" t="s">
        <v>82</v>
      </c>
      <c r="AF8" s="862">
        <v>2019</v>
      </c>
      <c r="AG8" s="862">
        <v>2020</v>
      </c>
      <c r="AH8" s="459" t="s">
        <v>82</v>
      </c>
      <c r="AI8" s="840">
        <v>2019</v>
      </c>
      <c r="AJ8" s="840">
        <v>2020</v>
      </c>
      <c r="AK8" s="459" t="s">
        <v>82</v>
      </c>
      <c r="AL8" s="862">
        <v>2019</v>
      </c>
      <c r="AM8" s="862">
        <v>2020</v>
      </c>
      <c r="AN8" s="459" t="s">
        <v>82</v>
      </c>
      <c r="AO8" s="862">
        <v>2019</v>
      </c>
      <c r="AP8" s="862">
        <v>2020</v>
      </c>
      <c r="AQ8" s="459" t="s">
        <v>82</v>
      </c>
      <c r="AR8" s="862">
        <v>2019</v>
      </c>
      <c r="AS8" s="862">
        <v>2020</v>
      </c>
      <c r="AT8" s="459" t="s">
        <v>82</v>
      </c>
      <c r="AU8" s="490"/>
      <c r="AV8" s="494"/>
      <c r="AW8" s="495"/>
      <c r="AX8" s="495"/>
      <c r="AY8" s="494"/>
      <c r="AZ8" s="495"/>
      <c r="BA8" s="495"/>
      <c r="BB8" s="494"/>
      <c r="BC8" s="495"/>
      <c r="BD8" s="495"/>
      <c r="BE8" s="494"/>
      <c r="BF8" s="495"/>
      <c r="BG8" s="495"/>
      <c r="BH8" s="494"/>
      <c r="BI8" s="495"/>
      <c r="BJ8" s="495"/>
      <c r="BK8" s="494"/>
    </row>
    <row r="9" spans="1:63" ht="18.75" customHeight="1" x14ac:dyDescent="0.3">
      <c r="A9" s="460"/>
      <c r="B9" s="867"/>
      <c r="C9" s="437"/>
      <c r="D9" s="437"/>
      <c r="E9" s="851"/>
      <c r="F9" s="438"/>
      <c r="G9" s="340"/>
      <c r="H9" s="867"/>
      <c r="I9" s="437"/>
      <c r="J9" s="437"/>
      <c r="K9" s="437"/>
      <c r="L9" s="437"/>
      <c r="M9" s="437"/>
      <c r="N9" s="954"/>
      <c r="O9" s="437"/>
      <c r="P9" s="437"/>
      <c r="Q9" s="851"/>
      <c r="R9" s="438"/>
      <c r="S9" s="438"/>
      <c r="T9" s="882"/>
      <c r="U9" s="439"/>
      <c r="V9" s="340"/>
      <c r="W9" s="851"/>
      <c r="X9" s="438"/>
      <c r="Y9" s="340"/>
      <c r="Z9" s="851"/>
      <c r="AA9" s="438"/>
      <c r="AB9" s="340"/>
      <c r="AC9" s="851"/>
      <c r="AD9" s="438"/>
      <c r="AE9" s="340"/>
      <c r="AF9" s="851"/>
      <c r="AG9" s="438"/>
      <c r="AH9" s="340"/>
      <c r="AI9" s="851"/>
      <c r="AJ9" s="438"/>
      <c r="AK9" s="340"/>
      <c r="AL9" s="851"/>
      <c r="AM9" s="438"/>
      <c r="AN9" s="340"/>
      <c r="AO9" s="440"/>
      <c r="AP9" s="440"/>
      <c r="AQ9" s="340"/>
      <c r="AR9" s="440"/>
      <c r="AS9" s="440"/>
      <c r="AT9" s="340"/>
      <c r="AU9" s="490"/>
      <c r="AV9" s="490"/>
    </row>
    <row r="10" spans="1:63" s="469" customFormat="1" ht="18.75" customHeight="1" x14ac:dyDescent="0.3">
      <c r="A10" s="461" t="s">
        <v>185</v>
      </c>
      <c r="B10" s="868"/>
      <c r="C10" s="441"/>
      <c r="D10" s="441"/>
      <c r="E10" s="851"/>
      <c r="F10" s="438"/>
      <c r="G10" s="340"/>
      <c r="H10" s="868"/>
      <c r="I10" s="441"/>
      <c r="J10" s="441"/>
      <c r="K10" s="441"/>
      <c r="L10" s="441"/>
      <c r="M10" s="441"/>
      <c r="N10" s="198"/>
      <c r="O10" s="441"/>
      <c r="P10" s="441"/>
      <c r="Q10" s="851"/>
      <c r="R10" s="438"/>
      <c r="S10" s="438"/>
      <c r="T10" s="882"/>
      <c r="U10" s="439"/>
      <c r="V10" s="340"/>
      <c r="W10" s="851"/>
      <c r="X10" s="438"/>
      <c r="Y10" s="340"/>
      <c r="Z10" s="851"/>
      <c r="AA10" s="438"/>
      <c r="AB10" s="340"/>
      <c r="AC10" s="851"/>
      <c r="AD10" s="438"/>
      <c r="AE10" s="340"/>
      <c r="AF10" s="851"/>
      <c r="AG10" s="438"/>
      <c r="AH10" s="340"/>
      <c r="AI10" s="851"/>
      <c r="AJ10" s="438"/>
      <c r="AK10" s="340"/>
      <c r="AL10" s="851"/>
      <c r="AM10" s="438"/>
      <c r="AN10" s="340"/>
      <c r="AO10" s="440"/>
      <c r="AP10" s="440"/>
      <c r="AQ10" s="340"/>
      <c r="AR10" s="440"/>
      <c r="AS10" s="440"/>
      <c r="AT10" s="340"/>
      <c r="AU10" s="496"/>
      <c r="AV10" s="496"/>
    </row>
    <row r="11" spans="1:63" s="469" customFormat="1" ht="18.75" customHeight="1" x14ac:dyDescent="0.3">
      <c r="A11" s="462"/>
      <c r="B11" s="868"/>
      <c r="C11" s="441"/>
      <c r="D11" s="441"/>
      <c r="E11" s="851"/>
      <c r="F11" s="438"/>
      <c r="G11" s="340"/>
      <c r="H11" s="868"/>
      <c r="I11" s="441"/>
      <c r="J11" s="441"/>
      <c r="K11" s="441"/>
      <c r="L11" s="441"/>
      <c r="M11" s="441"/>
      <c r="N11" s="198"/>
      <c r="O11" s="441"/>
      <c r="P11" s="441"/>
      <c r="Q11" s="851"/>
      <c r="R11" s="438"/>
      <c r="S11" s="438"/>
      <c r="T11" s="882"/>
      <c r="U11" s="439"/>
      <c r="V11" s="340"/>
      <c r="W11" s="851"/>
      <c r="X11" s="438"/>
      <c r="Y11" s="340"/>
      <c r="Z11" s="851"/>
      <c r="AA11" s="438"/>
      <c r="AB11" s="340"/>
      <c r="AC11" s="851"/>
      <c r="AD11" s="438"/>
      <c r="AE11" s="340"/>
      <c r="AF11" s="851"/>
      <c r="AG11" s="438"/>
      <c r="AH11" s="340"/>
      <c r="AI11" s="851"/>
      <c r="AJ11" s="438"/>
      <c r="AK11" s="340"/>
      <c r="AL11" s="851"/>
      <c r="AM11" s="438"/>
      <c r="AN11" s="340"/>
      <c r="AO11" s="440"/>
      <c r="AP11" s="440"/>
      <c r="AQ11" s="340"/>
      <c r="AR11" s="440"/>
      <c r="AS11" s="440"/>
      <c r="AT11" s="340"/>
      <c r="AU11" s="496"/>
      <c r="AV11" s="496"/>
    </row>
    <row r="12" spans="1:63" s="469" customFormat="1" ht="20.100000000000001" customHeight="1" x14ac:dyDescent="0.3">
      <c r="A12" s="461" t="s">
        <v>186</v>
      </c>
      <c r="B12" s="198"/>
      <c r="C12" s="442"/>
      <c r="D12" s="442"/>
      <c r="E12" s="851"/>
      <c r="F12" s="438"/>
      <c r="G12" s="340"/>
      <c r="H12" s="198"/>
      <c r="I12" s="442"/>
      <c r="J12" s="442"/>
      <c r="K12" s="442"/>
      <c r="L12" s="442"/>
      <c r="M12" s="442"/>
      <c r="N12" s="198"/>
      <c r="O12" s="442"/>
      <c r="P12" s="442"/>
      <c r="Q12" s="851"/>
      <c r="R12" s="438"/>
      <c r="S12" s="438"/>
      <c r="T12" s="882"/>
      <c r="U12" s="439"/>
      <c r="V12" s="340"/>
      <c r="W12" s="851"/>
      <c r="X12" s="438"/>
      <c r="Y12" s="340"/>
      <c r="Z12" s="851"/>
      <c r="AA12" s="438"/>
      <c r="AB12" s="340"/>
      <c r="AC12" s="851"/>
      <c r="AD12" s="438"/>
      <c r="AE12" s="340"/>
      <c r="AF12" s="851"/>
      <c r="AG12" s="438"/>
      <c r="AH12" s="340"/>
      <c r="AI12" s="851"/>
      <c r="AJ12" s="438"/>
      <c r="AK12" s="340"/>
      <c r="AL12" s="851"/>
      <c r="AM12" s="438"/>
      <c r="AN12" s="340"/>
      <c r="AO12" s="440"/>
      <c r="AP12" s="440"/>
      <c r="AQ12" s="340"/>
      <c r="AR12" s="440"/>
      <c r="AS12" s="440"/>
      <c r="AT12" s="340"/>
      <c r="AU12" s="496"/>
      <c r="AV12" s="496"/>
    </row>
    <row r="13" spans="1:63" s="498" customFormat="1" ht="20.100000000000001" customHeight="1" x14ac:dyDescent="0.3">
      <c r="A13" s="461" t="s">
        <v>187</v>
      </c>
      <c r="B13" s="198"/>
      <c r="C13" s="442"/>
      <c r="D13" s="443"/>
      <c r="E13" s="104"/>
      <c r="F13" s="853"/>
      <c r="G13" s="446"/>
      <c r="H13" s="198"/>
      <c r="I13" s="442"/>
      <c r="J13" s="443"/>
      <c r="K13" s="442"/>
      <c r="L13" s="442"/>
      <c r="M13" s="443"/>
      <c r="N13" s="198"/>
      <c r="O13" s="442"/>
      <c r="P13" s="443"/>
      <c r="Q13" s="104"/>
      <c r="R13" s="853"/>
      <c r="S13" s="445"/>
      <c r="T13" s="965"/>
      <c r="U13" s="883"/>
      <c r="V13" s="446"/>
      <c r="W13" s="104"/>
      <c r="X13" s="853"/>
      <c r="Y13" s="446"/>
      <c r="Z13" s="104"/>
      <c r="AA13" s="853"/>
      <c r="AB13" s="446"/>
      <c r="AC13" s="104"/>
      <c r="AD13" s="853"/>
      <c r="AE13" s="446"/>
      <c r="AF13" s="104"/>
      <c r="AG13" s="853"/>
      <c r="AH13" s="446"/>
      <c r="AI13" s="104"/>
      <c r="AJ13" s="853"/>
      <c r="AK13" s="446"/>
      <c r="AL13" s="104"/>
      <c r="AM13" s="853"/>
      <c r="AN13" s="446"/>
      <c r="AO13" s="447"/>
      <c r="AP13" s="447"/>
      <c r="AQ13" s="446"/>
      <c r="AR13" s="447"/>
      <c r="AS13" s="447"/>
      <c r="AT13" s="446"/>
      <c r="AU13" s="497"/>
      <c r="AV13" s="497"/>
    </row>
    <row r="14" spans="1:63" s="498" customFormat="1" ht="20.100000000000001" customHeight="1" x14ac:dyDescent="0.3">
      <c r="A14" s="463" t="s">
        <v>188</v>
      </c>
      <c r="B14" s="196"/>
      <c r="C14" s="449"/>
      <c r="D14" s="446"/>
      <c r="E14" s="104"/>
      <c r="F14" s="853"/>
      <c r="G14" s="446"/>
      <c r="H14" s="196"/>
      <c r="I14" s="449"/>
      <c r="J14" s="446"/>
      <c r="K14" s="449"/>
      <c r="L14" s="449"/>
      <c r="M14" s="446"/>
      <c r="N14" s="196"/>
      <c r="O14" s="449"/>
      <c r="P14" s="446"/>
      <c r="Q14" s="104">
        <v>10.3</v>
      </c>
      <c r="R14" s="853">
        <v>7.5</v>
      </c>
      <c r="S14" s="340">
        <f>IF(Q14=0, "    ---- ", IF(ABS(ROUND(100/Q14*R14-100,1))&lt;999,ROUND(100/Q14*R14-100,1),IF(ROUND(100/Q14*R14-100,1)&gt;999,999,-999)))</f>
        <v>-27.2</v>
      </c>
      <c r="T14" s="965"/>
      <c r="U14" s="883"/>
      <c r="V14" s="446"/>
      <c r="W14" s="104">
        <v>954.94898775000001</v>
      </c>
      <c r="X14" s="853">
        <v>1017.28865475</v>
      </c>
      <c r="Y14" s="446">
        <f t="shared" ref="Y14:Y28" si="0">IF(W14=0, "    ---- ", IF(ABS(ROUND(100/W14*X14-100,1))&lt;999,ROUND(100/W14*X14-100,1),IF(ROUND(100/W14*X14-100,1)&gt;999,999,-999)))</f>
        <v>6.5</v>
      </c>
      <c r="Z14" s="104"/>
      <c r="AA14" s="853"/>
      <c r="AB14" s="446"/>
      <c r="AC14" s="104"/>
      <c r="AD14" s="853"/>
      <c r="AE14" s="446"/>
      <c r="AF14" s="104"/>
      <c r="AG14" s="853"/>
      <c r="AH14" s="446"/>
      <c r="AI14" s="104"/>
      <c r="AJ14" s="853"/>
      <c r="AK14" s="446"/>
      <c r="AL14" s="104"/>
      <c r="AM14" s="853"/>
      <c r="AN14" s="446"/>
      <c r="AO14" s="447">
        <f t="shared" ref="AO14:AO29" si="1">B14+H14+K14+N14+Q14+W14+E14+Z14+AC14+AI14+AL14</f>
        <v>965.24898774999997</v>
      </c>
      <c r="AP14" s="447">
        <f t="shared" ref="AP14:AP29" si="2">C14+I14+L14+O14+R14+X14+F14+AA14+AD14+AJ14+AM14</f>
        <v>1024.78865475</v>
      </c>
      <c r="AQ14" s="446">
        <f t="shared" ref="AQ14:AQ28" si="3">IF(AO14=0, "    ---- ", IF(ABS(ROUND(100/AO14*AP14-100,1))&lt;999,ROUND(100/AO14*AP14-100,1),IF(ROUND(100/AO14*AP14-100,1)&gt;999,999,-999)))</f>
        <v>6.2</v>
      </c>
      <c r="AR14" s="447">
        <f t="shared" ref="AR14:AR29" si="4">B14+H14+K14+N14+Q14+T14+W14+E14+Z14+AC14+AF14+AI14+AL14</f>
        <v>965.24898774999997</v>
      </c>
      <c r="AS14" s="447">
        <f t="shared" ref="AS14:AS29" si="5">C14+I14+L14+O14+R14+U14+X14+F14+AA14+AD14+AG14+AJ14+AM14</f>
        <v>1024.78865475</v>
      </c>
      <c r="AT14" s="446">
        <f t="shared" ref="AT14:AT29" si="6">IF(AR14=0, "    ---- ", IF(ABS(ROUND(100/AR14*AS14-100,1))&lt;999,ROUND(100/AR14*AS14-100,1),IF(ROUND(100/AR14*AS14-100,1)&gt;999,999,-999)))</f>
        <v>6.2</v>
      </c>
      <c r="AU14" s="497"/>
      <c r="AV14" s="497"/>
    </row>
    <row r="15" spans="1:63" s="498" customFormat="1" ht="20.100000000000001" customHeight="1" x14ac:dyDescent="0.3">
      <c r="A15" s="463" t="s">
        <v>189</v>
      </c>
      <c r="B15" s="196"/>
      <c r="C15" s="449"/>
      <c r="D15" s="446"/>
      <c r="E15" s="104"/>
      <c r="F15" s="853"/>
      <c r="G15" s="446"/>
      <c r="H15" s="196">
        <v>806.34799999999996</v>
      </c>
      <c r="I15" s="449">
        <v>1781.26678947</v>
      </c>
      <c r="J15" s="446">
        <f t="shared" ref="J15:J28" si="7">IF(H15=0, "    ---- ", IF(ABS(ROUND(100/H15*I15-100,1))&lt;999,ROUND(100/H15*I15-100,1),IF(ROUND(100/H15*I15-100,1)&gt;999,999,-999)))</f>
        <v>120.9</v>
      </c>
      <c r="K15" s="449"/>
      <c r="L15" s="449"/>
      <c r="M15" s="446"/>
      <c r="N15" s="196"/>
      <c r="O15" s="449"/>
      <c r="P15" s="446"/>
      <c r="Q15" s="104"/>
      <c r="R15" s="853"/>
      <c r="S15" s="445"/>
      <c r="T15" s="965"/>
      <c r="U15" s="883"/>
      <c r="V15" s="446"/>
      <c r="W15" s="104">
        <v>8088.8689763399998</v>
      </c>
      <c r="X15" s="853">
        <v>8290.0021718600001</v>
      </c>
      <c r="Y15" s="446">
        <f t="shared" si="0"/>
        <v>2.5</v>
      </c>
      <c r="Z15" s="104"/>
      <c r="AA15" s="853"/>
      <c r="AB15" s="446"/>
      <c r="AC15" s="104">
        <v>918</v>
      </c>
      <c r="AD15" s="853">
        <v>1182</v>
      </c>
      <c r="AE15" s="446">
        <f t="shared" ref="AE15:AE28" si="8">IF(AC15=0, "    ---- ", IF(ABS(ROUND(100/AC15*AD15-100,1))&lt;999,ROUND(100/AC15*AD15-100,1),IF(ROUND(100/AC15*AD15-100,1)&gt;999,999,-999)))</f>
        <v>28.8</v>
      </c>
      <c r="AF15" s="104"/>
      <c r="AG15" s="853"/>
      <c r="AH15" s="446"/>
      <c r="AI15" s="104">
        <v>1720.4549999999999</v>
      </c>
      <c r="AJ15" s="853">
        <v>1738.934</v>
      </c>
      <c r="AK15" s="446">
        <f t="shared" ref="AK15:AK28" si="9">IF(AI15=0, "    ---- ", IF(ABS(ROUND(100/AI15*AJ15-100,1))&lt;999,ROUND(100/AI15*AJ15-100,1),IF(ROUND(100/AI15*AJ15-100,1)&gt;999,999,-999)))</f>
        <v>1.1000000000000001</v>
      </c>
      <c r="AL15" s="104">
        <v>12814</v>
      </c>
      <c r="AM15" s="853">
        <v>13225</v>
      </c>
      <c r="AN15" s="446">
        <f t="shared" ref="AN15:AN28" si="10">IF(AL15=0, "    ---- ", IF(ABS(ROUND(100/AL15*AM15-100,1))&lt;999,ROUND(100/AL15*AM15-100,1),IF(ROUND(100/AL15*AM15-100,1)&gt;999,999,-999)))</f>
        <v>3.2</v>
      </c>
      <c r="AO15" s="447">
        <f t="shared" si="1"/>
        <v>24347.67197634</v>
      </c>
      <c r="AP15" s="447">
        <f t="shared" si="2"/>
        <v>26217.20296133</v>
      </c>
      <c r="AQ15" s="446">
        <f t="shared" si="3"/>
        <v>7.7</v>
      </c>
      <c r="AR15" s="447">
        <f t="shared" si="4"/>
        <v>24347.67197634</v>
      </c>
      <c r="AS15" s="447">
        <f t="shared" si="5"/>
        <v>26217.20296133</v>
      </c>
      <c r="AT15" s="446">
        <f t="shared" si="6"/>
        <v>7.7</v>
      </c>
      <c r="AU15" s="497"/>
      <c r="AV15" s="497"/>
    </row>
    <row r="16" spans="1:63" s="498" customFormat="1" ht="20.100000000000001" customHeight="1" x14ac:dyDescent="0.3">
      <c r="A16" s="463" t="s">
        <v>190</v>
      </c>
      <c r="B16" s="196"/>
      <c r="C16" s="449"/>
      <c r="D16" s="446"/>
      <c r="E16" s="104">
        <f>SUM(E17+E19)</f>
        <v>303.8</v>
      </c>
      <c r="F16" s="853">
        <f>SUM(F17+F19)</f>
        <v>297.39999999999998</v>
      </c>
      <c r="G16" s="446">
        <f t="shared" ref="G16" si="11">IF(E16=0, "    ---- ", IF(ABS(ROUND(100/E16*F16-100,1))&lt;999,ROUND(100/E16*F16-100,1),IF(ROUND(100/E16*F16-100,1)&gt;999,999,-999)))</f>
        <v>-2.1</v>
      </c>
      <c r="H16" s="196">
        <f>SUM(H17+H19)</f>
        <v>6429.2560000000003</v>
      </c>
      <c r="I16" s="449">
        <f>SUM(I17+I19)</f>
        <v>9173.3331005799992</v>
      </c>
      <c r="J16" s="449">
        <f t="shared" si="7"/>
        <v>42.7</v>
      </c>
      <c r="K16" s="449"/>
      <c r="L16" s="449">
        <f>SUM(L17+L19)</f>
        <v>0</v>
      </c>
      <c r="M16" s="446"/>
      <c r="N16" s="196">
        <f>SUM(N17+N19)</f>
        <v>53.81</v>
      </c>
      <c r="O16" s="449">
        <f>SUM(O17+O19)</f>
        <v>127.21299999999999</v>
      </c>
      <c r="P16" s="446">
        <f t="shared" ref="P16:P18" si="12">IF(N16=0, "    ---- ", IF(ABS(ROUND(100/N16*O16-100,1))&lt;999,ROUND(100/N16*O16-100,1),IF(ROUND(100/N16*O16-100,1)&gt;999,999,-999)))</f>
        <v>136.4</v>
      </c>
      <c r="Q16" s="104">
        <f>SUM(Q17+Q19)</f>
        <v>225.9</v>
      </c>
      <c r="R16" s="853">
        <f>SUM(R17+R19)</f>
        <v>251</v>
      </c>
      <c r="S16" s="340">
        <f>IF(Q16=0, "    ---- ", IF(ABS(ROUND(100/Q16*R16-100,1))&lt;999,ROUND(100/Q16*R16-100,1),IF(ROUND(100/Q16*R16-100,1)&gt;999,999,-999)))</f>
        <v>11.1</v>
      </c>
      <c r="T16" s="965"/>
      <c r="U16" s="883"/>
      <c r="V16" s="446"/>
      <c r="W16" s="104">
        <v>18497.058498170001</v>
      </c>
      <c r="X16" s="853">
        <v>19012.186930030002</v>
      </c>
      <c r="Y16" s="446">
        <f t="shared" si="0"/>
        <v>2.8</v>
      </c>
      <c r="Z16" s="104"/>
      <c r="AA16" s="853"/>
      <c r="AB16" s="446"/>
      <c r="AC16" s="104">
        <f>SUM(AC17+AC19)</f>
        <v>4439</v>
      </c>
      <c r="AD16" s="853">
        <f>SUM(AD17+AD19)</f>
        <v>4461</v>
      </c>
      <c r="AE16" s="446">
        <f t="shared" si="8"/>
        <v>0.5</v>
      </c>
      <c r="AF16" s="104"/>
      <c r="AG16" s="853"/>
      <c r="AH16" s="446"/>
      <c r="AI16" s="104">
        <f>SUM(AI17+AI19)</f>
        <v>1154.4069999999999</v>
      </c>
      <c r="AJ16" s="853">
        <f>SUM(AJ17+AJ19)</f>
        <v>1152.1870000000001</v>
      </c>
      <c r="AK16" s="446">
        <f t="shared" si="9"/>
        <v>-0.2</v>
      </c>
      <c r="AL16" s="104">
        <f>SUM(AL17+AL19)</f>
        <v>7628</v>
      </c>
      <c r="AM16" s="853">
        <f>7361+373</f>
        <v>7734</v>
      </c>
      <c r="AN16" s="446">
        <f t="shared" si="10"/>
        <v>1.4</v>
      </c>
      <c r="AO16" s="447">
        <f t="shared" si="1"/>
        <v>38731.231498170004</v>
      </c>
      <c r="AP16" s="447">
        <f t="shared" si="2"/>
        <v>42208.320030609997</v>
      </c>
      <c r="AQ16" s="446">
        <f t="shared" si="3"/>
        <v>9</v>
      </c>
      <c r="AR16" s="447">
        <f t="shared" si="4"/>
        <v>38731.231498170004</v>
      </c>
      <c r="AS16" s="447">
        <f t="shared" si="5"/>
        <v>42208.320030609997</v>
      </c>
      <c r="AT16" s="446">
        <f t="shared" si="6"/>
        <v>9</v>
      </c>
      <c r="AU16" s="497"/>
      <c r="AV16" s="497"/>
    </row>
    <row r="17" spans="1:49" s="498" customFormat="1" ht="20.100000000000001" customHeight="1" x14ac:dyDescent="0.3">
      <c r="A17" s="463" t="s">
        <v>191</v>
      </c>
      <c r="B17" s="196"/>
      <c r="C17" s="449"/>
      <c r="D17" s="446"/>
      <c r="E17" s="104"/>
      <c r="F17" s="853"/>
      <c r="G17" s="446"/>
      <c r="H17" s="196">
        <v>3990.7240000000002</v>
      </c>
      <c r="I17" s="449">
        <v>6770.08041718</v>
      </c>
      <c r="J17" s="449">
        <f t="shared" si="7"/>
        <v>69.599999999999994</v>
      </c>
      <c r="K17" s="449"/>
      <c r="L17" s="449"/>
      <c r="M17" s="446"/>
      <c r="N17" s="196">
        <v>53.81</v>
      </c>
      <c r="O17" s="449">
        <v>127.21299999999999</v>
      </c>
      <c r="P17" s="446">
        <f t="shared" si="12"/>
        <v>136.4</v>
      </c>
      <c r="Q17" s="104"/>
      <c r="R17" s="853"/>
      <c r="S17" s="445"/>
      <c r="T17" s="965"/>
      <c r="U17" s="883"/>
      <c r="V17" s="446"/>
      <c r="W17" s="104">
        <v>6880.3432095100006</v>
      </c>
      <c r="X17" s="853">
        <v>7149.1942136300004</v>
      </c>
      <c r="Y17" s="446">
        <f t="shared" si="0"/>
        <v>3.9</v>
      </c>
      <c r="Z17" s="104"/>
      <c r="AA17" s="853"/>
      <c r="AB17" s="446"/>
      <c r="AC17" s="104">
        <v>69</v>
      </c>
      <c r="AD17" s="853">
        <v>10</v>
      </c>
      <c r="AE17" s="446">
        <f t="shared" si="8"/>
        <v>-85.5</v>
      </c>
      <c r="AF17" s="104"/>
      <c r="AG17" s="853"/>
      <c r="AH17" s="446"/>
      <c r="AI17" s="104">
        <v>84.873999999999995</v>
      </c>
      <c r="AJ17" s="853">
        <v>68.007000000000005</v>
      </c>
      <c r="AK17" s="446">
        <f t="shared" si="9"/>
        <v>-19.899999999999999</v>
      </c>
      <c r="AL17" s="104"/>
      <c r="AM17" s="853"/>
      <c r="AN17" s="446"/>
      <c r="AO17" s="447">
        <f t="shared" si="1"/>
        <v>11078.751209510001</v>
      </c>
      <c r="AP17" s="447">
        <f t="shared" si="2"/>
        <v>14124.494630809999</v>
      </c>
      <c r="AQ17" s="446">
        <f t="shared" si="3"/>
        <v>27.5</v>
      </c>
      <c r="AR17" s="447">
        <f t="shared" si="4"/>
        <v>11078.751209510001</v>
      </c>
      <c r="AS17" s="447">
        <f t="shared" si="5"/>
        <v>14124.494630809999</v>
      </c>
      <c r="AT17" s="446">
        <f t="shared" si="6"/>
        <v>27.5</v>
      </c>
      <c r="AU17" s="497"/>
      <c r="AV17" s="497"/>
    </row>
    <row r="18" spans="1:49" s="498" customFormat="1" ht="20.100000000000001" customHeight="1" x14ac:dyDescent="0.3">
      <c r="A18" s="463" t="s">
        <v>192</v>
      </c>
      <c r="B18" s="196"/>
      <c r="C18" s="449"/>
      <c r="D18" s="446"/>
      <c r="E18" s="104"/>
      <c r="F18" s="853"/>
      <c r="G18" s="446"/>
      <c r="H18" s="196">
        <v>3990.7240000000002</v>
      </c>
      <c r="I18" s="449">
        <v>6770.08041718</v>
      </c>
      <c r="J18" s="449">
        <f t="shared" si="7"/>
        <v>69.599999999999994</v>
      </c>
      <c r="K18" s="449"/>
      <c r="L18" s="449"/>
      <c r="M18" s="446"/>
      <c r="N18" s="196">
        <v>53.81</v>
      </c>
      <c r="O18" s="449">
        <v>127.21299999999999</v>
      </c>
      <c r="P18" s="446">
        <f t="shared" si="12"/>
        <v>136.4</v>
      </c>
      <c r="Q18" s="104"/>
      <c r="R18" s="853"/>
      <c r="S18" s="445"/>
      <c r="T18" s="965"/>
      <c r="U18" s="883"/>
      <c r="V18" s="446"/>
      <c r="W18" s="104">
        <v>6880.3432095100006</v>
      </c>
      <c r="X18" s="853">
        <v>7149.1942136300004</v>
      </c>
      <c r="Y18" s="446">
        <f t="shared" si="0"/>
        <v>3.9</v>
      </c>
      <c r="Z18" s="104"/>
      <c r="AA18" s="853"/>
      <c r="AB18" s="446"/>
      <c r="AC18" s="104"/>
      <c r="AD18" s="853"/>
      <c r="AE18" s="446"/>
      <c r="AF18" s="104"/>
      <c r="AG18" s="853"/>
      <c r="AH18" s="446"/>
      <c r="AI18" s="104">
        <v>16.494647719999669</v>
      </c>
      <c r="AJ18" s="853">
        <v>-3.2782554626464843E-13</v>
      </c>
      <c r="AK18" s="446">
        <f t="shared" si="9"/>
        <v>-100</v>
      </c>
      <c r="AL18" s="104"/>
      <c r="AM18" s="853"/>
      <c r="AN18" s="446"/>
      <c r="AO18" s="447">
        <f t="shared" si="1"/>
        <v>10941.37185723</v>
      </c>
      <c r="AP18" s="447">
        <f t="shared" si="2"/>
        <v>14046.487630809999</v>
      </c>
      <c r="AQ18" s="446">
        <f t="shared" si="3"/>
        <v>28.4</v>
      </c>
      <c r="AR18" s="447">
        <f t="shared" si="4"/>
        <v>10941.37185723</v>
      </c>
      <c r="AS18" s="447">
        <f t="shared" si="5"/>
        <v>14046.487630809999</v>
      </c>
      <c r="AT18" s="446">
        <f t="shared" si="6"/>
        <v>28.4</v>
      </c>
      <c r="AU18" s="497"/>
      <c r="AV18" s="497"/>
    </row>
    <row r="19" spans="1:49" s="498" customFormat="1" ht="20.100000000000001" customHeight="1" x14ac:dyDescent="0.3">
      <c r="A19" s="463" t="s">
        <v>193</v>
      </c>
      <c r="B19" s="196"/>
      <c r="C19" s="449"/>
      <c r="D19" s="446"/>
      <c r="E19" s="104">
        <v>303.8</v>
      </c>
      <c r="F19" s="853">
        <v>297.39999999999998</v>
      </c>
      <c r="G19" s="446">
        <f t="shared" ref="G19:G28" si="13">IF(E19=0, "    ---- ", IF(ABS(ROUND(100/E19*F19-100,1))&lt;999,ROUND(100/E19*F19-100,1),IF(ROUND(100/E19*F19-100,1)&gt;999,999,-999)))</f>
        <v>-2.1</v>
      </c>
      <c r="H19" s="196">
        <v>2438.5320000000002</v>
      </c>
      <c r="I19" s="449">
        <v>2403.2526834</v>
      </c>
      <c r="J19" s="449">
        <f t="shared" si="7"/>
        <v>-1.4</v>
      </c>
      <c r="K19" s="449"/>
      <c r="L19" s="449"/>
      <c r="M19" s="446"/>
      <c r="N19" s="196"/>
      <c r="O19" s="449"/>
      <c r="P19" s="446"/>
      <c r="Q19" s="104">
        <v>225.9</v>
      </c>
      <c r="R19" s="853">
        <v>251</v>
      </c>
      <c r="S19" s="340">
        <f>IF(Q19=0, "    ---- ", IF(ABS(ROUND(100/Q19*R19-100,1))&lt;999,ROUND(100/Q19*R19-100,1),IF(ROUND(100/Q19*R19-100,1)&gt;999,999,-999)))</f>
        <v>11.1</v>
      </c>
      <c r="T19" s="965"/>
      <c r="U19" s="883"/>
      <c r="V19" s="446"/>
      <c r="W19" s="104">
        <v>11616.71528866</v>
      </c>
      <c r="X19" s="853">
        <v>11862.9927164</v>
      </c>
      <c r="Y19" s="446">
        <f t="shared" si="0"/>
        <v>2.1</v>
      </c>
      <c r="Z19" s="104"/>
      <c r="AA19" s="853"/>
      <c r="AB19" s="446"/>
      <c r="AC19" s="104">
        <v>4370</v>
      </c>
      <c r="AD19" s="853">
        <v>4451</v>
      </c>
      <c r="AE19" s="446">
        <f t="shared" si="8"/>
        <v>1.9</v>
      </c>
      <c r="AF19" s="104"/>
      <c r="AG19" s="853"/>
      <c r="AH19" s="446"/>
      <c r="AI19" s="104">
        <v>1069.5329999999999</v>
      </c>
      <c r="AJ19" s="853">
        <v>1084.18</v>
      </c>
      <c r="AK19" s="446">
        <f t="shared" si="9"/>
        <v>1.4</v>
      </c>
      <c r="AL19" s="104">
        <f>1+7119+508</f>
        <v>7628</v>
      </c>
      <c r="AM19" s="853">
        <f>7361+373</f>
        <v>7734</v>
      </c>
      <c r="AN19" s="446">
        <f t="shared" si="10"/>
        <v>1.4</v>
      </c>
      <c r="AO19" s="447">
        <f t="shared" si="1"/>
        <v>27652.480288659997</v>
      </c>
      <c r="AP19" s="447">
        <f t="shared" si="2"/>
        <v>28083.8253998</v>
      </c>
      <c r="AQ19" s="446">
        <f t="shared" si="3"/>
        <v>1.6</v>
      </c>
      <c r="AR19" s="447">
        <f t="shared" si="4"/>
        <v>27652.480288659997</v>
      </c>
      <c r="AS19" s="447">
        <f t="shared" si="5"/>
        <v>28083.8253998</v>
      </c>
      <c r="AT19" s="446">
        <f t="shared" si="6"/>
        <v>1.6</v>
      </c>
      <c r="AU19" s="497"/>
      <c r="AV19" s="497"/>
    </row>
    <row r="20" spans="1:49" s="498" customFormat="1" ht="20.100000000000001" customHeight="1" x14ac:dyDescent="0.3">
      <c r="A20" s="463" t="s">
        <v>194</v>
      </c>
      <c r="B20" s="196">
        <f>SUM(B21:B25)</f>
        <v>341.512</v>
      </c>
      <c r="C20" s="449">
        <f>SUM(C21:C25)</f>
        <v>814.11800000000005</v>
      </c>
      <c r="D20" s="446">
        <f>IF(B20=0, "    ---- ", IF(ABS(ROUND(100/B20*C20-100,1))&lt;999,ROUND(100/B20*C20-100,1),IF(ROUND(100/B20*C20-100,1)&gt;999,999,-999)))</f>
        <v>138.4</v>
      </c>
      <c r="E20" s="104">
        <f>SUM(E21:E25)</f>
        <v>270.60000000000002</v>
      </c>
      <c r="F20" s="853">
        <f>SUM(F21:F25)</f>
        <v>261.8</v>
      </c>
      <c r="G20" s="446">
        <f t="shared" si="13"/>
        <v>-3.3</v>
      </c>
      <c r="H20" s="196">
        <f>SUM(H21:H25)</f>
        <v>24402.255999999998</v>
      </c>
      <c r="I20" s="449">
        <f>SUM(I21:I25)</f>
        <v>22206.639055979998</v>
      </c>
      <c r="J20" s="446">
        <f t="shared" si="7"/>
        <v>-9</v>
      </c>
      <c r="K20" s="449"/>
      <c r="L20" s="449">
        <f>SUM(L21:L25)</f>
        <v>1899.8152579800003</v>
      </c>
      <c r="M20" s="446" t="str">
        <f t="shared" ref="M20:M22" si="14">IF(K20=0, "    ---- ", IF(ABS(ROUND(100/K20*L20-100,1))&lt;999,ROUND(100/K20*L20-100,1),IF(ROUND(100/K20*L20-100,1)&gt;999,999,-999)))</f>
        <v xml:space="preserve">    ---- </v>
      </c>
      <c r="N20" s="196">
        <f>SUM(N21:N25)</f>
        <v>244.524</v>
      </c>
      <c r="O20" s="449">
        <f>SUM(O21:O25)</f>
        <v>573.02500000000009</v>
      </c>
      <c r="P20" s="446">
        <f t="shared" ref="P20:P28" si="15">IF(N20=0, "    ---- ", IF(ABS(ROUND(100/N20*O20-100,1))&lt;999,ROUND(100/N20*O20-100,1),IF(ROUND(100/N20*O20-100,1)&gt;999,999,-999)))</f>
        <v>134.30000000000001</v>
      </c>
      <c r="Q20" s="104">
        <f>SUM(Q21:Q25)</f>
        <v>757.8</v>
      </c>
      <c r="R20" s="853">
        <f>SUM(R21:R25)</f>
        <v>859.7</v>
      </c>
      <c r="S20" s="445">
        <f t="shared" ref="S20:S28" si="16">IF(Q20=0, "    ---- ", IF(ABS(ROUND(100/Q20*R20-100,1))&lt;999,ROUND(100/Q20*R20-100,1),IF(ROUND(100/Q20*R20-100,1)&gt;999,999,-999)))</f>
        <v>13.4</v>
      </c>
      <c r="T20" s="965"/>
      <c r="U20" s="883"/>
      <c r="V20" s="446"/>
      <c r="W20" s="104">
        <v>14197.52222033</v>
      </c>
      <c r="X20" s="853">
        <v>12816.122588979999</v>
      </c>
      <c r="Y20" s="446">
        <f t="shared" si="0"/>
        <v>-9.6999999999999993</v>
      </c>
      <c r="Z20" s="104">
        <f>SUM(Z21:Z25)</f>
        <v>10814.49</v>
      </c>
      <c r="AA20" s="853">
        <f>SUM(AA21:AA25)</f>
        <v>10727.19</v>
      </c>
      <c r="AB20" s="446">
        <f t="shared" ref="AB20:AB28" si="17">IF(Z20=0, "    ---- ", IF(ABS(ROUND(100/Z20*AA20-100,1))&lt;999,ROUND(100/Z20*AA20-100,1),IF(ROUND(100/Z20*AA20-100,1)&gt;999,999,-999)))</f>
        <v>-0.8</v>
      </c>
      <c r="AC20" s="104">
        <f>SUM(AC21:AC25)</f>
        <v>4190</v>
      </c>
      <c r="AD20" s="853">
        <f>SUM(AD21:AD25)</f>
        <v>4872</v>
      </c>
      <c r="AE20" s="446">
        <f t="shared" si="8"/>
        <v>16.3</v>
      </c>
      <c r="AF20" s="104"/>
      <c r="AG20" s="853"/>
      <c r="AH20" s="340"/>
      <c r="AI20" s="104">
        <f>SUM(AI21:AI25)</f>
        <v>4011.2869999999998</v>
      </c>
      <c r="AJ20" s="853">
        <f>SUM(AJ21:AJ25)</f>
        <v>3875.828</v>
      </c>
      <c r="AK20" s="446">
        <f t="shared" si="9"/>
        <v>-3.4</v>
      </c>
      <c r="AL20" s="104">
        <f>SUM(AL21:AL25)</f>
        <v>12821</v>
      </c>
      <c r="AM20" s="853">
        <f>SUM(AM21:AM25)</f>
        <v>12126.1</v>
      </c>
      <c r="AN20" s="446">
        <f t="shared" si="10"/>
        <v>-5.4</v>
      </c>
      <c r="AO20" s="447">
        <f t="shared" si="1"/>
        <v>72050.99122032999</v>
      </c>
      <c r="AP20" s="447">
        <f t="shared" si="2"/>
        <v>71032.337902940009</v>
      </c>
      <c r="AQ20" s="446">
        <f t="shared" si="3"/>
        <v>-1.4</v>
      </c>
      <c r="AR20" s="447">
        <f t="shared" si="4"/>
        <v>72050.99122032999</v>
      </c>
      <c r="AS20" s="447">
        <f t="shared" si="5"/>
        <v>71032.337902940009</v>
      </c>
      <c r="AT20" s="446">
        <f t="shared" si="6"/>
        <v>-1.4</v>
      </c>
      <c r="AU20" s="497"/>
      <c r="AV20" s="497"/>
    </row>
    <row r="21" spans="1:49" s="498" customFormat="1" ht="20.100000000000001" customHeight="1" x14ac:dyDescent="0.3">
      <c r="A21" s="463" t="s">
        <v>195</v>
      </c>
      <c r="B21" s="196">
        <v>6.0380000000000003</v>
      </c>
      <c r="C21" s="449">
        <v>6.62</v>
      </c>
      <c r="D21" s="446">
        <f>IF(B21=0, "    ---- ", IF(ABS(ROUND(100/B21*C21-100,1))&lt;999,ROUND(100/B21*C21-100,1),IF(ROUND(100/B21*C21-100,1)&gt;999,999,-999)))</f>
        <v>9.6</v>
      </c>
      <c r="E21" s="104">
        <v>8.4</v>
      </c>
      <c r="F21" s="853">
        <v>0</v>
      </c>
      <c r="G21" s="446">
        <f t="shared" si="13"/>
        <v>-100</v>
      </c>
      <c r="H21" s="196">
        <v>352.245</v>
      </c>
      <c r="I21" s="449">
        <v>693.39495496000006</v>
      </c>
      <c r="J21" s="446">
        <f t="shared" si="7"/>
        <v>96.9</v>
      </c>
      <c r="K21" s="449"/>
      <c r="L21" s="449"/>
      <c r="M21" s="446" t="str">
        <f t="shared" si="14"/>
        <v xml:space="preserve">    ---- </v>
      </c>
      <c r="N21" s="196">
        <v>28.404</v>
      </c>
      <c r="O21" s="449">
        <v>82.533000000000001</v>
      </c>
      <c r="P21" s="446">
        <f t="shared" si="15"/>
        <v>190.6</v>
      </c>
      <c r="Q21" s="104">
        <v>6.3</v>
      </c>
      <c r="R21" s="853">
        <v>3.7</v>
      </c>
      <c r="S21" s="445">
        <f t="shared" si="16"/>
        <v>-41.3</v>
      </c>
      <c r="T21" s="965"/>
      <c r="U21" s="883"/>
      <c r="V21" s="446"/>
      <c r="W21" s="104">
        <v>5.2555584500000005</v>
      </c>
      <c r="X21" s="853">
        <v>6.7540584500000005</v>
      </c>
      <c r="Y21" s="446">
        <f t="shared" si="0"/>
        <v>28.5</v>
      </c>
      <c r="Z21" s="104">
        <v>0</v>
      </c>
      <c r="AA21" s="853">
        <v>0</v>
      </c>
      <c r="AB21" s="446" t="str">
        <f t="shared" si="17"/>
        <v xml:space="preserve">    ---- </v>
      </c>
      <c r="AC21" s="104">
        <v>2060</v>
      </c>
      <c r="AD21" s="853">
        <v>2363</v>
      </c>
      <c r="AE21" s="446">
        <f t="shared" si="8"/>
        <v>14.7</v>
      </c>
      <c r="AF21" s="104"/>
      <c r="AG21" s="853"/>
      <c r="AH21" s="446"/>
      <c r="AI21" s="104">
        <v>0.48899999999999999</v>
      </c>
      <c r="AJ21" s="853">
        <v>1.204</v>
      </c>
      <c r="AK21" s="446">
        <f t="shared" si="9"/>
        <v>146.19999999999999</v>
      </c>
      <c r="AL21" s="104">
        <v>24</v>
      </c>
      <c r="AM21" s="853">
        <v>50.6</v>
      </c>
      <c r="AN21" s="446">
        <f t="shared" si="10"/>
        <v>110.8</v>
      </c>
      <c r="AO21" s="447">
        <f t="shared" si="1"/>
        <v>2491.1315584500003</v>
      </c>
      <c r="AP21" s="447">
        <f t="shared" si="2"/>
        <v>3207.8060134100001</v>
      </c>
      <c r="AQ21" s="446">
        <f t="shared" si="3"/>
        <v>28.8</v>
      </c>
      <c r="AR21" s="447">
        <f t="shared" si="4"/>
        <v>2491.1315584500003</v>
      </c>
      <c r="AS21" s="447">
        <f t="shared" si="5"/>
        <v>3207.8060134100001</v>
      </c>
      <c r="AT21" s="446">
        <f t="shared" si="6"/>
        <v>28.8</v>
      </c>
      <c r="AU21" s="497"/>
      <c r="AV21" s="497"/>
    </row>
    <row r="22" spans="1:49" s="498" customFormat="1" ht="20.100000000000001" customHeight="1" x14ac:dyDescent="0.3">
      <c r="A22" s="463" t="s">
        <v>196</v>
      </c>
      <c r="B22" s="196">
        <v>335.47399999999999</v>
      </c>
      <c r="C22" s="449">
        <v>807.49800000000005</v>
      </c>
      <c r="D22" s="446">
        <f>IF(B22=0, "    ---- ", IF(ABS(ROUND(100/B22*C22-100,1))&lt;999,ROUND(100/B22*C22-100,1),IF(ROUND(100/B22*C22-100,1)&gt;999,999,-999)))</f>
        <v>140.69999999999999</v>
      </c>
      <c r="E22" s="104">
        <v>255.9</v>
      </c>
      <c r="F22" s="853">
        <v>260.60000000000002</v>
      </c>
      <c r="G22" s="446">
        <f t="shared" si="13"/>
        <v>1.8</v>
      </c>
      <c r="H22" s="196">
        <v>24020.473000000002</v>
      </c>
      <c r="I22" s="449">
        <v>21180.407843280002</v>
      </c>
      <c r="J22" s="446">
        <f t="shared" si="7"/>
        <v>-11.8</v>
      </c>
      <c r="K22" s="449"/>
      <c r="L22" s="449">
        <v>1761.5733119600002</v>
      </c>
      <c r="M22" s="446" t="str">
        <f t="shared" si="14"/>
        <v xml:space="preserve">    ---- </v>
      </c>
      <c r="N22" s="196">
        <v>183.63800000000001</v>
      </c>
      <c r="O22" s="449">
        <v>407.03500000000003</v>
      </c>
      <c r="P22" s="446">
        <f t="shared" si="15"/>
        <v>121.7</v>
      </c>
      <c r="Q22" s="104">
        <v>751.5</v>
      </c>
      <c r="R22" s="853">
        <v>856</v>
      </c>
      <c r="S22" s="445">
        <f t="shared" si="16"/>
        <v>13.9</v>
      </c>
      <c r="T22" s="965"/>
      <c r="U22" s="883"/>
      <c r="V22" s="446"/>
      <c r="W22" s="104">
        <v>11743.937411520001</v>
      </c>
      <c r="X22" s="853">
        <v>10225.8361859</v>
      </c>
      <c r="Y22" s="446">
        <f t="shared" si="0"/>
        <v>-12.9</v>
      </c>
      <c r="Z22" s="104">
        <v>10814.22</v>
      </c>
      <c r="AA22" s="853">
        <v>10726.93</v>
      </c>
      <c r="AB22" s="446">
        <f t="shared" si="17"/>
        <v>-0.8</v>
      </c>
      <c r="AC22" s="104">
        <v>2091</v>
      </c>
      <c r="AD22" s="853">
        <v>2374</v>
      </c>
      <c r="AE22" s="446">
        <f t="shared" si="8"/>
        <v>13.5</v>
      </c>
      <c r="AF22" s="104"/>
      <c r="AG22" s="853"/>
      <c r="AH22" s="446"/>
      <c r="AI22" s="104">
        <v>4023.7939999999999</v>
      </c>
      <c r="AJ22" s="853">
        <v>3321.7829999999999</v>
      </c>
      <c r="AK22" s="446">
        <f t="shared" si="9"/>
        <v>-17.399999999999999</v>
      </c>
      <c r="AL22" s="104">
        <v>11675</v>
      </c>
      <c r="AM22" s="853">
        <f>10747.5+12</f>
        <v>10759.5</v>
      </c>
      <c r="AN22" s="446">
        <f t="shared" si="10"/>
        <v>-7.8</v>
      </c>
      <c r="AO22" s="447">
        <f t="shared" si="1"/>
        <v>65894.936411520001</v>
      </c>
      <c r="AP22" s="447">
        <f t="shared" si="2"/>
        <v>62681.163341140003</v>
      </c>
      <c r="AQ22" s="446">
        <f t="shared" si="3"/>
        <v>-4.9000000000000004</v>
      </c>
      <c r="AR22" s="447">
        <f t="shared" si="4"/>
        <v>65894.936411520001</v>
      </c>
      <c r="AS22" s="447">
        <f t="shared" si="5"/>
        <v>62681.163341140003</v>
      </c>
      <c r="AT22" s="446">
        <f t="shared" si="6"/>
        <v>-4.9000000000000004</v>
      </c>
      <c r="AU22" s="497"/>
      <c r="AV22" s="497"/>
    </row>
    <row r="23" spans="1:49" s="498" customFormat="1" ht="20.100000000000001" customHeight="1" x14ac:dyDescent="0.3">
      <c r="A23" s="463" t="s">
        <v>197</v>
      </c>
      <c r="B23" s="196"/>
      <c r="C23" s="449"/>
      <c r="D23" s="446"/>
      <c r="E23" s="104">
        <v>6.3</v>
      </c>
      <c r="F23" s="853">
        <v>1.2</v>
      </c>
      <c r="G23" s="446">
        <f t="shared" si="13"/>
        <v>-81</v>
      </c>
      <c r="H23" s="196">
        <v>2.746</v>
      </c>
      <c r="I23" s="449">
        <v>21.513744210000002</v>
      </c>
      <c r="J23" s="446">
        <f t="shared" si="7"/>
        <v>683.5</v>
      </c>
      <c r="K23" s="449"/>
      <c r="L23" s="449">
        <v>27.505179529999992</v>
      </c>
      <c r="M23" s="446"/>
      <c r="N23" s="196"/>
      <c r="O23" s="449"/>
      <c r="P23" s="446"/>
      <c r="Q23" s="104"/>
      <c r="R23" s="853"/>
      <c r="S23" s="445"/>
      <c r="T23" s="965"/>
      <c r="U23" s="883"/>
      <c r="V23" s="446"/>
      <c r="W23" s="104">
        <v>1701.2320926099999</v>
      </c>
      <c r="X23" s="853">
        <v>1699.7113942599999</v>
      </c>
      <c r="Y23" s="446">
        <f t="shared" si="0"/>
        <v>-0.1</v>
      </c>
      <c r="Z23" s="104">
        <v>0.27</v>
      </c>
      <c r="AA23" s="853">
        <v>0.26</v>
      </c>
      <c r="AB23" s="446">
        <f t="shared" si="17"/>
        <v>-3.7</v>
      </c>
      <c r="AC23" s="104"/>
      <c r="AD23" s="853"/>
      <c r="AE23" s="446" t="str">
        <f t="shared" si="8"/>
        <v xml:space="preserve">    ---- </v>
      </c>
      <c r="AF23" s="104"/>
      <c r="AG23" s="853"/>
      <c r="AH23" s="446"/>
      <c r="AI23" s="104">
        <v>0</v>
      </c>
      <c r="AJ23" s="853">
        <v>0</v>
      </c>
      <c r="AK23" s="446" t="str">
        <f t="shared" si="9"/>
        <v xml:space="preserve">    ---- </v>
      </c>
      <c r="AL23" s="104"/>
      <c r="AM23" s="853">
        <v>1316</v>
      </c>
      <c r="AN23" s="446" t="str">
        <f t="shared" si="10"/>
        <v xml:space="preserve">    ---- </v>
      </c>
      <c r="AO23" s="447">
        <f t="shared" si="1"/>
        <v>1710.5480926099999</v>
      </c>
      <c r="AP23" s="447">
        <f t="shared" si="2"/>
        <v>3066.1903179999999</v>
      </c>
      <c r="AQ23" s="446">
        <f t="shared" si="3"/>
        <v>79.3</v>
      </c>
      <c r="AR23" s="447">
        <f t="shared" si="4"/>
        <v>1710.5480926099999</v>
      </c>
      <c r="AS23" s="447">
        <f t="shared" si="5"/>
        <v>3066.1903179999999</v>
      </c>
      <c r="AT23" s="446">
        <f t="shared" si="6"/>
        <v>79.3</v>
      </c>
      <c r="AU23" s="497"/>
      <c r="AV23" s="497"/>
    </row>
    <row r="24" spans="1:49" s="498" customFormat="1" ht="20.100000000000001" customHeight="1" x14ac:dyDescent="0.3">
      <c r="A24" s="463" t="s">
        <v>198</v>
      </c>
      <c r="B24" s="196"/>
      <c r="C24" s="449"/>
      <c r="D24" s="446"/>
      <c r="E24" s="104"/>
      <c r="F24" s="853"/>
      <c r="G24" s="446"/>
      <c r="H24" s="196">
        <v>7.9939999999999998</v>
      </c>
      <c r="I24" s="449">
        <v>10.528148869999999</v>
      </c>
      <c r="J24" s="446">
        <f t="shared" si="7"/>
        <v>31.7</v>
      </c>
      <c r="K24" s="449"/>
      <c r="L24" s="449">
        <v>0</v>
      </c>
      <c r="M24" s="446"/>
      <c r="N24" s="196"/>
      <c r="O24" s="449"/>
      <c r="P24" s="446"/>
      <c r="Q24" s="104"/>
      <c r="R24" s="853"/>
      <c r="S24" s="445"/>
      <c r="T24" s="965"/>
      <c r="U24" s="883"/>
      <c r="V24" s="446"/>
      <c r="W24" s="104">
        <v>747.09715775999996</v>
      </c>
      <c r="X24" s="853">
        <v>883.82095038</v>
      </c>
      <c r="Y24" s="446">
        <f t="shared" si="0"/>
        <v>18.3</v>
      </c>
      <c r="Z24" s="104"/>
      <c r="AA24" s="853"/>
      <c r="AB24" s="446"/>
      <c r="AC24" s="104">
        <v>39</v>
      </c>
      <c r="AD24" s="853">
        <v>135</v>
      </c>
      <c r="AE24" s="446">
        <f t="shared" si="8"/>
        <v>246.2</v>
      </c>
      <c r="AF24" s="104"/>
      <c r="AG24" s="853"/>
      <c r="AH24" s="446"/>
      <c r="AI24" s="104">
        <v>0</v>
      </c>
      <c r="AJ24" s="853">
        <v>0.32800000000000001</v>
      </c>
      <c r="AK24" s="446" t="str">
        <f t="shared" si="9"/>
        <v xml:space="preserve">    ---- </v>
      </c>
      <c r="AL24" s="104">
        <v>1122</v>
      </c>
      <c r="AM24" s="853"/>
      <c r="AN24" s="446">
        <f t="shared" si="10"/>
        <v>-100</v>
      </c>
      <c r="AO24" s="447">
        <f t="shared" si="1"/>
        <v>1916.09115776</v>
      </c>
      <c r="AP24" s="447">
        <f t="shared" si="2"/>
        <v>1029.6770992500001</v>
      </c>
      <c r="AQ24" s="446">
        <f t="shared" si="3"/>
        <v>-46.3</v>
      </c>
      <c r="AR24" s="447">
        <f t="shared" si="4"/>
        <v>1916.09115776</v>
      </c>
      <c r="AS24" s="447">
        <f t="shared" si="5"/>
        <v>1029.6770992500001</v>
      </c>
      <c r="AT24" s="446">
        <f t="shared" si="6"/>
        <v>-46.3</v>
      </c>
      <c r="AU24" s="497"/>
      <c r="AV24" s="497"/>
    </row>
    <row r="25" spans="1:49" s="498" customFormat="1" ht="20.100000000000001" customHeight="1" x14ac:dyDescent="0.3">
      <c r="A25" s="463" t="s">
        <v>199</v>
      </c>
      <c r="B25" s="196"/>
      <c r="C25" s="449"/>
      <c r="D25" s="446"/>
      <c r="E25" s="104"/>
      <c r="F25" s="853"/>
      <c r="G25" s="446"/>
      <c r="H25" s="196">
        <v>18.797999999999998</v>
      </c>
      <c r="I25" s="449">
        <v>300.79436465999999</v>
      </c>
      <c r="J25" s="446">
        <f t="shared" si="7"/>
        <v>999</v>
      </c>
      <c r="K25" s="449"/>
      <c r="L25" s="449">
        <v>110.73676648999999</v>
      </c>
      <c r="M25" s="446" t="str">
        <f t="shared" ref="M25" si="18">IF(K25=0, "    ---- ", IF(ABS(ROUND(100/K25*L25-100,1))&lt;999,ROUND(100/K25*L25-100,1),IF(ROUND(100/K25*L25-100,1)&gt;999,999,-999)))</f>
        <v xml:space="preserve">    ---- </v>
      </c>
      <c r="N25" s="196">
        <v>32.481999999999999</v>
      </c>
      <c r="O25" s="449">
        <v>83.456999999999994</v>
      </c>
      <c r="P25" s="446">
        <f t="shared" si="15"/>
        <v>156.9</v>
      </c>
      <c r="Q25" s="104"/>
      <c r="R25" s="853"/>
      <c r="S25" s="445"/>
      <c r="T25" s="965"/>
      <c r="U25" s="883"/>
      <c r="V25" s="446"/>
      <c r="W25" s="104">
        <v>-1E-8</v>
      </c>
      <c r="X25" s="853">
        <v>-1E-8</v>
      </c>
      <c r="Y25" s="446">
        <f t="shared" si="0"/>
        <v>0</v>
      </c>
      <c r="Z25" s="104"/>
      <c r="AA25" s="853"/>
      <c r="AB25" s="446"/>
      <c r="AC25" s="104"/>
      <c r="AD25" s="853"/>
      <c r="AE25" s="446"/>
      <c r="AF25" s="104"/>
      <c r="AG25" s="853"/>
      <c r="AH25" s="340"/>
      <c r="AI25" s="104">
        <v>-12.996</v>
      </c>
      <c r="AJ25" s="853">
        <v>552.51300000000003</v>
      </c>
      <c r="AK25" s="446">
        <f t="shared" si="9"/>
        <v>-999</v>
      </c>
      <c r="AL25" s="104"/>
      <c r="AM25" s="853"/>
      <c r="AN25" s="446"/>
      <c r="AO25" s="447">
        <f t="shared" si="1"/>
        <v>38.283999989999998</v>
      </c>
      <c r="AP25" s="447">
        <f t="shared" si="2"/>
        <v>1047.5011311399999</v>
      </c>
      <c r="AQ25" s="446">
        <f t="shared" si="3"/>
        <v>999</v>
      </c>
      <c r="AR25" s="447">
        <f t="shared" si="4"/>
        <v>38.283999989999998</v>
      </c>
      <c r="AS25" s="447">
        <f t="shared" si="5"/>
        <v>1047.5011311399999</v>
      </c>
      <c r="AT25" s="446">
        <f t="shared" si="6"/>
        <v>999</v>
      </c>
      <c r="AU25" s="497"/>
      <c r="AV25" s="497"/>
    </row>
    <row r="26" spans="1:49" s="498" customFormat="1" ht="20.100000000000001" customHeight="1" x14ac:dyDescent="0.3">
      <c r="A26" s="463" t="s">
        <v>200</v>
      </c>
      <c r="B26" s="196"/>
      <c r="C26" s="449"/>
      <c r="D26" s="446"/>
      <c r="E26" s="104"/>
      <c r="F26" s="853"/>
      <c r="G26" s="446"/>
      <c r="H26" s="196"/>
      <c r="I26" s="449"/>
      <c r="J26" s="446"/>
      <c r="K26" s="449"/>
      <c r="L26" s="449"/>
      <c r="M26" s="446"/>
      <c r="N26" s="196"/>
      <c r="O26" s="449"/>
      <c r="P26" s="446"/>
      <c r="Q26" s="104"/>
      <c r="R26" s="853"/>
      <c r="S26" s="445"/>
      <c r="T26" s="965"/>
      <c r="U26" s="883"/>
      <c r="V26" s="446"/>
      <c r="W26" s="104"/>
      <c r="X26" s="853"/>
      <c r="Y26" s="446"/>
      <c r="Z26" s="104"/>
      <c r="AA26" s="853"/>
      <c r="AB26" s="446"/>
      <c r="AC26" s="104"/>
      <c r="AD26" s="853"/>
      <c r="AE26" s="446"/>
      <c r="AF26" s="104"/>
      <c r="AG26" s="853"/>
      <c r="AH26" s="446"/>
      <c r="AI26" s="104"/>
      <c r="AJ26" s="853"/>
      <c r="AK26" s="446"/>
      <c r="AL26" s="104"/>
      <c r="AM26" s="853"/>
      <c r="AN26" s="446"/>
      <c r="AO26" s="447">
        <f t="shared" si="1"/>
        <v>0</v>
      </c>
      <c r="AP26" s="447">
        <f t="shared" si="2"/>
        <v>0</v>
      </c>
      <c r="AQ26" s="446" t="str">
        <f t="shared" si="3"/>
        <v xml:space="preserve">    ---- </v>
      </c>
      <c r="AR26" s="447">
        <f t="shared" si="4"/>
        <v>0</v>
      </c>
      <c r="AS26" s="447">
        <f t="shared" si="5"/>
        <v>0</v>
      </c>
      <c r="AT26" s="446" t="str">
        <f t="shared" si="6"/>
        <v xml:space="preserve">    ---- </v>
      </c>
      <c r="AU26" s="497"/>
      <c r="AV26" s="497"/>
    </row>
    <row r="27" spans="1:49" s="498" customFormat="1" ht="20.100000000000001" customHeight="1" x14ac:dyDescent="0.3">
      <c r="A27" s="464" t="s">
        <v>201</v>
      </c>
      <c r="B27" s="196">
        <f>SUM(B14+B15+B16+B20+B26)</f>
        <v>341.512</v>
      </c>
      <c r="C27" s="449">
        <f>SUM(C14+C15+C16+C20+C26)</f>
        <v>814.11800000000005</v>
      </c>
      <c r="D27" s="446">
        <f>IF(B27=0, "    ---- ", IF(ABS(ROUND(100/B27*C27-100,1))&lt;999,ROUND(100/B27*C27-100,1),IF(ROUND(100/B27*C27-100,1)&gt;999,999,-999)))</f>
        <v>138.4</v>
      </c>
      <c r="E27" s="104">
        <f>SUM(E14+E15+E16+E20+E26)</f>
        <v>574.40000000000009</v>
      </c>
      <c r="F27" s="853">
        <f>SUM(F14+F15+F16+F20+F26)</f>
        <v>559.20000000000005</v>
      </c>
      <c r="G27" s="446">
        <f t="shared" si="13"/>
        <v>-2.6</v>
      </c>
      <c r="H27" s="196">
        <f>SUM(H14+H15+H16+H20+H26)</f>
        <v>31637.859999999997</v>
      </c>
      <c r="I27" s="449">
        <f>SUM(I14+I15+I16+I20+I26)</f>
        <v>33161.238946029996</v>
      </c>
      <c r="J27" s="446">
        <f t="shared" si="7"/>
        <v>4.8</v>
      </c>
      <c r="K27" s="449"/>
      <c r="L27" s="449">
        <f>SUM(L14+L15+L16+L20+L26)</f>
        <v>1899.8152579800003</v>
      </c>
      <c r="M27" s="446" t="str">
        <f t="shared" ref="M27:M28" si="19">IF(K27=0, "    ---- ", IF(ABS(ROUND(100/K27*L27-100,1))&lt;999,ROUND(100/K27*L27-100,1),IF(ROUND(100/K27*L27-100,1)&gt;999,999,-999)))</f>
        <v xml:space="preserve">    ---- </v>
      </c>
      <c r="N27" s="196">
        <f>SUM(N14+N15+N16+N20+N26)</f>
        <v>298.334</v>
      </c>
      <c r="O27" s="449">
        <f>SUM(O14+O15+O16+O20+O26)</f>
        <v>700.23800000000006</v>
      </c>
      <c r="P27" s="446">
        <f t="shared" si="15"/>
        <v>134.69999999999999</v>
      </c>
      <c r="Q27" s="104">
        <f>SUM(Q14+Q15+Q16+Q20+Q26)</f>
        <v>994</v>
      </c>
      <c r="R27" s="853">
        <f>SUM(R14+R15+R16+R20+R26)</f>
        <v>1118.2</v>
      </c>
      <c r="S27" s="445">
        <f t="shared" si="16"/>
        <v>12.5</v>
      </c>
      <c r="T27" s="965"/>
      <c r="U27" s="883"/>
      <c r="V27" s="446"/>
      <c r="W27" s="104">
        <f>SUM(W14+W15+W16+W20+W26)</f>
        <v>41738.398682589999</v>
      </c>
      <c r="X27" s="853">
        <v>41135.600345619998</v>
      </c>
      <c r="Y27" s="446">
        <f t="shared" si="0"/>
        <v>-1.4</v>
      </c>
      <c r="Z27" s="104">
        <f>SUM(Z14+Z15+Z16+Z20+Z26)</f>
        <v>10814.49</v>
      </c>
      <c r="AA27" s="853">
        <f>SUM(AA14+AA15+AA16+AA20+AA26)</f>
        <v>10727.19</v>
      </c>
      <c r="AB27" s="446">
        <f t="shared" si="17"/>
        <v>-0.8</v>
      </c>
      <c r="AC27" s="104">
        <f>SUM(AC14+AC15+AC16+AC20+AC26)</f>
        <v>9547</v>
      </c>
      <c r="AD27" s="853">
        <f>SUM(AD14+AD15+AD16+AD20+AD26)</f>
        <v>10515</v>
      </c>
      <c r="AE27" s="446">
        <f t="shared" si="8"/>
        <v>10.1</v>
      </c>
      <c r="AF27" s="104"/>
      <c r="AG27" s="853"/>
      <c r="AH27" s="340"/>
      <c r="AI27" s="104">
        <f>SUM(AI14+AI15+AI16+AI20+AI26)</f>
        <v>6886.1489999999994</v>
      </c>
      <c r="AJ27" s="853">
        <f>SUM(AJ14+AJ15+AJ16+AJ20+AJ26)</f>
        <v>6766.9490000000005</v>
      </c>
      <c r="AK27" s="446">
        <f t="shared" si="9"/>
        <v>-1.7</v>
      </c>
      <c r="AL27" s="104">
        <f>SUM(AL14+AL15+AL16+AL20+AL26)</f>
        <v>33263</v>
      </c>
      <c r="AM27" s="853">
        <f>SUM(AM14+AM15+AM16+AM20+AM26)</f>
        <v>33085.1</v>
      </c>
      <c r="AN27" s="446">
        <f t="shared" si="10"/>
        <v>-0.5</v>
      </c>
      <c r="AO27" s="447">
        <f t="shared" si="1"/>
        <v>136095.14368258999</v>
      </c>
      <c r="AP27" s="447">
        <f t="shared" si="2"/>
        <v>140482.64954963</v>
      </c>
      <c r="AQ27" s="446">
        <f t="shared" si="3"/>
        <v>3.2</v>
      </c>
      <c r="AR27" s="447">
        <f t="shared" si="4"/>
        <v>136095.14368258999</v>
      </c>
      <c r="AS27" s="447">
        <f t="shared" si="5"/>
        <v>140482.64954963</v>
      </c>
      <c r="AT27" s="446">
        <f t="shared" si="6"/>
        <v>3.2</v>
      </c>
      <c r="AU27" s="497"/>
      <c r="AV27" s="497"/>
    </row>
    <row r="28" spans="1:49" s="498" customFormat="1" ht="20.100000000000001" customHeight="1" x14ac:dyDescent="0.3">
      <c r="A28" s="463" t="s">
        <v>202</v>
      </c>
      <c r="B28" s="196">
        <f>76.632+358.936+4.393</f>
        <v>439.96099999999996</v>
      </c>
      <c r="C28" s="449">
        <f>67.672+175.911+3.13</f>
        <v>246.71299999999999</v>
      </c>
      <c r="D28" s="446">
        <f>IF(B28=0, "    ---- ", IF(ABS(ROUND(100/B28*C28-100,1))&lt;999,ROUND(100/B28*C28-100,1),IF(ROUND(100/B28*C28-100,1)&gt;999,999,-999)))</f>
        <v>-43.9</v>
      </c>
      <c r="E28" s="104">
        <v>27.1</v>
      </c>
      <c r="F28" s="853">
        <v>84</v>
      </c>
      <c r="G28" s="446">
        <f t="shared" si="13"/>
        <v>210</v>
      </c>
      <c r="H28" s="196">
        <f>4.549+236.642+817.686+143.809</f>
        <v>1202.6859999999999</v>
      </c>
      <c r="I28" s="449">
        <v>1190.096</v>
      </c>
      <c r="J28" s="446">
        <f t="shared" si="7"/>
        <v>-1</v>
      </c>
      <c r="K28" s="449"/>
      <c r="L28" s="449">
        <v>1408.9114465999999</v>
      </c>
      <c r="M28" s="446" t="str">
        <f t="shared" si="19"/>
        <v xml:space="preserve">    ---- </v>
      </c>
      <c r="N28" s="196">
        <v>128.43100000000001</v>
      </c>
      <c r="O28" s="449">
        <v>105.01300000000001</v>
      </c>
      <c r="P28" s="446">
        <f t="shared" si="15"/>
        <v>-18.2</v>
      </c>
      <c r="Q28" s="104">
        <f>48.1+240.1+120.7+1.2</f>
        <v>410.09999999999997</v>
      </c>
      <c r="R28" s="853">
        <v>341.5</v>
      </c>
      <c r="S28" s="445">
        <f t="shared" si="16"/>
        <v>-16.7</v>
      </c>
      <c r="T28" s="965">
        <v>148.08570477000001</v>
      </c>
      <c r="U28" s="883">
        <v>157.24688584</v>
      </c>
      <c r="V28" s="446">
        <f t="shared" ref="V28" si="20">IF(T28=0, "    ---- ", IF(ABS(ROUND(100/T28*U28-100,1))&lt;999,ROUND(100/T28*U28-100,1),IF(ROUND(100/T28*U28-100,1)&gt;999,999,-999)))</f>
        <v>6.2</v>
      </c>
      <c r="W28" s="104">
        <v>2163.9662561400005</v>
      </c>
      <c r="X28" s="853">
        <v>4314.7892796500009</v>
      </c>
      <c r="Y28" s="446">
        <f t="shared" si="0"/>
        <v>99.4</v>
      </c>
      <c r="Z28" s="104">
        <v>736</v>
      </c>
      <c r="AA28" s="853">
        <v>1109</v>
      </c>
      <c r="AB28" s="446">
        <f t="shared" si="17"/>
        <v>50.7</v>
      </c>
      <c r="AC28" s="104">
        <f>33+106+985+16</f>
        <v>1140</v>
      </c>
      <c r="AD28" s="853">
        <f>322+344+22+54</f>
        <v>742</v>
      </c>
      <c r="AE28" s="446">
        <f t="shared" si="8"/>
        <v>-34.9</v>
      </c>
      <c r="AF28" s="104">
        <v>86.089463969999997</v>
      </c>
      <c r="AG28" s="853">
        <v>93.287827149999998</v>
      </c>
      <c r="AH28" s="446">
        <f>IF(AF28=0, "    ---- ", IF(ABS(ROUND(100/AF28*AG28-100,1))&lt;999,ROUND(100/AF28*AG28-100,1),IF(ROUND(100/AF28*AG28-100,1)&gt;999,999,-999)))</f>
        <v>8.4</v>
      </c>
      <c r="AI28" s="104">
        <v>1023.6420000000001</v>
      </c>
      <c r="AJ28" s="853">
        <v>945.40899999999999</v>
      </c>
      <c r="AK28" s="446">
        <f t="shared" si="9"/>
        <v>-7.6</v>
      </c>
      <c r="AL28" s="104">
        <f>338+1439+2261+25</f>
        <v>4063</v>
      </c>
      <c r="AM28" s="853">
        <f>419+2425+2369+27</f>
        <v>5240</v>
      </c>
      <c r="AN28" s="446">
        <f t="shared" si="10"/>
        <v>29</v>
      </c>
      <c r="AO28" s="447">
        <f t="shared" si="1"/>
        <v>11334.88625614</v>
      </c>
      <c r="AP28" s="447">
        <f t="shared" si="2"/>
        <v>15727.431726250001</v>
      </c>
      <c r="AQ28" s="446">
        <f t="shared" si="3"/>
        <v>38.799999999999997</v>
      </c>
      <c r="AR28" s="447">
        <f t="shared" si="4"/>
        <v>11569.061424880001</v>
      </c>
      <c r="AS28" s="447">
        <f t="shared" si="5"/>
        <v>15977.966439239999</v>
      </c>
      <c r="AT28" s="446">
        <f t="shared" si="6"/>
        <v>38.1</v>
      </c>
      <c r="AU28" s="497"/>
      <c r="AV28" s="497"/>
    </row>
    <row r="29" spans="1:49" s="498" customFormat="1" ht="20.100000000000001" customHeight="1" x14ac:dyDescent="0.3">
      <c r="A29" s="463" t="s">
        <v>203</v>
      </c>
      <c r="B29" s="196">
        <f>SUM(B27+B28)</f>
        <v>781.47299999999996</v>
      </c>
      <c r="C29" s="449">
        <f>SUM(C27+C28)</f>
        <v>1060.8310000000001</v>
      </c>
      <c r="D29" s="446">
        <f>IF(B29=0, "    ---- ", IF(ABS(ROUND(100/B29*C29-100,1))&lt;999,ROUND(100/B29*C29-100,1),IF(ROUND(100/B29*C29-100,1)&gt;999,999,-999)))</f>
        <v>35.700000000000003</v>
      </c>
      <c r="E29" s="196">
        <f>SUM(E27+E28)</f>
        <v>601.50000000000011</v>
      </c>
      <c r="F29" s="449">
        <f>SUM(F27+F28)</f>
        <v>643.20000000000005</v>
      </c>
      <c r="G29" s="446">
        <f>IF(E29=0, "    ---- ", IF(ABS(ROUND(100/E29*F29-100,1))&lt;999,ROUND(100/E29*F29-100,1),IF(ROUND(100/E29*F29-100,1)&gt;999,999,-999)))</f>
        <v>6.9</v>
      </c>
      <c r="H29" s="196">
        <f>SUM(H27+H28)</f>
        <v>32840.545999999995</v>
      </c>
      <c r="I29" s="449">
        <f>SUM(I27+I28)</f>
        <v>34351.334946029994</v>
      </c>
      <c r="J29" s="446">
        <f>IF(H29=0, "    ---- ", IF(ABS(ROUND(100/H29*I29-100,1))&lt;999,ROUND(100/H29*I29-100,1),IF(ROUND(100/H29*I29-100,1)&gt;999,999,-999)))</f>
        <v>4.5999999999999996</v>
      </c>
      <c r="K29" s="449"/>
      <c r="L29" s="449">
        <f>SUM(L27+L28)</f>
        <v>3308.7267045799999</v>
      </c>
      <c r="M29" s="446" t="str">
        <f>IF(K29=0, "    ---- ", IF(ABS(ROUND(100/K29*L29-100,1))&lt;999,ROUND(100/K29*L29-100,1),IF(ROUND(100/K29*L29-100,1)&gt;999,999,-999)))</f>
        <v xml:space="preserve">    ---- </v>
      </c>
      <c r="N29" s="196">
        <f>SUM(N27+N28)</f>
        <v>426.76499999999999</v>
      </c>
      <c r="O29" s="449">
        <f>SUM(O27+O28)</f>
        <v>805.25100000000009</v>
      </c>
      <c r="P29" s="446">
        <f>IF(N29=0, "    ---- ", IF(ABS(ROUND(100/N29*O29-100,1))&lt;999,ROUND(100/N29*O29-100,1),IF(ROUND(100/N29*O29-100,1)&gt;999,999,-999)))</f>
        <v>88.7</v>
      </c>
      <c r="Q29" s="196">
        <f>SUM(Q27+Q28)</f>
        <v>1404.1</v>
      </c>
      <c r="R29" s="449">
        <f>SUM(R27+R28)</f>
        <v>1459.7</v>
      </c>
      <c r="S29" s="446">
        <f>IF(Q29=0, "    ---- ", IF(ABS(ROUND(100/Q29*R29-100,1))&lt;999,ROUND(100/Q29*R29-100,1),IF(ROUND(100/Q29*R29-100,1)&gt;999,999,-999)))</f>
        <v>4</v>
      </c>
      <c r="T29" s="196">
        <f>SUM(T27+T28)</f>
        <v>148.08570477000001</v>
      </c>
      <c r="U29" s="449">
        <f>SUM(U27+U28)</f>
        <v>157.24688584</v>
      </c>
      <c r="V29" s="446">
        <f>IF(T29=0, "    ---- ", IF(ABS(ROUND(100/T29*U29-100,1))&lt;999,ROUND(100/T29*U29-100,1),IF(ROUND(100/T29*U29-100,1)&gt;999,999,-999)))</f>
        <v>6.2</v>
      </c>
      <c r="W29" s="196">
        <f>SUM(W27+W28)</f>
        <v>43902.364938730003</v>
      </c>
      <c r="X29" s="449">
        <v>45450.38962527</v>
      </c>
      <c r="Y29" s="446">
        <f>IF(W29=0, "    ---- ", IF(ABS(ROUND(100/W29*X29-100,1))&lt;999,ROUND(100/W29*X29-100,1),IF(ROUND(100/W29*X29-100,1)&gt;999,999,-999)))</f>
        <v>3.5</v>
      </c>
      <c r="Z29" s="196">
        <f>SUM(Z27+Z28)</f>
        <v>11550.49</v>
      </c>
      <c r="AA29" s="449">
        <f>SUM(AA27+AA28)</f>
        <v>11836.19</v>
      </c>
      <c r="AB29" s="446">
        <f>IF(Z29=0, "    ---- ", IF(ABS(ROUND(100/Z29*AA29-100,1))&lt;999,ROUND(100/Z29*AA29-100,1),IF(ROUND(100/Z29*AA29-100,1)&gt;999,999,-999)))</f>
        <v>2.5</v>
      </c>
      <c r="AC29" s="196">
        <f>SUM(AC27+AC28)</f>
        <v>10687</v>
      </c>
      <c r="AD29" s="449">
        <f>SUM(AD27+AD28)</f>
        <v>11257</v>
      </c>
      <c r="AE29" s="446">
        <f>IF(AC29=0, "    ---- ", IF(ABS(ROUND(100/AC29*AD29-100,1))&lt;999,ROUND(100/AC29*AD29-100,1),IF(ROUND(100/AC29*AD29-100,1)&gt;999,999,-999)))</f>
        <v>5.3</v>
      </c>
      <c r="AF29" s="196">
        <f>SUM(AF27+AF28)</f>
        <v>86.089463969999997</v>
      </c>
      <c r="AG29" s="449">
        <f>SUM(AG27+AG28)</f>
        <v>93.287827149999998</v>
      </c>
      <c r="AH29" s="446">
        <f>IF(AF29=0, "    ---- ", IF(ABS(ROUND(100/AF29*AG29-100,1))&lt;999,ROUND(100/AF29*AG29-100,1),IF(ROUND(100/AF29*AG29-100,1)&gt;999,999,-999)))</f>
        <v>8.4</v>
      </c>
      <c r="AI29" s="196">
        <f>SUM(AI27+AI28)</f>
        <v>7909.7909999999993</v>
      </c>
      <c r="AJ29" s="449">
        <f>SUM(AJ27+AJ28)</f>
        <v>7712.3580000000002</v>
      </c>
      <c r="AK29" s="446">
        <f>IF(AI29=0, "    ---- ", IF(ABS(ROUND(100/AI29*AJ29-100,1))&lt;999,ROUND(100/AI29*AJ29-100,1),IF(ROUND(100/AI29*AJ29-100,1)&gt;999,999,-999)))</f>
        <v>-2.5</v>
      </c>
      <c r="AL29" s="196">
        <f>SUM(AL27+AL28)</f>
        <v>37326</v>
      </c>
      <c r="AM29" s="449">
        <f>SUM(AM27+AM28)</f>
        <v>38325.1</v>
      </c>
      <c r="AN29" s="446">
        <f>IF(AL29=0, "    ---- ", IF(ABS(ROUND(100/AL29*AM29-100,1))&lt;999,ROUND(100/AL29*AM29-100,1),IF(ROUND(100/AL29*AM29-100,1)&gt;999,999,-999)))</f>
        <v>2.7</v>
      </c>
      <c r="AO29" s="447">
        <f t="shared" si="1"/>
        <v>147430.02993873</v>
      </c>
      <c r="AP29" s="447">
        <f t="shared" si="2"/>
        <v>156210.08127587999</v>
      </c>
      <c r="AQ29" s="446">
        <f>IF(AO29=0, "    ---- ", IF(ABS(ROUND(100/AO29*AP29-100,1))&lt;999,ROUND(100/AO29*AP29-100,1),IF(ROUND(100/AO29*AP29-100,1)&gt;999,999,-999)))</f>
        <v>6</v>
      </c>
      <c r="AR29" s="447">
        <f t="shared" si="4"/>
        <v>147664.20510746998</v>
      </c>
      <c r="AS29" s="447">
        <f t="shared" si="5"/>
        <v>156460.61598886998</v>
      </c>
      <c r="AT29" s="448">
        <f t="shared" si="6"/>
        <v>6</v>
      </c>
      <c r="AU29" s="497"/>
      <c r="AV29" s="497"/>
      <c r="AW29" s="499"/>
    </row>
    <row r="30" spans="1:49" s="469" customFormat="1" ht="20.100000000000001" customHeight="1" x14ac:dyDescent="0.3">
      <c r="A30" s="463"/>
      <c r="B30" s="851"/>
      <c r="C30" s="438"/>
      <c r="D30" s="449"/>
      <c r="E30" s="851"/>
      <c r="F30" s="438"/>
      <c r="G30" s="340"/>
      <c r="H30" s="851"/>
      <c r="I30" s="438"/>
      <c r="J30" s="449"/>
      <c r="K30" s="438"/>
      <c r="L30" s="438"/>
      <c r="M30" s="449"/>
      <c r="N30" s="104"/>
      <c r="O30" s="438"/>
      <c r="P30" s="449"/>
      <c r="Q30" s="196"/>
      <c r="R30" s="449"/>
      <c r="S30" s="438"/>
      <c r="T30" s="851"/>
      <c r="U30" s="438"/>
      <c r="V30" s="340"/>
      <c r="W30" s="851"/>
      <c r="X30" s="438"/>
      <c r="Y30" s="340"/>
      <c r="Z30" s="851"/>
      <c r="AA30" s="438"/>
      <c r="AB30" s="340"/>
      <c r="AC30" s="851"/>
      <c r="AD30" s="438"/>
      <c r="AE30" s="340"/>
      <c r="AF30" s="851"/>
      <c r="AG30" s="438"/>
      <c r="AH30" s="340"/>
      <c r="AI30" s="851"/>
      <c r="AJ30" s="438"/>
      <c r="AK30" s="340"/>
      <c r="AL30" s="851"/>
      <c r="AM30" s="438"/>
      <c r="AN30" s="340"/>
      <c r="AO30" s="440"/>
      <c r="AP30" s="440"/>
      <c r="AQ30" s="340"/>
      <c r="AR30" s="440"/>
      <c r="AS30" s="440"/>
      <c r="AT30" s="450"/>
      <c r="AU30" s="496"/>
      <c r="AV30" s="496"/>
    </row>
    <row r="31" spans="1:49" s="469" customFormat="1" ht="20.100000000000001" customHeight="1" x14ac:dyDescent="0.3">
      <c r="A31" s="461" t="s">
        <v>204</v>
      </c>
      <c r="B31" s="196"/>
      <c r="C31" s="449"/>
      <c r="D31" s="449"/>
      <c r="E31" s="196"/>
      <c r="F31" s="449"/>
      <c r="G31" s="340"/>
      <c r="H31" s="196"/>
      <c r="I31" s="449"/>
      <c r="J31" s="449"/>
      <c r="K31" s="449"/>
      <c r="L31" s="449"/>
      <c r="M31" s="449"/>
      <c r="N31" s="196"/>
      <c r="O31" s="449"/>
      <c r="P31" s="449"/>
      <c r="Q31" s="196"/>
      <c r="R31" s="449"/>
      <c r="S31" s="438"/>
      <c r="T31" s="196"/>
      <c r="U31" s="449"/>
      <c r="V31" s="340"/>
      <c r="W31" s="196"/>
      <c r="X31" s="449"/>
      <c r="Y31" s="340"/>
      <c r="Z31" s="196"/>
      <c r="AA31" s="449"/>
      <c r="AB31" s="340"/>
      <c r="AC31" s="196"/>
      <c r="AD31" s="449"/>
      <c r="AE31" s="340"/>
      <c r="AF31" s="196"/>
      <c r="AG31" s="449"/>
      <c r="AH31" s="340"/>
      <c r="AI31" s="196"/>
      <c r="AJ31" s="449"/>
      <c r="AK31" s="340"/>
      <c r="AL31" s="196"/>
      <c r="AM31" s="449"/>
      <c r="AN31" s="340"/>
      <c r="AO31" s="440"/>
      <c r="AP31" s="440"/>
      <c r="AQ31" s="340"/>
      <c r="AR31" s="440"/>
      <c r="AS31" s="440"/>
      <c r="AT31" s="450"/>
      <c r="AU31" s="496"/>
      <c r="AV31" s="496"/>
    </row>
    <row r="32" spans="1:49" s="469" customFormat="1" ht="20.100000000000001" customHeight="1" x14ac:dyDescent="0.3">
      <c r="A32" s="461" t="s">
        <v>205</v>
      </c>
      <c r="B32" s="196"/>
      <c r="C32" s="449"/>
      <c r="D32" s="340"/>
      <c r="E32" s="196"/>
      <c r="F32" s="449"/>
      <c r="G32" s="340"/>
      <c r="H32" s="196"/>
      <c r="I32" s="449"/>
      <c r="J32" s="340"/>
      <c r="K32" s="449"/>
      <c r="L32" s="449"/>
      <c r="M32" s="340"/>
      <c r="N32" s="196"/>
      <c r="O32" s="449"/>
      <c r="P32" s="340"/>
      <c r="Q32" s="196"/>
      <c r="R32" s="449"/>
      <c r="S32" s="438"/>
      <c r="T32" s="196"/>
      <c r="U32" s="449"/>
      <c r="V32" s="340"/>
      <c r="W32" s="196"/>
      <c r="X32" s="449"/>
      <c r="Y32" s="340"/>
      <c r="Z32" s="196"/>
      <c r="AA32" s="449"/>
      <c r="AB32" s="340"/>
      <c r="AC32" s="196"/>
      <c r="AD32" s="449"/>
      <c r="AE32" s="340"/>
      <c r="AF32" s="196"/>
      <c r="AG32" s="449"/>
      <c r="AH32" s="340"/>
      <c r="AI32" s="196"/>
      <c r="AJ32" s="449"/>
      <c r="AK32" s="340"/>
      <c r="AL32" s="196"/>
      <c r="AM32" s="449"/>
      <c r="AN32" s="340"/>
      <c r="AO32" s="440"/>
      <c r="AP32" s="440"/>
      <c r="AQ32" s="340"/>
      <c r="AR32" s="440"/>
      <c r="AS32" s="440"/>
      <c r="AT32" s="450"/>
      <c r="AU32" s="496"/>
      <c r="AV32" s="496"/>
    </row>
    <row r="33" spans="1:49" s="469" customFormat="1" ht="20.100000000000001" customHeight="1" x14ac:dyDescent="0.3">
      <c r="A33" s="463" t="s">
        <v>206</v>
      </c>
      <c r="B33" s="196"/>
      <c r="C33" s="449"/>
      <c r="D33" s="449"/>
      <c r="E33" s="196"/>
      <c r="F33" s="449"/>
      <c r="G33" s="340"/>
      <c r="H33" s="196">
        <v>26.204000000000001</v>
      </c>
      <c r="I33" s="449">
        <v>19.31040771</v>
      </c>
      <c r="J33" s="449">
        <f t="shared" ref="J33:J91" si="21">IF(H33=0, "    ---- ", IF(ABS(ROUND(100/H33*I33-100,1))&lt;999,ROUND(100/H33*I33-100,1),IF(ROUND(100/H33*I33-100,1)&gt;999,999,-999)))</f>
        <v>-26.3</v>
      </c>
      <c r="K33" s="449"/>
      <c r="L33" s="449"/>
      <c r="M33" s="449"/>
      <c r="N33" s="196"/>
      <c r="O33" s="449"/>
      <c r="P33" s="449"/>
      <c r="Q33" s="196"/>
      <c r="R33" s="449"/>
      <c r="S33" s="438"/>
      <c r="T33" s="196"/>
      <c r="U33" s="449"/>
      <c r="V33" s="340"/>
      <c r="W33" s="104"/>
      <c r="X33" s="449"/>
      <c r="Y33" s="340"/>
      <c r="Z33" s="196">
        <v>1.9699999999999998E-6</v>
      </c>
      <c r="AA33" s="449">
        <v>0</v>
      </c>
      <c r="AB33" s="340">
        <f t="shared" ref="AB33:AB91" si="22">IF(Z33=0, "    ---- ", IF(ABS(ROUND(100/Z33*AA33-100,1))&lt;999,ROUND(100/Z33*AA33-100,1),IF(ROUND(100/Z33*AA33-100,1)&gt;999,999,-999)))</f>
        <v>-100</v>
      </c>
      <c r="AC33" s="196"/>
      <c r="AD33" s="449"/>
      <c r="AE33" s="340"/>
      <c r="AF33" s="196"/>
      <c r="AG33" s="449"/>
      <c r="AH33" s="340"/>
      <c r="AI33" s="196"/>
      <c r="AJ33" s="449"/>
      <c r="AK33" s="340"/>
      <c r="AL33" s="196"/>
      <c r="AM33" s="449"/>
      <c r="AN33" s="340"/>
      <c r="AO33" s="447">
        <f t="shared" ref="AO33:AO46" si="23">B33+H33+K33+N33+Q33+W33+E33+Z33+AC33+AI33+AL33</f>
        <v>26.20400197</v>
      </c>
      <c r="AP33" s="447">
        <f t="shared" ref="AP33:AP46" si="24">C33+I33+L33+O33+R33+X33+F33+AA33+AD33+AJ33+AM33</f>
        <v>19.31040771</v>
      </c>
      <c r="AQ33" s="340">
        <f t="shared" ref="AQ33:AQ91" si="25">IF(AO33=0, "    ---- ", IF(ABS(ROUND(100/AO33*AP33-100,1))&lt;999,ROUND(100/AO33*AP33-100,1),IF(ROUND(100/AO33*AP33-100,1)&gt;999,999,-999)))</f>
        <v>-26.3</v>
      </c>
      <c r="AR33" s="447">
        <f t="shared" ref="AR33:AR46" si="26">B33+H33+K33+N33+Q33+T33+W33+E33+Z33+AC33+AF33+AI33+AL33</f>
        <v>26.20400197</v>
      </c>
      <c r="AS33" s="447">
        <f t="shared" ref="AS33:AS46" si="27">C33+I33+L33+O33+R33+U33+X33+F33+AA33+AD33+AG33+AJ33+AM33</f>
        <v>19.31040771</v>
      </c>
      <c r="AT33" s="450">
        <f t="shared" ref="AT33:AT91" si="28">IF(AR33=0, "    ---- ", IF(ABS(ROUND(100/AR33*AS33-100,1))&lt;999,ROUND(100/AR33*AS33-100,1),IF(ROUND(100/AR33*AS33-100,1)&gt;999,999,-999)))</f>
        <v>-26.3</v>
      </c>
      <c r="AU33" s="496"/>
      <c r="AV33" s="496"/>
      <c r="AW33" s="500"/>
    </row>
    <row r="34" spans="1:49" s="469" customFormat="1" ht="20.100000000000001" customHeight="1" x14ac:dyDescent="0.3">
      <c r="A34" s="463" t="s">
        <v>207</v>
      </c>
      <c r="B34" s="196"/>
      <c r="C34" s="449"/>
      <c r="D34" s="449"/>
      <c r="E34" s="196">
        <v>204.3</v>
      </c>
      <c r="F34" s="449">
        <v>0</v>
      </c>
      <c r="G34" s="340">
        <f>IF(E34=0, "    ---- ", IF(ABS(ROUND(100/E34*F34-100,1))&lt;999,ROUND(100/E34*F34-100,1),IF(ROUND(100/E34*F34-100,1)&gt;999,999,-999)))</f>
        <v>-100</v>
      </c>
      <c r="H34" s="196">
        <v>26980.332999999999</v>
      </c>
      <c r="I34" s="449">
        <v>28480.615000000002</v>
      </c>
      <c r="J34" s="449">
        <f t="shared" si="21"/>
        <v>5.6</v>
      </c>
      <c r="K34" s="449"/>
      <c r="L34" s="449"/>
      <c r="M34" s="449"/>
      <c r="N34" s="196"/>
      <c r="O34" s="449"/>
      <c r="P34" s="449"/>
      <c r="Q34" s="196">
        <v>958.2</v>
      </c>
      <c r="R34" s="449">
        <v>1036.4000000000001</v>
      </c>
      <c r="S34" s="438">
        <f>IF(Q34=0, "    ---- ", IF(ABS(ROUND(100/Q34*R34-100,1))&lt;999,ROUND(100/Q34*R34-100,1),IF(ROUND(100/Q34*R34-100,1)&gt;999,999,-999)))</f>
        <v>8.1999999999999993</v>
      </c>
      <c r="T34" s="196"/>
      <c r="U34" s="449"/>
      <c r="V34" s="340"/>
      <c r="W34" s="104">
        <v>71040.288391960014</v>
      </c>
      <c r="X34" s="449">
        <v>79259.210273520002</v>
      </c>
      <c r="Y34" s="340">
        <f>IF(W34=0, "    ---- ", IF(ABS(ROUND(100/W34*X34-100,1))&lt;999,ROUND(100/W34*X34-100,1),IF(ROUND(100/W34*X34-100,1)&gt;999,999,-999)))</f>
        <v>11.6</v>
      </c>
      <c r="Z34" s="196">
        <v>7264.6763309899998</v>
      </c>
      <c r="AA34" s="449">
        <v>6950.18</v>
      </c>
      <c r="AB34" s="340">
        <f t="shared" si="22"/>
        <v>-4.3</v>
      </c>
      <c r="AC34" s="196">
        <v>15436</v>
      </c>
      <c r="AD34" s="449">
        <v>17881</v>
      </c>
      <c r="AE34" s="340">
        <f t="shared" ref="AE34:AE41" si="29">IF(AC34=0, "    ---- ", IF(ABS(ROUND(100/AC34*AD34-100,1))&lt;999,ROUND(100/AC34*AD34-100,1),IF(ROUND(100/AC34*AD34-100,1)&gt;999,999,-999)))</f>
        <v>15.8</v>
      </c>
      <c r="AF34" s="196"/>
      <c r="AG34" s="449"/>
      <c r="AH34" s="340"/>
      <c r="AI34" s="196">
        <v>5074.8580000000002</v>
      </c>
      <c r="AJ34" s="449">
        <v>4926.7380000000003</v>
      </c>
      <c r="AK34" s="340">
        <f t="shared" ref="AK34:AK91" si="30">IF(AI34=0, "    ---- ", IF(ABS(ROUND(100/AI34*AJ34-100,1))&lt;999,ROUND(100/AI34*AJ34-100,1),IF(ROUND(100/AI34*AJ34-100,1)&gt;999,999,-999)))</f>
        <v>-2.9</v>
      </c>
      <c r="AL34" s="196">
        <v>28662</v>
      </c>
      <c r="AM34" s="449">
        <v>21155</v>
      </c>
      <c r="AN34" s="340">
        <f t="shared" ref="AN34:AN91" si="31">IF(AL34=0, "    ---- ", IF(ABS(ROUND(100/AL34*AM34-100,1))&lt;999,ROUND(100/AL34*AM34-100,1),IF(ROUND(100/AL34*AM34-100,1)&gt;999,999,-999)))</f>
        <v>-26.2</v>
      </c>
      <c r="AO34" s="447">
        <f t="shared" si="23"/>
        <v>155620.65572295</v>
      </c>
      <c r="AP34" s="447">
        <f t="shared" si="24"/>
        <v>159689.14327352002</v>
      </c>
      <c r="AQ34" s="340">
        <f t="shared" si="25"/>
        <v>2.6</v>
      </c>
      <c r="AR34" s="447">
        <f t="shared" si="26"/>
        <v>155620.65572295</v>
      </c>
      <c r="AS34" s="447">
        <f t="shared" si="27"/>
        <v>159689.14327352002</v>
      </c>
      <c r="AT34" s="450">
        <f t="shared" si="28"/>
        <v>2.6</v>
      </c>
      <c r="AU34" s="496"/>
      <c r="AV34" s="496"/>
      <c r="AW34" s="500"/>
    </row>
    <row r="35" spans="1:49" s="469" customFormat="1" ht="20.100000000000001" customHeight="1" x14ac:dyDescent="0.3">
      <c r="A35" s="463" t="s">
        <v>208</v>
      </c>
      <c r="B35" s="196"/>
      <c r="C35" s="449"/>
      <c r="D35" s="449"/>
      <c r="E35" s="196">
        <f>SUM(E36+E38)</f>
        <v>1437.5</v>
      </c>
      <c r="F35" s="449">
        <f>SUM(F36+F38)</f>
        <v>1452.7</v>
      </c>
      <c r="G35" s="340">
        <f>IF(E35=0, "    ---- ", IF(ABS(ROUND(100/E35*F35-100,1))&lt;999,ROUND(100/E35*F35-100,1),IF(ROUND(100/E35*F35-100,1)&gt;999,999,-999)))</f>
        <v>1.1000000000000001</v>
      </c>
      <c r="H35" s="196">
        <f>SUM(H36+H38)</f>
        <v>100962.052</v>
      </c>
      <c r="I35" s="449">
        <f>SUM(I36+I38)</f>
        <v>96312.397625380007</v>
      </c>
      <c r="J35" s="449">
        <f t="shared" si="21"/>
        <v>-4.5999999999999996</v>
      </c>
      <c r="K35" s="449"/>
      <c r="L35" s="449">
        <f>SUM(L36+L38)</f>
        <v>112.15987903</v>
      </c>
      <c r="M35" s="449"/>
      <c r="N35" s="196">
        <f>SUM(N36+N38)</f>
        <v>203.97399999999999</v>
      </c>
      <c r="O35" s="449">
        <f>SUM(O36+O38)</f>
        <v>191.39500000000001</v>
      </c>
      <c r="P35" s="446">
        <f t="shared" ref="P35:P37" si="32">IF(N35=0, "    ---- ", IF(ABS(ROUND(100/N35*O35-100,1))&lt;999,ROUND(100/N35*O35-100,1),IF(ROUND(100/N35*O35-100,1)&gt;999,999,-999)))</f>
        <v>-6.2</v>
      </c>
      <c r="Q35" s="196">
        <f>SUM(Q36+Q38)</f>
        <v>5020.3999999999996</v>
      </c>
      <c r="R35" s="449">
        <f>SUM(R36+R38)</f>
        <v>5467.7</v>
      </c>
      <c r="S35" s="438">
        <f>IF(Q35=0, "    ---- ", IF(ABS(ROUND(100/Q35*R35-100,1))&lt;999,ROUND(100/Q35*R35-100,1),IF(ROUND(100/Q35*R35-100,1)&gt;999,999,-999)))</f>
        <v>8.9</v>
      </c>
      <c r="T35" s="196"/>
      <c r="U35" s="449"/>
      <c r="V35" s="340"/>
      <c r="W35" s="196">
        <f>SUM(W36+W38)</f>
        <v>237100.07729962002</v>
      </c>
      <c r="X35" s="449">
        <v>248812.94558015998</v>
      </c>
      <c r="Y35" s="340">
        <f>IF(W35=0, "    ---- ", IF(ABS(ROUND(100/W35*X35-100,1))&lt;999,ROUND(100/W35*X35-100,1),IF(ROUND(100/W35*X35-100,1)&gt;999,999,-999)))</f>
        <v>4.9000000000000004</v>
      </c>
      <c r="Z35" s="196">
        <f>SUM(Z36+Z38)</f>
        <v>32022.410511509999</v>
      </c>
      <c r="AA35" s="449">
        <f>SUM(AA36+AA38)</f>
        <v>32362.61</v>
      </c>
      <c r="AB35" s="340">
        <f t="shared" si="22"/>
        <v>1.1000000000000001</v>
      </c>
      <c r="AC35" s="196">
        <f>SUM(AC36+AC38)</f>
        <v>21632</v>
      </c>
      <c r="AD35" s="449">
        <f>SUM(AD36+AD38)</f>
        <v>21887</v>
      </c>
      <c r="AE35" s="340">
        <f t="shared" si="29"/>
        <v>1.2</v>
      </c>
      <c r="AF35" s="196"/>
      <c r="AG35" s="449"/>
      <c r="AH35" s="340"/>
      <c r="AI35" s="196">
        <f>SUM(AI36+AI38)</f>
        <v>8022.59</v>
      </c>
      <c r="AJ35" s="449">
        <f>SUM(AJ36+AJ38)</f>
        <v>7937.366</v>
      </c>
      <c r="AK35" s="340">
        <f t="shared" si="30"/>
        <v>-1.1000000000000001</v>
      </c>
      <c r="AL35" s="196">
        <f>SUM(AL36+AL38)</f>
        <v>131346</v>
      </c>
      <c r="AM35" s="449">
        <f>SUM(AM36+AM38)</f>
        <v>136103</v>
      </c>
      <c r="AN35" s="340">
        <f t="shared" si="31"/>
        <v>3.6</v>
      </c>
      <c r="AO35" s="447">
        <f t="shared" si="23"/>
        <v>537747.00381113007</v>
      </c>
      <c r="AP35" s="447">
        <f t="shared" si="24"/>
        <v>550639.27408457</v>
      </c>
      <c r="AQ35" s="340">
        <f t="shared" si="25"/>
        <v>2.4</v>
      </c>
      <c r="AR35" s="447">
        <f t="shared" si="26"/>
        <v>537747.00381113007</v>
      </c>
      <c r="AS35" s="447">
        <f t="shared" si="27"/>
        <v>550639.27408457</v>
      </c>
      <c r="AT35" s="450">
        <f t="shared" si="28"/>
        <v>2.4</v>
      </c>
      <c r="AU35" s="496"/>
      <c r="AV35" s="496"/>
      <c r="AW35" s="500"/>
    </row>
    <row r="36" spans="1:49" s="469" customFormat="1" ht="20.100000000000001" customHeight="1" x14ac:dyDescent="0.3">
      <c r="A36" s="463" t="s">
        <v>209</v>
      </c>
      <c r="B36" s="196"/>
      <c r="C36" s="449"/>
      <c r="D36" s="340"/>
      <c r="E36" s="196">
        <v>95.9</v>
      </c>
      <c r="F36" s="449">
        <v>96</v>
      </c>
      <c r="G36" s="340">
        <f>IF(E36=0, "    ---- ", IF(ABS(ROUND(100/E36*F36-100,1))&lt;999,ROUND(100/E36*F36-100,1),IF(ROUND(100/E36*F36-100,1)&gt;999,999,-999)))</f>
        <v>0.1</v>
      </c>
      <c r="H36" s="196">
        <v>71508.554999999993</v>
      </c>
      <c r="I36" s="449">
        <v>69453.924362670004</v>
      </c>
      <c r="J36" s="340">
        <f t="shared" si="21"/>
        <v>-2.9</v>
      </c>
      <c r="K36" s="449"/>
      <c r="L36" s="449"/>
      <c r="M36" s="340"/>
      <c r="N36" s="196">
        <v>203.97399999999999</v>
      </c>
      <c r="O36" s="449">
        <v>191.39500000000001</v>
      </c>
      <c r="P36" s="446">
        <f t="shared" si="32"/>
        <v>-6.2</v>
      </c>
      <c r="Q36" s="196"/>
      <c r="R36" s="449"/>
      <c r="S36" s="438"/>
      <c r="T36" s="196"/>
      <c r="U36" s="449"/>
      <c r="V36" s="340"/>
      <c r="W36" s="104">
        <v>22637.05851495</v>
      </c>
      <c r="X36" s="449">
        <v>21763.013410380001</v>
      </c>
      <c r="Y36" s="340">
        <f>IF(W36=0, "    ---- ", IF(ABS(ROUND(100/W36*X36-100,1))&lt;999,ROUND(100/W36*X36-100,1),IF(ROUND(100/W36*X36-100,1)&gt;999,999,-999)))</f>
        <v>-3.9</v>
      </c>
      <c r="Z36" s="196">
        <v>511.28625492000003</v>
      </c>
      <c r="AA36" s="449">
        <v>511.32</v>
      </c>
      <c r="AB36" s="340">
        <f t="shared" si="22"/>
        <v>0</v>
      </c>
      <c r="AC36" s="196">
        <v>386</v>
      </c>
      <c r="AD36" s="449"/>
      <c r="AE36" s="340">
        <f t="shared" si="29"/>
        <v>-100</v>
      </c>
      <c r="AF36" s="196"/>
      <c r="AG36" s="449"/>
      <c r="AH36" s="340"/>
      <c r="AI36" s="196">
        <v>763.60900000000004</v>
      </c>
      <c r="AJ36" s="449">
        <v>527.24300000000005</v>
      </c>
      <c r="AK36" s="340">
        <f t="shared" si="30"/>
        <v>-31</v>
      </c>
      <c r="AL36" s="196">
        <v>13377</v>
      </c>
      <c r="AM36" s="449">
        <v>13026</v>
      </c>
      <c r="AN36" s="340">
        <f t="shared" si="31"/>
        <v>-2.6</v>
      </c>
      <c r="AO36" s="447">
        <f t="shared" si="23"/>
        <v>109483.38276986999</v>
      </c>
      <c r="AP36" s="447">
        <f t="shared" si="24"/>
        <v>105568.89577305001</v>
      </c>
      <c r="AQ36" s="340">
        <f t="shared" si="25"/>
        <v>-3.6</v>
      </c>
      <c r="AR36" s="447">
        <f t="shared" si="26"/>
        <v>109483.38276986999</v>
      </c>
      <c r="AS36" s="447">
        <f t="shared" si="27"/>
        <v>105568.89577305001</v>
      </c>
      <c r="AT36" s="450">
        <f t="shared" si="28"/>
        <v>-3.6</v>
      </c>
      <c r="AU36" s="496"/>
      <c r="AV36" s="496"/>
      <c r="AW36" s="500"/>
    </row>
    <row r="37" spans="1:49" s="469" customFormat="1" ht="20.100000000000001" customHeight="1" x14ac:dyDescent="0.3">
      <c r="A37" s="463" t="s">
        <v>192</v>
      </c>
      <c r="B37" s="196"/>
      <c r="C37" s="449"/>
      <c r="D37" s="449"/>
      <c r="E37" s="196"/>
      <c r="F37" s="449"/>
      <c r="G37" s="340"/>
      <c r="H37" s="196">
        <v>71508.554999999993</v>
      </c>
      <c r="I37" s="449">
        <v>69453.924362670004</v>
      </c>
      <c r="J37" s="449">
        <f t="shared" si="21"/>
        <v>-2.9</v>
      </c>
      <c r="K37" s="449"/>
      <c r="L37" s="449"/>
      <c r="M37" s="449"/>
      <c r="N37" s="196">
        <v>203.97399999999999</v>
      </c>
      <c r="O37" s="449">
        <v>191.39500000000001</v>
      </c>
      <c r="P37" s="446">
        <f t="shared" si="32"/>
        <v>-6.2</v>
      </c>
      <c r="Q37" s="196"/>
      <c r="R37" s="449"/>
      <c r="S37" s="438"/>
      <c r="T37" s="196"/>
      <c r="U37" s="449"/>
      <c r="V37" s="340"/>
      <c r="W37" s="104">
        <v>22637.05851495</v>
      </c>
      <c r="X37" s="449">
        <v>21763.013410380001</v>
      </c>
      <c r="Y37" s="340">
        <f>IF(W37=0, "    ---- ", IF(ABS(ROUND(100/W37*X37-100,1))&lt;999,ROUND(100/W37*X37-100,1),IF(ROUND(100/W37*X37-100,1)&gt;999,999,-999)))</f>
        <v>-3.9</v>
      </c>
      <c r="Z37" s="196">
        <v>511.28625492000003</v>
      </c>
      <c r="AA37" s="449">
        <v>511.32</v>
      </c>
      <c r="AB37" s="340">
        <f t="shared" si="22"/>
        <v>0</v>
      </c>
      <c r="AC37" s="196"/>
      <c r="AD37" s="449"/>
      <c r="AE37" s="340"/>
      <c r="AF37" s="196"/>
      <c r="AG37" s="449"/>
      <c r="AH37" s="340"/>
      <c r="AI37" s="196">
        <v>127.47472531999931</v>
      </c>
      <c r="AJ37" s="449">
        <v>-8.4750354290008545E-13</v>
      </c>
      <c r="AK37" s="340">
        <f t="shared" si="30"/>
        <v>-100</v>
      </c>
      <c r="AL37" s="196">
        <v>13377</v>
      </c>
      <c r="AM37" s="449">
        <v>13026</v>
      </c>
      <c r="AN37" s="340">
        <f t="shared" si="31"/>
        <v>-2.6</v>
      </c>
      <c r="AO37" s="447">
        <f t="shared" si="23"/>
        <v>108365.34849519</v>
      </c>
      <c r="AP37" s="447">
        <f t="shared" si="24"/>
        <v>104945.65277305001</v>
      </c>
      <c r="AQ37" s="340">
        <f t="shared" si="25"/>
        <v>-3.2</v>
      </c>
      <c r="AR37" s="447">
        <f t="shared" si="26"/>
        <v>108365.34849519</v>
      </c>
      <c r="AS37" s="447">
        <f t="shared" si="27"/>
        <v>104945.65277305001</v>
      </c>
      <c r="AT37" s="450">
        <f t="shared" si="28"/>
        <v>-3.2</v>
      </c>
      <c r="AU37" s="496"/>
      <c r="AV37" s="496"/>
      <c r="AW37" s="500"/>
    </row>
    <row r="38" spans="1:49" s="469" customFormat="1" ht="20.100000000000001" customHeight="1" x14ac:dyDescent="0.3">
      <c r="A38" s="463" t="s">
        <v>210</v>
      </c>
      <c r="B38" s="196"/>
      <c r="C38" s="449"/>
      <c r="D38" s="449"/>
      <c r="E38" s="196">
        <v>1341.6</v>
      </c>
      <c r="F38" s="449">
        <v>1356.7</v>
      </c>
      <c r="G38" s="340">
        <f>IF(E38=0, "    ---- ", IF(ABS(ROUND(100/E38*F38-100,1))&lt;999,ROUND(100/E38*F38-100,1),IF(ROUND(100/E38*F38-100,1)&gt;999,999,-999)))</f>
        <v>1.1000000000000001</v>
      </c>
      <c r="H38" s="196">
        <v>29453.496999999999</v>
      </c>
      <c r="I38" s="449">
        <v>26858.473262709998</v>
      </c>
      <c r="J38" s="449">
        <f>IF(H38=0, "    ---- ", IF(ABS(ROUND(100/H38*I38-100,1))&lt;999,ROUND(100/H38*I38-100,1),IF(ROUND(100/H38*I38-100,1)&gt;999,999,-999)))</f>
        <v>-8.8000000000000007</v>
      </c>
      <c r="K38" s="449"/>
      <c r="L38" s="449">
        <v>112.15987903</v>
      </c>
      <c r="M38" s="449"/>
      <c r="N38" s="196"/>
      <c r="O38" s="449"/>
      <c r="P38" s="449"/>
      <c r="Q38" s="196">
        <v>5020.3999999999996</v>
      </c>
      <c r="R38" s="449">
        <v>5467.7</v>
      </c>
      <c r="S38" s="438">
        <f t="shared" ref="S38:S57" si="33">IF(Q38=0, "    ---- ", IF(ABS(ROUND(100/Q38*R38-100,1))&lt;999,ROUND(100/Q38*R38-100,1),IF(ROUND(100/Q38*R38-100,1)&gt;999,999,-999)))</f>
        <v>8.9</v>
      </c>
      <c r="T38" s="196"/>
      <c r="U38" s="449"/>
      <c r="V38" s="340"/>
      <c r="W38" s="104">
        <v>214463.01878467001</v>
      </c>
      <c r="X38" s="449">
        <v>227049.93216977999</v>
      </c>
      <c r="Y38" s="340">
        <f t="shared" ref="Y38:Y45" si="34">IF(W38=0, "    ---- ", IF(ABS(ROUND(100/W38*X38-100,1))&lt;999,ROUND(100/W38*X38-100,1),IF(ROUND(100/W38*X38-100,1)&gt;999,999,-999)))</f>
        <v>5.9</v>
      </c>
      <c r="Z38" s="196">
        <v>31511.124256589999</v>
      </c>
      <c r="AA38" s="449">
        <v>31851.29</v>
      </c>
      <c r="AB38" s="340">
        <f t="shared" si="22"/>
        <v>1.1000000000000001</v>
      </c>
      <c r="AC38" s="196">
        <v>21246</v>
      </c>
      <c r="AD38" s="449">
        <v>21887</v>
      </c>
      <c r="AE38" s="340">
        <f t="shared" si="29"/>
        <v>3</v>
      </c>
      <c r="AF38" s="196"/>
      <c r="AG38" s="449"/>
      <c r="AH38" s="340"/>
      <c r="AI38" s="196">
        <v>7258.9809999999998</v>
      </c>
      <c r="AJ38" s="449">
        <v>7410.1229999999996</v>
      </c>
      <c r="AK38" s="340">
        <f t="shared" si="30"/>
        <v>2.1</v>
      </c>
      <c r="AL38" s="196">
        <f>89790+23735+4444</f>
        <v>117969</v>
      </c>
      <c r="AM38" s="449">
        <f>92845.5+23733+6498.5</f>
        <v>123077</v>
      </c>
      <c r="AN38" s="340">
        <f t="shared" si="31"/>
        <v>4.3</v>
      </c>
      <c r="AO38" s="447">
        <f t="shared" si="23"/>
        <v>428263.62104125996</v>
      </c>
      <c r="AP38" s="447">
        <f t="shared" si="24"/>
        <v>445070.37831152003</v>
      </c>
      <c r="AQ38" s="340">
        <f t="shared" si="25"/>
        <v>3.9</v>
      </c>
      <c r="AR38" s="447">
        <f t="shared" si="26"/>
        <v>428263.62104125996</v>
      </c>
      <c r="AS38" s="447">
        <f t="shared" si="27"/>
        <v>445070.37831152003</v>
      </c>
      <c r="AT38" s="450">
        <f t="shared" si="28"/>
        <v>3.9</v>
      </c>
      <c r="AU38" s="496"/>
      <c r="AV38" s="496"/>
      <c r="AW38" s="500"/>
    </row>
    <row r="39" spans="1:49" s="469" customFormat="1" ht="20.100000000000001" customHeight="1" x14ac:dyDescent="0.3">
      <c r="A39" s="463" t="s">
        <v>211</v>
      </c>
      <c r="B39" s="196">
        <f>SUM(B40:B44)</f>
        <v>1179.1280000000002</v>
      </c>
      <c r="C39" s="449">
        <f>SUM(C40:C44)</f>
        <v>1320.15</v>
      </c>
      <c r="D39" s="449">
        <f>IF(B39=0, "    ---- ", IF(ABS(ROUND(100/B39*C39-100,1))&lt;999,ROUND(100/B39*C39-100,1),IF(ROUND(100/B39*C39-100,1)&gt;999,999,-999)))</f>
        <v>12</v>
      </c>
      <c r="E39" s="196">
        <f>SUM(E40:E44)</f>
        <v>109.9</v>
      </c>
      <c r="F39" s="449">
        <f>SUM(F40:F44)</f>
        <v>352.3</v>
      </c>
      <c r="G39" s="340">
        <f>IF(E39=0, "    ---- ", IF(ABS(ROUND(100/E39*F39-100,1))&lt;999,ROUND(100/E39*F39-100,1),IF(ROUND(100/E39*F39-100,1)&gt;999,999,-999)))</f>
        <v>220.6</v>
      </c>
      <c r="H39" s="196">
        <f>SUM(H40:H44)</f>
        <v>78914.096999999994</v>
      </c>
      <c r="I39" s="449">
        <f>SUM(I40:I44)</f>
        <v>75983.999164099994</v>
      </c>
      <c r="J39" s="449">
        <f t="shared" si="21"/>
        <v>-3.7</v>
      </c>
      <c r="K39" s="449"/>
      <c r="L39" s="449">
        <f>SUM(L40:L44)</f>
        <v>6711.14350509</v>
      </c>
      <c r="M39" s="449" t="str">
        <f t="shared" ref="M39:M40" si="35">IF(K39=0, "    ---- ", IF(ABS(ROUND(100/K39*L39-100,1))&lt;999,ROUND(100/K39*L39-100,1),IF(ROUND(100/K39*L39-100,1)&gt;999,999,-999)))</f>
        <v xml:space="preserve">    ---- </v>
      </c>
      <c r="N39" s="196">
        <f>SUM(N40:N44)</f>
        <v>926.89499999999998</v>
      </c>
      <c r="O39" s="449">
        <f>SUM(O40:O44)</f>
        <v>862.125</v>
      </c>
      <c r="P39" s="449">
        <f t="shared" ref="P39:P46" si="36">IF(N39=0, "    ---- ", IF(ABS(ROUND(100/N39*O39-100,1))&lt;999,ROUND(100/N39*O39-100,1),IF(ROUND(100/N39*O39-100,1)&gt;999,999,-999)))</f>
        <v>-7</v>
      </c>
      <c r="Q39" s="196">
        <f>SUM(Q40:Q44)</f>
        <v>847.9</v>
      </c>
      <c r="R39" s="449">
        <f>SUM(R40:R44)</f>
        <v>764.5</v>
      </c>
      <c r="S39" s="438">
        <f t="shared" si="33"/>
        <v>-9.8000000000000007</v>
      </c>
      <c r="T39" s="196"/>
      <c r="U39" s="449"/>
      <c r="V39" s="340"/>
      <c r="W39" s="196">
        <f>SUM(W40:W44)</f>
        <v>266813.02132647001</v>
      </c>
      <c r="X39" s="449">
        <v>276709.74266016</v>
      </c>
      <c r="Y39" s="340">
        <f t="shared" si="34"/>
        <v>3.7</v>
      </c>
      <c r="Z39" s="196">
        <f>SUM(Z40:Z44)</f>
        <v>12831.657408430001</v>
      </c>
      <c r="AA39" s="449">
        <f>SUM(AA40:AA44)</f>
        <v>14055.270000000002</v>
      </c>
      <c r="AB39" s="340">
        <f t="shared" si="22"/>
        <v>9.5</v>
      </c>
      <c r="AC39" s="196">
        <f>SUM(AC40:AC44)</f>
        <v>56826</v>
      </c>
      <c r="AD39" s="449">
        <f>SUM(AD40:AD44)</f>
        <v>61399</v>
      </c>
      <c r="AE39" s="340">
        <f t="shared" si="29"/>
        <v>8</v>
      </c>
      <c r="AF39" s="196"/>
      <c r="AG39" s="449"/>
      <c r="AH39" s="340"/>
      <c r="AI39" s="196">
        <f>SUM(AI40:AI44)</f>
        <v>12839.909000000001</v>
      </c>
      <c r="AJ39" s="449">
        <f>SUM(AJ40:AJ44)</f>
        <v>9557.9110000000001</v>
      </c>
      <c r="AK39" s="340">
        <f t="shared" si="30"/>
        <v>-25.6</v>
      </c>
      <c r="AL39" s="196">
        <f>SUM(AL40:AL44)</f>
        <v>31113</v>
      </c>
      <c r="AM39" s="449">
        <f>SUM(AM40:AM44)</f>
        <v>43287.700000000004</v>
      </c>
      <c r="AN39" s="340">
        <f t="shared" si="31"/>
        <v>39.1</v>
      </c>
      <c r="AO39" s="447">
        <f t="shared" si="23"/>
        <v>462401.50773489999</v>
      </c>
      <c r="AP39" s="447">
        <f t="shared" si="24"/>
        <v>491003.84132935002</v>
      </c>
      <c r="AQ39" s="340">
        <f t="shared" si="25"/>
        <v>6.2</v>
      </c>
      <c r="AR39" s="447">
        <f t="shared" si="26"/>
        <v>462401.50773489999</v>
      </c>
      <c r="AS39" s="447">
        <f t="shared" si="27"/>
        <v>491003.84132935002</v>
      </c>
      <c r="AT39" s="450">
        <f t="shared" si="28"/>
        <v>6.2</v>
      </c>
      <c r="AU39" s="496"/>
      <c r="AV39" s="496"/>
      <c r="AW39" s="500"/>
    </row>
    <row r="40" spans="1:49" s="469" customFormat="1" ht="20.100000000000001" customHeight="1" x14ac:dyDescent="0.3">
      <c r="A40" s="463" t="s">
        <v>212</v>
      </c>
      <c r="B40" s="196">
        <v>35.366</v>
      </c>
      <c r="C40" s="449">
        <v>40.335999999999999</v>
      </c>
      <c r="D40" s="340">
        <f>IF(B40=0, "    ---- ", IF(ABS(ROUND(100/B40*C40-100,1))&lt;999,ROUND(100/B40*C40-100,1),IF(ROUND(100/B40*C40-100,1)&gt;999,999,-999)))</f>
        <v>14.1</v>
      </c>
      <c r="E40" s="196">
        <v>56.8</v>
      </c>
      <c r="F40" s="449">
        <v>192.8</v>
      </c>
      <c r="G40" s="340">
        <f>IF(E40=0, "    ---- ", IF(ABS(ROUND(100/E40*F40-100,1))&lt;999,ROUND(100/E40*F40-100,1),IF(ROUND(100/E40*F40-100,1)&gt;999,999,-999)))</f>
        <v>239.4</v>
      </c>
      <c r="H40" s="196">
        <v>17302.819</v>
      </c>
      <c r="I40" s="449">
        <v>8914.31569992</v>
      </c>
      <c r="J40" s="340">
        <f t="shared" si="21"/>
        <v>-48.5</v>
      </c>
      <c r="K40" s="449"/>
      <c r="L40" s="449"/>
      <c r="M40" s="340" t="str">
        <f t="shared" si="35"/>
        <v xml:space="preserve">    ---- </v>
      </c>
      <c r="N40" s="196">
        <v>107.667</v>
      </c>
      <c r="O40" s="449">
        <v>124.172</v>
      </c>
      <c r="P40" s="340">
        <f t="shared" si="36"/>
        <v>15.3</v>
      </c>
      <c r="Q40" s="196"/>
      <c r="R40" s="449"/>
      <c r="S40" s="438"/>
      <c r="T40" s="196"/>
      <c r="U40" s="449"/>
      <c r="V40" s="340"/>
      <c r="W40" s="104">
        <v>142817.06891343</v>
      </c>
      <c r="X40" s="449">
        <v>129128.42665792</v>
      </c>
      <c r="Y40" s="340">
        <f t="shared" si="34"/>
        <v>-9.6</v>
      </c>
      <c r="Z40" s="196">
        <v>5202.7427701300003</v>
      </c>
      <c r="AA40" s="449">
        <v>5664.34</v>
      </c>
      <c r="AB40" s="340">
        <f t="shared" si="22"/>
        <v>8.9</v>
      </c>
      <c r="AC40" s="196">
        <v>36398</v>
      </c>
      <c r="AD40" s="449">
        <v>36997</v>
      </c>
      <c r="AE40" s="340">
        <f t="shared" si="29"/>
        <v>1.6</v>
      </c>
      <c r="AF40" s="196"/>
      <c r="AG40" s="449"/>
      <c r="AH40" s="340"/>
      <c r="AI40" s="196">
        <v>2955.625</v>
      </c>
      <c r="AJ40" s="449">
        <v>3290.7539999999999</v>
      </c>
      <c r="AK40" s="340">
        <f t="shared" si="30"/>
        <v>11.3</v>
      </c>
      <c r="AL40" s="196">
        <v>7860</v>
      </c>
      <c r="AM40" s="449">
        <v>11902</v>
      </c>
      <c r="AN40" s="340">
        <f t="shared" si="31"/>
        <v>51.4</v>
      </c>
      <c r="AO40" s="447">
        <f t="shared" si="23"/>
        <v>212736.08868356</v>
      </c>
      <c r="AP40" s="447">
        <f t="shared" si="24"/>
        <v>196254.14435783998</v>
      </c>
      <c r="AQ40" s="340">
        <f t="shared" si="25"/>
        <v>-7.7</v>
      </c>
      <c r="AR40" s="447">
        <f t="shared" si="26"/>
        <v>212736.08868356</v>
      </c>
      <c r="AS40" s="447">
        <f t="shared" si="27"/>
        <v>196254.14435783998</v>
      </c>
      <c r="AT40" s="450">
        <f t="shared" si="28"/>
        <v>-7.7</v>
      </c>
      <c r="AU40" s="496"/>
      <c r="AV40" s="496"/>
      <c r="AW40" s="500"/>
    </row>
    <row r="41" spans="1:49" s="469" customFormat="1" ht="20.100000000000001" customHeight="1" x14ac:dyDescent="0.3">
      <c r="A41" s="463" t="s">
        <v>213</v>
      </c>
      <c r="B41" s="196">
        <v>1094.2550000000001</v>
      </c>
      <c r="C41" s="449">
        <v>1212.7</v>
      </c>
      <c r="D41" s="449">
        <f>IF(B41=0, "    ---- ", IF(ABS(ROUND(100/B41*C41-100,1))&lt;999,ROUND(100/B41*C41-100,1),IF(ROUND(100/B41*C41-100,1)&gt;999,999,-999)))</f>
        <v>10.8</v>
      </c>
      <c r="E41" s="196">
        <v>35.700000000000003</v>
      </c>
      <c r="F41" s="449">
        <v>24</v>
      </c>
      <c r="G41" s="340">
        <f>IF(E41=0, "    ---- ", IF(ABS(ROUND(100/E41*F41-100,1))&lt;999,ROUND(100/E41*F41-100,1),IF(ROUND(100/E41*F41-100,1)&gt;999,999,-999)))</f>
        <v>-32.799999999999997</v>
      </c>
      <c r="H41" s="196">
        <v>58891.154999999999</v>
      </c>
      <c r="I41" s="449">
        <v>64387.529164779997</v>
      </c>
      <c r="J41" s="449">
        <f t="shared" si="21"/>
        <v>9.3000000000000007</v>
      </c>
      <c r="K41" s="449"/>
      <c r="L41" s="449">
        <v>6571.0176469300004</v>
      </c>
      <c r="M41" s="449" t="str">
        <f>IF(K41=0, "    ---- ", IF(ABS(ROUND(100/K41*L41-100,1))&lt;999,ROUND(100/K41*L41-100,1),IF(ROUND(100/K41*L41-100,1)&gt;999,999,-999)))</f>
        <v xml:space="preserve">    ---- </v>
      </c>
      <c r="N41" s="196">
        <v>696.10199999999998</v>
      </c>
      <c r="O41" s="449">
        <v>612.39</v>
      </c>
      <c r="P41" s="449">
        <f>IF(N41=0, "    ---- ", IF(ABS(ROUND(100/N41*O41-100,1))&lt;999,ROUND(100/N41*O41-100,1),IF(ROUND(100/N41*O41-100,1)&gt;999,999,-999)))</f>
        <v>-12</v>
      </c>
      <c r="Q41" s="196">
        <v>824</v>
      </c>
      <c r="R41" s="449">
        <v>722.3</v>
      </c>
      <c r="S41" s="438">
        <f t="shared" si="33"/>
        <v>-12.3</v>
      </c>
      <c r="T41" s="196"/>
      <c r="U41" s="449"/>
      <c r="V41" s="340"/>
      <c r="W41" s="104">
        <v>105207.72900755001</v>
      </c>
      <c r="X41" s="449">
        <v>118118.76582602999</v>
      </c>
      <c r="Y41" s="340">
        <f t="shared" si="34"/>
        <v>12.3</v>
      </c>
      <c r="Z41" s="196">
        <v>7326.4037500699997</v>
      </c>
      <c r="AA41" s="449">
        <v>7937.79</v>
      </c>
      <c r="AB41" s="340">
        <f t="shared" si="22"/>
        <v>8.3000000000000007</v>
      </c>
      <c r="AC41" s="196">
        <v>19163</v>
      </c>
      <c r="AD41" s="449">
        <v>19287</v>
      </c>
      <c r="AE41" s="340">
        <f t="shared" si="29"/>
        <v>0.6</v>
      </c>
      <c r="AF41" s="196"/>
      <c r="AG41" s="449"/>
      <c r="AH41" s="340"/>
      <c r="AI41" s="196">
        <v>9445.9359999999997</v>
      </c>
      <c r="AJ41" s="449">
        <v>6044.277</v>
      </c>
      <c r="AK41" s="340">
        <f t="shared" si="30"/>
        <v>-36</v>
      </c>
      <c r="AL41" s="196">
        <v>22173</v>
      </c>
      <c r="AM41" s="449">
        <v>27035</v>
      </c>
      <c r="AN41" s="340">
        <f t="shared" si="31"/>
        <v>21.9</v>
      </c>
      <c r="AO41" s="447">
        <f t="shared" si="23"/>
        <v>224857.28075762</v>
      </c>
      <c r="AP41" s="447">
        <f t="shared" si="24"/>
        <v>251952.76963774001</v>
      </c>
      <c r="AQ41" s="340">
        <f t="shared" si="25"/>
        <v>12.1</v>
      </c>
      <c r="AR41" s="447">
        <f t="shared" si="26"/>
        <v>224857.28075762</v>
      </c>
      <c r="AS41" s="447">
        <f t="shared" si="27"/>
        <v>251952.76963774001</v>
      </c>
      <c r="AT41" s="450">
        <f t="shared" si="28"/>
        <v>12.1</v>
      </c>
      <c r="AU41" s="496"/>
      <c r="AV41" s="496"/>
      <c r="AW41" s="500"/>
    </row>
    <row r="42" spans="1:49" s="469" customFormat="1" ht="20.100000000000001" customHeight="1" x14ac:dyDescent="0.3">
      <c r="A42" s="463" t="s">
        <v>214</v>
      </c>
      <c r="B42" s="196"/>
      <c r="C42" s="449"/>
      <c r="D42" s="449"/>
      <c r="E42" s="196">
        <v>17.399999999999999</v>
      </c>
      <c r="F42" s="449">
        <v>8.8000000000000007</v>
      </c>
      <c r="G42" s="340">
        <f>IF(E42=0, "    ---- ", IF(ABS(ROUND(100/E42*F42-100,1))&lt;999,ROUND(100/E42*F42-100,1),IF(ROUND(100/E42*F42-100,1)&gt;999,999,-999)))</f>
        <v>-49.4</v>
      </c>
      <c r="H42" s="196">
        <v>1569.1079999999999</v>
      </c>
      <c r="I42" s="449">
        <v>1503.20645827</v>
      </c>
      <c r="J42" s="449">
        <f t="shared" si="21"/>
        <v>-4.2</v>
      </c>
      <c r="K42" s="449"/>
      <c r="L42" s="449">
        <v>-27.505179529999992</v>
      </c>
      <c r="M42" s="449"/>
      <c r="N42" s="196"/>
      <c r="O42" s="449"/>
      <c r="P42" s="449"/>
      <c r="Q42" s="196"/>
      <c r="R42" s="449"/>
      <c r="S42" s="438"/>
      <c r="T42" s="196"/>
      <c r="U42" s="449"/>
      <c r="V42" s="340"/>
      <c r="W42" s="104">
        <v>14124.443885729999</v>
      </c>
      <c r="X42" s="449">
        <v>20976.582362860001</v>
      </c>
      <c r="Y42" s="340">
        <f t="shared" si="34"/>
        <v>48.5</v>
      </c>
      <c r="Z42" s="196">
        <v>0</v>
      </c>
      <c r="AA42" s="449">
        <v>0</v>
      </c>
      <c r="AB42" s="340" t="str">
        <f t="shared" si="22"/>
        <v xml:space="preserve">    ---- </v>
      </c>
      <c r="AC42" s="196"/>
      <c r="AD42" s="449"/>
      <c r="AE42" s="340"/>
      <c r="AF42" s="196"/>
      <c r="AG42" s="449"/>
      <c r="AH42" s="340"/>
      <c r="AI42" s="196"/>
      <c r="AJ42" s="449"/>
      <c r="AK42" s="340"/>
      <c r="AL42" s="196"/>
      <c r="AM42" s="449">
        <v>103.9</v>
      </c>
      <c r="AN42" s="340" t="str">
        <f t="shared" si="31"/>
        <v xml:space="preserve">    ---- </v>
      </c>
      <c r="AO42" s="447">
        <f t="shared" si="23"/>
        <v>15710.951885729999</v>
      </c>
      <c r="AP42" s="447">
        <f t="shared" si="24"/>
        <v>22564.9836416</v>
      </c>
      <c r="AQ42" s="340">
        <f t="shared" si="25"/>
        <v>43.6</v>
      </c>
      <c r="AR42" s="447">
        <f t="shared" si="26"/>
        <v>15710.951885729999</v>
      </c>
      <c r="AS42" s="447">
        <f t="shared" si="27"/>
        <v>22564.9836416</v>
      </c>
      <c r="AT42" s="450">
        <f t="shared" si="28"/>
        <v>43.6</v>
      </c>
      <c r="AU42" s="496"/>
      <c r="AV42" s="496"/>
      <c r="AW42" s="500"/>
    </row>
    <row r="43" spans="1:49" s="469" customFormat="1" ht="20.100000000000001" customHeight="1" x14ac:dyDescent="0.3">
      <c r="A43" s="463" t="s">
        <v>215</v>
      </c>
      <c r="B43" s="196">
        <v>0.33600000000000002</v>
      </c>
      <c r="C43" s="449"/>
      <c r="D43" s="449">
        <f>IF(B43=0, "    ---- ", IF(ABS(ROUND(100/B43*C43-100,1))&lt;999,ROUND(100/B43*C43-100,1),IF(ROUND(100/B43*C43-100,1)&gt;999,999,-999)))</f>
        <v>-100</v>
      </c>
      <c r="E43" s="196"/>
      <c r="F43" s="449"/>
      <c r="G43" s="340"/>
      <c r="H43" s="196">
        <v>583.84500000000003</v>
      </c>
      <c r="I43" s="449">
        <v>493.06359247</v>
      </c>
      <c r="J43" s="449">
        <f t="shared" si="21"/>
        <v>-15.5</v>
      </c>
      <c r="K43" s="449"/>
      <c r="L43" s="449">
        <v>60.108724439999996</v>
      </c>
      <c r="M43" s="449"/>
      <c r="N43" s="196"/>
      <c r="O43" s="449"/>
      <c r="P43" s="449"/>
      <c r="Q43" s="196"/>
      <c r="R43" s="449"/>
      <c r="S43" s="438"/>
      <c r="T43" s="196"/>
      <c r="U43" s="449"/>
      <c r="V43" s="340"/>
      <c r="W43" s="104">
        <v>3970.6812409499998</v>
      </c>
      <c r="X43" s="449">
        <v>5943.0767703599995</v>
      </c>
      <c r="Y43" s="340">
        <f t="shared" si="34"/>
        <v>49.7</v>
      </c>
      <c r="Z43" s="196">
        <v>103.10766714</v>
      </c>
      <c r="AA43" s="449">
        <v>348.37</v>
      </c>
      <c r="AB43" s="340">
        <f t="shared" si="22"/>
        <v>237.9</v>
      </c>
      <c r="AC43" s="196">
        <v>1230</v>
      </c>
      <c r="AD43" s="449">
        <v>3428</v>
      </c>
      <c r="AE43" s="340">
        <f>IF(AC43=0, "    ---- ", IF(ABS(ROUND(100/AC43*AD43-100,1))&lt;999,ROUND(100/AC43*AD43-100,1),IF(ROUND(100/AC43*AD43-100,1)&gt;999,999,-999)))</f>
        <v>178.7</v>
      </c>
      <c r="AF43" s="196"/>
      <c r="AG43" s="449"/>
      <c r="AH43" s="340"/>
      <c r="AI43" s="196">
        <v>118.68300000000001</v>
      </c>
      <c r="AJ43" s="449">
        <v>221.53899999999999</v>
      </c>
      <c r="AK43" s="340">
        <f t="shared" si="30"/>
        <v>86.7</v>
      </c>
      <c r="AL43" s="196">
        <v>1080</v>
      </c>
      <c r="AM43" s="449">
        <v>4246.8</v>
      </c>
      <c r="AN43" s="340">
        <f t="shared" si="31"/>
        <v>293.2</v>
      </c>
      <c r="AO43" s="447">
        <f t="shared" si="23"/>
        <v>7086.65290809</v>
      </c>
      <c r="AP43" s="447">
        <f t="shared" si="24"/>
        <v>14740.958087269999</v>
      </c>
      <c r="AQ43" s="340">
        <f t="shared" si="25"/>
        <v>108</v>
      </c>
      <c r="AR43" s="447">
        <f t="shared" si="26"/>
        <v>7086.65290809</v>
      </c>
      <c r="AS43" s="447">
        <f t="shared" si="27"/>
        <v>14740.958087269999</v>
      </c>
      <c r="AT43" s="450">
        <f t="shared" si="28"/>
        <v>108</v>
      </c>
      <c r="AU43" s="496"/>
      <c r="AV43" s="496"/>
      <c r="AW43" s="500"/>
    </row>
    <row r="44" spans="1:49" s="469" customFormat="1" ht="20.100000000000001" customHeight="1" x14ac:dyDescent="0.3">
      <c r="A44" s="463" t="s">
        <v>216</v>
      </c>
      <c r="B44" s="196">
        <v>49.170999999999999</v>
      </c>
      <c r="C44" s="449">
        <v>67.114000000000004</v>
      </c>
      <c r="D44" s="449">
        <f>IF(B44=0, "    ---- ", IF(ABS(ROUND(100/B44*C44-100,1))&lt;999,ROUND(100/B44*C44-100,1),IF(ROUND(100/B44*C44-100,1)&gt;999,999,-999)))</f>
        <v>36.5</v>
      </c>
      <c r="E44" s="196"/>
      <c r="F44" s="449">
        <v>126.7</v>
      </c>
      <c r="G44" s="340" t="str">
        <f>IF(E44=0, "    ---- ", IF(ABS(ROUND(100/E44*F44-100,1))&lt;999,ROUND(100/E44*F44-100,1),IF(ROUND(100/E44*F44-100,1)&gt;999,999,-999)))</f>
        <v xml:space="preserve">    ---- </v>
      </c>
      <c r="H44" s="196">
        <v>567.16999999999996</v>
      </c>
      <c r="I44" s="449">
        <v>685.88424865999991</v>
      </c>
      <c r="J44" s="449">
        <f t="shared" si="21"/>
        <v>20.9</v>
      </c>
      <c r="K44" s="449"/>
      <c r="L44" s="449">
        <v>107.52231325000001</v>
      </c>
      <c r="M44" s="449" t="str">
        <f t="shared" ref="M44:M46" si="37">IF(K44=0, "    ---- ", IF(ABS(ROUND(100/K44*L44-100,1))&lt;999,ROUND(100/K44*L44-100,1),IF(ROUND(100/K44*L44-100,1)&gt;999,999,-999)))</f>
        <v xml:space="preserve">    ---- </v>
      </c>
      <c r="N44" s="196">
        <v>123.126</v>
      </c>
      <c r="O44" s="449">
        <v>125.563</v>
      </c>
      <c r="P44" s="449">
        <f t="shared" si="36"/>
        <v>2</v>
      </c>
      <c r="Q44" s="196">
        <v>23.9</v>
      </c>
      <c r="R44" s="449">
        <v>42.2</v>
      </c>
      <c r="S44" s="438">
        <f t="shared" si="33"/>
        <v>76.599999999999994</v>
      </c>
      <c r="T44" s="196"/>
      <c r="U44" s="449"/>
      <c r="V44" s="340"/>
      <c r="W44" s="104">
        <v>693.0982788099999</v>
      </c>
      <c r="X44" s="449">
        <v>2542.8910429899997</v>
      </c>
      <c r="Y44" s="340">
        <f t="shared" si="34"/>
        <v>266.89999999999998</v>
      </c>
      <c r="Z44" s="196">
        <v>199.40322109000002</v>
      </c>
      <c r="AA44" s="449">
        <v>104.77</v>
      </c>
      <c r="AB44" s="340">
        <f t="shared" si="22"/>
        <v>-47.5</v>
      </c>
      <c r="AC44" s="196">
        <v>35</v>
      </c>
      <c r="AD44" s="449">
        <v>1687</v>
      </c>
      <c r="AE44" s="340">
        <f>IF(AC44=0, "    ---- ", IF(ABS(ROUND(100/AC44*AD44-100,1))&lt;999,ROUND(100/AC44*AD44-100,1),IF(ROUND(100/AC44*AD44-100,1)&gt;999,999,-999)))</f>
        <v>999</v>
      </c>
      <c r="AF44" s="196"/>
      <c r="AG44" s="449"/>
      <c r="AH44" s="340"/>
      <c r="AI44" s="196">
        <v>319.66500000000002</v>
      </c>
      <c r="AJ44" s="449">
        <v>1.341</v>
      </c>
      <c r="AK44" s="340">
        <f t="shared" si="30"/>
        <v>-99.6</v>
      </c>
      <c r="AL44" s="196"/>
      <c r="AM44" s="449"/>
      <c r="AN44" s="340"/>
      <c r="AO44" s="447">
        <f t="shared" si="23"/>
        <v>2010.5334998999997</v>
      </c>
      <c r="AP44" s="447">
        <f t="shared" si="24"/>
        <v>5490.9856048999991</v>
      </c>
      <c r="AQ44" s="340">
        <f t="shared" si="25"/>
        <v>173.1</v>
      </c>
      <c r="AR44" s="447">
        <f t="shared" si="26"/>
        <v>2010.5334998999997</v>
      </c>
      <c r="AS44" s="447">
        <f t="shared" si="27"/>
        <v>5490.9856048999991</v>
      </c>
      <c r="AT44" s="450">
        <f t="shared" si="28"/>
        <v>173.1</v>
      </c>
      <c r="AU44" s="496"/>
      <c r="AV44" s="496"/>
      <c r="AW44" s="500"/>
    </row>
    <row r="45" spans="1:49" s="469" customFormat="1" ht="20.100000000000001" customHeight="1" x14ac:dyDescent="0.3">
      <c r="A45" s="464" t="s">
        <v>217</v>
      </c>
      <c r="B45" s="196">
        <f>SUM(B33+B34+B35+B39)</f>
        <v>1179.1280000000002</v>
      </c>
      <c r="C45" s="449">
        <f>SUM(C33+C34+C35+C39)</f>
        <v>1320.15</v>
      </c>
      <c r="D45" s="340">
        <f>IF(B45=0, "    ---- ", IF(ABS(ROUND(100/B45*C45-100,1))&lt;999,ROUND(100/B45*C45-100,1),IF(ROUND(100/B45*C45-100,1)&gt;999,999,-999)))</f>
        <v>12</v>
      </c>
      <c r="E45" s="196">
        <f>SUM(E33+E34+E35+E39)</f>
        <v>1751.7</v>
      </c>
      <c r="F45" s="449">
        <f>SUM(F33+F34+F35+F39)</f>
        <v>1805</v>
      </c>
      <c r="G45" s="340">
        <f>IF(E45=0, "    ---- ", IF(ABS(ROUND(100/E45*F45-100,1))&lt;999,ROUND(100/E45*F45-100,1),IF(ROUND(100/E45*F45-100,1)&gt;999,999,-999)))</f>
        <v>3</v>
      </c>
      <c r="H45" s="196">
        <f>SUM(H33+H34+H35+H39)</f>
        <v>206882.68599999999</v>
      </c>
      <c r="I45" s="449">
        <f>SUM(I33+I34+I35+I39)</f>
        <v>200796.32219719002</v>
      </c>
      <c r="J45" s="340">
        <f t="shared" si="21"/>
        <v>-2.9</v>
      </c>
      <c r="K45" s="449"/>
      <c r="L45" s="449">
        <f>SUM(L33+L34+L35+L39)</f>
        <v>6823.3033841200004</v>
      </c>
      <c r="M45" s="340" t="str">
        <f t="shared" si="37"/>
        <v xml:space="preserve">    ---- </v>
      </c>
      <c r="N45" s="196">
        <f>SUM(N33+N34+N35+N39)</f>
        <v>1130.8689999999999</v>
      </c>
      <c r="O45" s="449">
        <f>SUM(O33+O34+O35+O39)</f>
        <v>1053.52</v>
      </c>
      <c r="P45" s="340">
        <f t="shared" si="36"/>
        <v>-6.8</v>
      </c>
      <c r="Q45" s="196">
        <f>SUM(Q33+Q34+Q35+Q39)</f>
        <v>6826.4999999999991</v>
      </c>
      <c r="R45" s="449">
        <f>SUM(R33+R34+R35+R39)</f>
        <v>7268.6</v>
      </c>
      <c r="S45" s="438">
        <f t="shared" si="33"/>
        <v>6.5</v>
      </c>
      <c r="T45" s="196"/>
      <c r="U45" s="449"/>
      <c r="V45" s="340"/>
      <c r="W45" s="196">
        <f>SUM(W33+W34+W35+W39)</f>
        <v>574953.38701805007</v>
      </c>
      <c r="X45" s="449">
        <v>604781.89851384005</v>
      </c>
      <c r="Y45" s="340">
        <f t="shared" si="34"/>
        <v>5.2</v>
      </c>
      <c r="Z45" s="196">
        <f>SUM(Z33+Z34+Z35+Z39)</f>
        <v>52118.744252900004</v>
      </c>
      <c r="AA45" s="449">
        <f>SUM(AA33+AA34+AA35+AA39)</f>
        <v>53368.060000000005</v>
      </c>
      <c r="AB45" s="340">
        <f t="shared" si="22"/>
        <v>2.4</v>
      </c>
      <c r="AC45" s="196">
        <f>SUM(AC33+AC34+AC35+AC39)</f>
        <v>93894</v>
      </c>
      <c r="AD45" s="449">
        <f>SUM(AD33+AD34+AD35+AD39)</f>
        <v>101167</v>
      </c>
      <c r="AE45" s="340">
        <f>IF(AC45=0, "    ---- ", IF(ABS(ROUND(100/AC45*AD45-100,1))&lt;999,ROUND(100/AC45*AD45-100,1),IF(ROUND(100/AC45*AD45-100,1)&gt;999,999,-999)))</f>
        <v>7.7</v>
      </c>
      <c r="AF45" s="196"/>
      <c r="AG45" s="449"/>
      <c r="AH45" s="340"/>
      <c r="AI45" s="196">
        <f>SUM(AI33+AI34+AI35+AI39)</f>
        <v>25937.357000000004</v>
      </c>
      <c r="AJ45" s="449">
        <f>SUM(AJ33+AJ34+AJ35+AJ39)</f>
        <v>22422.014999999999</v>
      </c>
      <c r="AK45" s="340">
        <f t="shared" si="30"/>
        <v>-13.6</v>
      </c>
      <c r="AL45" s="196">
        <f>SUM(AL33+AL34+AL35+AL39)</f>
        <v>191121</v>
      </c>
      <c r="AM45" s="449">
        <f>SUM(AM33+AM34+AM35+AM39)</f>
        <v>200545.7</v>
      </c>
      <c r="AN45" s="340">
        <f t="shared" si="31"/>
        <v>4.9000000000000004</v>
      </c>
      <c r="AO45" s="447">
        <f t="shared" si="23"/>
        <v>1155795.37127095</v>
      </c>
      <c r="AP45" s="447">
        <f t="shared" si="24"/>
        <v>1201351.5690951501</v>
      </c>
      <c r="AQ45" s="340">
        <f t="shared" si="25"/>
        <v>3.9</v>
      </c>
      <c r="AR45" s="447">
        <f t="shared" si="26"/>
        <v>1155795.37127095</v>
      </c>
      <c r="AS45" s="447">
        <f t="shared" si="27"/>
        <v>1201351.5690951501</v>
      </c>
      <c r="AT45" s="450">
        <f t="shared" si="28"/>
        <v>3.9</v>
      </c>
      <c r="AU45" s="496"/>
      <c r="AV45" s="496"/>
      <c r="AW45" s="500"/>
    </row>
    <row r="46" spans="1:49" s="469" customFormat="1" ht="20.100000000000001" customHeight="1" x14ac:dyDescent="0.3">
      <c r="A46" s="461" t="s">
        <v>334</v>
      </c>
      <c r="B46" s="196">
        <v>142.809</v>
      </c>
      <c r="C46" s="449">
        <v>167.64699999999999</v>
      </c>
      <c r="D46" s="340">
        <f>IF(B46=0, "    ---- ", IF(ABS(ROUND(100/B46*C46-100,1))&lt;999,ROUND(100/B46*C46-100,1),IF(ROUND(100/B46*C46-100,1)&gt;999,999,-999)))</f>
        <v>17.399999999999999</v>
      </c>
      <c r="E46" s="196"/>
      <c r="F46" s="449"/>
      <c r="G46" s="340"/>
      <c r="H46" s="196">
        <v>218.928</v>
      </c>
      <c r="I46" s="449">
        <v>264.57889319999998</v>
      </c>
      <c r="J46" s="340"/>
      <c r="K46" s="449"/>
      <c r="L46" s="449">
        <v>525.9676476599999</v>
      </c>
      <c r="M46" s="340" t="str">
        <f t="shared" si="37"/>
        <v xml:space="preserve">    ---- </v>
      </c>
      <c r="N46" s="196">
        <v>79.652000000000001</v>
      </c>
      <c r="O46" s="449">
        <v>46.314999999999998</v>
      </c>
      <c r="P46" s="340">
        <f t="shared" si="36"/>
        <v>-41.9</v>
      </c>
      <c r="Q46" s="196">
        <v>454.2</v>
      </c>
      <c r="R46" s="449">
        <v>518.29999999999995</v>
      </c>
      <c r="S46" s="438">
        <f t="shared" si="33"/>
        <v>14.1</v>
      </c>
      <c r="T46" s="196"/>
      <c r="U46" s="449"/>
      <c r="V46" s="340"/>
      <c r="W46" s="196"/>
      <c r="X46" s="449"/>
      <c r="Y46" s="340"/>
      <c r="Z46" s="196">
        <v>49.21</v>
      </c>
      <c r="AA46" s="449">
        <v>51.44</v>
      </c>
      <c r="AB46" s="340">
        <f t="shared" si="22"/>
        <v>4.5</v>
      </c>
      <c r="AC46" s="196"/>
      <c r="AD46" s="449"/>
      <c r="AE46" s="340"/>
      <c r="AF46" s="196"/>
      <c r="AG46" s="449"/>
      <c r="AH46" s="340"/>
      <c r="AI46" s="196">
        <v>516.15800000000002</v>
      </c>
      <c r="AJ46" s="449"/>
      <c r="AK46" s="340">
        <f t="shared" si="30"/>
        <v>-100</v>
      </c>
      <c r="AL46" s="196">
        <v>67</v>
      </c>
      <c r="AM46" s="449">
        <v>15</v>
      </c>
      <c r="AN46" s="340">
        <f t="shared" si="31"/>
        <v>-77.599999999999994</v>
      </c>
      <c r="AO46" s="447">
        <f t="shared" si="23"/>
        <v>1527.9569999999999</v>
      </c>
      <c r="AP46" s="447">
        <f t="shared" si="24"/>
        <v>1589.2485408599998</v>
      </c>
      <c r="AQ46" s="340">
        <f t="shared" si="25"/>
        <v>4</v>
      </c>
      <c r="AR46" s="447">
        <f t="shared" si="26"/>
        <v>1527.9569999999999</v>
      </c>
      <c r="AS46" s="447">
        <f t="shared" si="27"/>
        <v>1589.2485408599998</v>
      </c>
      <c r="AT46" s="450">
        <f t="shared" si="28"/>
        <v>4</v>
      </c>
      <c r="AU46" s="496"/>
      <c r="AV46" s="496"/>
      <c r="AW46" s="500"/>
    </row>
    <row r="47" spans="1:49" s="469" customFormat="1" ht="20.100000000000001" customHeight="1" x14ac:dyDescent="0.3">
      <c r="A47" s="461" t="s">
        <v>218</v>
      </c>
      <c r="B47" s="196"/>
      <c r="C47" s="449"/>
      <c r="D47" s="449"/>
      <c r="E47" s="196"/>
      <c r="F47" s="449"/>
      <c r="G47" s="340"/>
      <c r="H47" s="196"/>
      <c r="I47" s="449"/>
      <c r="J47" s="449"/>
      <c r="K47" s="449"/>
      <c r="L47" s="449"/>
      <c r="M47" s="449"/>
      <c r="N47" s="196"/>
      <c r="O47" s="449"/>
      <c r="P47" s="449"/>
      <c r="Q47" s="196"/>
      <c r="R47" s="449"/>
      <c r="S47" s="438"/>
      <c r="T47" s="196"/>
      <c r="U47" s="449"/>
      <c r="V47" s="340"/>
      <c r="W47" s="196"/>
      <c r="X47" s="449"/>
      <c r="Y47" s="340"/>
      <c r="Z47" s="196"/>
      <c r="AA47" s="449"/>
      <c r="AB47" s="340"/>
      <c r="AC47" s="196"/>
      <c r="AD47" s="449"/>
      <c r="AE47" s="340"/>
      <c r="AF47" s="196"/>
      <c r="AG47" s="449"/>
      <c r="AH47" s="340"/>
      <c r="AI47" s="196"/>
      <c r="AJ47" s="449"/>
      <c r="AK47" s="340"/>
      <c r="AL47" s="196"/>
      <c r="AM47" s="449"/>
      <c r="AN47" s="340"/>
      <c r="AO47" s="440"/>
      <c r="AP47" s="440"/>
      <c r="AQ47" s="340"/>
      <c r="AR47" s="440"/>
      <c r="AS47" s="440"/>
      <c r="AT47" s="450"/>
      <c r="AU47" s="496"/>
      <c r="AV47" s="496"/>
      <c r="AW47" s="500"/>
    </row>
    <row r="48" spans="1:49" s="469" customFormat="1" ht="20.100000000000001" customHeight="1" x14ac:dyDescent="0.3">
      <c r="A48" s="463" t="s">
        <v>219</v>
      </c>
      <c r="B48" s="196"/>
      <c r="C48" s="449"/>
      <c r="D48" s="449"/>
      <c r="E48" s="196"/>
      <c r="F48" s="449"/>
      <c r="G48" s="340"/>
      <c r="H48" s="196"/>
      <c r="I48" s="449"/>
      <c r="J48" s="449"/>
      <c r="K48" s="449"/>
      <c r="L48" s="449"/>
      <c r="M48" s="449"/>
      <c r="N48" s="196"/>
      <c r="O48" s="449"/>
      <c r="P48" s="449"/>
      <c r="Q48" s="196"/>
      <c r="R48" s="449"/>
      <c r="S48" s="438"/>
      <c r="T48" s="196"/>
      <c r="U48" s="449"/>
      <c r="V48" s="340"/>
      <c r="W48" s="196"/>
      <c r="X48" s="449"/>
      <c r="Y48" s="340"/>
      <c r="Z48" s="196">
        <v>0</v>
      </c>
      <c r="AA48" s="449">
        <v>0</v>
      </c>
      <c r="AB48" s="340" t="str">
        <f t="shared" si="22"/>
        <v xml:space="preserve">    ---- </v>
      </c>
      <c r="AC48" s="196"/>
      <c r="AD48" s="449"/>
      <c r="AE48" s="340"/>
      <c r="AF48" s="196"/>
      <c r="AG48" s="449"/>
      <c r="AH48" s="340"/>
      <c r="AI48" s="196"/>
      <c r="AJ48" s="449"/>
      <c r="AK48" s="340"/>
      <c r="AL48" s="196"/>
      <c r="AM48" s="449"/>
      <c r="AN48" s="340"/>
      <c r="AO48" s="447">
        <f t="shared" ref="AO48:AO62" si="38">B48+H48+K48+N48+Q48+W48+E48+Z48+AC48+AI48+AL48</f>
        <v>0</v>
      </c>
      <c r="AP48" s="447">
        <f t="shared" ref="AP48:AP62" si="39">C48+I48+L48+O48+R48+X48+F48+AA48+AD48+AJ48+AM48</f>
        <v>0</v>
      </c>
      <c r="AQ48" s="340" t="str">
        <f t="shared" si="25"/>
        <v xml:space="preserve">    ---- </v>
      </c>
      <c r="AR48" s="447">
        <f t="shared" ref="AR48:AR62" si="40">B48+H48+K48+N48+Q48+T48+W48+E48+Z48+AC48+AF48+AI48+AL48</f>
        <v>0</v>
      </c>
      <c r="AS48" s="447">
        <f t="shared" ref="AS48:AS62" si="41">C48+I48+L48+O48+R48+U48+X48+F48+AA48+AD48+AG48+AJ48+AM48</f>
        <v>0</v>
      </c>
      <c r="AT48" s="450" t="str">
        <f t="shared" si="28"/>
        <v xml:space="preserve">    ---- </v>
      </c>
      <c r="AU48" s="496"/>
      <c r="AV48" s="496"/>
      <c r="AW48" s="500"/>
    </row>
    <row r="49" spans="1:49" s="469" customFormat="1" ht="20.100000000000001" customHeight="1" x14ac:dyDescent="0.3">
      <c r="A49" s="463" t="s">
        <v>220</v>
      </c>
      <c r="B49" s="196"/>
      <c r="C49" s="449"/>
      <c r="D49" s="449"/>
      <c r="E49" s="196"/>
      <c r="F49" s="449"/>
      <c r="G49" s="340"/>
      <c r="H49" s="196"/>
      <c r="I49" s="449"/>
      <c r="J49" s="449"/>
      <c r="K49" s="449"/>
      <c r="L49" s="449"/>
      <c r="M49" s="449"/>
      <c r="N49" s="196"/>
      <c r="O49" s="449"/>
      <c r="P49" s="449"/>
      <c r="Q49" s="196">
        <v>1290.3</v>
      </c>
      <c r="R49" s="449">
        <v>1661.4</v>
      </c>
      <c r="S49" s="438">
        <f t="shared" si="33"/>
        <v>28.8</v>
      </c>
      <c r="T49" s="196"/>
      <c r="U49" s="449"/>
      <c r="V49" s="340"/>
      <c r="W49" s="104">
        <v>335.68473388000001</v>
      </c>
      <c r="X49" s="449">
        <v>289.63572288</v>
      </c>
      <c r="Y49" s="340">
        <f t="shared" ref="Y49:Y60" si="42">IF(W49=0, "    ---- ", IF(ABS(ROUND(100/W49*X49-100,1))&lt;999,ROUND(100/W49*X49-100,1),IF(ROUND(100/W49*X49-100,1)&gt;999,999,-999)))</f>
        <v>-13.7</v>
      </c>
      <c r="Z49" s="196"/>
      <c r="AA49" s="449"/>
      <c r="AB49" s="340"/>
      <c r="AC49" s="196"/>
      <c r="AD49" s="449"/>
      <c r="AE49" s="340"/>
      <c r="AF49" s="196"/>
      <c r="AG49" s="449"/>
      <c r="AH49" s="340"/>
      <c r="AI49" s="196"/>
      <c r="AJ49" s="449"/>
      <c r="AK49" s="340"/>
      <c r="AL49" s="196">
        <v>20077</v>
      </c>
      <c r="AM49" s="449">
        <v>5600.5</v>
      </c>
      <c r="AN49" s="340">
        <f t="shared" si="31"/>
        <v>-72.099999999999994</v>
      </c>
      <c r="AO49" s="447">
        <f t="shared" si="38"/>
        <v>21702.984733879999</v>
      </c>
      <c r="AP49" s="447">
        <f t="shared" si="39"/>
        <v>7551.5357228800003</v>
      </c>
      <c r="AQ49" s="340">
        <f t="shared" si="25"/>
        <v>-65.2</v>
      </c>
      <c r="AR49" s="447">
        <f t="shared" si="40"/>
        <v>21702.984733879999</v>
      </c>
      <c r="AS49" s="447">
        <f t="shared" si="41"/>
        <v>7551.5357228800003</v>
      </c>
      <c r="AT49" s="450">
        <f t="shared" si="28"/>
        <v>-65.2</v>
      </c>
      <c r="AU49" s="496"/>
      <c r="AV49" s="496"/>
      <c r="AW49" s="500"/>
    </row>
    <row r="50" spans="1:49" s="469" customFormat="1" ht="20.100000000000001" customHeight="1" x14ac:dyDescent="0.3">
      <c r="A50" s="463" t="s">
        <v>221</v>
      </c>
      <c r="B50" s="196"/>
      <c r="C50" s="449"/>
      <c r="D50" s="449"/>
      <c r="E50" s="196"/>
      <c r="F50" s="449"/>
      <c r="G50" s="340"/>
      <c r="H50" s="196"/>
      <c r="I50" s="449"/>
      <c r="J50" s="449"/>
      <c r="K50" s="449"/>
      <c r="L50" s="449"/>
      <c r="M50" s="449"/>
      <c r="N50" s="196"/>
      <c r="O50" s="449"/>
      <c r="P50" s="449"/>
      <c r="Q50" s="196"/>
      <c r="R50" s="449"/>
      <c r="S50" s="438"/>
      <c r="T50" s="196"/>
      <c r="U50" s="449"/>
      <c r="V50" s="340"/>
      <c r="W50" s="196">
        <f>SUM(W51+W53)</f>
        <v>898.27934043999994</v>
      </c>
      <c r="X50" s="449">
        <v>720.42111001000001</v>
      </c>
      <c r="Y50" s="340">
        <f t="shared" si="42"/>
        <v>-19.8</v>
      </c>
      <c r="Z50" s="196"/>
      <c r="AA50" s="449"/>
      <c r="AB50" s="340"/>
      <c r="AC50" s="196"/>
      <c r="AD50" s="449"/>
      <c r="AE50" s="340"/>
      <c r="AF50" s="196"/>
      <c r="AG50" s="449"/>
      <c r="AH50" s="340"/>
      <c r="AI50" s="196"/>
      <c r="AJ50" s="449"/>
      <c r="AK50" s="340"/>
      <c r="AL50" s="196">
        <f>SUM(AL51+AL53)</f>
        <v>986</v>
      </c>
      <c r="AM50" s="449">
        <f>SUM(AM51+AM53)</f>
        <v>524</v>
      </c>
      <c r="AN50" s="340">
        <f t="shared" si="31"/>
        <v>-46.9</v>
      </c>
      <c r="AO50" s="447">
        <f t="shared" si="38"/>
        <v>1884.2793404399999</v>
      </c>
      <c r="AP50" s="447">
        <f t="shared" si="39"/>
        <v>1244.4211100100001</v>
      </c>
      <c r="AQ50" s="340">
        <f t="shared" si="25"/>
        <v>-34</v>
      </c>
      <c r="AR50" s="447">
        <f t="shared" si="40"/>
        <v>1884.2793404399999</v>
      </c>
      <c r="AS50" s="447">
        <f t="shared" si="41"/>
        <v>1244.4211100100001</v>
      </c>
      <c r="AT50" s="450">
        <f t="shared" si="28"/>
        <v>-34</v>
      </c>
      <c r="AU50" s="496"/>
      <c r="AV50" s="496"/>
      <c r="AW50" s="500"/>
    </row>
    <row r="51" spans="1:49" s="469" customFormat="1" ht="20.100000000000001" customHeight="1" x14ac:dyDescent="0.3">
      <c r="A51" s="463" t="s">
        <v>222</v>
      </c>
      <c r="B51" s="196"/>
      <c r="C51" s="449"/>
      <c r="D51" s="340"/>
      <c r="E51" s="196"/>
      <c r="F51" s="449"/>
      <c r="G51" s="340"/>
      <c r="H51" s="196"/>
      <c r="I51" s="449"/>
      <c r="J51" s="340"/>
      <c r="K51" s="449"/>
      <c r="L51" s="449"/>
      <c r="M51" s="340"/>
      <c r="N51" s="196"/>
      <c r="O51" s="449"/>
      <c r="P51" s="340"/>
      <c r="Q51" s="196"/>
      <c r="R51" s="449"/>
      <c r="S51" s="438"/>
      <c r="T51" s="196"/>
      <c r="U51" s="449"/>
      <c r="V51" s="340"/>
      <c r="W51" s="104">
        <v>63.828122540000003</v>
      </c>
      <c r="X51" s="449">
        <v>49.68168086</v>
      </c>
      <c r="Y51" s="340">
        <f t="shared" si="42"/>
        <v>-22.2</v>
      </c>
      <c r="Z51" s="196"/>
      <c r="AA51" s="449"/>
      <c r="AB51" s="340"/>
      <c r="AC51" s="196"/>
      <c r="AD51" s="449"/>
      <c r="AE51" s="340"/>
      <c r="AF51" s="196"/>
      <c r="AG51" s="449"/>
      <c r="AH51" s="340"/>
      <c r="AI51" s="196"/>
      <c r="AJ51" s="449"/>
      <c r="AK51" s="340"/>
      <c r="AL51" s="196"/>
      <c r="AM51" s="449"/>
      <c r="AN51" s="340"/>
      <c r="AO51" s="447">
        <f t="shared" si="38"/>
        <v>63.828122540000003</v>
      </c>
      <c r="AP51" s="447">
        <f t="shared" si="39"/>
        <v>49.68168086</v>
      </c>
      <c r="AQ51" s="340">
        <f t="shared" si="25"/>
        <v>-22.2</v>
      </c>
      <c r="AR51" s="447">
        <f t="shared" si="40"/>
        <v>63.828122540000003</v>
      </c>
      <c r="AS51" s="447">
        <f t="shared" si="41"/>
        <v>49.68168086</v>
      </c>
      <c r="AT51" s="450">
        <f t="shared" si="28"/>
        <v>-22.2</v>
      </c>
      <c r="AU51" s="496"/>
      <c r="AV51" s="496"/>
      <c r="AW51" s="500"/>
    </row>
    <row r="52" spans="1:49" s="498" customFormat="1" ht="20.100000000000001" customHeight="1" x14ac:dyDescent="0.3">
      <c r="A52" s="463" t="s">
        <v>192</v>
      </c>
      <c r="B52" s="196"/>
      <c r="C52" s="449"/>
      <c r="D52" s="446"/>
      <c r="E52" s="196"/>
      <c r="F52" s="449"/>
      <c r="G52" s="446"/>
      <c r="H52" s="196"/>
      <c r="I52" s="449"/>
      <c r="J52" s="446"/>
      <c r="K52" s="449"/>
      <c r="L52" s="449"/>
      <c r="M52" s="446"/>
      <c r="N52" s="196"/>
      <c r="O52" s="449"/>
      <c r="P52" s="446"/>
      <c r="Q52" s="196"/>
      <c r="R52" s="449"/>
      <c r="S52" s="445"/>
      <c r="T52" s="196"/>
      <c r="U52" s="449"/>
      <c r="V52" s="446"/>
      <c r="W52" s="104">
        <v>63.828122540000003</v>
      </c>
      <c r="X52" s="449">
        <v>49.68168086</v>
      </c>
      <c r="Y52" s="340">
        <f t="shared" si="42"/>
        <v>-22.2</v>
      </c>
      <c r="Z52" s="196"/>
      <c r="AA52" s="449"/>
      <c r="AB52" s="446"/>
      <c r="AC52" s="196"/>
      <c r="AD52" s="449"/>
      <c r="AE52" s="446"/>
      <c r="AF52" s="196"/>
      <c r="AG52" s="449"/>
      <c r="AH52" s="446"/>
      <c r="AI52" s="196"/>
      <c r="AJ52" s="449"/>
      <c r="AK52" s="446"/>
      <c r="AL52" s="196"/>
      <c r="AM52" s="449"/>
      <c r="AN52" s="446"/>
      <c r="AO52" s="447">
        <f t="shared" si="38"/>
        <v>63.828122540000003</v>
      </c>
      <c r="AP52" s="447">
        <f t="shared" si="39"/>
        <v>49.68168086</v>
      </c>
      <c r="AQ52" s="446">
        <f t="shared" si="25"/>
        <v>-22.2</v>
      </c>
      <c r="AR52" s="447">
        <f t="shared" si="40"/>
        <v>63.828122540000003</v>
      </c>
      <c r="AS52" s="447">
        <f t="shared" si="41"/>
        <v>49.68168086</v>
      </c>
      <c r="AT52" s="448">
        <f t="shared" si="28"/>
        <v>-22.2</v>
      </c>
      <c r="AU52" s="497"/>
      <c r="AV52" s="497"/>
      <c r="AW52" s="499"/>
    </row>
    <row r="53" spans="1:49" s="469" customFormat="1" ht="20.100000000000001" customHeight="1" x14ac:dyDescent="0.3">
      <c r="A53" s="463" t="s">
        <v>223</v>
      </c>
      <c r="B53" s="196"/>
      <c r="C53" s="449"/>
      <c r="D53" s="449"/>
      <c r="E53" s="196"/>
      <c r="F53" s="449"/>
      <c r="G53" s="340"/>
      <c r="H53" s="196"/>
      <c r="I53" s="449"/>
      <c r="J53" s="449"/>
      <c r="K53" s="449"/>
      <c r="L53" s="449"/>
      <c r="M53" s="449"/>
      <c r="N53" s="196"/>
      <c r="O53" s="449"/>
      <c r="P53" s="449"/>
      <c r="Q53" s="196"/>
      <c r="R53" s="449"/>
      <c r="S53" s="438"/>
      <c r="T53" s="196"/>
      <c r="U53" s="449"/>
      <c r="V53" s="340"/>
      <c r="W53" s="104">
        <v>834.45121789999996</v>
      </c>
      <c r="X53" s="449">
        <v>670.73942914999998</v>
      </c>
      <c r="Y53" s="340">
        <f t="shared" si="42"/>
        <v>-19.600000000000001</v>
      </c>
      <c r="Z53" s="196"/>
      <c r="AA53" s="449"/>
      <c r="AB53" s="340"/>
      <c r="AC53" s="196"/>
      <c r="AD53" s="449"/>
      <c r="AE53" s="340"/>
      <c r="AF53" s="196"/>
      <c r="AG53" s="449"/>
      <c r="AH53" s="340"/>
      <c r="AI53" s="196"/>
      <c r="AJ53" s="449"/>
      <c r="AK53" s="340"/>
      <c r="AL53" s="196">
        <v>986</v>
      </c>
      <c r="AM53" s="449">
        <f>36+488</f>
        <v>524</v>
      </c>
      <c r="AN53" s="340">
        <f t="shared" si="31"/>
        <v>-46.9</v>
      </c>
      <c r="AO53" s="447">
        <f t="shared" si="38"/>
        <v>1820.4512178999998</v>
      </c>
      <c r="AP53" s="447">
        <f t="shared" si="39"/>
        <v>1194.73942915</v>
      </c>
      <c r="AQ53" s="340">
        <f t="shared" si="25"/>
        <v>-34.4</v>
      </c>
      <c r="AR53" s="447">
        <f t="shared" si="40"/>
        <v>1820.4512178999998</v>
      </c>
      <c r="AS53" s="447">
        <f t="shared" si="41"/>
        <v>1194.73942915</v>
      </c>
      <c r="AT53" s="450">
        <f t="shared" si="28"/>
        <v>-34.4</v>
      </c>
      <c r="AU53" s="496"/>
      <c r="AV53" s="496"/>
      <c r="AW53" s="500"/>
    </row>
    <row r="54" spans="1:49" s="469" customFormat="1" ht="20.100000000000001" customHeight="1" x14ac:dyDescent="0.3">
      <c r="A54" s="463" t="s">
        <v>224</v>
      </c>
      <c r="B54" s="196">
        <f>SUM(B55:B59)</f>
        <v>20732.862999999998</v>
      </c>
      <c r="C54" s="449">
        <f>SUM(C55:C59)</f>
        <v>24084.123999999996</v>
      </c>
      <c r="D54" s="449">
        <f>IF(B54=0, "    ---- ", IF(ABS(ROUND(100/B54*C54-100,1))&lt;999,ROUND(100/B54*C54-100,1),IF(ROUND(100/B54*C54-100,1)&gt;999,999,-999)))</f>
        <v>16.2</v>
      </c>
      <c r="E54" s="196">
        <f>SUM(E55:E59)</f>
        <v>4906.3</v>
      </c>
      <c r="F54" s="449">
        <f>SUM(F55:F59)</f>
        <v>5959.2</v>
      </c>
      <c r="G54" s="340">
        <f>IF(E54=0, "    ---- ", IF(ABS(ROUND(100/E54*F54-100,1))&lt;999,ROUND(100/E54*F54-100,1),IF(ROUND(100/E54*F54-100,1)&gt;999,999,-999)))</f>
        <v>21.5</v>
      </c>
      <c r="H54" s="196">
        <f>SUM(H55:H59)</f>
        <v>98943.005000000005</v>
      </c>
      <c r="I54" s="449">
        <f>SUM(I55:I59)</f>
        <v>110860.38126027001</v>
      </c>
      <c r="J54" s="449">
        <f t="shared" si="21"/>
        <v>12</v>
      </c>
      <c r="K54" s="449"/>
      <c r="L54" s="449"/>
      <c r="M54" s="449"/>
      <c r="N54" s="196">
        <f>SUM(N55:N59)</f>
        <v>4266.1270000000004</v>
      </c>
      <c r="O54" s="449">
        <f>SUM(O55:O59)</f>
        <v>0</v>
      </c>
      <c r="P54" s="449">
        <f>IF(N54=0, "    ---- ", IF(ABS(ROUND(100/N54*O54-100,1))&lt;999,ROUND(100/N54*O54-100,1),IF(ROUND(100/N54*O54-100,1)&gt;999,999,-999)))</f>
        <v>-100</v>
      </c>
      <c r="Q54" s="196">
        <f>SUM(Q55:Q59)</f>
        <v>28840.5</v>
      </c>
      <c r="R54" s="449">
        <f>SUM(R55:R59)</f>
        <v>33036</v>
      </c>
      <c r="S54" s="438">
        <f t="shared" si="33"/>
        <v>14.5</v>
      </c>
      <c r="T54" s="196"/>
      <c r="U54" s="449"/>
      <c r="V54" s="340"/>
      <c r="W54" s="196">
        <f>SUM(W55:W59)</f>
        <v>1427.9486736800002</v>
      </c>
      <c r="X54" s="449">
        <v>1034.3453522899999</v>
      </c>
      <c r="Y54" s="340">
        <f t="shared" si="42"/>
        <v>-27.6</v>
      </c>
      <c r="Z54" s="196">
        <f>SUM(Z55:Z59)</f>
        <v>77976.62000000001</v>
      </c>
      <c r="AA54" s="449">
        <f>SUM(AA55:AA59)</f>
        <v>98862.689999999988</v>
      </c>
      <c r="AB54" s="340">
        <f t="shared" si="22"/>
        <v>26.8</v>
      </c>
      <c r="AC54" s="196"/>
      <c r="AD54" s="449"/>
      <c r="AE54" s="340"/>
      <c r="AF54" s="196">
        <f>SUM(AF55:AF59)</f>
        <v>2542.4488284099998</v>
      </c>
      <c r="AG54" s="449">
        <f>SUM(AG55:AG59)</f>
        <v>2934.72508733</v>
      </c>
      <c r="AH54" s="340">
        <f>IF(AF54=0, "    ---- ", IF(ABS(ROUND(100/AF54*AG54-100,1))&lt;999,ROUND(100/AF54*AG54-100,1),IF(ROUND(100/AF54*AG54-100,1)&gt;999,999,-999)))</f>
        <v>15.4</v>
      </c>
      <c r="AI54" s="196">
        <f>SUM(AI55:AI59)</f>
        <v>35908.096999999994</v>
      </c>
      <c r="AJ54" s="449">
        <f>SUM(AJ55:AJ59)</f>
        <v>43572.633000000002</v>
      </c>
      <c r="AK54" s="340">
        <f t="shared" si="30"/>
        <v>21.3</v>
      </c>
      <c r="AL54" s="196">
        <f>SUM(AL55:AL59)</f>
        <v>93480</v>
      </c>
      <c r="AM54" s="449">
        <f>SUM(AM55:AM59)</f>
        <v>130830</v>
      </c>
      <c r="AN54" s="340">
        <f t="shared" si="31"/>
        <v>40</v>
      </c>
      <c r="AO54" s="447">
        <f t="shared" si="38"/>
        <v>366481.46067368001</v>
      </c>
      <c r="AP54" s="447">
        <f t="shared" si="39"/>
        <v>448239.37361255998</v>
      </c>
      <c r="AQ54" s="340">
        <f t="shared" si="25"/>
        <v>22.3</v>
      </c>
      <c r="AR54" s="447">
        <f t="shared" si="40"/>
        <v>369023.90950209001</v>
      </c>
      <c r="AS54" s="447">
        <f t="shared" si="41"/>
        <v>451174.09869988996</v>
      </c>
      <c r="AT54" s="450">
        <f t="shared" si="28"/>
        <v>22.3</v>
      </c>
      <c r="AU54" s="496"/>
      <c r="AV54" s="496"/>
      <c r="AW54" s="500"/>
    </row>
    <row r="55" spans="1:49" s="469" customFormat="1" ht="20.100000000000001" customHeight="1" x14ac:dyDescent="0.3">
      <c r="A55" s="463" t="s">
        <v>225</v>
      </c>
      <c r="B55" s="196">
        <v>12829.218000000001</v>
      </c>
      <c r="C55" s="449">
        <v>15098.266</v>
      </c>
      <c r="D55" s="449">
        <f>IF(B55=0, "    ---- ", IF(ABS(ROUND(100/B55*C55-100,1))&lt;999,ROUND(100/B55*C55-100,1),IF(ROUND(100/B55*C55-100,1)&gt;999,999,-999)))</f>
        <v>17.7</v>
      </c>
      <c r="E55" s="196">
        <v>3435.9</v>
      </c>
      <c r="F55" s="449">
        <v>4140.8</v>
      </c>
      <c r="G55" s="340">
        <f>IF(E55=0, "    ---- ", IF(ABS(ROUND(100/E55*F55-100,1))&lt;999,ROUND(100/E55*F55-100,1),IF(ROUND(100/E55*F55-100,1)&gt;999,999,-999)))</f>
        <v>20.5</v>
      </c>
      <c r="H55" s="196">
        <v>55249.517</v>
      </c>
      <c r="I55" s="449">
        <v>64919.521823060008</v>
      </c>
      <c r="J55" s="449">
        <f t="shared" si="21"/>
        <v>17.5</v>
      </c>
      <c r="K55" s="449"/>
      <c r="L55" s="449"/>
      <c r="M55" s="449"/>
      <c r="N55" s="196">
        <v>2615.8760000000002</v>
      </c>
      <c r="O55" s="449"/>
      <c r="P55" s="449">
        <f>IF(N55=0, "    ---- ", IF(ABS(ROUND(100/N55*O55-100,1))&lt;999,ROUND(100/N55*O55-100,1),IF(ROUND(100/N55*O55-100,1)&gt;999,999,-999)))</f>
        <v>-100</v>
      </c>
      <c r="Q55" s="196">
        <v>24502.5</v>
      </c>
      <c r="R55" s="449">
        <v>28330.6</v>
      </c>
      <c r="S55" s="438">
        <f t="shared" si="33"/>
        <v>15.6</v>
      </c>
      <c r="T55" s="196"/>
      <c r="U55" s="449"/>
      <c r="V55" s="340"/>
      <c r="W55" s="104">
        <v>820.26411407000001</v>
      </c>
      <c r="X55" s="449">
        <v>588.34444340999994</v>
      </c>
      <c r="Y55" s="340">
        <f t="shared" si="42"/>
        <v>-28.3</v>
      </c>
      <c r="Z55" s="196">
        <v>43919.41</v>
      </c>
      <c r="AA55" s="449">
        <v>59905.74</v>
      </c>
      <c r="AB55" s="340">
        <f t="shared" si="22"/>
        <v>36.4</v>
      </c>
      <c r="AC55" s="196"/>
      <c r="AD55" s="449"/>
      <c r="AE55" s="340"/>
      <c r="AF55" s="196">
        <v>2542.4488284099998</v>
      </c>
      <c r="AG55" s="449">
        <v>2934.72508733</v>
      </c>
      <c r="AH55" s="340">
        <f>IF(AF55=0, "    ---- ", IF(ABS(ROUND(100/AF55*AG55-100,1))&lt;999,ROUND(100/AF55*AG55-100,1),IF(ROUND(100/AF55*AG55-100,1)&gt;999,999,-999)))</f>
        <v>15.4</v>
      </c>
      <c r="AI55" s="196">
        <v>21556.341</v>
      </c>
      <c r="AJ55" s="449">
        <v>26962.302</v>
      </c>
      <c r="AK55" s="340">
        <f t="shared" si="30"/>
        <v>25.1</v>
      </c>
      <c r="AL55" s="196">
        <v>54990</v>
      </c>
      <c r="AM55" s="449">
        <v>86267</v>
      </c>
      <c r="AN55" s="340">
        <f t="shared" si="31"/>
        <v>56.9</v>
      </c>
      <c r="AO55" s="447">
        <f t="shared" si="38"/>
        <v>219919.02611407003</v>
      </c>
      <c r="AP55" s="447">
        <f t="shared" si="39"/>
        <v>286212.57426647004</v>
      </c>
      <c r="AQ55" s="340">
        <f t="shared" si="25"/>
        <v>30.1</v>
      </c>
      <c r="AR55" s="447">
        <f t="shared" si="40"/>
        <v>222461.47494248004</v>
      </c>
      <c r="AS55" s="447">
        <f t="shared" si="41"/>
        <v>289147.29935380002</v>
      </c>
      <c r="AT55" s="450">
        <f t="shared" si="28"/>
        <v>30</v>
      </c>
      <c r="AU55" s="496"/>
      <c r="AV55" s="496"/>
      <c r="AW55" s="500"/>
    </row>
    <row r="56" spans="1:49" s="469" customFormat="1" ht="20.100000000000001" customHeight="1" x14ac:dyDescent="0.3">
      <c r="A56" s="463" t="s">
        <v>226</v>
      </c>
      <c r="B56" s="196">
        <v>7364.0889999999999</v>
      </c>
      <c r="C56" s="449">
        <v>8494.7199999999993</v>
      </c>
      <c r="D56" s="449">
        <f>IF(B56=0, "    ---- ", IF(ABS(ROUND(100/B56*C56-100,1))&lt;999,ROUND(100/B56*C56-100,1),IF(ROUND(100/B56*C56-100,1)&gt;999,999,-999)))</f>
        <v>15.4</v>
      </c>
      <c r="E56" s="196">
        <v>1463.3</v>
      </c>
      <c r="F56" s="449">
        <v>1740.7</v>
      </c>
      <c r="G56" s="340">
        <f>IF(E56=0, "    ---- ", IF(ABS(ROUND(100/E56*F56-100,1))&lt;999,ROUND(100/E56*F56-100,1),IF(ROUND(100/E56*F56-100,1)&gt;999,999,-999)))</f>
        <v>19</v>
      </c>
      <c r="H56" s="196">
        <v>42301.463000000003</v>
      </c>
      <c r="I56" s="449">
        <v>44567.765450090003</v>
      </c>
      <c r="J56" s="449">
        <f t="shared" si="21"/>
        <v>5.4</v>
      </c>
      <c r="K56" s="449"/>
      <c r="L56" s="449"/>
      <c r="M56" s="449"/>
      <c r="N56" s="196">
        <v>195.404</v>
      </c>
      <c r="O56" s="449"/>
      <c r="P56" s="449">
        <f>IF(N56=0, "    ---- ", IF(ABS(ROUND(100/N56*O56-100,1))&lt;999,ROUND(100/N56*O56-100,1),IF(ROUND(100/N56*O56-100,1)&gt;999,999,-999)))</f>
        <v>-100</v>
      </c>
      <c r="Q56" s="196">
        <v>4196.5</v>
      </c>
      <c r="R56" s="449">
        <v>4594.3</v>
      </c>
      <c r="S56" s="438">
        <f t="shared" si="33"/>
        <v>9.5</v>
      </c>
      <c r="T56" s="196"/>
      <c r="U56" s="449"/>
      <c r="V56" s="340"/>
      <c r="W56" s="104">
        <v>504.81990861000003</v>
      </c>
      <c r="X56" s="449">
        <v>336.72193666999999</v>
      </c>
      <c r="Y56" s="340">
        <f t="shared" si="42"/>
        <v>-33.299999999999997</v>
      </c>
      <c r="Z56" s="196">
        <v>33636.050000000003</v>
      </c>
      <c r="AA56" s="449">
        <v>38259.03</v>
      </c>
      <c r="AB56" s="340">
        <f t="shared" si="22"/>
        <v>13.7</v>
      </c>
      <c r="AC56" s="196"/>
      <c r="AD56" s="449"/>
      <c r="AE56" s="340"/>
      <c r="AF56" s="196"/>
      <c r="AG56" s="449"/>
      <c r="AH56" s="340"/>
      <c r="AI56" s="196">
        <v>13654.483</v>
      </c>
      <c r="AJ56" s="449">
        <v>15845.285</v>
      </c>
      <c r="AK56" s="340">
        <f t="shared" si="30"/>
        <v>16</v>
      </c>
      <c r="AL56" s="196">
        <v>37138</v>
      </c>
      <c r="AM56" s="449">
        <v>42340</v>
      </c>
      <c r="AN56" s="340">
        <f t="shared" si="31"/>
        <v>14</v>
      </c>
      <c r="AO56" s="447">
        <f t="shared" si="38"/>
        <v>140454.10890861001</v>
      </c>
      <c r="AP56" s="447">
        <f t="shared" si="39"/>
        <v>156178.52238676001</v>
      </c>
      <c r="AQ56" s="340">
        <f t="shared" si="25"/>
        <v>11.2</v>
      </c>
      <c r="AR56" s="447">
        <f t="shared" si="40"/>
        <v>140454.10890861001</v>
      </c>
      <c r="AS56" s="447">
        <f t="shared" si="41"/>
        <v>156178.52238676001</v>
      </c>
      <c r="AT56" s="450">
        <f t="shared" si="28"/>
        <v>11.2</v>
      </c>
      <c r="AU56" s="496"/>
      <c r="AV56" s="496"/>
      <c r="AW56" s="500"/>
    </row>
    <row r="57" spans="1:49" s="469" customFormat="1" ht="20.100000000000001" customHeight="1" x14ac:dyDescent="0.3">
      <c r="A57" s="463" t="s">
        <v>227</v>
      </c>
      <c r="B57" s="196">
        <v>285.84899999999999</v>
      </c>
      <c r="C57" s="449">
        <v>77.387</v>
      </c>
      <c r="D57" s="449">
        <f t="shared" ref="D57:D58" si="43">IF(B57=0, "    ---- ", IF(ABS(ROUND(100/B57*C57-100,1))&lt;999,ROUND(100/B57*C57-100,1),IF(ROUND(100/B57*C57-100,1)&gt;999,999,-999)))</f>
        <v>-72.900000000000006</v>
      </c>
      <c r="E57" s="196">
        <v>7.1</v>
      </c>
      <c r="F57" s="449">
        <v>77.7</v>
      </c>
      <c r="G57" s="340">
        <f>IF(E57=0, "    ---- ", IF(ABS(ROUND(100/E57*F57-100,1))&lt;999,ROUND(100/E57*F57-100,1),IF(ROUND(100/E57*F57-100,1)&gt;999,999,-999)))</f>
        <v>994.4</v>
      </c>
      <c r="H57" s="196">
        <v>1392.0250000000001</v>
      </c>
      <c r="I57" s="449">
        <v>1373.0939871200001</v>
      </c>
      <c r="J57" s="340">
        <f t="shared" si="21"/>
        <v>-1.4</v>
      </c>
      <c r="K57" s="449"/>
      <c r="L57" s="449"/>
      <c r="M57" s="340"/>
      <c r="N57" s="196"/>
      <c r="O57" s="449"/>
      <c r="P57" s="340"/>
      <c r="Q57" s="196">
        <v>73.3</v>
      </c>
      <c r="R57" s="449"/>
      <c r="S57" s="340">
        <f t="shared" si="33"/>
        <v>-100</v>
      </c>
      <c r="T57" s="196"/>
      <c r="U57" s="449"/>
      <c r="V57" s="340"/>
      <c r="W57" s="104">
        <v>87.408035269999999</v>
      </c>
      <c r="X57" s="449">
        <v>93.365708330000004</v>
      </c>
      <c r="Y57" s="340">
        <f t="shared" si="42"/>
        <v>6.8</v>
      </c>
      <c r="Z57" s="196">
        <v>0</v>
      </c>
      <c r="AA57" s="449">
        <v>0</v>
      </c>
      <c r="AB57" s="340" t="str">
        <f t="shared" si="22"/>
        <v xml:space="preserve">    ---- </v>
      </c>
      <c r="AC57" s="196"/>
      <c r="AD57" s="449"/>
      <c r="AE57" s="340"/>
      <c r="AF57" s="196"/>
      <c r="AG57" s="449"/>
      <c r="AH57" s="340"/>
      <c r="AI57" s="196"/>
      <c r="AJ57" s="449"/>
      <c r="AK57" s="340"/>
      <c r="AL57" s="196">
        <v>343</v>
      </c>
      <c r="AM57" s="449">
        <v>171</v>
      </c>
      <c r="AN57" s="340">
        <f t="shared" si="31"/>
        <v>-50.1</v>
      </c>
      <c r="AO57" s="447">
        <f t="shared" si="38"/>
        <v>2188.6820352699997</v>
      </c>
      <c r="AP57" s="447">
        <f t="shared" si="39"/>
        <v>1792.54669545</v>
      </c>
      <c r="AQ57" s="340">
        <f t="shared" si="25"/>
        <v>-18.100000000000001</v>
      </c>
      <c r="AR57" s="447">
        <f t="shared" si="40"/>
        <v>2188.6820352699997</v>
      </c>
      <c r="AS57" s="447">
        <f t="shared" si="41"/>
        <v>1792.54669545</v>
      </c>
      <c r="AT57" s="450">
        <f t="shared" si="28"/>
        <v>-18.100000000000001</v>
      </c>
      <c r="AU57" s="496"/>
      <c r="AV57" s="496"/>
      <c r="AW57" s="500"/>
    </row>
    <row r="58" spans="1:49" s="469" customFormat="1" ht="20.100000000000001" customHeight="1" x14ac:dyDescent="0.3">
      <c r="A58" s="463" t="s">
        <v>228</v>
      </c>
      <c r="B58" s="196">
        <v>131.477</v>
      </c>
      <c r="C58" s="449">
        <v>278.92200000000003</v>
      </c>
      <c r="D58" s="449">
        <f t="shared" si="43"/>
        <v>112.1</v>
      </c>
      <c r="E58" s="196"/>
      <c r="F58" s="449"/>
      <c r="G58" s="340"/>
      <c r="H58" s="196"/>
      <c r="I58" s="449"/>
      <c r="J58" s="340"/>
      <c r="K58" s="449"/>
      <c r="L58" s="449"/>
      <c r="M58" s="340"/>
      <c r="N58" s="196"/>
      <c r="O58" s="449"/>
      <c r="P58" s="340"/>
      <c r="Q58" s="196"/>
      <c r="R58" s="449"/>
      <c r="S58" s="340"/>
      <c r="T58" s="196"/>
      <c r="U58" s="449"/>
      <c r="V58" s="340"/>
      <c r="W58" s="104">
        <v>15.45661574</v>
      </c>
      <c r="X58" s="449">
        <v>15.913263890000001</v>
      </c>
      <c r="Y58" s="340">
        <f t="shared" si="42"/>
        <v>3</v>
      </c>
      <c r="Z58" s="196">
        <v>0</v>
      </c>
      <c r="AA58" s="449">
        <v>147.77000000000001</v>
      </c>
      <c r="AB58" s="340" t="str">
        <f t="shared" si="22"/>
        <v xml:space="preserve">    ---- </v>
      </c>
      <c r="AC58" s="196"/>
      <c r="AD58" s="449"/>
      <c r="AE58" s="340"/>
      <c r="AF58" s="196"/>
      <c r="AG58" s="449"/>
      <c r="AH58" s="340"/>
      <c r="AI58" s="196">
        <v>525.71900000000005</v>
      </c>
      <c r="AJ58" s="449">
        <v>601.74699999999996</v>
      </c>
      <c r="AK58" s="340">
        <f t="shared" si="30"/>
        <v>14.5</v>
      </c>
      <c r="AL58" s="196">
        <v>1009</v>
      </c>
      <c r="AM58" s="449">
        <v>2052</v>
      </c>
      <c r="AN58" s="340">
        <f t="shared" si="31"/>
        <v>103.4</v>
      </c>
      <c r="AO58" s="447">
        <f t="shared" si="38"/>
        <v>1681.6526157400001</v>
      </c>
      <c r="AP58" s="447">
        <f t="shared" si="39"/>
        <v>3096.3522638899999</v>
      </c>
      <c r="AQ58" s="340">
        <f t="shared" si="25"/>
        <v>84.1</v>
      </c>
      <c r="AR58" s="447">
        <f t="shared" si="40"/>
        <v>1681.6526157400001</v>
      </c>
      <c r="AS58" s="447">
        <f t="shared" si="41"/>
        <v>3096.3522638899999</v>
      </c>
      <c r="AT58" s="450">
        <f t="shared" si="28"/>
        <v>84.1</v>
      </c>
      <c r="AU58" s="496"/>
      <c r="AV58" s="496"/>
      <c r="AW58" s="500"/>
    </row>
    <row r="59" spans="1:49" s="469" customFormat="1" ht="20.100000000000001" customHeight="1" x14ac:dyDescent="0.3">
      <c r="A59" s="463" t="s">
        <v>229</v>
      </c>
      <c r="B59" s="196">
        <v>122.23</v>
      </c>
      <c r="C59" s="449">
        <v>134.82900000000001</v>
      </c>
      <c r="D59" s="340">
        <f>IF(B59=0, "    ---- ", IF(ABS(ROUND(100/B59*C59-100,1))&lt;999,ROUND(100/B59*C59-100,1),IF(ROUND(100/B59*C59-100,1)&gt;999,999,-999)))</f>
        <v>10.3</v>
      </c>
      <c r="E59" s="196"/>
      <c r="F59" s="449"/>
      <c r="G59" s="340"/>
      <c r="H59" s="196"/>
      <c r="I59" s="449"/>
      <c r="J59" s="340"/>
      <c r="K59" s="449"/>
      <c r="L59" s="449"/>
      <c r="M59" s="340"/>
      <c r="N59" s="196">
        <v>1454.847</v>
      </c>
      <c r="O59" s="449"/>
      <c r="P59" s="340">
        <f>IF(N59=0, "    ---- ", IF(ABS(ROUND(100/N59*O59-100,1))&lt;999,ROUND(100/N59*O59-100,1),IF(ROUND(100/N59*O59-100,1)&gt;999,999,-999)))</f>
        <v>-100</v>
      </c>
      <c r="Q59" s="196">
        <v>68.2</v>
      </c>
      <c r="R59" s="449">
        <v>111.1</v>
      </c>
      <c r="S59" s="340">
        <f>IF(Q59=0, "    ---- ", IF(ABS(ROUND(100/Q59*R59-100,1))&lt;999,ROUND(100/Q59*R59-100,1),IF(ROUND(100/Q59*R59-100,1)&gt;999,999,-999)))</f>
        <v>62.9</v>
      </c>
      <c r="T59" s="196"/>
      <c r="U59" s="449"/>
      <c r="V59" s="340"/>
      <c r="W59" s="104">
        <v>-1E-8</v>
      </c>
      <c r="X59" s="449">
        <v>-1E-8</v>
      </c>
      <c r="Y59" s="340">
        <f t="shared" si="42"/>
        <v>0</v>
      </c>
      <c r="Z59" s="196">
        <v>421.16</v>
      </c>
      <c r="AA59" s="449">
        <v>550.15</v>
      </c>
      <c r="AB59" s="340">
        <f t="shared" si="22"/>
        <v>30.6</v>
      </c>
      <c r="AC59" s="196"/>
      <c r="AD59" s="449"/>
      <c r="AE59" s="340"/>
      <c r="AF59" s="196"/>
      <c r="AG59" s="449"/>
      <c r="AH59" s="340"/>
      <c r="AI59" s="196">
        <v>171.554</v>
      </c>
      <c r="AJ59" s="449">
        <v>163.29900000000001</v>
      </c>
      <c r="AK59" s="340">
        <f t="shared" si="30"/>
        <v>-4.8</v>
      </c>
      <c r="AL59" s="196"/>
      <c r="AM59" s="449"/>
      <c r="AN59" s="340"/>
      <c r="AO59" s="447">
        <f t="shared" si="38"/>
        <v>2237.9909999900001</v>
      </c>
      <c r="AP59" s="447">
        <f t="shared" si="39"/>
        <v>959.37799998999992</v>
      </c>
      <c r="AQ59" s="340">
        <f t="shared" si="25"/>
        <v>-57.1</v>
      </c>
      <c r="AR59" s="447">
        <f t="shared" si="40"/>
        <v>2237.9909999900001</v>
      </c>
      <c r="AS59" s="447">
        <f t="shared" si="41"/>
        <v>959.37799998999992</v>
      </c>
      <c r="AT59" s="450">
        <f t="shared" si="28"/>
        <v>-57.1</v>
      </c>
      <c r="AU59" s="496"/>
      <c r="AV59" s="496"/>
      <c r="AW59" s="500"/>
    </row>
    <row r="60" spans="1:49" s="469" customFormat="1" ht="20.100000000000001" customHeight="1" x14ac:dyDescent="0.3">
      <c r="A60" s="464" t="s">
        <v>230</v>
      </c>
      <c r="B60" s="196">
        <f>SUM(B48+B49+B50+B54)</f>
        <v>20732.862999999998</v>
      </c>
      <c r="C60" s="449">
        <f>SUM(C48+C49+C50+C54)</f>
        <v>24084.123999999996</v>
      </c>
      <c r="D60" s="340">
        <f>IF(B60=0, "    ---- ", IF(ABS(ROUND(100/B60*C60-100,1))&lt;999,ROUND(100/B60*C60-100,1),IF(ROUND(100/B60*C60-100,1)&gt;999,999,-999)))</f>
        <v>16.2</v>
      </c>
      <c r="E60" s="196">
        <f>SUM(E48+E49+E50+E54)</f>
        <v>4906.3</v>
      </c>
      <c r="F60" s="449">
        <f>SUM(F48+F49+F50+F54)</f>
        <v>5959.2</v>
      </c>
      <c r="G60" s="340">
        <f>IF(E60=0, "    ---- ", IF(ABS(ROUND(100/E60*F60-100,1))&lt;999,ROUND(100/E60*F60-100,1),IF(ROUND(100/E60*F60-100,1)&gt;999,999,-999)))</f>
        <v>21.5</v>
      </c>
      <c r="H60" s="196">
        <f>SUM(H48+H49+H50+H54)</f>
        <v>98943.005000000005</v>
      </c>
      <c r="I60" s="449">
        <f>SUM(I48+I49+I50+I54)</f>
        <v>110860.38126027001</v>
      </c>
      <c r="J60" s="340">
        <f t="shared" si="21"/>
        <v>12</v>
      </c>
      <c r="K60" s="449"/>
      <c r="L60" s="449"/>
      <c r="M60" s="340"/>
      <c r="N60" s="196">
        <f>SUM(N48+N49+N50+N54)</f>
        <v>4266.1270000000004</v>
      </c>
      <c r="O60" s="449">
        <f>SUM(O48+O49+O50+O54)</f>
        <v>0</v>
      </c>
      <c r="P60" s="340">
        <f>IF(N60=0, "    ---- ", IF(ABS(ROUND(100/N60*O60-100,1))&lt;999,ROUND(100/N60*O60-100,1),IF(ROUND(100/N60*O60-100,1)&gt;999,999,-999)))</f>
        <v>-100</v>
      </c>
      <c r="Q60" s="196">
        <f>SUM(Q48+Q49+Q50+Q54)</f>
        <v>30130.799999999999</v>
      </c>
      <c r="R60" s="449">
        <f>SUM(R48+R49+R50+R54)</f>
        <v>34697.4</v>
      </c>
      <c r="S60" s="340">
        <f>IF(Q60=0, "    ---- ", IF(ABS(ROUND(100/Q60*R60-100,1))&lt;999,ROUND(100/Q60*R60-100,1),IF(ROUND(100/Q60*R60-100,1)&gt;999,999,-999)))</f>
        <v>15.2</v>
      </c>
      <c r="T60" s="196"/>
      <c r="U60" s="449"/>
      <c r="V60" s="340"/>
      <c r="W60" s="196">
        <f>SUM(W48+W49+W50+W54)</f>
        <v>2661.9127480000002</v>
      </c>
      <c r="X60" s="449">
        <v>2044.4021851799998</v>
      </c>
      <c r="Y60" s="340">
        <f t="shared" si="42"/>
        <v>-23.2</v>
      </c>
      <c r="Z60" s="196">
        <f>SUM(Z48+Z49+Z50+Z54)</f>
        <v>77976.62000000001</v>
      </c>
      <c r="AA60" s="449">
        <f>SUM(AA48+AA49+AA50+AA54)</f>
        <v>98862.689999999988</v>
      </c>
      <c r="AB60" s="340">
        <f t="shared" si="22"/>
        <v>26.8</v>
      </c>
      <c r="AC60" s="196"/>
      <c r="AD60" s="449"/>
      <c r="AE60" s="340"/>
      <c r="AF60" s="196">
        <f>SUM(AF48+AF49+AF50+AF54)</f>
        <v>2542.4488284099998</v>
      </c>
      <c r="AG60" s="449">
        <f>SUM(AG48+AG49+AG50+AG54)</f>
        <v>2934.72508733</v>
      </c>
      <c r="AH60" s="340">
        <f>IF(AF60=0, "    ---- ", IF(ABS(ROUND(100/AF60*AG60-100,1))&lt;999,ROUND(100/AF60*AG60-100,1),IF(ROUND(100/AF60*AG60-100,1)&gt;999,999,-999)))</f>
        <v>15.4</v>
      </c>
      <c r="AI60" s="196">
        <f>SUM(AI48+AI49+AI50+AI54)</f>
        <v>35908.096999999994</v>
      </c>
      <c r="AJ60" s="449">
        <f>SUM(AJ48+AJ49+AJ50+AJ54)</f>
        <v>43572.633000000002</v>
      </c>
      <c r="AK60" s="340">
        <f t="shared" si="30"/>
        <v>21.3</v>
      </c>
      <c r="AL60" s="196">
        <f>SUM(AL48+AL49+AL50+AL54)</f>
        <v>114543</v>
      </c>
      <c r="AM60" s="449">
        <f>SUM(AM48+AM49+AM50+AM54)</f>
        <v>136954.5</v>
      </c>
      <c r="AN60" s="340">
        <f t="shared" si="31"/>
        <v>19.600000000000001</v>
      </c>
      <c r="AO60" s="447">
        <f t="shared" si="38"/>
        <v>390068.72474799998</v>
      </c>
      <c r="AP60" s="447">
        <f t="shared" si="39"/>
        <v>457035.33044545003</v>
      </c>
      <c r="AQ60" s="340">
        <f t="shared" si="25"/>
        <v>17.2</v>
      </c>
      <c r="AR60" s="447">
        <f t="shared" si="40"/>
        <v>392611.17357640999</v>
      </c>
      <c r="AS60" s="447">
        <f t="shared" si="41"/>
        <v>459970.05553278001</v>
      </c>
      <c r="AT60" s="450">
        <f t="shared" si="28"/>
        <v>17.2</v>
      </c>
      <c r="AU60" s="496"/>
      <c r="AV60" s="496"/>
      <c r="AW60" s="500"/>
    </row>
    <row r="61" spans="1:49" s="469" customFormat="1" ht="20.100000000000001" customHeight="1" x14ac:dyDescent="0.3">
      <c r="A61" s="461" t="s">
        <v>335</v>
      </c>
      <c r="B61" s="196"/>
      <c r="C61" s="449"/>
      <c r="D61" s="340"/>
      <c r="E61" s="196"/>
      <c r="F61" s="449"/>
      <c r="G61" s="340"/>
      <c r="H61" s="196"/>
      <c r="I61" s="449"/>
      <c r="J61" s="340"/>
      <c r="K61" s="449"/>
      <c r="L61" s="449"/>
      <c r="M61" s="340"/>
      <c r="N61" s="196"/>
      <c r="O61" s="449"/>
      <c r="P61" s="340"/>
      <c r="Q61" s="196"/>
      <c r="R61" s="449">
        <v>1.6</v>
      </c>
      <c r="S61" s="340" t="str">
        <f>IF(Q61=0, "    ---- ", IF(ABS(ROUND(100/Q61*R61-100,1))&lt;999,ROUND(100/Q61*R61-100,1),IF(ROUND(100/Q61*R61-100,1)&gt;999,999,-999)))</f>
        <v xml:space="preserve">    ---- </v>
      </c>
      <c r="T61" s="196"/>
      <c r="U61" s="449"/>
      <c r="V61" s="340"/>
      <c r="W61" s="196"/>
      <c r="X61" s="449"/>
      <c r="Y61" s="340"/>
      <c r="Z61" s="196"/>
      <c r="AA61" s="449"/>
      <c r="AB61" s="340"/>
      <c r="AC61" s="196"/>
      <c r="AD61" s="449"/>
      <c r="AE61" s="340"/>
      <c r="AF61" s="196"/>
      <c r="AG61" s="449"/>
      <c r="AH61" s="340"/>
      <c r="AI61" s="196"/>
      <c r="AJ61" s="449"/>
      <c r="AK61" s="340"/>
      <c r="AL61" s="196"/>
      <c r="AM61" s="449"/>
      <c r="AN61" s="340"/>
      <c r="AO61" s="447">
        <f t="shared" si="38"/>
        <v>0</v>
      </c>
      <c r="AP61" s="447">
        <f t="shared" si="39"/>
        <v>1.6</v>
      </c>
      <c r="AQ61" s="340" t="str">
        <f t="shared" si="25"/>
        <v xml:space="preserve">    ---- </v>
      </c>
      <c r="AR61" s="447">
        <f t="shared" si="40"/>
        <v>0</v>
      </c>
      <c r="AS61" s="447">
        <f t="shared" si="41"/>
        <v>1.6</v>
      </c>
      <c r="AT61" s="450" t="str">
        <f t="shared" si="28"/>
        <v xml:space="preserve">    ---- </v>
      </c>
      <c r="AU61" s="496"/>
      <c r="AV61" s="496"/>
      <c r="AW61" s="500"/>
    </row>
    <row r="62" spans="1:49" s="469" customFormat="1" ht="20.100000000000001" customHeight="1" x14ac:dyDescent="0.3">
      <c r="A62" s="463" t="s">
        <v>231</v>
      </c>
      <c r="B62" s="196">
        <f>SUM(B45+B46+B60+B61)</f>
        <v>22054.799999999999</v>
      </c>
      <c r="C62" s="449">
        <f>SUM(C45+C46+C60+C61)</f>
        <v>25571.920999999995</v>
      </c>
      <c r="D62" s="340">
        <f>IF(B62=0, "    ---- ", IF(ABS(ROUND(100/B62*C62-100,1))&lt;999,ROUND(100/B62*C62-100,1),IF(ROUND(100/B62*C62-100,1)&gt;999,999,-999)))</f>
        <v>15.9</v>
      </c>
      <c r="E62" s="196">
        <f>SUM(E45+E46+E60+E61)</f>
        <v>6658</v>
      </c>
      <c r="F62" s="449">
        <f>SUM(F45+F46+F60+F61)</f>
        <v>7764.2</v>
      </c>
      <c r="G62" s="340">
        <f>IF(E62=0, "    ---- ", IF(ABS(ROUND(100/E62*F62-100,1))&lt;999,ROUND(100/E62*F62-100,1),IF(ROUND(100/E62*F62-100,1)&gt;999,999,-999)))</f>
        <v>16.600000000000001</v>
      </c>
      <c r="H62" s="196">
        <f>SUM(H45+H46+H60+H61)</f>
        <v>306044.61900000001</v>
      </c>
      <c r="I62" s="449">
        <f>SUM(I45+I46+I60+I61)</f>
        <v>311921.28235066001</v>
      </c>
      <c r="J62" s="340">
        <f t="shared" si="21"/>
        <v>1.9</v>
      </c>
      <c r="K62" s="449"/>
      <c r="L62" s="449">
        <f>SUM(L45+L46+L60+L61)</f>
        <v>7349.2710317800002</v>
      </c>
      <c r="M62" s="340" t="str">
        <f>IF(K62=0, "    ---- ", IF(ABS(ROUND(100/K62*L62-100,1))&lt;999,ROUND(100/K62*L62-100,1),IF(ROUND(100/K62*L62-100,1)&gt;999,999,-999)))</f>
        <v xml:space="preserve">    ---- </v>
      </c>
      <c r="N62" s="196">
        <f>SUM(N45+N46+N60+N61)</f>
        <v>5476.6480000000001</v>
      </c>
      <c r="O62" s="449">
        <f>SUM(O45+O46+O60+O61)</f>
        <v>1099.835</v>
      </c>
      <c r="P62" s="340">
        <f>IF(N62=0, "    ---- ", IF(ABS(ROUND(100/N62*O62-100,1))&lt;999,ROUND(100/N62*O62-100,1),IF(ROUND(100/N62*O62-100,1)&gt;999,999,-999)))</f>
        <v>-79.900000000000006</v>
      </c>
      <c r="Q62" s="196">
        <f>SUM(Q45+Q46+Q60+Q61)</f>
        <v>37411.5</v>
      </c>
      <c r="R62" s="449">
        <f>SUM(R45+R46+R60+R61)</f>
        <v>42485.9</v>
      </c>
      <c r="S62" s="340">
        <f>IF(Q62=0, "    ---- ", IF(ABS(ROUND(100/Q62*R62-100,1))&lt;999,ROUND(100/Q62*R62-100,1),IF(ROUND(100/Q62*R62-100,1)&gt;999,999,-999)))</f>
        <v>13.6</v>
      </c>
      <c r="T62" s="196"/>
      <c r="U62" s="449"/>
      <c r="V62" s="340"/>
      <c r="W62" s="196">
        <f>SUM(W45+W46+W60+W61)</f>
        <v>577615.29976605007</v>
      </c>
      <c r="X62" s="449">
        <v>606826.30069902004</v>
      </c>
      <c r="Y62" s="340">
        <f>IF(W62=0, "    ---- ", IF(ABS(ROUND(100/W62*X62-100,1))&lt;999,ROUND(100/W62*X62-100,1),IF(ROUND(100/W62*X62-100,1)&gt;999,999,-999)))</f>
        <v>5.0999999999999996</v>
      </c>
      <c r="Z62" s="196">
        <f>SUM(Z45+Z46+Z60+Z61)</f>
        <v>130144.57425290001</v>
      </c>
      <c r="AA62" s="449">
        <f>SUM(AA45+AA46+AA60+AA61)</f>
        <v>152282.19</v>
      </c>
      <c r="AB62" s="340">
        <f t="shared" si="22"/>
        <v>17</v>
      </c>
      <c r="AC62" s="196">
        <f>SUM(AC45+AC46+AC60+AC61)</f>
        <v>93894</v>
      </c>
      <c r="AD62" s="449">
        <f>SUM(AD45+AD46+AD60+AD61)</f>
        <v>101167</v>
      </c>
      <c r="AE62" s="340">
        <f>IF(AC62=0, "    ---- ", IF(ABS(ROUND(100/AC62*AD62-100,1))&lt;999,ROUND(100/AC62*AD62-100,1),IF(ROUND(100/AC62*AD62-100,1)&gt;999,999,-999)))</f>
        <v>7.7</v>
      </c>
      <c r="AF62" s="196">
        <f>SUM(AF45+AF46+AF60+AF61)</f>
        <v>2542.4488284099998</v>
      </c>
      <c r="AG62" s="449">
        <f>SUM(AG45+AG46+AG60+AG61)</f>
        <v>2934.72508733</v>
      </c>
      <c r="AH62" s="340">
        <f>IF(AF62=0, "    ---- ", IF(ABS(ROUND(100/AF62*AG62-100,1))&lt;999,ROUND(100/AF62*AG62-100,1),IF(ROUND(100/AF62*AG62-100,1)&gt;999,999,-999)))</f>
        <v>15.4</v>
      </c>
      <c r="AI62" s="196">
        <f>SUM(AI45+AI46+AI60+AI61)</f>
        <v>62361.611999999994</v>
      </c>
      <c r="AJ62" s="449">
        <f>SUM(AJ45+AJ46+AJ60+AJ61)</f>
        <v>65994.648000000001</v>
      </c>
      <c r="AK62" s="340">
        <f t="shared" si="30"/>
        <v>5.8</v>
      </c>
      <c r="AL62" s="196">
        <f>SUM(AL45+AL46+AL60+AL61)</f>
        <v>305731</v>
      </c>
      <c r="AM62" s="449">
        <f>SUM(AM45+AM46+AM60+AM61)</f>
        <v>337515.2</v>
      </c>
      <c r="AN62" s="340">
        <f t="shared" si="31"/>
        <v>10.4</v>
      </c>
      <c r="AO62" s="447">
        <f t="shared" si="38"/>
        <v>1547392.0530189499</v>
      </c>
      <c r="AP62" s="447">
        <f t="shared" si="39"/>
        <v>1659977.7480814599</v>
      </c>
      <c r="AQ62" s="340">
        <f t="shared" si="25"/>
        <v>7.3</v>
      </c>
      <c r="AR62" s="447">
        <f t="shared" si="40"/>
        <v>1549934.5018473598</v>
      </c>
      <c r="AS62" s="447">
        <f t="shared" si="41"/>
        <v>1662912.4731687899</v>
      </c>
      <c r="AT62" s="450">
        <f t="shared" si="28"/>
        <v>7.3</v>
      </c>
      <c r="AU62" s="496"/>
      <c r="AV62" s="501"/>
      <c r="AW62" s="500"/>
    </row>
    <row r="63" spans="1:49" s="504" customFormat="1" ht="20.100000000000001" customHeight="1" x14ac:dyDescent="0.3">
      <c r="A63" s="461"/>
      <c r="B63" s="198"/>
      <c r="C63" s="442"/>
      <c r="D63" s="441"/>
      <c r="E63" s="198"/>
      <c r="F63" s="442"/>
      <c r="G63" s="441"/>
      <c r="H63" s="198"/>
      <c r="I63" s="442"/>
      <c r="J63" s="441"/>
      <c r="K63" s="442"/>
      <c r="L63" s="442"/>
      <c r="M63" s="441"/>
      <c r="N63" s="198"/>
      <c r="O63" s="442"/>
      <c r="P63" s="441"/>
      <c r="Q63" s="198"/>
      <c r="R63" s="442"/>
      <c r="S63" s="451"/>
      <c r="T63" s="198"/>
      <c r="U63" s="442"/>
      <c r="V63" s="441"/>
      <c r="W63" s="198"/>
      <c r="X63" s="442"/>
      <c r="Y63" s="441"/>
      <c r="Z63" s="198"/>
      <c r="AA63" s="442"/>
      <c r="AB63" s="441"/>
      <c r="AC63" s="198"/>
      <c r="AD63" s="442"/>
      <c r="AE63" s="441"/>
      <c r="AF63" s="198"/>
      <c r="AG63" s="442"/>
      <c r="AH63" s="441"/>
      <c r="AI63" s="198"/>
      <c r="AJ63" s="442"/>
      <c r="AK63" s="441"/>
      <c r="AL63" s="198"/>
      <c r="AM63" s="442"/>
      <c r="AN63" s="441"/>
      <c r="AO63" s="452"/>
      <c r="AP63" s="452"/>
      <c r="AQ63" s="441"/>
      <c r="AR63" s="452"/>
      <c r="AS63" s="452"/>
      <c r="AT63" s="453"/>
      <c r="AU63" s="502"/>
      <c r="AV63" s="502"/>
      <c r="AW63" s="503"/>
    </row>
    <row r="64" spans="1:49" s="504" customFormat="1" ht="20.100000000000001" customHeight="1" x14ac:dyDescent="0.3">
      <c r="A64" s="461" t="s">
        <v>232</v>
      </c>
      <c r="B64" s="198">
        <f>SUM(B29+B62)</f>
        <v>22836.273000000001</v>
      </c>
      <c r="C64" s="442">
        <f>SUM(C29+C62)</f>
        <v>26632.751999999993</v>
      </c>
      <c r="D64" s="441">
        <f>IF(B64=0, "    ---- ", IF(ABS(ROUND(100/B64*C64-100,1))&lt;999,ROUND(100/B64*C64-100,1),IF(ROUND(100/B64*C64-100,1)&gt;999,999,-999)))</f>
        <v>16.600000000000001</v>
      </c>
      <c r="E64" s="198">
        <f>SUM(E29+E62)</f>
        <v>7259.5</v>
      </c>
      <c r="F64" s="442">
        <f>SUM(F29+F62)</f>
        <v>8407.4</v>
      </c>
      <c r="G64" s="441">
        <f>IF(E64=0, "    ---- ", IF(ABS(ROUND(100/E64*F64-100,1))&lt;999,ROUND(100/E64*F64-100,1),IF(ROUND(100/E64*F64-100,1)&gt;999,999,-999)))</f>
        <v>15.8</v>
      </c>
      <c r="H64" s="198">
        <f>SUM(H29+H62)</f>
        <v>338885.16499999998</v>
      </c>
      <c r="I64" s="442">
        <f>SUM(I29+I62)</f>
        <v>346272.61729669</v>
      </c>
      <c r="J64" s="441">
        <f t="shared" si="21"/>
        <v>2.2000000000000002</v>
      </c>
      <c r="K64" s="442"/>
      <c r="L64" s="442">
        <f>SUM(L29+L62)</f>
        <v>10657.997736360001</v>
      </c>
      <c r="M64" s="441" t="str">
        <f>IF(K64=0, "    ---- ", IF(ABS(ROUND(100/K64*L64-100,1))&lt;999,ROUND(100/K64*L64-100,1),IF(ROUND(100/K64*L64-100,1)&gt;999,999,-999)))</f>
        <v xml:space="preserve">    ---- </v>
      </c>
      <c r="N64" s="198">
        <f>SUM(N29+N62)</f>
        <v>5903.4130000000005</v>
      </c>
      <c r="O64" s="442">
        <f>SUM(O29+O62)</f>
        <v>1905.0860000000002</v>
      </c>
      <c r="P64" s="441">
        <f>IF(N64=0, "    ---- ", IF(ABS(ROUND(100/N64*O64-100,1))&lt;999,ROUND(100/N64*O64-100,1),IF(ROUND(100/N64*O64-100,1)&gt;999,999,-999)))</f>
        <v>-67.7</v>
      </c>
      <c r="Q64" s="198">
        <f>SUM(Q29+Q62)</f>
        <v>38815.599999999999</v>
      </c>
      <c r="R64" s="442">
        <f>SUM(R29+R62)</f>
        <v>43945.599999999999</v>
      </c>
      <c r="S64" s="451">
        <f>IF(Q64=0, "    ---- ", IF(ABS(ROUND(100/Q64*R64-100,1))&lt;999,ROUND(100/Q64*R64-100,1),IF(ROUND(100/Q64*R64-100,1)&gt;999,999,-999)))</f>
        <v>13.2</v>
      </c>
      <c r="T64" s="198">
        <f>SUM(T29+T62)</f>
        <v>148.08570477000001</v>
      </c>
      <c r="U64" s="442">
        <f>SUM(U29+U62)</f>
        <v>157.24688584</v>
      </c>
      <c r="V64" s="441">
        <f>IF(T64=0, "    ---- ", IF(ABS(ROUND(100/T64*U64-100,1))&lt;999,ROUND(100/T64*U64-100,1),IF(ROUND(100/T64*U64-100,1)&gt;999,999,-999)))</f>
        <v>6.2</v>
      </c>
      <c r="W64" s="198">
        <f>SUM(W29+W62)</f>
        <v>621517.66470478009</v>
      </c>
      <c r="X64" s="198">
        <f>SUM(X29+X62)</f>
        <v>652276.69032429007</v>
      </c>
      <c r="Y64" s="441">
        <f>IF(W64=0, "    ---- ", IF(ABS(ROUND(100/W64*X64-100,1))&lt;999,ROUND(100/W64*X64-100,1),IF(ROUND(100/W64*X64-100,1)&gt;999,999,-999)))</f>
        <v>4.9000000000000004</v>
      </c>
      <c r="Z64" s="198">
        <f>SUM(Z29+Z62)</f>
        <v>141695.06425290002</v>
      </c>
      <c r="AA64" s="442">
        <f>SUM(AA29+AA62)</f>
        <v>164118.38</v>
      </c>
      <c r="AB64" s="441">
        <f t="shared" si="22"/>
        <v>15.8</v>
      </c>
      <c r="AC64" s="198">
        <f>SUM(AC29+AC62)</f>
        <v>104581</v>
      </c>
      <c r="AD64" s="442">
        <f>SUM(AD29+AD62)</f>
        <v>112424</v>
      </c>
      <c r="AE64" s="441">
        <f>IF(AC64=0, "    ---- ", IF(ABS(ROUND(100/AC64*AD64-100,1))&lt;999,ROUND(100/AC64*AD64-100,1),IF(ROUND(100/AC64*AD64-100,1)&gt;999,999,-999)))</f>
        <v>7.5</v>
      </c>
      <c r="AF64" s="198">
        <f>SUM(AF29+AF62)</f>
        <v>2628.5382923799998</v>
      </c>
      <c r="AG64" s="442">
        <f>SUM(AG29+AG62)</f>
        <v>3028.0129144799998</v>
      </c>
      <c r="AH64" s="441">
        <f>IF(AF64=0, "    ---- ", IF(ABS(ROUND(100/AF64*AG64-100,1))&lt;999,ROUND(100/AF64*AG64-100,1),IF(ROUND(100/AF64*AG64-100,1)&gt;999,999,-999)))</f>
        <v>15.2</v>
      </c>
      <c r="AI64" s="198">
        <f>SUM(AI29+AI62)</f>
        <v>70271.402999999991</v>
      </c>
      <c r="AJ64" s="442">
        <f>SUM(AJ29+AJ62)</f>
        <v>73707.005999999994</v>
      </c>
      <c r="AK64" s="441">
        <f t="shared" si="30"/>
        <v>4.9000000000000004</v>
      </c>
      <c r="AL64" s="198">
        <f>SUM(AL29+AL62)</f>
        <v>343057</v>
      </c>
      <c r="AM64" s="442">
        <f>SUM(AM29+AM62)</f>
        <v>375840.3</v>
      </c>
      <c r="AN64" s="441">
        <f t="shared" si="31"/>
        <v>9.6</v>
      </c>
      <c r="AO64" s="454">
        <f>B64+H64+K64+N64+Q64+W64+E64+Z64+AC64+AI64+AL64</f>
        <v>1694822.0829576799</v>
      </c>
      <c r="AP64" s="454">
        <f>C64+I64+L64+O64+R64+X64+F64+AA64+AD64+AJ64+AM64</f>
        <v>1816187.8293573402</v>
      </c>
      <c r="AQ64" s="441">
        <f t="shared" si="25"/>
        <v>7.2</v>
      </c>
      <c r="AR64" s="454">
        <f>B64+H64+K64+N64+Q64+T64+W64+E64+Z64+AC64+AF64+AI64+AL64</f>
        <v>1697598.7069548301</v>
      </c>
      <c r="AS64" s="454">
        <f>C64+I64+L64+O64+R64+U64+X64+F64+AA64+AD64+AG64+AJ64+AM64</f>
        <v>1819373.08915766</v>
      </c>
      <c r="AT64" s="453">
        <f t="shared" si="28"/>
        <v>7.2</v>
      </c>
      <c r="AU64" s="502"/>
      <c r="AV64" s="502"/>
      <c r="AW64" s="500"/>
    </row>
    <row r="65" spans="1:49" s="469" customFormat="1" ht="20.100000000000001" customHeight="1" x14ac:dyDescent="0.3">
      <c r="A65" s="465"/>
      <c r="B65" s="995"/>
      <c r="C65" s="996"/>
      <c r="D65" s="997"/>
      <c r="E65" s="995"/>
      <c r="F65" s="996"/>
      <c r="G65" s="997"/>
      <c r="H65" s="995"/>
      <c r="I65" s="996"/>
      <c r="J65" s="997"/>
      <c r="K65" s="996"/>
      <c r="L65" s="996"/>
      <c r="M65" s="997"/>
      <c r="N65" s="995"/>
      <c r="O65" s="996"/>
      <c r="P65" s="997"/>
      <c r="Q65" s="995"/>
      <c r="R65" s="996"/>
      <c r="S65" s="998"/>
      <c r="T65" s="995"/>
      <c r="U65" s="996"/>
      <c r="V65" s="997"/>
      <c r="W65" s="995"/>
      <c r="X65" s="996"/>
      <c r="Y65" s="997"/>
      <c r="Z65" s="995"/>
      <c r="AA65" s="996"/>
      <c r="AB65" s="997"/>
      <c r="AC65" s="995"/>
      <c r="AD65" s="996"/>
      <c r="AE65" s="997"/>
      <c r="AF65" s="995"/>
      <c r="AG65" s="996"/>
      <c r="AH65" s="997"/>
      <c r="AI65" s="995"/>
      <c r="AJ65" s="996"/>
      <c r="AK65" s="997"/>
      <c r="AL65" s="995"/>
      <c r="AM65" s="996"/>
      <c r="AN65" s="997"/>
      <c r="AO65" s="999"/>
      <c r="AP65" s="440"/>
      <c r="AQ65" s="340"/>
      <c r="AR65" s="440"/>
      <c r="AS65" s="440"/>
      <c r="AT65" s="450"/>
      <c r="AU65" s="496"/>
      <c r="AV65" s="496"/>
      <c r="AW65" s="991"/>
    </row>
    <row r="66" spans="1:49" s="469" customFormat="1" ht="20.100000000000001" customHeight="1" x14ac:dyDescent="0.3">
      <c r="A66" s="461" t="s">
        <v>233</v>
      </c>
      <c r="B66" s="196"/>
      <c r="C66" s="449"/>
      <c r="D66" s="340"/>
      <c r="E66" s="196"/>
      <c r="F66" s="449"/>
      <c r="G66" s="340"/>
      <c r="H66" s="196"/>
      <c r="I66" s="449"/>
      <c r="J66" s="340"/>
      <c r="K66" s="449"/>
      <c r="L66" s="449"/>
      <c r="M66" s="340"/>
      <c r="N66" s="196"/>
      <c r="O66" s="449"/>
      <c r="P66" s="340"/>
      <c r="Q66" s="196"/>
      <c r="R66" s="449"/>
      <c r="S66" s="438"/>
      <c r="T66" s="196"/>
      <c r="U66" s="449"/>
      <c r="V66" s="340"/>
      <c r="W66" s="196"/>
      <c r="X66" s="449"/>
      <c r="Y66" s="340"/>
      <c r="Z66" s="196"/>
      <c r="AA66" s="449"/>
      <c r="AB66" s="340"/>
      <c r="AC66" s="196"/>
      <c r="AD66" s="449"/>
      <c r="AE66" s="340"/>
      <c r="AF66" s="196"/>
      <c r="AG66" s="449"/>
      <c r="AH66" s="340"/>
      <c r="AI66" s="196"/>
      <c r="AJ66" s="449"/>
      <c r="AK66" s="340"/>
      <c r="AL66" s="196"/>
      <c r="AM66" s="449"/>
      <c r="AN66" s="340"/>
      <c r="AO66" s="440"/>
      <c r="AP66" s="440"/>
      <c r="AQ66" s="340"/>
      <c r="AR66" s="440"/>
      <c r="AS66" s="440"/>
      <c r="AT66" s="450"/>
      <c r="AU66" s="496"/>
      <c r="AV66" s="496"/>
      <c r="AW66" s="500"/>
    </row>
    <row r="67" spans="1:49" s="469" customFormat="1" ht="20.100000000000001" customHeight="1" x14ac:dyDescent="0.3">
      <c r="A67" s="461"/>
      <c r="B67" s="196"/>
      <c r="C67" s="449"/>
      <c r="D67" s="340"/>
      <c r="E67" s="196"/>
      <c r="F67" s="449"/>
      <c r="G67" s="340"/>
      <c r="H67" s="196"/>
      <c r="I67" s="449"/>
      <c r="J67" s="340"/>
      <c r="K67" s="449"/>
      <c r="L67" s="449"/>
      <c r="M67" s="340"/>
      <c r="N67" s="196"/>
      <c r="O67" s="449"/>
      <c r="P67" s="340"/>
      <c r="Q67" s="196"/>
      <c r="R67" s="449"/>
      <c r="S67" s="438"/>
      <c r="T67" s="196"/>
      <c r="U67" s="449"/>
      <c r="V67" s="340"/>
      <c r="W67" s="196"/>
      <c r="X67" s="449"/>
      <c r="Y67" s="340"/>
      <c r="Z67" s="196"/>
      <c r="AA67" s="449"/>
      <c r="AB67" s="340"/>
      <c r="AC67" s="196"/>
      <c r="AD67" s="449"/>
      <c r="AE67" s="340"/>
      <c r="AF67" s="196"/>
      <c r="AG67" s="449"/>
      <c r="AH67" s="340"/>
      <c r="AI67" s="196"/>
      <c r="AJ67" s="449"/>
      <c r="AK67" s="340"/>
      <c r="AL67" s="196"/>
      <c r="AM67" s="449"/>
      <c r="AN67" s="340"/>
      <c r="AO67" s="440"/>
      <c r="AP67" s="440"/>
      <c r="AQ67" s="340"/>
      <c r="AR67" s="440"/>
      <c r="AS67" s="440"/>
      <c r="AT67" s="450"/>
      <c r="AU67" s="496"/>
      <c r="AV67" s="496"/>
      <c r="AW67" s="500"/>
    </row>
    <row r="68" spans="1:49" s="469" customFormat="1" ht="20.100000000000001" customHeight="1" x14ac:dyDescent="0.3">
      <c r="A68" s="463" t="s">
        <v>234</v>
      </c>
      <c r="B68" s="196">
        <v>241.16</v>
      </c>
      <c r="C68" s="449">
        <v>406.16</v>
      </c>
      <c r="D68" s="340">
        <f>IF(B68=0, "    ---- ", IF(ABS(ROUND(100/B68*C68-100,1))&lt;999,ROUND(100/B68*C68-100,1),IF(ROUND(100/B68*C68-100,1)&gt;999,999,-999)))</f>
        <v>68.400000000000006</v>
      </c>
      <c r="E68" s="196">
        <v>841.3</v>
      </c>
      <c r="F68" s="449">
        <v>841.3</v>
      </c>
      <c r="G68" s="340">
        <f>IF(E68=0, "    ---- ", IF(ABS(ROUND(100/E68*F68-100,1))&lt;999,ROUND(100/E68*F68-100,1),IF(ROUND(100/E68*F68-100,1)&gt;999,999,-999)))</f>
        <v>0</v>
      </c>
      <c r="H68" s="196">
        <v>7765.924</v>
      </c>
      <c r="I68" s="449">
        <v>7657.0531522000001</v>
      </c>
      <c r="J68" s="340">
        <f t="shared" si="21"/>
        <v>-1.4</v>
      </c>
      <c r="K68" s="449"/>
      <c r="L68" s="449">
        <v>2452.057311</v>
      </c>
      <c r="M68" s="340" t="str">
        <f>IF(K68=0, "    ---- ", IF(ABS(ROUND(100/K68*L68-100,1))&lt;999,ROUND(100/K68*L68-100,1),IF(ROUND(100/K68*L68-100,1)&gt;999,999,-999)))</f>
        <v xml:space="preserve">    ---- </v>
      </c>
      <c r="N68" s="196">
        <v>210</v>
      </c>
      <c r="O68" s="449">
        <v>210</v>
      </c>
      <c r="P68" s="340">
        <f>IF(N68=0, "    ---- ", IF(ABS(ROUND(100/N68*O68-100,1))&lt;999,ROUND(100/N68*O68-100,1),IF(ROUND(100/N68*O68-100,1)&gt;999,999,-999)))</f>
        <v>0</v>
      </c>
      <c r="Q68" s="196">
        <v>121.3</v>
      </c>
      <c r="R68" s="449">
        <v>121.8</v>
      </c>
      <c r="S68" s="438">
        <f>IF(Q68=0, "    ---- ", IF(ABS(ROUND(100/Q68*R68-100,1))&lt;999,ROUND(100/Q68*R68-100,1),IF(ROUND(100/Q68*R68-100,1)&gt;999,999,-999)))</f>
        <v>0.4</v>
      </c>
      <c r="T68" s="196">
        <v>5</v>
      </c>
      <c r="U68" s="449">
        <v>5</v>
      </c>
      <c r="V68" s="340">
        <f>IF(T68=0, "    ---- ", IF(ABS(ROUND(100/T68*U68-100,1))&lt;999,ROUND(100/T68*U68-100,1),IF(ROUND(100/T68*U68-100,1)&gt;999,999,-999)))</f>
        <v>0</v>
      </c>
      <c r="W68" s="104">
        <v>16540.246874</v>
      </c>
      <c r="X68" s="449">
        <v>18197.213039999999</v>
      </c>
      <c r="Y68" s="340">
        <f t="shared" ref="Y68:Y79" si="44">IF(W68=0, "    ---- ", IF(ABS(ROUND(100/W68*X68-100,1))&lt;999,ROUND(100/W68*X68-100,1),IF(ROUND(100/W68*X68-100,1)&gt;999,999,-999)))</f>
        <v>10</v>
      </c>
      <c r="Z68" s="196">
        <v>1126.76</v>
      </c>
      <c r="AA68" s="449">
        <v>1126.76</v>
      </c>
      <c r="AB68" s="340">
        <f t="shared" si="22"/>
        <v>0</v>
      </c>
      <c r="AC68" s="196">
        <v>1430</v>
      </c>
      <c r="AD68" s="449">
        <v>1430</v>
      </c>
      <c r="AE68" s="340">
        <f>IF(AC68=0, "    ---- ", IF(ABS(ROUND(100/AC68*AD68-100,1))&lt;999,ROUND(100/AC68*AD68-100,1),IF(ROUND(100/AC68*AD68-100,1)&gt;999,999,-999)))</f>
        <v>0</v>
      </c>
      <c r="AF68" s="196">
        <v>48.519831859999996</v>
      </c>
      <c r="AG68" s="449">
        <v>48.519831859999996</v>
      </c>
      <c r="AH68" s="340">
        <f>IF(AF68=0, "    ---- ", IF(ABS(ROUND(100/AF68*AG68-100,1))&lt;999,ROUND(100/AF68*AG68-100,1),IF(ROUND(100/AF68*AG68-100,1)&gt;999,999,-999)))</f>
        <v>0</v>
      </c>
      <c r="AI68" s="196">
        <v>3352.7420000000002</v>
      </c>
      <c r="AJ68" s="449">
        <v>4257.0320000000002</v>
      </c>
      <c r="AK68" s="340">
        <f t="shared" si="30"/>
        <v>27</v>
      </c>
      <c r="AL68" s="196">
        <v>13850</v>
      </c>
      <c r="AM68" s="449">
        <v>14316</v>
      </c>
      <c r="AN68" s="340">
        <f t="shared" si="31"/>
        <v>3.4</v>
      </c>
      <c r="AO68" s="447">
        <f t="shared" ref="AO68:AP71" si="45">B68+H68+K68+N68+Q68+W68+E68+Z68+AC68+AI68+AL68</f>
        <v>45479.432873999998</v>
      </c>
      <c r="AP68" s="447">
        <f t="shared" si="45"/>
        <v>51015.375503199997</v>
      </c>
      <c r="AQ68" s="340">
        <f t="shared" si="25"/>
        <v>12.2</v>
      </c>
      <c r="AR68" s="447">
        <f t="shared" ref="AR68:AS71" si="46">B68+H68+K68+N68+Q68+T68+W68+E68+Z68+AC68+AF68+AI68+AL68</f>
        <v>45532.95270586</v>
      </c>
      <c r="AS68" s="447">
        <f t="shared" si="46"/>
        <v>51068.895335059999</v>
      </c>
      <c r="AT68" s="450">
        <f t="shared" si="28"/>
        <v>12.2</v>
      </c>
      <c r="AU68" s="496"/>
      <c r="AV68" s="496"/>
      <c r="AW68" s="500"/>
    </row>
    <row r="69" spans="1:49" s="469" customFormat="1" ht="20.100000000000001" customHeight="1" x14ac:dyDescent="0.3">
      <c r="A69" s="463" t="s">
        <v>235</v>
      </c>
      <c r="B69" s="196">
        <v>491.19900000000001</v>
      </c>
      <c r="C69" s="449">
        <v>591.11900000000003</v>
      </c>
      <c r="D69" s="340">
        <f>IF(B69=0, "    ---- ", IF(ABS(ROUND(100/B69*C69-100,1))&lt;999,ROUND(100/B69*C69-100,1),IF(ROUND(100/B69*C69-100,1)&gt;999,999,-999)))</f>
        <v>20.3</v>
      </c>
      <c r="E69" s="196">
        <v>-249.5</v>
      </c>
      <c r="F69" s="449">
        <v>-231.3</v>
      </c>
      <c r="G69" s="340">
        <f>IF(E69=0, "    ---- ", IF(ABS(ROUND(100/E69*F69-100,1))&lt;999,ROUND(100/E69*F69-100,1),IF(ROUND(100/E69*F69-100,1)&gt;999,999,-999)))</f>
        <v>-7.3</v>
      </c>
      <c r="H69" s="196">
        <v>15441.946</v>
      </c>
      <c r="I69" s="449">
        <v>16760.448882150002</v>
      </c>
      <c r="J69" s="340">
        <f t="shared" si="21"/>
        <v>8.5</v>
      </c>
      <c r="K69" s="449"/>
      <c r="L69" s="449">
        <v>16.788349150000119</v>
      </c>
      <c r="M69" s="340" t="str">
        <f>IF(K69=0, "    ---- ", IF(ABS(ROUND(100/K69*L69-100,1))&lt;999,ROUND(100/K69*L69-100,1),IF(ROUND(100/K69*L69-100,1)&gt;999,999,-999)))</f>
        <v xml:space="preserve">    ---- </v>
      </c>
      <c r="N69" s="955">
        <v>278.89999999999998</v>
      </c>
      <c r="O69" s="449">
        <v>547.34100000000001</v>
      </c>
      <c r="P69" s="340">
        <f>IF(N69=0, "    ---- ", IF(ABS(ROUND(100/N69*O69-100,1))&lt;999,ROUND(100/N69*O69-100,1),IF(ROUND(100/N69*O69-100,1)&gt;999,999,-999)))</f>
        <v>96.2</v>
      </c>
      <c r="Q69" s="196">
        <v>780.9</v>
      </c>
      <c r="R69" s="449">
        <v>905</v>
      </c>
      <c r="S69" s="438">
        <f>IF(Q69=0, "    ---- ", IF(ABS(ROUND(100/Q69*R69-100,1))&lt;999,ROUND(100/Q69*R69-100,1),IF(ROUND(100/Q69*R69-100,1)&gt;999,999,-999)))</f>
        <v>15.9</v>
      </c>
      <c r="T69" s="196">
        <v>87.992475659999997</v>
      </c>
      <c r="U69" s="449">
        <v>98.916652670000005</v>
      </c>
      <c r="V69" s="340">
        <f>IF(T69=0, "    ---- ", IF(ABS(ROUND(100/T69*U69-100,1))&lt;999,ROUND(100/T69*U69-100,1),IF(ROUND(100/T69*U69-100,1)&gt;999,999,-999)))</f>
        <v>12.4</v>
      </c>
      <c r="W69" s="104">
        <v>20778.818152669999</v>
      </c>
      <c r="X69" s="449">
        <v>21191.336647669999</v>
      </c>
      <c r="Y69" s="340">
        <f t="shared" si="44"/>
        <v>2</v>
      </c>
      <c r="Z69" s="196">
        <v>6773.35</v>
      </c>
      <c r="AA69" s="449">
        <v>7414.9</v>
      </c>
      <c r="AB69" s="340">
        <f t="shared" si="22"/>
        <v>9.5</v>
      </c>
      <c r="AC69" s="196">
        <v>8119</v>
      </c>
      <c r="AD69" s="449">
        <v>9052</v>
      </c>
      <c r="AE69" s="340">
        <f>IF(AC69=0, "    ---- ", IF(ABS(ROUND(100/AC69*AD69-100,1))&lt;999,ROUND(100/AC69*AD69-100,1),IF(ROUND(100/AC69*AD69-100,1)&gt;999,999,-999)))</f>
        <v>11.5</v>
      </c>
      <c r="AF69" s="196">
        <v>15.44725452</v>
      </c>
      <c r="AG69" s="449">
        <v>27.86900915</v>
      </c>
      <c r="AH69" s="340">
        <f>IF(AF69=0, "    ---- ", IF(ABS(ROUND(100/AF69*AG69-100,1))&lt;999,ROUND(100/AF69*AG69-100,1),IF(ROUND(100/AF69*AG69-100,1)&gt;999,999,-999)))</f>
        <v>80.400000000000006</v>
      </c>
      <c r="AI69" s="196">
        <v>1788.8710000000001</v>
      </c>
      <c r="AJ69" s="449">
        <v>901.95899999999995</v>
      </c>
      <c r="AK69" s="340">
        <f t="shared" si="30"/>
        <v>-49.6</v>
      </c>
      <c r="AL69" s="196">
        <v>11661</v>
      </c>
      <c r="AM69" s="449">
        <v>11172</v>
      </c>
      <c r="AN69" s="340">
        <f t="shared" si="31"/>
        <v>-4.2</v>
      </c>
      <c r="AO69" s="447">
        <f t="shared" si="45"/>
        <v>65864.484152669989</v>
      </c>
      <c r="AP69" s="447">
        <f t="shared" si="45"/>
        <v>68321.592878969997</v>
      </c>
      <c r="AQ69" s="340">
        <f t="shared" si="25"/>
        <v>3.7</v>
      </c>
      <c r="AR69" s="447">
        <f t="shared" si="46"/>
        <v>65967.923882849995</v>
      </c>
      <c r="AS69" s="447">
        <f t="shared" si="46"/>
        <v>68448.37854079</v>
      </c>
      <c r="AT69" s="450">
        <f t="shared" si="28"/>
        <v>3.8</v>
      </c>
      <c r="AU69" s="496"/>
      <c r="AV69" s="496"/>
      <c r="AW69" s="500"/>
    </row>
    <row r="70" spans="1:49" s="469" customFormat="1" ht="20.100000000000001" customHeight="1" x14ac:dyDescent="0.3">
      <c r="A70" s="463" t="s">
        <v>236</v>
      </c>
      <c r="B70" s="196"/>
      <c r="C70" s="449">
        <v>8.0370000000000008</v>
      </c>
      <c r="D70" s="449" t="str">
        <f>IF(B70=0, "    ---- ", IF(ABS(ROUND(100/B70*C70-100,1))&lt;999,ROUND(100/B70*C70-100,1),IF(ROUND(100/B70*C70-100,1)&gt;999,999,-999)))</f>
        <v xml:space="preserve">    ---- </v>
      </c>
      <c r="E70" s="196">
        <v>7.2</v>
      </c>
      <c r="F70" s="449">
        <v>0</v>
      </c>
      <c r="G70" s="340">
        <f>IF(E70=0, "    ---- ", IF(ABS(ROUND(100/E70*F70-100,1))&lt;999,ROUND(100/E70*F70-100,1),IF(ROUND(100/E70*F70-100,1)&gt;999,999,-999)))</f>
        <v>-100</v>
      </c>
      <c r="H70" s="196">
        <v>770.63</v>
      </c>
      <c r="I70" s="449">
        <v>808.35995328000001</v>
      </c>
      <c r="J70" s="340">
        <f>IF(H70=0, "    ---- ", IF(ABS(ROUND(100/H70*I70-100,1))&lt;999,ROUND(100/H70*I70-100,1),IF(ROUND(100/H70*I70-100,1)&gt;999,999,-999)))</f>
        <v>4.9000000000000004</v>
      </c>
      <c r="K70" s="449"/>
      <c r="L70" s="449"/>
      <c r="M70" s="340"/>
      <c r="N70" s="196"/>
      <c r="O70" s="449"/>
      <c r="P70" s="340"/>
      <c r="Q70" s="196">
        <v>38</v>
      </c>
      <c r="R70" s="449">
        <v>35.200000000000003</v>
      </c>
      <c r="S70" s="340">
        <f>IF(Q70=0, "    ---- ", IF(ABS(ROUND(100/Q70*R70-100,1))&lt;999,ROUND(100/Q70*R70-100,1),IF(ROUND(100/Q70*R70-100,1)&gt;999,999,-999)))</f>
        <v>-7.4</v>
      </c>
      <c r="T70" s="196"/>
      <c r="U70" s="449"/>
      <c r="V70" s="340"/>
      <c r="W70" s="104">
        <v>5539.9278009999998</v>
      </c>
      <c r="X70" s="449">
        <v>5404.3820040000001</v>
      </c>
      <c r="Y70" s="340">
        <f t="shared" si="44"/>
        <v>-2.4</v>
      </c>
      <c r="Z70" s="196">
        <v>30.34</v>
      </c>
      <c r="AA70" s="449">
        <v>53.98</v>
      </c>
      <c r="AB70" s="340">
        <f t="shared" si="22"/>
        <v>77.900000000000006</v>
      </c>
      <c r="AC70" s="196">
        <v>1656</v>
      </c>
      <c r="AD70" s="449">
        <v>1852</v>
      </c>
      <c r="AE70" s="340">
        <f>IF(AC70=0, "    ---- ", IF(ABS(ROUND(100/AC70*AD70-100,1))&lt;999,ROUND(100/AC70*AD70-100,1),IF(ROUND(100/AC70*AD70-100,1)&gt;999,999,-999)))</f>
        <v>11.8</v>
      </c>
      <c r="AF70" s="196"/>
      <c r="AG70" s="449"/>
      <c r="AH70" s="340"/>
      <c r="AI70" s="196">
        <v>116.426</v>
      </c>
      <c r="AJ70" s="449">
        <v>151.26400000000001</v>
      </c>
      <c r="AK70" s="340">
        <f>IF(AI70=0, "    ---- ", IF(ABS(ROUND(100/AI70*AJ70-100,1))&lt;999,ROUND(100/AI70*AJ70-100,1),IF(ROUND(100/AI70*AJ70-100,1)&gt;999,999,-999)))</f>
        <v>29.9</v>
      </c>
      <c r="AL70" s="196">
        <v>466</v>
      </c>
      <c r="AM70" s="449">
        <v>438</v>
      </c>
      <c r="AN70" s="340">
        <f t="shared" si="31"/>
        <v>-6</v>
      </c>
      <c r="AO70" s="447">
        <f t="shared" si="45"/>
        <v>8624.5238009999994</v>
      </c>
      <c r="AP70" s="447">
        <f t="shared" si="45"/>
        <v>8751.2229572799988</v>
      </c>
      <c r="AQ70" s="340">
        <f t="shared" si="25"/>
        <v>1.5</v>
      </c>
      <c r="AR70" s="447">
        <f t="shared" si="46"/>
        <v>8624.5238009999994</v>
      </c>
      <c r="AS70" s="447">
        <f t="shared" si="46"/>
        <v>8751.2229572799988</v>
      </c>
      <c r="AT70" s="450">
        <f t="shared" si="28"/>
        <v>1.5</v>
      </c>
      <c r="AU70" s="496"/>
      <c r="AV70" s="496"/>
      <c r="AW70" s="500"/>
    </row>
    <row r="71" spans="1:49" s="469" customFormat="1" ht="20.100000000000001" customHeight="1" x14ac:dyDescent="0.3">
      <c r="A71" s="463" t="s">
        <v>237</v>
      </c>
      <c r="B71" s="196"/>
      <c r="C71" s="449"/>
      <c r="D71" s="340"/>
      <c r="E71" s="196"/>
      <c r="F71" s="449"/>
      <c r="G71" s="340"/>
      <c r="H71" s="196">
        <v>7000</v>
      </c>
      <c r="I71" s="449">
        <v>7000</v>
      </c>
      <c r="J71" s="340">
        <f t="shared" si="21"/>
        <v>0</v>
      </c>
      <c r="K71" s="449"/>
      <c r="L71" s="449">
        <v>550</v>
      </c>
      <c r="M71" s="340" t="str">
        <f>IF(K71=0, "    ---- ", IF(ABS(ROUND(100/K71*L71-100,1))&lt;999,ROUND(100/K71*L71-100,1),IF(ROUND(100/K71*L71-100,1)&gt;999,999,-999)))</f>
        <v xml:space="preserve">    ---- </v>
      </c>
      <c r="N71" s="196"/>
      <c r="O71" s="449"/>
      <c r="P71" s="340"/>
      <c r="Q71" s="196">
        <v>299.8</v>
      </c>
      <c r="R71" s="449">
        <v>299.89999999999998</v>
      </c>
      <c r="S71" s="340">
        <f>IF(Q71=0, "    ---- ", IF(ABS(ROUND(100/Q71*R71-100,1))&lt;999,ROUND(100/Q71*R71-100,1),IF(ROUND(100/Q71*R71-100,1)&gt;999,999,-999)))</f>
        <v>0</v>
      </c>
      <c r="T71" s="196"/>
      <c r="U71" s="449"/>
      <c r="V71" s="340"/>
      <c r="W71" s="104">
        <v>7750.4071803000006</v>
      </c>
      <c r="X71" s="449">
        <v>4898.3436757200006</v>
      </c>
      <c r="Y71" s="340">
        <f t="shared" si="44"/>
        <v>-36.799999999999997</v>
      </c>
      <c r="Z71" s="196">
        <v>2830</v>
      </c>
      <c r="AA71" s="449">
        <v>2830</v>
      </c>
      <c r="AB71" s="340">
        <f t="shared" si="22"/>
        <v>0</v>
      </c>
      <c r="AC71" s="196">
        <v>1240</v>
      </c>
      <c r="AD71" s="449">
        <v>1240</v>
      </c>
      <c r="AE71" s="340">
        <f>IF(AC71=0, "    ---- ", IF(ABS(ROUND(100/AC71*AD71-100,1))&lt;999,ROUND(100/AC71*AD71-100,1),IF(ROUND(100/AC71*AD71-100,1)&gt;999,999,-999)))</f>
        <v>0</v>
      </c>
      <c r="AF71" s="196"/>
      <c r="AG71" s="449"/>
      <c r="AH71" s="340"/>
      <c r="AI71" s="196">
        <v>1000</v>
      </c>
      <c r="AJ71" s="449">
        <v>1000</v>
      </c>
      <c r="AK71" s="340">
        <f t="shared" si="30"/>
        <v>0</v>
      </c>
      <c r="AL71" s="196">
        <v>8649</v>
      </c>
      <c r="AM71" s="449">
        <v>8834</v>
      </c>
      <c r="AN71" s="340">
        <f t="shared" si="31"/>
        <v>2.1</v>
      </c>
      <c r="AO71" s="447">
        <f t="shared" si="45"/>
        <v>28769.2071803</v>
      </c>
      <c r="AP71" s="447">
        <f t="shared" si="45"/>
        <v>26652.243675720001</v>
      </c>
      <c r="AQ71" s="340">
        <f t="shared" si="25"/>
        <v>-7.4</v>
      </c>
      <c r="AR71" s="447">
        <f t="shared" si="46"/>
        <v>28769.2071803</v>
      </c>
      <c r="AS71" s="447">
        <f t="shared" si="46"/>
        <v>26652.243675720001</v>
      </c>
      <c r="AT71" s="450">
        <f t="shared" si="28"/>
        <v>-7.4</v>
      </c>
      <c r="AU71" s="496"/>
      <c r="AW71" s="500"/>
    </row>
    <row r="72" spans="1:49" s="469" customFormat="1" ht="20.100000000000001" customHeight="1" x14ac:dyDescent="0.3">
      <c r="A72" s="463" t="s">
        <v>238</v>
      </c>
      <c r="B72" s="196"/>
      <c r="C72" s="449"/>
      <c r="D72" s="340"/>
      <c r="E72" s="196"/>
      <c r="F72" s="449"/>
      <c r="G72" s="340"/>
      <c r="H72" s="196"/>
      <c r="I72" s="449"/>
      <c r="J72" s="340"/>
      <c r="K72" s="449"/>
      <c r="L72" s="449"/>
      <c r="M72" s="340"/>
      <c r="N72" s="196"/>
      <c r="O72" s="449"/>
      <c r="P72" s="340"/>
      <c r="Q72" s="196"/>
      <c r="R72" s="449"/>
      <c r="S72" s="438"/>
      <c r="T72" s="196"/>
      <c r="U72" s="449"/>
      <c r="V72" s="340"/>
      <c r="W72" s="104">
        <v>0</v>
      </c>
      <c r="X72" s="449">
        <v>0</v>
      </c>
      <c r="Y72" s="340" t="str">
        <f t="shared" si="44"/>
        <v xml:space="preserve">    ---- </v>
      </c>
      <c r="Z72" s="196"/>
      <c r="AA72" s="449"/>
      <c r="AB72" s="340"/>
      <c r="AC72" s="196"/>
      <c r="AD72" s="449"/>
      <c r="AE72" s="340"/>
      <c r="AF72" s="196"/>
      <c r="AG72" s="449"/>
      <c r="AH72" s="340"/>
      <c r="AI72" s="196"/>
      <c r="AJ72" s="449"/>
      <c r="AK72" s="340"/>
      <c r="AL72" s="196"/>
      <c r="AM72" s="449"/>
      <c r="AN72" s="340"/>
      <c r="AO72" s="440"/>
      <c r="AP72" s="440"/>
      <c r="AQ72" s="340"/>
      <c r="AR72" s="440"/>
      <c r="AS72" s="440"/>
      <c r="AT72" s="450"/>
      <c r="AU72" s="496"/>
      <c r="AV72" s="496"/>
      <c r="AW72" s="500"/>
    </row>
    <row r="73" spans="1:49" s="469" customFormat="1" ht="20.100000000000001" customHeight="1" x14ac:dyDescent="0.3">
      <c r="A73" s="463" t="s">
        <v>480</v>
      </c>
      <c r="B73" s="196">
        <v>1045.5029999999999</v>
      </c>
      <c r="C73" s="449">
        <v>1154.145</v>
      </c>
      <c r="D73" s="340">
        <f>IF(B73=0, "    ---- ", IF(ABS(ROUND(100/B73*C73-100,1))&lt;999,ROUND(100/B73*C73-100,1),IF(ROUND(100/B73*C73-100,1)&gt;999,999,-999)))</f>
        <v>10.4</v>
      </c>
      <c r="E73" s="196">
        <v>1582.5</v>
      </c>
      <c r="F73" s="449">
        <v>1659.4</v>
      </c>
      <c r="G73" s="340">
        <f>IF(E73=0, "    ---- ", IF(ABS(ROUND(100/E73*F73-100,1))&lt;999,ROUND(100/E73*F73-100,1),IF(ROUND(100/E73*F73-100,1)&gt;999,999,-999)))</f>
        <v>4.9000000000000004</v>
      </c>
      <c r="H73" s="196">
        <v>193496.07399999999</v>
      </c>
      <c r="I73" s="449">
        <v>188967.63577585001</v>
      </c>
      <c r="J73" s="340">
        <f t="shared" si="21"/>
        <v>-2.2999999999999998</v>
      </c>
      <c r="K73" s="449"/>
      <c r="L73" s="449">
        <v>6910.7972828900001</v>
      </c>
      <c r="M73" s="340" t="str">
        <f>IF(K73=0, "    ---- ", IF(ABS(ROUND(100/K73*L73-100,1))&lt;999,ROUND(100/K73*L73-100,1),IF(ROUND(100/K73*L73-100,1)&gt;999,999,-999)))</f>
        <v xml:space="preserve">    ---- </v>
      </c>
      <c r="N73" s="196">
        <v>1011.593</v>
      </c>
      <c r="O73" s="449">
        <v>962.85599999999999</v>
      </c>
      <c r="P73" s="340">
        <f>IF(N73=0, "    ---- ", IF(ABS(ROUND(100/N73*O73-100,1))&lt;999,ROUND(100/N73*O73-100,1),IF(ROUND(100/N73*O73-100,1)&gt;999,999,-999)))</f>
        <v>-4.8</v>
      </c>
      <c r="Q73" s="196">
        <v>6896.1</v>
      </c>
      <c r="R73" s="449">
        <v>7364.1</v>
      </c>
      <c r="S73" s="438">
        <f>IF(Q73=0, "    ---- ", IF(ABS(ROUND(100/Q73*R73-100,1))&lt;999,ROUND(100/Q73*R73-100,1),IF(ROUND(100/Q73*R73-100,1)&gt;999,999,-999)))</f>
        <v>6.8</v>
      </c>
      <c r="T73" s="196">
        <v>51.140557059999999</v>
      </c>
      <c r="U73" s="449">
        <v>47.446377820000002</v>
      </c>
      <c r="V73" s="340">
        <f>IF(T73=0, "    ---- ", IF(ABS(ROUND(100/T73*U73-100,1))&lt;999,ROUND(100/T73*U73-100,1),IF(ROUND(100/T73*U73-100,1)&gt;999,999,-999)))</f>
        <v>-7.2</v>
      </c>
      <c r="W73" s="104">
        <v>459342.56241801003</v>
      </c>
      <c r="X73" s="449">
        <v>456054.73747088999</v>
      </c>
      <c r="Y73" s="340">
        <f t="shared" si="44"/>
        <v>-0.7</v>
      </c>
      <c r="Z73" s="196">
        <v>46799.934252899999</v>
      </c>
      <c r="AA73" s="449">
        <v>47225.86</v>
      </c>
      <c r="AB73" s="340">
        <f t="shared" si="22"/>
        <v>0.9</v>
      </c>
      <c r="AC73" s="196">
        <v>66898</v>
      </c>
      <c r="AD73" s="449">
        <v>66749</v>
      </c>
      <c r="AE73" s="340">
        <f>IF(AC73=0, "    ---- ", IF(ABS(ROUND(100/AC73*AD73-100,1))&lt;999,ROUND(100/AC73*AD73-100,1),IF(ROUND(100/AC73*AD73-100,1)&gt;999,999,-999)))</f>
        <v>-0.2</v>
      </c>
      <c r="AF73" s="196"/>
      <c r="AG73" s="449"/>
      <c r="AH73" s="340"/>
      <c r="AI73" s="196">
        <v>22349.538</v>
      </c>
      <c r="AJ73" s="449">
        <v>17904.991999999998</v>
      </c>
      <c r="AK73" s="340">
        <f t="shared" si="30"/>
        <v>-19.899999999999999</v>
      </c>
      <c r="AL73" s="196">
        <v>171973</v>
      </c>
      <c r="AM73" s="449">
        <v>172089</v>
      </c>
      <c r="AN73" s="340">
        <f t="shared" si="31"/>
        <v>0.1</v>
      </c>
      <c r="AO73" s="447">
        <f t="shared" ref="AO73:AP79" si="47">B73+H73+K73+N73+Q73+W73+E73+Z73+AC73+AI73+AL73</f>
        <v>971394.80467090989</v>
      </c>
      <c r="AP73" s="447">
        <f t="shared" si="47"/>
        <v>967042.52352963004</v>
      </c>
      <c r="AQ73" s="340">
        <f t="shared" si="25"/>
        <v>-0.4</v>
      </c>
      <c r="AR73" s="447">
        <f t="shared" ref="AR73:AS79" si="48">B73+H73+K73+N73+Q73+T73+W73+E73+Z73+AC73+AF73+AI73+AL73</f>
        <v>971445.9452279699</v>
      </c>
      <c r="AS73" s="447">
        <f t="shared" si="48"/>
        <v>967089.96990744991</v>
      </c>
      <c r="AT73" s="450">
        <f t="shared" si="28"/>
        <v>-0.4</v>
      </c>
      <c r="AU73" s="496"/>
      <c r="AV73" s="496"/>
      <c r="AW73" s="500"/>
    </row>
    <row r="74" spans="1:49" s="469" customFormat="1" ht="20.100000000000001" customHeight="1" x14ac:dyDescent="0.3">
      <c r="A74" s="463" t="s">
        <v>239</v>
      </c>
      <c r="B74" s="196">
        <v>22.51</v>
      </c>
      <c r="C74" s="449">
        <v>26.605</v>
      </c>
      <c r="D74" s="340">
        <f>IF(B74=0, "    ---- ", IF(ABS(ROUND(100/B74*C74-100,1))&lt;999,ROUND(100/B74*C74-100,1),IF(ROUND(100/B74*C74-100,1)&gt;999,999,-999)))</f>
        <v>18.2</v>
      </c>
      <c r="E74" s="196">
        <v>110</v>
      </c>
      <c r="F74" s="449">
        <v>109.2</v>
      </c>
      <c r="G74" s="340">
        <f>IF(E74=0, "    ---- ", IF(ABS(ROUND(100/E74*F74-100,1))&lt;999,ROUND(100/E74*F74-100,1),IF(ROUND(100/E74*F74-100,1)&gt;999,999,-999)))</f>
        <v>-0.7</v>
      </c>
      <c r="H74" s="196">
        <v>7082.89</v>
      </c>
      <c r="I74" s="449">
        <v>6134.3796312700006</v>
      </c>
      <c r="J74" s="340">
        <f t="shared" si="21"/>
        <v>-13.4</v>
      </c>
      <c r="K74" s="449"/>
      <c r="L74" s="449"/>
      <c r="M74" s="340"/>
      <c r="N74" s="196">
        <v>7.64</v>
      </c>
      <c r="O74" s="449">
        <v>5.7919999999999998</v>
      </c>
      <c r="P74" s="340">
        <f>IF(N74=0, "    ---- ", IF(ABS(ROUND(100/N74*O74-100,1))&lt;999,ROUND(100/N74*O74-100,1),IF(ROUND(100/N74*O74-100,1)&gt;999,999,-999)))</f>
        <v>-24.2</v>
      </c>
      <c r="Q74" s="196">
        <v>284</v>
      </c>
      <c r="R74" s="449">
        <v>295.8</v>
      </c>
      <c r="S74" s="438">
        <f>IF(Q74=0, "    ---- ", IF(ABS(ROUND(100/Q74*R74-100,1))&lt;999,ROUND(100/Q74*R74-100,1),IF(ROUND(100/Q74*R74-100,1)&gt;999,999,-999)))</f>
        <v>4.2</v>
      </c>
      <c r="T74" s="196"/>
      <c r="U74" s="449"/>
      <c r="V74" s="340"/>
      <c r="W74" s="104">
        <v>28105.305421000001</v>
      </c>
      <c r="X74" s="449">
        <v>43325.203834</v>
      </c>
      <c r="Y74" s="340">
        <f t="shared" si="44"/>
        <v>54.2</v>
      </c>
      <c r="Z74" s="196">
        <v>2509.9899999999998</v>
      </c>
      <c r="AA74" s="449">
        <v>2615.91</v>
      </c>
      <c r="AB74" s="340">
        <f t="shared" si="22"/>
        <v>4.2</v>
      </c>
      <c r="AC74" s="196">
        <v>7241</v>
      </c>
      <c r="AD74" s="449">
        <v>7886</v>
      </c>
      <c r="AE74" s="340">
        <f>IF(AC74=0, "    ---- ", IF(ABS(ROUND(100/AC74*AD74-100,1))&lt;999,ROUND(100/AC74*AD74-100,1),IF(ROUND(100/AC74*AD74-100,1)&gt;999,999,-999)))</f>
        <v>8.9</v>
      </c>
      <c r="AF74" s="196"/>
      <c r="AG74" s="449"/>
      <c r="AH74" s="340"/>
      <c r="AI74" s="196">
        <v>1336.951</v>
      </c>
      <c r="AJ74" s="449">
        <v>1206.6179999999999</v>
      </c>
      <c r="AK74" s="340">
        <f t="shared" si="30"/>
        <v>-9.6999999999999993</v>
      </c>
      <c r="AL74" s="196">
        <v>9023</v>
      </c>
      <c r="AM74" s="449">
        <v>11380</v>
      </c>
      <c r="AN74" s="340">
        <f t="shared" si="31"/>
        <v>26.1</v>
      </c>
      <c r="AO74" s="447">
        <f t="shared" si="47"/>
        <v>55723.286421000004</v>
      </c>
      <c r="AP74" s="447">
        <f t="shared" si="47"/>
        <v>72985.508465270002</v>
      </c>
      <c r="AQ74" s="340">
        <f t="shared" si="25"/>
        <v>31</v>
      </c>
      <c r="AR74" s="447">
        <f t="shared" si="48"/>
        <v>55723.286421000004</v>
      </c>
      <c r="AS74" s="447">
        <f t="shared" si="48"/>
        <v>72985.508465270002</v>
      </c>
      <c r="AT74" s="450">
        <f t="shared" si="28"/>
        <v>31</v>
      </c>
      <c r="AU74" s="496"/>
      <c r="AV74" s="496"/>
      <c r="AW74" s="500"/>
    </row>
    <row r="75" spans="1:49" s="469" customFormat="1" ht="20.100000000000001" customHeight="1" x14ac:dyDescent="0.3">
      <c r="A75" s="463" t="s">
        <v>240</v>
      </c>
      <c r="B75" s="196">
        <v>42.593000000000004</v>
      </c>
      <c r="C75" s="449">
        <v>68.406000000000006</v>
      </c>
      <c r="D75" s="340">
        <f>IF(B75=0, "    ---- ", IF(ABS(ROUND(100/B75*C75-100,1))&lt;999,ROUND(100/B75*C75-100,1),IF(ROUND(100/B75*C75-100,1)&gt;999,999,-999)))</f>
        <v>60.6</v>
      </c>
      <c r="E75" s="196">
        <v>19.100000000000001</v>
      </c>
      <c r="F75" s="449">
        <v>0</v>
      </c>
      <c r="G75" s="340">
        <f>IF(E75=0, "    ---- ", IF(ABS(ROUND(100/E75*F75-100,1))&lt;999,ROUND(100/E75*F75-100,1),IF(ROUND(100/E75*F75-100,1)&gt;999,999,-999)))</f>
        <v>-100</v>
      </c>
      <c r="H75" s="196">
        <v>5557.1989999999996</v>
      </c>
      <c r="I75" s="449">
        <v>2626.8901697699998</v>
      </c>
      <c r="J75" s="340">
        <f t="shared" si="21"/>
        <v>-52.7</v>
      </c>
      <c r="K75" s="449"/>
      <c r="L75" s="449">
        <v>46.184984680000014</v>
      </c>
      <c r="M75" s="340" t="str">
        <f>IF(K75=0, "    ---- ", IF(ABS(ROUND(100/K75*L75-100,1))&lt;999,ROUND(100/K75*L75-100,1),IF(ROUND(100/K75*L75-100,1)&gt;999,999,-999)))</f>
        <v xml:space="preserve">    ---- </v>
      </c>
      <c r="N75" s="196">
        <v>6.88</v>
      </c>
      <c r="O75" s="449">
        <v>6.9</v>
      </c>
      <c r="P75" s="340">
        <f>IF(N75=0, "    ---- ", IF(ABS(ROUND(100/N75*O75-100,1))&lt;999,ROUND(100/N75*O75-100,1),IF(ROUND(100/N75*O75-100,1)&gt;999,999,-999)))</f>
        <v>0.3</v>
      </c>
      <c r="Q75" s="196">
        <v>21.2</v>
      </c>
      <c r="R75" s="449">
        <v>1.6</v>
      </c>
      <c r="S75" s="438">
        <f>IF(Q75=0, "    ---- ", IF(ABS(ROUND(100/Q75*R75-100,1))&lt;999,ROUND(100/Q75*R75-100,1),IF(ROUND(100/Q75*R75-100,1)&gt;999,999,-999)))</f>
        <v>-92.5</v>
      </c>
      <c r="T75" s="196"/>
      <c r="U75" s="449"/>
      <c r="V75" s="340"/>
      <c r="W75" s="104">
        <v>55760.941723999997</v>
      </c>
      <c r="X75" s="449">
        <v>55137.488722000002</v>
      </c>
      <c r="Y75" s="340">
        <f t="shared" si="44"/>
        <v>-1.1000000000000001</v>
      </c>
      <c r="Z75" s="196">
        <v>1629.85</v>
      </c>
      <c r="AA75" s="449">
        <v>2340</v>
      </c>
      <c r="AB75" s="340">
        <f t="shared" si="22"/>
        <v>43.6</v>
      </c>
      <c r="AC75" s="196">
        <v>16522</v>
      </c>
      <c r="AD75" s="449">
        <v>17605</v>
      </c>
      <c r="AE75" s="340">
        <f>IF(AC75=0, "    ---- ", IF(ABS(ROUND(100/AC75*AD75-100,1))&lt;999,ROUND(100/AC75*AD75-100,1),IF(ROUND(100/AC75*AD75-100,1)&gt;999,999,-999)))</f>
        <v>6.6</v>
      </c>
      <c r="AF75" s="196"/>
      <c r="AG75" s="449"/>
      <c r="AH75" s="340"/>
      <c r="AI75" s="196">
        <v>2326.306</v>
      </c>
      <c r="AJ75" s="449">
        <v>2806.3910000000001</v>
      </c>
      <c r="AK75" s="340">
        <f t="shared" si="30"/>
        <v>20.6</v>
      </c>
      <c r="AL75" s="196">
        <v>5500</v>
      </c>
      <c r="AM75" s="449">
        <v>7170</v>
      </c>
      <c r="AN75" s="340">
        <f t="shared" si="31"/>
        <v>30.4</v>
      </c>
      <c r="AO75" s="447">
        <f t="shared" si="47"/>
        <v>87386.069723999986</v>
      </c>
      <c r="AP75" s="447">
        <f t="shared" si="47"/>
        <v>87808.860876449995</v>
      </c>
      <c r="AQ75" s="340">
        <f t="shared" si="25"/>
        <v>0.5</v>
      </c>
      <c r="AR75" s="447">
        <f t="shared" si="48"/>
        <v>87386.069723999986</v>
      </c>
      <c r="AS75" s="447">
        <f t="shared" si="48"/>
        <v>87808.860876449995</v>
      </c>
      <c r="AT75" s="450">
        <f t="shared" si="28"/>
        <v>0.5</v>
      </c>
      <c r="AU75" s="496"/>
      <c r="AV75" s="496"/>
      <c r="AW75" s="500"/>
    </row>
    <row r="76" spans="1:49" s="469" customFormat="1" ht="20.100000000000001" customHeight="1" x14ac:dyDescent="0.3">
      <c r="A76" s="463" t="s">
        <v>481</v>
      </c>
      <c r="B76" s="196">
        <v>15.064</v>
      </c>
      <c r="C76" s="449">
        <v>16.077000000000002</v>
      </c>
      <c r="D76" s="340">
        <f>IF(B76=0, "    ---- ", IF(ABS(ROUND(100/B76*C76-100,1))&lt;999,ROUND(100/B76*C76-100,1),IF(ROUND(100/B76*C76-100,1)&gt;999,999,-999)))</f>
        <v>6.7</v>
      </c>
      <c r="E76" s="196">
        <v>31.1</v>
      </c>
      <c r="F76" s="449">
        <v>33.4</v>
      </c>
      <c r="G76" s="340">
        <f>IF(E76=0, "    ---- ", IF(ABS(ROUND(100/E76*F76-100,1))&lt;999,ROUND(100/E76*F76-100,1),IF(ROUND(100/E76*F76-100,1)&gt;999,999,-999)))</f>
        <v>7.4</v>
      </c>
      <c r="H76" s="196">
        <v>651.654</v>
      </c>
      <c r="I76" s="449">
        <v>543.86457516999997</v>
      </c>
      <c r="J76" s="340">
        <f t="shared" si="21"/>
        <v>-16.5</v>
      </c>
      <c r="K76" s="449"/>
      <c r="L76" s="449"/>
      <c r="M76" s="340"/>
      <c r="N76" s="196"/>
      <c r="O76" s="449"/>
      <c r="P76" s="340"/>
      <c r="Q76" s="196">
        <v>2.9</v>
      </c>
      <c r="R76" s="449">
        <v>2.7</v>
      </c>
      <c r="S76" s="340">
        <f>IF(Q76=0, "    ---- ", IF(ABS(ROUND(100/Q76*R76-100,1))&lt;999,ROUND(100/Q76*R76-100,1),IF(ROUND(100/Q76*R76-100,1)&gt;999,999,-999)))</f>
        <v>-6.9</v>
      </c>
      <c r="T76" s="196"/>
      <c r="U76" s="449"/>
      <c r="V76" s="340"/>
      <c r="W76" s="104">
        <v>20317.302275740003</v>
      </c>
      <c r="X76" s="449">
        <v>38187.132681000003</v>
      </c>
      <c r="Y76" s="340">
        <f t="shared" si="44"/>
        <v>88</v>
      </c>
      <c r="Z76" s="196">
        <v>732.17</v>
      </c>
      <c r="AA76" s="449">
        <v>845.39</v>
      </c>
      <c r="AB76" s="340">
        <f t="shared" si="22"/>
        <v>15.5</v>
      </c>
      <c r="AC76" s="196"/>
      <c r="AD76" s="449"/>
      <c r="AE76" s="340"/>
      <c r="AF76" s="196"/>
      <c r="AG76" s="449"/>
      <c r="AH76" s="340"/>
      <c r="AI76" s="196">
        <v>289.29500000000002</v>
      </c>
      <c r="AJ76" s="449">
        <v>264.36</v>
      </c>
      <c r="AK76" s="340">
        <f t="shared" si="30"/>
        <v>-8.6</v>
      </c>
      <c r="AL76" s="196">
        <v>2016</v>
      </c>
      <c r="AM76" s="449">
        <v>2266</v>
      </c>
      <c r="AN76" s="340">
        <f t="shared" si="31"/>
        <v>12.4</v>
      </c>
      <c r="AO76" s="447">
        <f t="shared" si="47"/>
        <v>24055.485275739997</v>
      </c>
      <c r="AP76" s="447">
        <f t="shared" si="47"/>
        <v>42158.924256170001</v>
      </c>
      <c r="AQ76" s="340">
        <f t="shared" si="25"/>
        <v>75.3</v>
      </c>
      <c r="AR76" s="447">
        <f t="shared" si="48"/>
        <v>24055.485275739997</v>
      </c>
      <c r="AS76" s="447">
        <f t="shared" si="48"/>
        <v>42158.924256170001</v>
      </c>
      <c r="AT76" s="450">
        <f t="shared" si="28"/>
        <v>75.3</v>
      </c>
      <c r="AU76" s="496"/>
      <c r="AV76" s="496"/>
      <c r="AW76" s="500"/>
    </row>
    <row r="77" spans="1:49" s="469" customFormat="1" ht="20.100000000000001" customHeight="1" x14ac:dyDescent="0.3">
      <c r="A77" s="463" t="s">
        <v>361</v>
      </c>
      <c r="B77" s="196">
        <v>53.457000000000001</v>
      </c>
      <c r="C77" s="449">
        <v>54.915999999999997</v>
      </c>
      <c r="D77" s="340">
        <f>IF(B77=0, "    ---- ", IF(ABS(ROUND(100/B77*C77-100,1))&lt;999,ROUND(100/B77*C77-100,1),IF(ROUND(100/B77*C77-100,1)&gt;999,999,-999)))</f>
        <v>2.7</v>
      </c>
      <c r="E77" s="196"/>
      <c r="F77" s="449"/>
      <c r="G77" s="340"/>
      <c r="H77" s="196">
        <v>96.135000000000005</v>
      </c>
      <c r="I77" s="449">
        <v>203.66046932</v>
      </c>
      <c r="J77" s="340">
        <f t="shared" si="21"/>
        <v>111.8</v>
      </c>
      <c r="K77" s="449"/>
      <c r="L77" s="449"/>
      <c r="M77" s="340"/>
      <c r="N77" s="196">
        <v>30.344999999999999</v>
      </c>
      <c r="O77" s="449">
        <v>28.161000000000001</v>
      </c>
      <c r="P77" s="340">
        <f>IF(N77=0, "    ---- ", IF(ABS(ROUND(100/N77*O77-100,1))&lt;999,ROUND(100/N77*O77-100,1),IF(ROUND(100/N77*O77-100,1)&gt;999,999,-999)))</f>
        <v>-7.2</v>
      </c>
      <c r="Q77" s="196"/>
      <c r="R77" s="449"/>
      <c r="S77" s="438"/>
      <c r="T77" s="196"/>
      <c r="U77" s="449"/>
      <c r="V77" s="340"/>
      <c r="W77" s="104">
        <v>0</v>
      </c>
      <c r="X77" s="449">
        <v>0</v>
      </c>
      <c r="Y77" s="340" t="str">
        <f t="shared" si="44"/>
        <v xml:space="preserve">    ---- </v>
      </c>
      <c r="Z77" s="196">
        <v>0</v>
      </c>
      <c r="AA77" s="449">
        <v>0</v>
      </c>
      <c r="AB77" s="340" t="str">
        <f t="shared" si="22"/>
        <v xml:space="preserve">    ---- </v>
      </c>
      <c r="AC77" s="196">
        <v>1578</v>
      </c>
      <c r="AD77" s="449">
        <v>7077</v>
      </c>
      <c r="AE77" s="340">
        <f t="shared" ref="AE77:AE78" si="49">IF(AC77=0, "    ---- ", IF(ABS(ROUND(100/AC77*AD77-100,1))&lt;999,ROUND(100/AC77*AD77-100,1),IF(ROUND(100/AC77*AD77-100,1)&gt;999,999,-999)))</f>
        <v>348.5</v>
      </c>
      <c r="AF77" s="196"/>
      <c r="AG77" s="449"/>
      <c r="AH77" s="340"/>
      <c r="AI77" s="196"/>
      <c r="AJ77" s="449"/>
      <c r="AK77" s="340"/>
      <c r="AL77" s="196">
        <v>649</v>
      </c>
      <c r="AM77" s="449">
        <v>702</v>
      </c>
      <c r="AN77" s="340">
        <f t="shared" si="31"/>
        <v>8.1999999999999993</v>
      </c>
      <c r="AO77" s="447">
        <f t="shared" si="47"/>
        <v>2406.9369999999999</v>
      </c>
      <c r="AP77" s="447">
        <f t="shared" si="47"/>
        <v>8065.7374693199999</v>
      </c>
      <c r="AQ77" s="340">
        <f t="shared" si="25"/>
        <v>235.1</v>
      </c>
      <c r="AR77" s="447">
        <f t="shared" si="48"/>
        <v>2406.9369999999999</v>
      </c>
      <c r="AS77" s="447">
        <f t="shared" si="48"/>
        <v>8065.7374693199999</v>
      </c>
      <c r="AT77" s="450">
        <f t="shared" si="28"/>
        <v>235.1</v>
      </c>
      <c r="AU77" s="496"/>
      <c r="AV77" s="496"/>
      <c r="AW77" s="500"/>
    </row>
    <row r="78" spans="1:49" s="469" customFormat="1" ht="20.100000000000001" customHeight="1" x14ac:dyDescent="0.3">
      <c r="A78" s="463" t="s">
        <v>241</v>
      </c>
      <c r="B78" s="196"/>
      <c r="C78" s="449"/>
      <c r="D78" s="340"/>
      <c r="E78" s="196"/>
      <c r="F78" s="449"/>
      <c r="G78" s="340"/>
      <c r="H78" s="196"/>
      <c r="I78" s="449"/>
      <c r="J78" s="340"/>
      <c r="K78" s="449"/>
      <c r="L78" s="449"/>
      <c r="M78" s="340"/>
      <c r="N78" s="196"/>
      <c r="O78" s="449"/>
      <c r="P78" s="340"/>
      <c r="Q78" s="196"/>
      <c r="R78" s="449"/>
      <c r="S78" s="438"/>
      <c r="T78" s="196"/>
      <c r="U78" s="449"/>
      <c r="V78" s="340"/>
      <c r="W78" s="104">
        <v>0</v>
      </c>
      <c r="X78" s="449">
        <v>0</v>
      </c>
      <c r="Y78" s="340" t="str">
        <f t="shared" si="44"/>
        <v xml:space="preserve">    ---- </v>
      </c>
      <c r="Z78" s="196"/>
      <c r="AA78" s="449"/>
      <c r="AB78" s="340"/>
      <c r="AC78" s="196">
        <v>350</v>
      </c>
      <c r="AD78" s="449">
        <v>336</v>
      </c>
      <c r="AE78" s="340">
        <f t="shared" si="49"/>
        <v>-4</v>
      </c>
      <c r="AF78" s="196"/>
      <c r="AG78" s="449"/>
      <c r="AH78" s="340"/>
      <c r="AI78" s="196"/>
      <c r="AJ78" s="449"/>
      <c r="AK78" s="340"/>
      <c r="AL78" s="196"/>
      <c r="AM78" s="449"/>
      <c r="AN78" s="340"/>
      <c r="AO78" s="447">
        <f t="shared" si="47"/>
        <v>350</v>
      </c>
      <c r="AP78" s="447">
        <f t="shared" si="47"/>
        <v>336</v>
      </c>
      <c r="AQ78" s="340">
        <f t="shared" si="25"/>
        <v>-4</v>
      </c>
      <c r="AR78" s="447">
        <f t="shared" si="48"/>
        <v>350</v>
      </c>
      <c r="AS78" s="447">
        <f t="shared" si="48"/>
        <v>336</v>
      </c>
      <c r="AT78" s="450">
        <f t="shared" si="28"/>
        <v>-4</v>
      </c>
      <c r="AU78" s="496"/>
      <c r="AV78" s="496"/>
      <c r="AW78" s="500"/>
    </row>
    <row r="79" spans="1:49" s="469" customFormat="1" ht="20.100000000000001" customHeight="1" x14ac:dyDescent="0.3">
      <c r="A79" s="464" t="s">
        <v>242</v>
      </c>
      <c r="B79" s="196">
        <f>SUM(B73:B78)</f>
        <v>1179.1270000000002</v>
      </c>
      <c r="C79" s="449">
        <f>SUM(C73:C78)</f>
        <v>1320.1489999999999</v>
      </c>
      <c r="D79" s="340">
        <f>IF(B79=0, "    ---- ", IF(ABS(ROUND(100/B79*C79-100,1))&lt;999,ROUND(100/B79*C79-100,1),IF(ROUND(100/B79*C79-100,1)&gt;999,999,-999)))</f>
        <v>12</v>
      </c>
      <c r="E79" s="196">
        <f>SUM(E73:E78)</f>
        <v>1742.6999999999998</v>
      </c>
      <c r="F79" s="449">
        <f>SUM(F73:F78)</f>
        <v>1802.0000000000002</v>
      </c>
      <c r="G79" s="340">
        <f>IF(E79=0, "    ---- ", IF(ABS(ROUND(100/E79*F79-100,1))&lt;999,ROUND(100/E79*F79-100,1),IF(ROUND(100/E79*F79-100,1)&gt;999,999,-999)))</f>
        <v>3.4</v>
      </c>
      <c r="H79" s="196">
        <f>SUM(H73:H78)</f>
        <v>206883.95200000002</v>
      </c>
      <c r="I79" s="449">
        <f>SUM(I73:I78)</f>
        <v>198476.43062138002</v>
      </c>
      <c r="J79" s="340">
        <f t="shared" si="21"/>
        <v>-4.0999999999999996</v>
      </c>
      <c r="K79" s="449"/>
      <c r="L79" s="449">
        <f>SUM(L73:L78)</f>
        <v>6956.9822675699997</v>
      </c>
      <c r="M79" s="340" t="str">
        <f>IF(K79=0, "    ---- ", IF(ABS(ROUND(100/K79*L79-100,1))&lt;999,ROUND(100/K79*L79-100,1),IF(ROUND(100/K79*L79-100,1)&gt;999,999,-999)))</f>
        <v xml:space="preserve">    ---- </v>
      </c>
      <c r="N79" s="196">
        <f>SUM(N73:N78)</f>
        <v>1056.4580000000001</v>
      </c>
      <c r="O79" s="449">
        <f>SUM(O73:O78)</f>
        <v>1003.7090000000001</v>
      </c>
      <c r="P79" s="340">
        <f>IF(N79=0, "    ---- ", IF(ABS(ROUND(100/N79*O79-100,1))&lt;999,ROUND(100/N79*O79-100,1),IF(ROUND(100/N79*O79-100,1)&gt;999,999,-999)))</f>
        <v>-5</v>
      </c>
      <c r="Q79" s="196">
        <f>SUM(Q73:Q78)</f>
        <v>7204.2</v>
      </c>
      <c r="R79" s="449">
        <f>SUM(R73:R78)</f>
        <v>7664.2000000000007</v>
      </c>
      <c r="S79" s="438">
        <f>IF(Q79=0, "    ---- ", IF(ABS(ROUND(100/Q79*R79-100,1))&lt;999,ROUND(100/Q79*R79-100,1),IF(ROUND(100/Q79*R79-100,1)&gt;999,999,-999)))</f>
        <v>6.4</v>
      </c>
      <c r="T79" s="196">
        <f>SUM(T73:T78)</f>
        <v>51.140557059999999</v>
      </c>
      <c r="U79" s="449">
        <f>SUM(U73:U78)</f>
        <v>47.446377820000002</v>
      </c>
      <c r="V79" s="340">
        <f>IF(T79=0, "    ---- ", IF(ABS(ROUND(100/T79*U79-100,1))&lt;999,ROUND(100/T79*U79-100,1),IF(ROUND(100/T79*U79-100,1)&gt;999,999,-999)))</f>
        <v>-7.2</v>
      </c>
      <c r="W79" s="196">
        <f>SUM(W73:W78)</f>
        <v>563526.11183874996</v>
      </c>
      <c r="X79" s="449">
        <v>592704.56270789006</v>
      </c>
      <c r="Y79" s="340">
        <f t="shared" si="44"/>
        <v>5.2</v>
      </c>
      <c r="Z79" s="196">
        <f>SUM(Z73:Z78)</f>
        <v>51671.944252899993</v>
      </c>
      <c r="AA79" s="449">
        <f>SUM(AA73:AA78)</f>
        <v>53027.16</v>
      </c>
      <c r="AB79" s="340">
        <f t="shared" si="22"/>
        <v>2.6</v>
      </c>
      <c r="AC79" s="196">
        <f>SUM(AC73:AC78)</f>
        <v>92589</v>
      </c>
      <c r="AD79" s="449">
        <f>SUM(AD73:AD78)</f>
        <v>99653</v>
      </c>
      <c r="AE79" s="340">
        <f>IF(AC79=0, "    ---- ", IF(ABS(ROUND(100/AC79*AD79-100,1))&lt;999,ROUND(100/AC79*AD79-100,1),IF(ROUND(100/AC79*AD79-100,1)&gt;999,999,-999)))</f>
        <v>7.6</v>
      </c>
      <c r="AF79" s="196"/>
      <c r="AG79" s="449"/>
      <c r="AH79" s="340"/>
      <c r="AI79" s="196">
        <f>SUM(AI73:AI78)</f>
        <v>26302.09</v>
      </c>
      <c r="AJ79" s="449">
        <f>SUM(AJ73:AJ78)</f>
        <v>22182.360999999997</v>
      </c>
      <c r="AK79" s="340">
        <f t="shared" si="30"/>
        <v>-15.7</v>
      </c>
      <c r="AL79" s="196">
        <f>SUM(AL73:AL78)</f>
        <v>189161</v>
      </c>
      <c r="AM79" s="449">
        <f>SUM(AM73:AM78)</f>
        <v>193607</v>
      </c>
      <c r="AN79" s="340">
        <f t="shared" si="31"/>
        <v>2.4</v>
      </c>
      <c r="AO79" s="447">
        <f t="shared" si="47"/>
        <v>1141316.5830916499</v>
      </c>
      <c r="AP79" s="447">
        <f t="shared" si="47"/>
        <v>1178397.5545968402</v>
      </c>
      <c r="AQ79" s="340">
        <f t="shared" si="25"/>
        <v>3.2</v>
      </c>
      <c r="AR79" s="447">
        <f t="shared" si="48"/>
        <v>1141367.7236487099</v>
      </c>
      <c r="AS79" s="447">
        <f t="shared" si="48"/>
        <v>1178445.0009746603</v>
      </c>
      <c r="AT79" s="450">
        <f t="shared" si="28"/>
        <v>3.2</v>
      </c>
      <c r="AU79" s="496"/>
      <c r="AV79" s="496"/>
      <c r="AW79" s="500"/>
    </row>
    <row r="80" spans="1:49" s="469" customFormat="1" ht="20.100000000000001" customHeight="1" x14ac:dyDescent="0.3">
      <c r="A80" s="463" t="s">
        <v>243</v>
      </c>
      <c r="B80" s="196"/>
      <c r="C80" s="449"/>
      <c r="D80" s="340"/>
      <c r="E80" s="196"/>
      <c r="F80" s="449"/>
      <c r="G80" s="340"/>
      <c r="H80" s="196"/>
      <c r="I80" s="449"/>
      <c r="J80" s="340"/>
      <c r="K80" s="449"/>
      <c r="L80" s="449"/>
      <c r="M80" s="340"/>
      <c r="N80" s="196"/>
      <c r="O80" s="449"/>
      <c r="P80" s="340"/>
      <c r="Q80" s="196"/>
      <c r="R80" s="449"/>
      <c r="S80" s="438"/>
      <c r="T80" s="196"/>
      <c r="U80" s="449"/>
      <c r="V80" s="340"/>
      <c r="W80" s="196"/>
      <c r="X80" s="449"/>
      <c r="Y80" s="340"/>
      <c r="Z80" s="196"/>
      <c r="AA80" s="449"/>
      <c r="AB80" s="340"/>
      <c r="AC80" s="196"/>
      <c r="AD80" s="449"/>
      <c r="AE80" s="340"/>
      <c r="AF80" s="196"/>
      <c r="AG80" s="449"/>
      <c r="AH80" s="340"/>
      <c r="AI80" s="196"/>
      <c r="AJ80" s="449"/>
      <c r="AK80" s="340"/>
      <c r="AL80" s="196"/>
      <c r="AM80" s="449"/>
      <c r="AN80" s="340"/>
      <c r="AO80" s="440"/>
      <c r="AP80" s="440"/>
      <c r="AQ80" s="340"/>
      <c r="AR80" s="440"/>
      <c r="AS80" s="440"/>
      <c r="AT80" s="450"/>
      <c r="AU80" s="496"/>
      <c r="AV80" s="496"/>
      <c r="AW80" s="500"/>
    </row>
    <row r="81" spans="1:49" s="469" customFormat="1" ht="20.100000000000001" customHeight="1" x14ac:dyDescent="0.3">
      <c r="A81" s="463" t="s">
        <v>482</v>
      </c>
      <c r="B81" s="196">
        <v>20672.887999999999</v>
      </c>
      <c r="C81" s="449">
        <v>24020.061000000002</v>
      </c>
      <c r="D81" s="340">
        <f>IF(B81=0, "    ---- ", IF(ABS(ROUND(100/B81*C81-100,1))&lt;999,ROUND(100/B81*C81-100,1),IF(ROUND(100/B81*C81-100,1)&gt;999,999,-999)))</f>
        <v>16.2</v>
      </c>
      <c r="E81" s="196">
        <v>4891.8999999999996</v>
      </c>
      <c r="F81" s="449">
        <v>5941.8</v>
      </c>
      <c r="G81" s="340">
        <f>IF(E81=0, "    ---- ", IF(ABS(ROUND(100/E81*F81-100,1))&lt;999,ROUND(100/E81*F81-100,1),IF(ROUND(100/E81*F81-100,1)&gt;999,999,-999)))</f>
        <v>21.5</v>
      </c>
      <c r="H81" s="196">
        <v>98362.77</v>
      </c>
      <c r="I81" s="449">
        <v>110273.16217518001</v>
      </c>
      <c r="J81" s="340">
        <f t="shared" si="21"/>
        <v>12.1</v>
      </c>
      <c r="K81" s="449"/>
      <c r="L81" s="449"/>
      <c r="M81" s="340"/>
      <c r="N81" s="196">
        <v>4266.1270000000004</v>
      </c>
      <c r="O81" s="449"/>
      <c r="P81" s="340">
        <f>IF(N81=0, "    ---- ", IF(ABS(ROUND(100/N81*O81-100,1))&lt;999,ROUND(100/N81*O81-100,1),IF(ROUND(100/N81*O81-100,1)&gt;999,999,-999)))</f>
        <v>-100</v>
      </c>
      <c r="Q81" s="196">
        <v>29843.5</v>
      </c>
      <c r="R81" s="449">
        <v>34446</v>
      </c>
      <c r="S81" s="438">
        <f>IF(Q81=0, "    ---- ", IF(ABS(ROUND(100/Q81*R81-100,1))&lt;999,ROUND(100/Q81*R81-100,1),IF(ROUND(100/Q81*R81-100,1)&gt;999,999,-999)))</f>
        <v>15.4</v>
      </c>
      <c r="T81" s="196"/>
      <c r="U81" s="449"/>
      <c r="V81" s="340"/>
      <c r="W81" s="104">
        <v>2063.5082241499999</v>
      </c>
      <c r="X81" s="449">
        <v>1477.7597008399998</v>
      </c>
      <c r="Y81" s="340">
        <f t="shared" ref="Y81:Y91" si="50">IF(W81=0, "    ---- ", IF(ABS(ROUND(100/W81*X81-100,1))&lt;999,ROUND(100/W81*X81-100,1),IF(ROUND(100/W81*X81-100,1)&gt;999,999,-999)))</f>
        <v>-28.4</v>
      </c>
      <c r="Z81" s="196">
        <v>77977.13</v>
      </c>
      <c r="AA81" s="449">
        <v>98862.69</v>
      </c>
      <c r="AB81" s="340">
        <f t="shared" si="22"/>
        <v>26.8</v>
      </c>
      <c r="AC81" s="196"/>
      <c r="AD81" s="449"/>
      <c r="AE81" s="340"/>
      <c r="AF81" s="196">
        <v>2541.1866050899998</v>
      </c>
      <c r="AG81" s="449">
        <v>2931.7168416099998</v>
      </c>
      <c r="AH81" s="340">
        <f>IF(AF81=0, "    ---- ", IF(ABS(ROUND(100/AF81*AG81-100,1))&lt;999,ROUND(100/AF81*AG81-100,1),IF(ROUND(100/AF81*AG81-100,1)&gt;999,999,-999)))</f>
        <v>15.4</v>
      </c>
      <c r="AI81" s="196">
        <v>35399.911</v>
      </c>
      <c r="AJ81" s="449">
        <v>42967.663999999997</v>
      </c>
      <c r="AK81" s="340">
        <f t="shared" si="30"/>
        <v>21.4</v>
      </c>
      <c r="AL81" s="196">
        <v>114538</v>
      </c>
      <c r="AM81" s="449">
        <v>137089</v>
      </c>
      <c r="AN81" s="340">
        <f t="shared" si="31"/>
        <v>19.7</v>
      </c>
      <c r="AO81" s="447">
        <f t="shared" ref="AO81:AO89" si="51">B81+H81+K81+N81+Q81+W81+E81+Z81+AC81+AI81+AL81</f>
        <v>388015.73422415002</v>
      </c>
      <c r="AP81" s="447">
        <f t="shared" ref="AP81:AP89" si="52">C81+I81+L81+O81+R81+X81+F81+AA81+AD81+AJ81+AM81</f>
        <v>455078.13687602</v>
      </c>
      <c r="AQ81" s="340">
        <f t="shared" si="25"/>
        <v>17.3</v>
      </c>
      <c r="AR81" s="447">
        <f t="shared" ref="AR81:AR89" si="53">B81+H81+K81+N81+Q81+T81+W81+E81+Z81+AC81+AF81+AI81+AL81</f>
        <v>390556.92082924</v>
      </c>
      <c r="AS81" s="447">
        <f t="shared" ref="AS81:AS89" si="54">C81+I81+L81+O81+R81+U81+X81+F81+AA81+AD81+AG81+AJ81+AM81</f>
        <v>458009.85371762997</v>
      </c>
      <c r="AT81" s="450">
        <f t="shared" si="28"/>
        <v>17.3</v>
      </c>
      <c r="AU81" s="496"/>
      <c r="AV81" s="496"/>
      <c r="AW81" s="500"/>
    </row>
    <row r="82" spans="1:49" s="469" customFormat="1" ht="20.100000000000001" customHeight="1" x14ac:dyDescent="0.3">
      <c r="A82" s="463" t="s">
        <v>483</v>
      </c>
      <c r="B82" s="196"/>
      <c r="C82" s="449"/>
      <c r="D82" s="340"/>
      <c r="E82" s="196"/>
      <c r="F82" s="449"/>
      <c r="G82" s="340"/>
      <c r="H82" s="196"/>
      <c r="I82" s="449"/>
      <c r="J82" s="340"/>
      <c r="K82" s="449"/>
      <c r="L82" s="449"/>
      <c r="M82" s="340"/>
      <c r="N82" s="196"/>
      <c r="O82" s="449"/>
      <c r="P82" s="340"/>
      <c r="Q82" s="196"/>
      <c r="R82" s="449"/>
      <c r="S82" s="340"/>
      <c r="T82" s="196"/>
      <c r="U82" s="449"/>
      <c r="V82" s="340"/>
      <c r="W82" s="104">
        <v>103.898577</v>
      </c>
      <c r="X82" s="449">
        <v>135.04439400000001</v>
      </c>
      <c r="Y82" s="340">
        <f t="shared" si="50"/>
        <v>30</v>
      </c>
      <c r="Z82" s="196">
        <v>0</v>
      </c>
      <c r="AA82" s="449">
        <v>0</v>
      </c>
      <c r="AB82" s="340" t="str">
        <f t="shared" si="22"/>
        <v xml:space="preserve">    ---- </v>
      </c>
      <c r="AC82" s="196"/>
      <c r="AD82" s="449"/>
      <c r="AE82" s="340"/>
      <c r="AF82" s="196"/>
      <c r="AG82" s="449"/>
      <c r="AH82" s="340"/>
      <c r="AI82" s="196"/>
      <c r="AJ82" s="449"/>
      <c r="AK82" s="340"/>
      <c r="AL82" s="196"/>
      <c r="AM82" s="449"/>
      <c r="AN82" s="340"/>
      <c r="AO82" s="447">
        <f t="shared" si="51"/>
        <v>103.898577</v>
      </c>
      <c r="AP82" s="447">
        <f t="shared" si="52"/>
        <v>135.04439400000001</v>
      </c>
      <c r="AQ82" s="340">
        <f t="shared" si="25"/>
        <v>30</v>
      </c>
      <c r="AR82" s="447">
        <f t="shared" si="53"/>
        <v>103.898577</v>
      </c>
      <c r="AS82" s="447">
        <f t="shared" si="54"/>
        <v>135.04439400000001</v>
      </c>
      <c r="AT82" s="450">
        <f t="shared" si="28"/>
        <v>30</v>
      </c>
      <c r="AU82" s="496"/>
      <c r="AV82" s="496"/>
      <c r="AW82" s="500"/>
    </row>
    <row r="83" spans="1:49" s="469" customFormat="1" ht="20.100000000000001" customHeight="1" x14ac:dyDescent="0.3">
      <c r="A83" s="463" t="s">
        <v>484</v>
      </c>
      <c r="B83" s="852">
        <v>59.975999999999999</v>
      </c>
      <c r="C83" s="340">
        <v>64.063000000000002</v>
      </c>
      <c r="D83" s="340">
        <f>IF(B83=0, "    ---- ", IF(ABS(ROUND(100/B83*C83-100,1))&lt;999,ROUND(100/B83*C83-100,1),IF(ROUND(100/B83*C83-100,1)&gt;999,999,-999)))</f>
        <v>6.8</v>
      </c>
      <c r="E83" s="852">
        <v>14.4</v>
      </c>
      <c r="F83" s="340">
        <v>17.399999999999999</v>
      </c>
      <c r="G83" s="340">
        <f>IF(E83=0, "    ---- ", IF(ABS(ROUND(100/E83*F83-100,1))&lt;999,ROUND(100/E83*F83-100,1),IF(ROUND(100/E83*F83-100,1)&gt;999,999,-999)))</f>
        <v>20.8</v>
      </c>
      <c r="H83" s="852">
        <v>580.23500000000001</v>
      </c>
      <c r="I83" s="340">
        <v>587.21908509000002</v>
      </c>
      <c r="J83" s="340">
        <f t="shared" si="21"/>
        <v>1.2</v>
      </c>
      <c r="K83" s="340"/>
      <c r="L83" s="340"/>
      <c r="M83" s="340"/>
      <c r="N83" s="196"/>
      <c r="O83" s="340"/>
      <c r="P83" s="340"/>
      <c r="Q83" s="852">
        <v>287.39999999999998</v>
      </c>
      <c r="R83" s="340">
        <v>251.5</v>
      </c>
      <c r="S83" s="340">
        <f>IF(Q83=0, "    ---- ", IF(ABS(ROUND(100/Q83*R83-100,1))&lt;999,ROUND(100/Q83*R83-100,1),IF(ROUND(100/Q83*R83-100,1)&gt;999,999,-999)))</f>
        <v>-12.5</v>
      </c>
      <c r="T83" s="852"/>
      <c r="U83" s="340"/>
      <c r="V83" s="340"/>
      <c r="W83" s="104">
        <v>536.35202649999997</v>
      </c>
      <c r="X83" s="340">
        <v>400.94814700000001</v>
      </c>
      <c r="Y83" s="340">
        <f t="shared" si="50"/>
        <v>-25.2</v>
      </c>
      <c r="Z83" s="852">
        <v>0</v>
      </c>
      <c r="AA83" s="340">
        <v>0</v>
      </c>
      <c r="AB83" s="340" t="str">
        <f t="shared" si="22"/>
        <v xml:space="preserve">    ---- </v>
      </c>
      <c r="AC83" s="852"/>
      <c r="AD83" s="340"/>
      <c r="AE83" s="340"/>
      <c r="AF83" s="852"/>
      <c r="AG83" s="340"/>
      <c r="AH83" s="340"/>
      <c r="AI83" s="852">
        <v>520.79899999999998</v>
      </c>
      <c r="AJ83" s="340">
        <v>617.26800000000003</v>
      </c>
      <c r="AK83" s="340">
        <f t="shared" si="30"/>
        <v>18.5</v>
      </c>
      <c r="AL83" s="852"/>
      <c r="AM83" s="340"/>
      <c r="AN83" s="340"/>
      <c r="AO83" s="447">
        <f t="shared" si="51"/>
        <v>1999.1620265000001</v>
      </c>
      <c r="AP83" s="447">
        <f t="shared" si="52"/>
        <v>1938.3982320900002</v>
      </c>
      <c r="AQ83" s="340">
        <f t="shared" si="25"/>
        <v>-3</v>
      </c>
      <c r="AR83" s="447">
        <f t="shared" si="53"/>
        <v>1999.1620265000001</v>
      </c>
      <c r="AS83" s="447">
        <f t="shared" si="54"/>
        <v>1938.3982320900002</v>
      </c>
      <c r="AT83" s="450">
        <f t="shared" si="28"/>
        <v>-3</v>
      </c>
      <c r="AU83" s="496"/>
      <c r="AV83" s="496"/>
      <c r="AW83" s="500"/>
    </row>
    <row r="84" spans="1:49" s="469" customFormat="1" ht="20.100000000000001" customHeight="1" x14ac:dyDescent="0.3">
      <c r="A84" s="463" t="s">
        <v>241</v>
      </c>
      <c r="B84" s="196"/>
      <c r="C84" s="449"/>
      <c r="D84" s="449"/>
      <c r="E84" s="196"/>
      <c r="F84" s="449"/>
      <c r="G84" s="340"/>
      <c r="H84" s="196"/>
      <c r="I84" s="449"/>
      <c r="J84" s="449"/>
      <c r="K84" s="449"/>
      <c r="L84" s="449"/>
      <c r="M84" s="449"/>
      <c r="N84" s="196"/>
      <c r="O84" s="449"/>
      <c r="P84" s="449"/>
      <c r="Q84" s="196"/>
      <c r="R84" s="449"/>
      <c r="S84" s="438"/>
      <c r="T84" s="196"/>
      <c r="U84" s="449"/>
      <c r="V84" s="340"/>
      <c r="W84" s="196"/>
      <c r="X84" s="449">
        <v>0</v>
      </c>
      <c r="Y84" s="340" t="str">
        <f t="shared" si="50"/>
        <v xml:space="preserve">    ---- </v>
      </c>
      <c r="Z84" s="196"/>
      <c r="AA84" s="449"/>
      <c r="AB84" s="340"/>
      <c r="AC84" s="196"/>
      <c r="AD84" s="449"/>
      <c r="AE84" s="340"/>
      <c r="AF84" s="196"/>
      <c r="AG84" s="449"/>
      <c r="AH84" s="449"/>
      <c r="AI84" s="196"/>
      <c r="AJ84" s="449"/>
      <c r="AK84" s="340"/>
      <c r="AL84" s="196"/>
      <c r="AM84" s="449"/>
      <c r="AN84" s="340"/>
      <c r="AO84" s="447">
        <f t="shared" si="51"/>
        <v>0</v>
      </c>
      <c r="AP84" s="447">
        <f t="shared" si="52"/>
        <v>0</v>
      </c>
      <c r="AQ84" s="340" t="str">
        <f t="shared" si="25"/>
        <v xml:space="preserve">    ---- </v>
      </c>
      <c r="AR84" s="447">
        <f t="shared" si="53"/>
        <v>0</v>
      </c>
      <c r="AS84" s="447">
        <f t="shared" si="54"/>
        <v>0</v>
      </c>
      <c r="AT84" s="450" t="str">
        <f t="shared" si="28"/>
        <v xml:space="preserve">    ---- </v>
      </c>
      <c r="AU84" s="496"/>
      <c r="AV84" s="496"/>
      <c r="AW84" s="500"/>
    </row>
    <row r="85" spans="1:49" s="469" customFormat="1" ht="20.100000000000001" customHeight="1" x14ac:dyDescent="0.3">
      <c r="A85" s="464" t="s">
        <v>244</v>
      </c>
      <c r="B85" s="196">
        <f>SUM(B81:B84)</f>
        <v>20732.863999999998</v>
      </c>
      <c r="C85" s="449">
        <f>SUM(C81:C84)</f>
        <v>24084.124</v>
      </c>
      <c r="D85" s="449">
        <f>IF(B85=0, "    ---- ", IF(ABS(ROUND(100/B85*C85-100,1))&lt;999,ROUND(100/B85*C85-100,1),IF(ROUND(100/B85*C85-100,1)&gt;999,999,-999)))</f>
        <v>16.2</v>
      </c>
      <c r="E85" s="196">
        <f>SUM(E81:E84)</f>
        <v>4906.2999999999993</v>
      </c>
      <c r="F85" s="449">
        <f>SUM(F81:F84)</f>
        <v>5959.2</v>
      </c>
      <c r="G85" s="340">
        <f>IF(E85=0, "    ---- ", IF(ABS(ROUND(100/E85*F85-100,1))&lt;999,ROUND(100/E85*F85-100,1),IF(ROUND(100/E85*F85-100,1)&gt;999,999,-999)))</f>
        <v>21.5</v>
      </c>
      <c r="H85" s="196">
        <f>SUM(H81:H84)</f>
        <v>98943.005000000005</v>
      </c>
      <c r="I85" s="449">
        <f>SUM(I81:I84)</f>
        <v>110860.38126027001</v>
      </c>
      <c r="J85" s="449">
        <f t="shared" si="21"/>
        <v>12</v>
      </c>
      <c r="K85" s="449"/>
      <c r="L85" s="449"/>
      <c r="M85" s="449"/>
      <c r="N85" s="196">
        <f>SUM(N81:N84)</f>
        <v>4266.1270000000004</v>
      </c>
      <c r="O85" s="449">
        <f>SUM(O81:O84)</f>
        <v>0</v>
      </c>
      <c r="P85" s="449">
        <f>IF(N85=0, "    ---- ", IF(ABS(ROUND(100/N85*O85-100,1))&lt;999,ROUND(100/N85*O85-100,1),IF(ROUND(100/N85*O85-100,1)&gt;999,999,-999)))</f>
        <v>-100</v>
      </c>
      <c r="Q85" s="196">
        <f>SUM(Q81:Q84)</f>
        <v>30130.9</v>
      </c>
      <c r="R85" s="449">
        <f>SUM(R81:R84)</f>
        <v>34697.5</v>
      </c>
      <c r="S85" s="438">
        <f>IF(Q85=0, "    ---- ", IF(ABS(ROUND(100/Q85*R85-100,1))&lt;999,ROUND(100/Q85*R85-100,1),IF(ROUND(100/Q85*R85-100,1)&gt;999,999,-999)))</f>
        <v>15.2</v>
      </c>
      <c r="T85" s="196"/>
      <c r="U85" s="449"/>
      <c r="V85" s="340"/>
      <c r="W85" s="196">
        <f>SUM(W81:W84)</f>
        <v>2703.7588276500001</v>
      </c>
      <c r="X85" s="449">
        <v>2013.7522418399999</v>
      </c>
      <c r="Y85" s="340">
        <f t="shared" si="50"/>
        <v>-25.5</v>
      </c>
      <c r="Z85" s="196">
        <f>SUM(Z81:Z84)</f>
        <v>77977.13</v>
      </c>
      <c r="AA85" s="449">
        <f>SUM(AA81:AA84)</f>
        <v>98862.69</v>
      </c>
      <c r="AB85" s="340">
        <f t="shared" si="22"/>
        <v>26.8</v>
      </c>
      <c r="AC85" s="196"/>
      <c r="AD85" s="449">
        <f>SUM(AD81:AD84)</f>
        <v>0</v>
      </c>
      <c r="AE85" s="340" t="str">
        <f>IF(AC85=0, "    ---- ", IF(ABS(ROUND(100/AC85*AD85-100,1))&lt;999,ROUND(100/AC85*AD85-100,1),IF(ROUND(100/AC85*AD85-100,1)&gt;999,999,-999)))</f>
        <v xml:space="preserve">    ---- </v>
      </c>
      <c r="AF85" s="196">
        <f>SUM(AF81:AF84)</f>
        <v>2541.1866050899998</v>
      </c>
      <c r="AG85" s="449">
        <f>SUM(AG81:AG84)</f>
        <v>2931.7168416099998</v>
      </c>
      <c r="AH85" s="449">
        <f>IF(AF85=0, "    ---- ", IF(ABS(ROUND(100/AF85*AG85-100,1))&lt;999,ROUND(100/AF85*AG85-100,1),IF(ROUND(100/AF85*AG85-100,1)&gt;999,999,-999)))</f>
        <v>15.4</v>
      </c>
      <c r="AI85" s="196">
        <f>SUM(AI81:AI84)</f>
        <v>35920.71</v>
      </c>
      <c r="AJ85" s="449">
        <f>SUM(AJ81:AJ84)</f>
        <v>43584.932000000001</v>
      </c>
      <c r="AK85" s="340">
        <f t="shared" si="30"/>
        <v>21.3</v>
      </c>
      <c r="AL85" s="196">
        <f>SUM(AL81:AL84)</f>
        <v>114538</v>
      </c>
      <c r="AM85" s="449">
        <f>SUM(AM81:AM84)</f>
        <v>137089</v>
      </c>
      <c r="AN85" s="340">
        <f t="shared" si="31"/>
        <v>19.7</v>
      </c>
      <c r="AO85" s="447">
        <f t="shared" si="51"/>
        <v>390118.79482765001</v>
      </c>
      <c r="AP85" s="447">
        <f t="shared" si="52"/>
        <v>457151.57950211002</v>
      </c>
      <c r="AQ85" s="340">
        <f t="shared" si="25"/>
        <v>17.2</v>
      </c>
      <c r="AR85" s="447">
        <f t="shared" si="53"/>
        <v>392659.98143273999</v>
      </c>
      <c r="AS85" s="447">
        <f t="shared" si="54"/>
        <v>460083.29634371994</v>
      </c>
      <c r="AT85" s="450">
        <f t="shared" si="28"/>
        <v>17.2</v>
      </c>
      <c r="AU85" s="496"/>
      <c r="AV85" s="496"/>
      <c r="AW85" s="500"/>
    </row>
    <row r="86" spans="1:49" s="469" customFormat="1" ht="20.100000000000001" customHeight="1" x14ac:dyDescent="0.3">
      <c r="A86" s="463" t="s">
        <v>245</v>
      </c>
      <c r="B86" s="196">
        <v>70.144999999999996</v>
      </c>
      <c r="C86" s="449">
        <v>61.606000000000002</v>
      </c>
      <c r="D86" s="340">
        <f>IF(B86=0, "    ---- ", IF(ABS(ROUND(100/B86*C86-100,1))&lt;999,ROUND(100/B86*C86-100,1),IF(ROUND(100/B86*C86-100,1)&gt;999,999,-999)))</f>
        <v>-12.2</v>
      </c>
      <c r="E86" s="196">
        <v>6.4</v>
      </c>
      <c r="F86" s="449">
        <v>10.6</v>
      </c>
      <c r="G86" s="340">
        <f>IF(E86=0, "    ---- ", IF(ABS(ROUND(100/E86*F86-100,1))&lt;999,ROUND(100/E86*F86-100,1),IF(ROUND(100/E86*F86-100,1)&gt;999,999,-999)))</f>
        <v>65.599999999999994</v>
      </c>
      <c r="H86" s="196">
        <v>1441.732</v>
      </c>
      <c r="I86" s="449">
        <v>1796.4516681499999</v>
      </c>
      <c r="J86" s="340">
        <f t="shared" si="21"/>
        <v>24.6</v>
      </c>
      <c r="K86" s="449"/>
      <c r="L86" s="449">
        <v>221.83344095999976</v>
      </c>
      <c r="M86" s="340" t="str">
        <f>IF(K86=0, "    ---- ", IF(ABS(ROUND(100/K86*L86-100,1))&lt;999,ROUND(100/K86*L86-100,1),IF(ROUND(100/K86*L86-100,1)&gt;999,999,-999)))</f>
        <v xml:space="preserve">    ---- </v>
      </c>
      <c r="N86" s="196">
        <v>53.517000000000003</v>
      </c>
      <c r="O86" s="449">
        <v>102.09099999999999</v>
      </c>
      <c r="P86" s="340">
        <f>IF(N86=0, "    ---- ", IF(ABS(ROUND(100/N86*O86-100,1))&lt;999,ROUND(100/N86*O86-100,1),IF(ROUND(100/N86*O86-100,1)&gt;999,999,-999)))</f>
        <v>90.8</v>
      </c>
      <c r="Q86" s="196">
        <v>99.4</v>
      </c>
      <c r="R86" s="449">
        <v>83.6</v>
      </c>
      <c r="S86" s="340">
        <f>IF(Q86=0, "    ---- ", IF(ABS(ROUND(100/Q86*R86-100,1))&lt;999,ROUND(100/Q86*R86-100,1),IF(ROUND(100/Q86*R86-100,1)&gt;999,999,-999)))</f>
        <v>-15.9</v>
      </c>
      <c r="T86" s="196"/>
      <c r="U86" s="449"/>
      <c r="V86" s="340"/>
      <c r="W86" s="104">
        <v>2000.70327875</v>
      </c>
      <c r="X86" s="449">
        <v>2357.17324809</v>
      </c>
      <c r="Y86" s="340">
        <f t="shared" si="50"/>
        <v>17.8</v>
      </c>
      <c r="Z86" s="196">
        <v>903.98</v>
      </c>
      <c r="AA86" s="449">
        <v>542.79999999999995</v>
      </c>
      <c r="AB86" s="340">
        <f t="shared" si="22"/>
        <v>-40</v>
      </c>
      <c r="AC86" s="196">
        <v>1022</v>
      </c>
      <c r="AD86" s="449">
        <v>912</v>
      </c>
      <c r="AE86" s="340">
        <f>IF(AC86=0, "    ---- ", IF(ABS(ROUND(100/AC86*AD86-100,1))&lt;999,ROUND(100/AC86*AD86-100,1),IF(ROUND(100/AC86*AD86-100,1)&gt;999,999,-999)))</f>
        <v>-10.8</v>
      </c>
      <c r="AF86" s="196"/>
      <c r="AG86" s="449"/>
      <c r="AH86" s="340"/>
      <c r="AI86" s="196">
        <v>859.31399999999996</v>
      </c>
      <c r="AJ86" s="449">
        <v>622.68600000000004</v>
      </c>
      <c r="AK86" s="340">
        <f t="shared" si="30"/>
        <v>-27.5</v>
      </c>
      <c r="AL86" s="196">
        <v>7</v>
      </c>
      <c r="AM86" s="449">
        <v>7</v>
      </c>
      <c r="AN86" s="340">
        <f t="shared" si="31"/>
        <v>0</v>
      </c>
      <c r="AO86" s="447">
        <f t="shared" si="51"/>
        <v>6464.1912787500005</v>
      </c>
      <c r="AP86" s="447">
        <f t="shared" si="52"/>
        <v>6717.8413571999999</v>
      </c>
      <c r="AQ86" s="340">
        <f t="shared" si="25"/>
        <v>3.9</v>
      </c>
      <c r="AR86" s="447">
        <f t="shared" si="53"/>
        <v>6464.1912787500005</v>
      </c>
      <c r="AS86" s="447">
        <f t="shared" si="54"/>
        <v>6717.8413571999999</v>
      </c>
      <c r="AT86" s="450">
        <f t="shared" si="28"/>
        <v>3.9</v>
      </c>
      <c r="AU86" s="496"/>
      <c r="AV86" s="496"/>
      <c r="AW86" s="500"/>
    </row>
    <row r="87" spans="1:49" s="469" customFormat="1" ht="20.100000000000001" customHeight="1" x14ac:dyDescent="0.3">
      <c r="A87" s="463" t="s">
        <v>246</v>
      </c>
      <c r="B87" s="196"/>
      <c r="C87" s="449"/>
      <c r="D87" s="340"/>
      <c r="E87" s="196"/>
      <c r="F87" s="449"/>
      <c r="G87" s="340"/>
      <c r="H87" s="196"/>
      <c r="I87" s="449"/>
      <c r="J87" s="340"/>
      <c r="K87" s="449"/>
      <c r="L87" s="449">
        <v>366.46634876999997</v>
      </c>
      <c r="M87" s="340" t="str">
        <f t="shared" ref="M87:M88" si="55">IF(K87=0, "    ---- ", IF(ABS(ROUND(100/K87*L87-100,1))&lt;999,ROUND(100/K87*L87-100,1),IF(ROUND(100/K87*L87-100,1)&gt;999,999,-999)))</f>
        <v xml:space="preserve">    ---- </v>
      </c>
      <c r="N87" s="196"/>
      <c r="O87" s="449"/>
      <c r="P87" s="340"/>
      <c r="Q87" s="196"/>
      <c r="R87" s="449"/>
      <c r="S87" s="340"/>
      <c r="T87" s="196"/>
      <c r="U87" s="449"/>
      <c r="V87" s="340"/>
      <c r="W87" s="196"/>
      <c r="X87" s="449">
        <v>0</v>
      </c>
      <c r="Y87" s="340" t="str">
        <f t="shared" si="50"/>
        <v xml:space="preserve">    ---- </v>
      </c>
      <c r="Z87" s="196">
        <v>0</v>
      </c>
      <c r="AA87" s="449">
        <v>0</v>
      </c>
      <c r="AB87" s="340" t="str">
        <f t="shared" si="22"/>
        <v xml:space="preserve">    ---- </v>
      </c>
      <c r="AC87" s="196"/>
      <c r="AD87" s="449"/>
      <c r="AE87" s="340"/>
      <c r="AF87" s="196"/>
      <c r="AG87" s="449"/>
      <c r="AH87" s="340"/>
      <c r="AI87" s="196">
        <v>360.58600000000001</v>
      </c>
      <c r="AJ87" s="449">
        <v>0</v>
      </c>
      <c r="AK87" s="340">
        <f t="shared" si="30"/>
        <v>-100</v>
      </c>
      <c r="AL87" s="196"/>
      <c r="AM87" s="449"/>
      <c r="AN87" s="340"/>
      <c r="AO87" s="447">
        <f t="shared" si="51"/>
        <v>360.58600000000001</v>
      </c>
      <c r="AP87" s="447">
        <f t="shared" si="52"/>
        <v>366.46634876999997</v>
      </c>
      <c r="AQ87" s="340">
        <f t="shared" si="25"/>
        <v>1.6</v>
      </c>
      <c r="AR87" s="447">
        <f t="shared" si="53"/>
        <v>360.58600000000001</v>
      </c>
      <c r="AS87" s="447">
        <f t="shared" si="54"/>
        <v>366.46634876999997</v>
      </c>
      <c r="AT87" s="450">
        <f t="shared" si="28"/>
        <v>1.6</v>
      </c>
      <c r="AU87" s="496"/>
      <c r="AV87" s="496"/>
      <c r="AW87" s="500"/>
    </row>
    <row r="88" spans="1:49" s="469" customFormat="1" ht="20.100000000000001" customHeight="1" x14ac:dyDescent="0.3">
      <c r="A88" s="463" t="s">
        <v>247</v>
      </c>
      <c r="B88" s="196">
        <v>88.766000000000005</v>
      </c>
      <c r="C88" s="449">
        <v>130.75800000000001</v>
      </c>
      <c r="D88" s="449">
        <f>IF(B88=0, "    ---- ", IF(ABS(ROUND(100/B88*C88-100,1))&lt;999,ROUND(100/B88*C88-100,1),IF(ROUND(100/B88*C88-100,1)&gt;999,999,-999)))</f>
        <v>47.3</v>
      </c>
      <c r="E88" s="196">
        <v>8.1</v>
      </c>
      <c r="F88" s="449">
        <v>19.5</v>
      </c>
      <c r="G88" s="340">
        <f>IF(E88=0, "    ---- ", IF(ABS(ROUND(100/E88*F88-100,1))&lt;999,ROUND(100/E88*F88-100,1),IF(ROUND(100/E88*F88-100,1)&gt;999,999,-999)))</f>
        <v>140.69999999999999</v>
      </c>
      <c r="H88" s="196">
        <f>1169.68+85.575</f>
        <v>1255.2550000000001</v>
      </c>
      <c r="I88" s="449">
        <v>3602.3960000000002</v>
      </c>
      <c r="J88" s="449">
        <f t="shared" si="21"/>
        <v>187</v>
      </c>
      <c r="K88" s="449"/>
      <c r="L88" s="449">
        <v>89.319023499999986</v>
      </c>
      <c r="M88" s="340" t="str">
        <f t="shared" si="55"/>
        <v xml:space="preserve">    ---- </v>
      </c>
      <c r="N88" s="955">
        <v>15.5</v>
      </c>
      <c r="O88" s="449">
        <v>19.317</v>
      </c>
      <c r="P88" s="340">
        <f>IF(N88=0, "    ---- ", IF(ABS(ROUND(100/N88*O88-100,1))&lt;999,ROUND(100/N88*O88-100,1),IF(ROUND(100/N88*O88-100,1)&gt;999,999,-999)))</f>
        <v>24.6</v>
      </c>
      <c r="Q88" s="196">
        <v>162.5</v>
      </c>
      <c r="R88" s="449">
        <v>156</v>
      </c>
      <c r="S88" s="438">
        <f>IF(Q88=0, "    ---- ", IF(ABS(ROUND(100/Q88*R88-100,1))&lt;999,ROUND(100/Q88*R88-100,1),IF(ROUND(100/Q88*R88-100,1)&gt;999,999,-999)))</f>
        <v>-4</v>
      </c>
      <c r="T88" s="196">
        <v>3.0064970400000002</v>
      </c>
      <c r="U88" s="449">
        <v>4.93813295</v>
      </c>
      <c r="V88" s="340">
        <f>IF(T88=0, "    ---- ", IF(ABS(ROUND(100/T88*U88-100,1))&lt;999,ROUND(100/T88*U88-100,1),IF(ROUND(100/T88*U88-100,1)&gt;999,999,-999)))</f>
        <v>64.2</v>
      </c>
      <c r="W88" s="104">
        <v>7998.9354489099996</v>
      </c>
      <c r="X88" s="449">
        <v>10604.99530692</v>
      </c>
      <c r="Y88" s="340">
        <f t="shared" si="50"/>
        <v>32.6</v>
      </c>
      <c r="Z88" s="196">
        <v>377.24</v>
      </c>
      <c r="AA88" s="449">
        <v>277.64</v>
      </c>
      <c r="AB88" s="340">
        <f t="shared" si="22"/>
        <v>-26.4</v>
      </c>
      <c r="AC88" s="196">
        <v>85</v>
      </c>
      <c r="AD88" s="449">
        <v>93</v>
      </c>
      <c r="AE88" s="340">
        <f>IF(AC88=0, "    ---- ", IF(ABS(ROUND(100/AC88*AD88-100,1))&lt;999,ROUND(100/AC88*AD88-100,1),IF(ROUND(100/AC88*AD88-100,1)&gt;999,999,-999)))</f>
        <v>9.4</v>
      </c>
      <c r="AF88" s="196">
        <v>23.066620570000001</v>
      </c>
      <c r="AG88" s="449">
        <v>19.482951230000001</v>
      </c>
      <c r="AH88" s="340">
        <f>IF(AF88=0, "    ---- ", IF(ABS(ROUND(100/AF88*AG88-100,1))&lt;999,ROUND(100/AF88*AG88-100,1),IF(ROUND(100/AF88*AG88-100,1)&gt;999,999,-999)))</f>
        <v>-15.5</v>
      </c>
      <c r="AI88" s="196">
        <v>591.92899999999997</v>
      </c>
      <c r="AJ88" s="449">
        <v>1119.4760000000001</v>
      </c>
      <c r="AK88" s="340">
        <f t="shared" si="30"/>
        <v>89.1</v>
      </c>
      <c r="AL88" s="196">
        <v>4886</v>
      </c>
      <c r="AM88" s="449">
        <v>10678</v>
      </c>
      <c r="AN88" s="340">
        <f t="shared" si="31"/>
        <v>118.5</v>
      </c>
      <c r="AO88" s="447">
        <f t="shared" si="51"/>
        <v>15469.22544891</v>
      </c>
      <c r="AP88" s="447">
        <f t="shared" si="52"/>
        <v>26790.401330419998</v>
      </c>
      <c r="AQ88" s="340">
        <f t="shared" si="25"/>
        <v>73.2</v>
      </c>
      <c r="AR88" s="447">
        <f t="shared" si="53"/>
        <v>15495.298566519999</v>
      </c>
      <c r="AS88" s="447">
        <f t="shared" si="54"/>
        <v>26814.822414599999</v>
      </c>
      <c r="AT88" s="450">
        <f t="shared" si="28"/>
        <v>73.099999999999994</v>
      </c>
      <c r="AU88" s="496"/>
      <c r="AV88" s="496"/>
      <c r="AW88" s="500"/>
    </row>
    <row r="89" spans="1:49" s="469" customFormat="1" ht="20.100000000000001" customHeight="1" x14ac:dyDescent="0.3">
      <c r="A89" s="463" t="s">
        <v>248</v>
      </c>
      <c r="B89" s="196">
        <v>33.012</v>
      </c>
      <c r="C89" s="449">
        <v>38.835000000000001</v>
      </c>
      <c r="D89" s="449">
        <f>IF(B89=0, "    ---- ", IF(ABS(ROUND(100/B89*C89-100,1))&lt;999,ROUND(100/B89*C89-100,1),IF(ROUND(100/B89*C89-100,1)&gt;999,999,-999)))</f>
        <v>17.600000000000001</v>
      </c>
      <c r="E89" s="196">
        <v>4.2</v>
      </c>
      <c r="F89" s="449">
        <v>6.1</v>
      </c>
      <c r="G89" s="340">
        <f>IF(E89=0, "    ---- ", IF(ABS(ROUND(100/E89*F89-100,1))&lt;999,ROUND(100/E89*F89-100,1),IF(ROUND(100/E89*F89-100,1)&gt;999,999,-999)))</f>
        <v>45.2</v>
      </c>
      <c r="H89" s="196">
        <v>153.35</v>
      </c>
      <c r="I89" s="449">
        <v>119.45562854000001</v>
      </c>
      <c r="J89" s="449">
        <f t="shared" si="21"/>
        <v>-22.1</v>
      </c>
      <c r="K89" s="449"/>
      <c r="L89" s="449">
        <v>4.5509954099999996</v>
      </c>
      <c r="M89" s="449" t="str">
        <f>IF(K89=0, "    ---- ", IF(ABS(ROUND(100/K89*L89-100,1))&lt;999,ROUND(100/K89*L89-100,1),IF(ROUND(100/K89*L89-100,1)&gt;999,999,-999)))</f>
        <v xml:space="preserve">    ---- </v>
      </c>
      <c r="N89" s="196">
        <v>22.835999999999999</v>
      </c>
      <c r="O89" s="449">
        <v>22.629000000000001</v>
      </c>
      <c r="P89" s="449">
        <f>IF(N89=0, "    ---- ", IF(ABS(ROUND(100/N89*O89-100,1))&lt;999,ROUND(100/N89*O89-100,1),IF(ROUND(100/N89*O89-100,1)&gt;999,999,-999)))</f>
        <v>-0.9</v>
      </c>
      <c r="Q89" s="196">
        <v>16.5</v>
      </c>
      <c r="R89" s="449">
        <v>17.600000000000001</v>
      </c>
      <c r="S89" s="340">
        <f>IF(Q89=0, "    ---- ", IF(ABS(ROUND(100/Q89*R89-100,1))&lt;999,ROUND(100/Q89*R89-100,1),IF(ROUND(100/Q89*R89-100,1)&gt;999,999,-999)))</f>
        <v>6.7</v>
      </c>
      <c r="T89" s="196">
        <v>0.94617494000000002</v>
      </c>
      <c r="U89" s="449">
        <v>0.94572233000000006</v>
      </c>
      <c r="V89" s="340">
        <f>IF(T89=0, "    ---- ", IF(ABS(ROUND(100/T89*U89-100,1))&lt;999,ROUND(100/T89*U89-100,1),IF(ROUND(100/T89*U89-100,1)&gt;999,999,-999)))</f>
        <v>0</v>
      </c>
      <c r="W89" s="104">
        <v>218.68290691999999</v>
      </c>
      <c r="X89" s="449">
        <v>309.31345641000001</v>
      </c>
      <c r="Y89" s="340">
        <f t="shared" si="50"/>
        <v>41.4</v>
      </c>
      <c r="Z89" s="196">
        <v>34.659999999999997</v>
      </c>
      <c r="AA89" s="449">
        <v>36.32</v>
      </c>
      <c r="AB89" s="340">
        <f t="shared" si="22"/>
        <v>4.8</v>
      </c>
      <c r="AC89" s="196">
        <v>96</v>
      </c>
      <c r="AD89" s="449">
        <v>44</v>
      </c>
      <c r="AE89" s="340">
        <f>IF(AC89=0, "    ---- ", IF(ABS(ROUND(100/AC89*AD89-100,1))&lt;999,ROUND(100/AC89*AD89-100,1),IF(ROUND(100/AC89*AD89-100,1)&gt;999,999,-999)))</f>
        <v>-54.2</v>
      </c>
      <c r="AF89" s="196">
        <v>0.31797940000000002</v>
      </c>
      <c r="AG89" s="449">
        <v>0.28359466</v>
      </c>
      <c r="AH89" s="340">
        <f>IF(AF89=0, "    ---- ", IF(ABS(ROUND(100/AF89*AG89-100,1))&lt;999,ROUND(100/AF89*AG89-100,1),IF(ROUND(100/AF89*AG89-100,1)&gt;999,999,-999)))</f>
        <v>-10.8</v>
      </c>
      <c r="AI89" s="196">
        <v>95.161000000000001</v>
      </c>
      <c r="AJ89" s="449">
        <v>38.56</v>
      </c>
      <c r="AK89" s="340">
        <f t="shared" si="30"/>
        <v>-59.5</v>
      </c>
      <c r="AL89" s="196">
        <v>305</v>
      </c>
      <c r="AM89" s="449">
        <v>137</v>
      </c>
      <c r="AN89" s="340">
        <f t="shared" si="31"/>
        <v>-55.1</v>
      </c>
      <c r="AO89" s="447">
        <f t="shared" si="51"/>
        <v>979.40190691999987</v>
      </c>
      <c r="AP89" s="447">
        <f t="shared" si="52"/>
        <v>774.36408036000012</v>
      </c>
      <c r="AQ89" s="340">
        <f t="shared" si="25"/>
        <v>-20.9</v>
      </c>
      <c r="AR89" s="447">
        <f t="shared" si="53"/>
        <v>980.66606125999988</v>
      </c>
      <c r="AS89" s="447">
        <f t="shared" si="54"/>
        <v>775.59339735000003</v>
      </c>
      <c r="AT89" s="450">
        <f t="shared" si="28"/>
        <v>-20.9</v>
      </c>
      <c r="AU89" s="496"/>
      <c r="AV89" s="496"/>
      <c r="AW89" s="500"/>
    </row>
    <row r="90" spans="1:49" s="469" customFormat="1" ht="20.100000000000001" customHeight="1" x14ac:dyDescent="0.3">
      <c r="A90" s="463"/>
      <c r="B90" s="196"/>
      <c r="C90" s="449"/>
      <c r="D90" s="340"/>
      <c r="E90" s="196"/>
      <c r="F90" s="449"/>
      <c r="G90" s="340"/>
      <c r="H90" s="196"/>
      <c r="I90" s="449"/>
      <c r="J90" s="340"/>
      <c r="K90" s="449"/>
      <c r="L90" s="449"/>
      <c r="M90" s="340"/>
      <c r="N90" s="196"/>
      <c r="O90" s="449"/>
      <c r="P90" s="340"/>
      <c r="Q90" s="196"/>
      <c r="R90" s="449"/>
      <c r="S90" s="340"/>
      <c r="T90" s="196"/>
      <c r="U90" s="449"/>
      <c r="V90" s="340"/>
      <c r="W90" s="196"/>
      <c r="X90" s="449"/>
      <c r="Y90" s="340"/>
      <c r="Z90" s="196"/>
      <c r="AA90" s="449"/>
      <c r="AB90" s="340"/>
      <c r="AC90" s="196"/>
      <c r="AD90" s="449"/>
      <c r="AE90" s="340"/>
      <c r="AF90" s="196"/>
      <c r="AG90" s="449"/>
      <c r="AH90" s="340"/>
      <c r="AI90" s="196"/>
      <c r="AJ90" s="449"/>
      <c r="AK90" s="340"/>
      <c r="AL90" s="196"/>
      <c r="AM90" s="449"/>
      <c r="AN90" s="340"/>
      <c r="AO90" s="440"/>
      <c r="AP90" s="440"/>
      <c r="AQ90" s="340"/>
      <c r="AR90" s="440"/>
      <c r="AS90" s="440"/>
      <c r="AT90" s="450"/>
      <c r="AU90" s="496"/>
      <c r="AV90" s="496"/>
      <c r="AW90" s="500"/>
    </row>
    <row r="91" spans="1:49" s="504" customFormat="1" ht="20.100000000000001" customHeight="1" x14ac:dyDescent="0.3">
      <c r="A91" s="466" t="s">
        <v>249</v>
      </c>
      <c r="B91" s="199">
        <f>SUM(B68+B69+B71+B79+B85+B86+B87+B88+B89)</f>
        <v>22836.272999999997</v>
      </c>
      <c r="C91" s="455">
        <f>SUM(C68+C69+C71+C79+C85+C86+C87+C88+C89)</f>
        <v>26632.751</v>
      </c>
      <c r="D91" s="456">
        <f>IF(B91=0, "    ---- ", IF(ABS(ROUND(100/B91*C91-100,1))&lt;999,ROUND(100/B91*C91-100,1),IF(ROUND(100/B91*C91-100,1)&gt;999,999,-999)))</f>
        <v>16.600000000000001</v>
      </c>
      <c r="E91" s="199">
        <f>SUM(E68+E69+E71+E79+E85+E86+E87+E88+E89)</f>
        <v>7259.4999999999991</v>
      </c>
      <c r="F91" s="455">
        <f>SUM(F68+F69+F71+F79+F85+F86+F87+F88+F89)</f>
        <v>8407.4000000000015</v>
      </c>
      <c r="G91" s="456">
        <f>IF(E91=0, "    ---- ", IF(ABS(ROUND(100/E91*F91-100,1))&lt;999,ROUND(100/E91*F91-100,1),IF(ROUND(100/E91*F91-100,1)&gt;999,999,-999)))</f>
        <v>15.8</v>
      </c>
      <c r="H91" s="199">
        <f>SUM(H68+H69+H71+H79+H85+H86+H87+H88+H89)</f>
        <v>338885.16400000005</v>
      </c>
      <c r="I91" s="455">
        <f>SUM(I68+I69+I71+I79+I85+I86+I87+I88+I89)</f>
        <v>346272.61721269006</v>
      </c>
      <c r="J91" s="456">
        <f t="shared" si="21"/>
        <v>2.2000000000000002</v>
      </c>
      <c r="K91" s="455"/>
      <c r="L91" s="455">
        <f>SUM(L68+L69+L71+L79+L85+L86+L87+L88+L89)</f>
        <v>10657.997736359999</v>
      </c>
      <c r="M91" s="456" t="str">
        <f>IF(K91=0, "    ---- ", IF(ABS(ROUND(100/K91*L91-100,1))&lt;999,ROUND(100/K91*L91-100,1),IF(ROUND(100/K91*L91-100,1)&gt;999,999,-999)))</f>
        <v xml:space="preserve">    ---- </v>
      </c>
      <c r="N91" s="199">
        <f>SUM(N68+N69+N71+N79+N85+N86+N87+N88+N89)</f>
        <v>5903.3380000000006</v>
      </c>
      <c r="O91" s="455">
        <f>SUM(O68+O69+O71+O79+O85+O86+O87+O88+O89)</f>
        <v>1905.087</v>
      </c>
      <c r="P91" s="456">
        <f>IF(N91=0, "    ---- ", IF(ABS(ROUND(100/N91*O91-100,1))&lt;999,ROUND(100/N91*O91-100,1),IF(ROUND(100/N91*O91-100,1)&gt;999,999,-999)))</f>
        <v>-67.7</v>
      </c>
      <c r="Q91" s="199">
        <f>SUM(Q68+Q69+Q71+Q79+Q85+Q86+Q87+Q88+Q89)</f>
        <v>38815.500000000007</v>
      </c>
      <c r="R91" s="455">
        <f>SUM(R68+R69+R71+R79+R85+R86+R87+R88+R89)</f>
        <v>43945.599999999999</v>
      </c>
      <c r="S91" s="456">
        <f>IF(Q91=0, "    ---- ", IF(ABS(ROUND(100/Q91*R91-100,1))&lt;999,ROUND(100/Q91*R91-100,1),IF(ROUND(100/Q91*R91-100,1)&gt;999,999,-999)))</f>
        <v>13.2</v>
      </c>
      <c r="T91" s="199">
        <f>SUM(T68+T69+T71+T79+T85+T86+T87+T88+T89)</f>
        <v>148.08570469999998</v>
      </c>
      <c r="U91" s="455">
        <f>SUM(U68+U69+U71+U79+U85+U86+U87+U88+U89)</f>
        <v>157.24688577000001</v>
      </c>
      <c r="V91" s="456">
        <f>IF(T91=0, "    ---- ", IF(ABS(ROUND(100/T91*U91-100,1))&lt;999,ROUND(100/T91*U91-100,1),IF(ROUND(100/T91*U91-100,1)&gt;999,999,-999)))</f>
        <v>6.2</v>
      </c>
      <c r="W91" s="199">
        <f>SUM(W68+W69+W71+W79+W85+W86+W87+W88+W89)</f>
        <v>621517.66450794984</v>
      </c>
      <c r="X91" s="455">
        <v>652276.69032454002</v>
      </c>
      <c r="Y91" s="456">
        <f t="shared" si="50"/>
        <v>4.9000000000000004</v>
      </c>
      <c r="Z91" s="199">
        <f>SUM(Z68+Z69+Z71+Z79+Z85+Z86+Z87+Z88+Z89)</f>
        <v>141695.06425290002</v>
      </c>
      <c r="AA91" s="455">
        <f>SUM(AA68+AA69+AA71+AA79+AA85+AA86+AA87+AA88+AA89)</f>
        <v>164118.27000000002</v>
      </c>
      <c r="AB91" s="456">
        <f t="shared" si="22"/>
        <v>15.8</v>
      </c>
      <c r="AC91" s="199">
        <f>SUM(AC68+AC69+AC71+AC79+AC85+AC86+AC87+AC88+AC89)</f>
        <v>104581</v>
      </c>
      <c r="AD91" s="455">
        <f>SUM(AD68+AD69+AD71+AD79+AD85+AD86+AD87+AD88+AD89)</f>
        <v>112424</v>
      </c>
      <c r="AE91" s="456">
        <f>IF(AC91=0, "    ---- ", IF(ABS(ROUND(100/AC91*AD91-100,1))&lt;999,ROUND(100/AC91*AD91-100,1),IF(ROUND(100/AC91*AD91-100,1)&gt;999,999,-999)))</f>
        <v>7.5</v>
      </c>
      <c r="AF91" s="199">
        <f>SUM(AF68+AF69+AF71+AF79+AF85+AF86+AF87+AF88+AF89)</f>
        <v>2628.5382914399997</v>
      </c>
      <c r="AG91" s="455">
        <f>SUM(AG68+AG69+AG71+AG79+AG85+AG86+AG87+AG88+AG89)</f>
        <v>3027.8722285099993</v>
      </c>
      <c r="AH91" s="456">
        <f>IF(AF91=0, "    ---- ", IF(ABS(ROUND(100/AF91*AG91-100,1))&lt;999,ROUND(100/AF91*AG91-100,1),IF(ROUND(100/AF91*AG91-100,1)&gt;999,999,-999)))</f>
        <v>15.2</v>
      </c>
      <c r="AI91" s="199">
        <f>SUM(AI68+AI69+AI71+AI79+AI85+AI86+AI87+AI88+AI89)</f>
        <v>70271.402999999991</v>
      </c>
      <c r="AJ91" s="455">
        <f>SUM(AJ68+AJ69+AJ71+AJ79+AJ85+AJ86+AJ87+AJ88+AJ89)</f>
        <v>73707.005999999994</v>
      </c>
      <c r="AK91" s="456">
        <f t="shared" si="30"/>
        <v>4.9000000000000004</v>
      </c>
      <c r="AL91" s="199">
        <f>SUM(AL68+AL69+AL71+AL79+AL85+AL86+AL87+AL88+AL89)</f>
        <v>343057</v>
      </c>
      <c r="AM91" s="455">
        <f>SUM(AM68+AM69+AM71+AM79+AM85+AM86+AM87+AM88+AM89)</f>
        <v>375840</v>
      </c>
      <c r="AN91" s="456">
        <f t="shared" si="31"/>
        <v>9.6</v>
      </c>
      <c r="AO91" s="839">
        <f>B91+H91+K91+N91+Q91+W91+E91+Z91+AC91+AI91+AL91</f>
        <v>1694821.9067608498</v>
      </c>
      <c r="AP91" s="839">
        <f>C91+I91+L91+O91+R91+X91+F91+AA91+AD91+AJ91+AM91</f>
        <v>1816187.41927359</v>
      </c>
      <c r="AQ91" s="456">
        <f t="shared" si="25"/>
        <v>7.2</v>
      </c>
      <c r="AR91" s="839">
        <f>B91+H91+K91+N91+Q91+T91+W91+E91+Z91+AC91+AF91+AI91+AL91</f>
        <v>1697598.53075699</v>
      </c>
      <c r="AS91" s="839">
        <f>C91+I91+L91+O91+R91+U91+X91+F91+AA91+AD91+AG91+AJ91+AM91</f>
        <v>1819372.53838787</v>
      </c>
      <c r="AT91" s="457">
        <f t="shared" si="28"/>
        <v>7.2</v>
      </c>
      <c r="AU91" s="502"/>
      <c r="AV91" s="496"/>
      <c r="AW91" s="500"/>
    </row>
    <row r="92" spans="1:49" ht="18.75" customHeight="1" x14ac:dyDescent="0.3">
      <c r="A92" s="467" t="s">
        <v>250</v>
      </c>
      <c r="B92" s="467"/>
      <c r="W92" s="467"/>
      <c r="X92" s="469"/>
      <c r="AA92" s="470"/>
      <c r="AB92" s="470"/>
      <c r="AC92" s="470"/>
      <c r="AD92" s="470"/>
      <c r="AE92" s="470"/>
      <c r="AF92" s="470"/>
      <c r="AG92" s="470"/>
      <c r="AH92" s="470"/>
      <c r="AI92" s="467"/>
      <c r="AL92" s="467"/>
    </row>
    <row r="93" spans="1:49" ht="18.75" customHeight="1" x14ac:dyDescent="0.3">
      <c r="A93" s="467" t="s">
        <v>251</v>
      </c>
      <c r="F93" s="992"/>
      <c r="L93" s="992"/>
      <c r="O93" s="992"/>
      <c r="R93" s="992"/>
      <c r="U93" s="992"/>
      <c r="W93" s="467"/>
      <c r="X93" s="992"/>
      <c r="AA93" s="992"/>
      <c r="AB93" s="470"/>
      <c r="AC93" s="470"/>
      <c r="AD93" s="992"/>
      <c r="AE93" s="470"/>
      <c r="AF93" s="470"/>
      <c r="AG93" s="992"/>
      <c r="AH93" s="470"/>
      <c r="AI93" s="467"/>
      <c r="AJ93" s="992"/>
      <c r="AL93" s="467"/>
      <c r="AM93" s="992"/>
    </row>
    <row r="94" spans="1:49" s="471" customFormat="1" ht="18.75" customHeight="1" x14ac:dyDescent="0.3">
      <c r="A94" s="467" t="s">
        <v>252</v>
      </c>
      <c r="W94" s="467"/>
      <c r="X94" s="467"/>
      <c r="AB94" s="472"/>
      <c r="AC94" s="472"/>
      <c r="AD94" s="472"/>
      <c r="AE94" s="472"/>
      <c r="AF94" s="472"/>
      <c r="AG94" s="472"/>
      <c r="AH94" s="472"/>
      <c r="AU94" s="505"/>
      <c r="AV94" s="505"/>
    </row>
    <row r="95" spans="1:49" s="471" customFormat="1" ht="18.75" x14ac:dyDescent="0.3">
      <c r="W95" s="467"/>
      <c r="X95" s="467"/>
    </row>
    <row r="96" spans="1:49" s="471" customFormat="1" ht="18.75" x14ac:dyDescent="0.3">
      <c r="W96" s="467"/>
      <c r="X96" s="467"/>
    </row>
    <row r="97" spans="23:24" s="471" customFormat="1" ht="18.75" x14ac:dyDescent="0.3">
      <c r="W97" s="467"/>
      <c r="X97" s="467"/>
    </row>
    <row r="98" spans="23:24" s="471" customFormat="1" ht="18.75" x14ac:dyDescent="0.3">
      <c r="W98" s="467"/>
      <c r="X98" s="467"/>
    </row>
    <row r="99" spans="23:24" s="471" customFormat="1" ht="18.75" x14ac:dyDescent="0.3">
      <c r="W99" s="467"/>
      <c r="X99" s="467"/>
    </row>
    <row r="100" spans="23:24" s="471" customFormat="1" ht="18.75" x14ac:dyDescent="0.3">
      <c r="W100" s="467"/>
      <c r="X100" s="467"/>
    </row>
    <row r="101" spans="23:24" s="471" customFormat="1" ht="18.75" x14ac:dyDescent="0.3">
      <c r="W101" s="467"/>
      <c r="X101" s="467"/>
    </row>
    <row r="102" spans="23:24" s="471" customFormat="1" ht="18.75" x14ac:dyDescent="0.3">
      <c r="W102" s="467"/>
      <c r="X102" s="467"/>
    </row>
    <row r="103" spans="23:24" s="471" customFormat="1" ht="18.75" x14ac:dyDescent="0.3">
      <c r="W103" s="467"/>
      <c r="X103" s="467"/>
    </row>
    <row r="104" spans="23:24" s="471" customFormat="1" ht="18.75" x14ac:dyDescent="0.3">
      <c r="W104" s="467"/>
      <c r="X104" s="467"/>
    </row>
    <row r="105" spans="23:24" s="471" customFormat="1" ht="18.75" x14ac:dyDescent="0.3">
      <c r="W105" s="467"/>
      <c r="X105" s="467"/>
    </row>
    <row r="106" spans="23:24" s="471" customFormat="1" ht="18.75" x14ac:dyDescent="0.3">
      <c r="W106" s="467"/>
      <c r="X106" s="467"/>
    </row>
    <row r="107" spans="23:24" s="471" customFormat="1" ht="18.75" x14ac:dyDescent="0.3">
      <c r="W107" s="467"/>
      <c r="X107" s="467"/>
    </row>
    <row r="108" spans="23:24" s="471" customFormat="1" ht="18.75" x14ac:dyDescent="0.3">
      <c r="W108" s="467"/>
      <c r="X108" s="467"/>
    </row>
    <row r="109" spans="23:24" s="471" customFormat="1" ht="18.75" x14ac:dyDescent="0.3">
      <c r="W109" s="467"/>
      <c r="X109" s="467"/>
    </row>
    <row r="110" spans="23:24" s="471" customFormat="1" ht="18.75" x14ac:dyDescent="0.3">
      <c r="W110" s="467"/>
      <c r="X110" s="467"/>
    </row>
    <row r="111" spans="23:24" s="507" customFormat="1" ht="15.75" x14ac:dyDescent="0.25">
      <c r="W111" s="506"/>
      <c r="X111" s="506"/>
    </row>
    <row r="112" spans="23:24" s="507" customFormat="1" ht="15.75" x14ac:dyDescent="0.25">
      <c r="W112" s="506"/>
      <c r="X112" s="506"/>
    </row>
    <row r="113" spans="23:24" x14ac:dyDescent="0.2">
      <c r="W113" s="469"/>
      <c r="X113" s="469"/>
    </row>
    <row r="114" spans="23:24" x14ac:dyDescent="0.2">
      <c r="W114" s="469"/>
      <c r="X114" s="469"/>
    </row>
    <row r="115" spans="23:24" x14ac:dyDescent="0.2">
      <c r="W115" s="469"/>
      <c r="X115" s="469"/>
    </row>
    <row r="116" spans="23:24" x14ac:dyDescent="0.2">
      <c r="W116" s="469"/>
      <c r="X116" s="469"/>
    </row>
    <row r="117" spans="23:24" x14ac:dyDescent="0.2">
      <c r="W117" s="469"/>
      <c r="X117" s="469"/>
    </row>
    <row r="118" spans="23:24" x14ac:dyDescent="0.2">
      <c r="W118" s="469"/>
      <c r="X118" s="469"/>
    </row>
    <row r="119" spans="23:24" x14ac:dyDescent="0.2">
      <c r="W119" s="469"/>
      <c r="X119" s="469"/>
    </row>
    <row r="120" spans="23:24" x14ac:dyDescent="0.2">
      <c r="W120" s="469"/>
      <c r="X120" s="469"/>
    </row>
    <row r="121" spans="23:24" x14ac:dyDescent="0.2">
      <c r="W121" s="469"/>
      <c r="X121" s="469"/>
    </row>
    <row r="122" spans="23:24" x14ac:dyDescent="0.2">
      <c r="W122" s="469"/>
      <c r="X122" s="469"/>
    </row>
    <row r="123" spans="23:24" x14ac:dyDescent="0.2">
      <c r="W123" s="469"/>
      <c r="X123" s="469"/>
    </row>
    <row r="124" spans="23:24" x14ac:dyDescent="0.2">
      <c r="W124" s="469"/>
      <c r="X124" s="469"/>
    </row>
    <row r="125" spans="23:24" x14ac:dyDescent="0.2">
      <c r="W125" s="469"/>
      <c r="X125" s="469"/>
    </row>
    <row r="126" spans="23:24" x14ac:dyDescent="0.2">
      <c r="W126" s="469"/>
      <c r="X126" s="469"/>
    </row>
    <row r="127" spans="23:24" x14ac:dyDescent="0.2">
      <c r="W127" s="469"/>
      <c r="X127" s="469"/>
    </row>
    <row r="128" spans="23:24" x14ac:dyDescent="0.2">
      <c r="W128" s="469"/>
      <c r="X128" s="469"/>
    </row>
    <row r="129" spans="23:24" x14ac:dyDescent="0.2">
      <c r="W129" s="469"/>
      <c r="X129" s="469"/>
    </row>
    <row r="130" spans="23:24" x14ac:dyDescent="0.2">
      <c r="W130" s="469"/>
      <c r="X130" s="469"/>
    </row>
  </sheetData>
  <mergeCells count="37">
    <mergeCell ref="AL6:AN6"/>
    <mergeCell ref="AO6:AQ6"/>
    <mergeCell ref="AR6:AT6"/>
    <mergeCell ref="AW6:AY6"/>
    <mergeCell ref="AZ6:BB6"/>
    <mergeCell ref="B5:D5"/>
    <mergeCell ref="H5:J5"/>
    <mergeCell ref="BC5:BE5"/>
    <mergeCell ref="BF5:BH5"/>
    <mergeCell ref="W6:Y6"/>
    <mergeCell ref="E6:G6"/>
    <mergeCell ref="Z6:AB6"/>
    <mergeCell ref="AC6:AE6"/>
    <mergeCell ref="AF6:AH6"/>
    <mergeCell ref="BC6:BE6"/>
    <mergeCell ref="BF6:BH6"/>
    <mergeCell ref="AW5:AY5"/>
    <mergeCell ref="AZ5:BB5"/>
    <mergeCell ref="B6:D6"/>
    <mergeCell ref="H6:J6"/>
    <mergeCell ref="AI6:AK6"/>
    <mergeCell ref="K5:M5"/>
    <mergeCell ref="K6:M6"/>
    <mergeCell ref="E5:G5"/>
    <mergeCell ref="BI5:BK5"/>
    <mergeCell ref="AC5:AE5"/>
    <mergeCell ref="AI5:AK5"/>
    <mergeCell ref="AL5:AN5"/>
    <mergeCell ref="AO5:AQ5"/>
    <mergeCell ref="AR5:AT5"/>
    <mergeCell ref="N6:P6"/>
    <mergeCell ref="Q6:S6"/>
    <mergeCell ref="T6:V6"/>
    <mergeCell ref="N5:P5"/>
    <mergeCell ref="Q5:S5"/>
    <mergeCell ref="T5:V5"/>
    <mergeCell ref="BI6:BK6"/>
  </mergeCells>
  <conditionalFormatting sqref="Z91">
    <cfRule type="expression" dxfId="281" priority="278">
      <formula>#REF! = "64≠94"</formula>
    </cfRule>
  </conditionalFormatting>
  <conditionalFormatting sqref="Z91">
    <cfRule type="expression" dxfId="280" priority="279">
      <formula>#REF! = "94≠68+69+71+80+88+89+90+91+92"</formula>
    </cfRule>
  </conditionalFormatting>
  <conditionalFormatting sqref="Z35">
    <cfRule type="expression" dxfId="279" priority="280">
      <formula>#REF! ="35≠36+38"</formula>
    </cfRule>
  </conditionalFormatting>
  <conditionalFormatting sqref="Z39">
    <cfRule type="expression" dxfId="278" priority="281">
      <formula>#REF! ="39≠40+41+42+43+44"</formula>
    </cfRule>
  </conditionalFormatting>
  <conditionalFormatting sqref="Z45">
    <cfRule type="expression" dxfId="277" priority="282">
      <formula>#REF! ="45≠33+34+35+39"</formula>
    </cfRule>
  </conditionalFormatting>
  <conditionalFormatting sqref="Z50">
    <cfRule type="expression" dxfId="276" priority="283">
      <formula>#REF! ="50≠51+53"</formula>
    </cfRule>
  </conditionalFormatting>
  <conditionalFormatting sqref="Z54">
    <cfRule type="expression" dxfId="275" priority="284">
      <formula>#REF! ="54≠55+56+57+58+59"</formula>
    </cfRule>
  </conditionalFormatting>
  <conditionalFormatting sqref="Z60">
    <cfRule type="expression" dxfId="274" priority="285">
      <formula>#REF! ="60≠48+49+50+54"</formula>
    </cfRule>
  </conditionalFormatting>
  <conditionalFormatting sqref="Z62">
    <cfRule type="expression" dxfId="273" priority="286">
      <formula>#REF! ="62≠45+46+60+61"</formula>
    </cfRule>
  </conditionalFormatting>
  <conditionalFormatting sqref="Z64">
    <cfRule type="expression" dxfId="272" priority="287">
      <formula>#REF! ="64≠29+62"</formula>
    </cfRule>
  </conditionalFormatting>
  <conditionalFormatting sqref="Z79">
    <cfRule type="expression" dxfId="271" priority="288">
      <formula>#REF! ="80≠73+74+75+76+77+78+79"</formula>
    </cfRule>
  </conditionalFormatting>
  <conditionalFormatting sqref="Z85">
    <cfRule type="expression" dxfId="270" priority="289">
      <formula>#REF! ="88≠82+83+84+85+86+87"</formula>
    </cfRule>
  </conditionalFormatting>
  <conditionalFormatting sqref="B91">
    <cfRule type="expression" dxfId="269" priority="254">
      <formula>#REF! = "64≠94"</formula>
    </cfRule>
  </conditionalFormatting>
  <conditionalFormatting sqref="B91">
    <cfRule type="expression" dxfId="268" priority="255">
      <formula>#REF! = "94≠68+69+71+80+88+89+90+91+92"</formula>
    </cfRule>
  </conditionalFormatting>
  <conditionalFormatting sqref="B35">
    <cfRule type="expression" dxfId="267" priority="256">
      <formula>#REF! ="35≠36+38"</formula>
    </cfRule>
  </conditionalFormatting>
  <conditionalFormatting sqref="B39">
    <cfRule type="expression" dxfId="266" priority="257">
      <formula>#REF! ="39≠40+41+42+43+44"</formula>
    </cfRule>
  </conditionalFormatting>
  <conditionalFormatting sqref="B45">
    <cfRule type="expression" dxfId="265" priority="258">
      <formula>#REF! ="45≠33+34+35+39"</formula>
    </cfRule>
  </conditionalFormatting>
  <conditionalFormatting sqref="B50">
    <cfRule type="expression" dxfId="264" priority="259">
      <formula>#REF! ="50≠51+53"</formula>
    </cfRule>
  </conditionalFormatting>
  <conditionalFormatting sqref="B54">
    <cfRule type="expression" dxfId="263" priority="260">
      <formula>#REF! ="54≠55+56+57+58+59"</formula>
    </cfRule>
  </conditionalFormatting>
  <conditionalFormatting sqref="B60">
    <cfRule type="expression" dxfId="262" priority="261">
      <formula>#REF! ="60≠48+49+50+54"</formula>
    </cfRule>
  </conditionalFormatting>
  <conditionalFormatting sqref="B62">
    <cfRule type="expression" dxfId="261" priority="262">
      <formula>#REF! ="62≠45+46+60+61"</formula>
    </cfRule>
  </conditionalFormatting>
  <conditionalFormatting sqref="B64">
    <cfRule type="expression" dxfId="260" priority="263">
      <formula>#REF! ="64≠29+62"</formula>
    </cfRule>
  </conditionalFormatting>
  <conditionalFormatting sqref="B79">
    <cfRule type="expression" dxfId="259" priority="264">
      <formula>#REF! ="80≠73+74+75+76+77+78+79"</formula>
    </cfRule>
  </conditionalFormatting>
  <conditionalFormatting sqref="B85">
    <cfRule type="expression" dxfId="258" priority="265">
      <formula>#REF! ="88≠82+83+84+85+86+87"</formula>
    </cfRule>
  </conditionalFormatting>
  <conditionalFormatting sqref="Q91">
    <cfRule type="expression" dxfId="257" priority="230">
      <formula>#REF! = "64≠94"</formula>
    </cfRule>
  </conditionalFormatting>
  <conditionalFormatting sqref="Q91">
    <cfRule type="expression" dxfId="256" priority="231">
      <formula>#REF! = "94≠68+69+71+80+88+89+90+91+92"</formula>
    </cfRule>
  </conditionalFormatting>
  <conditionalFormatting sqref="Q35">
    <cfRule type="expression" dxfId="255" priority="232">
      <formula>#REF! ="35≠36+38"</formula>
    </cfRule>
  </conditionalFormatting>
  <conditionalFormatting sqref="Q39">
    <cfRule type="expression" dxfId="254" priority="233">
      <formula>#REF! ="39≠40+41+42+43+44"</formula>
    </cfRule>
  </conditionalFormatting>
  <conditionalFormatting sqref="Q45">
    <cfRule type="expression" dxfId="253" priority="234">
      <formula>#REF! ="45≠33+34+35+39"</formula>
    </cfRule>
  </conditionalFormatting>
  <conditionalFormatting sqref="Q50">
    <cfRule type="expression" dxfId="252" priority="235">
      <formula>#REF! ="50≠51+53"</formula>
    </cfRule>
  </conditionalFormatting>
  <conditionalFormatting sqref="Q54">
    <cfRule type="expression" dxfId="251" priority="236">
      <formula>#REF! ="54≠55+56+57+58+59"</formula>
    </cfRule>
  </conditionalFormatting>
  <conditionalFormatting sqref="Q60">
    <cfRule type="expression" dxfId="250" priority="237">
      <formula>#REF! ="60≠48+49+50+54"</formula>
    </cfRule>
  </conditionalFormatting>
  <conditionalFormatting sqref="Q62">
    <cfRule type="expression" dxfId="249" priority="238">
      <formula>#REF! ="62≠45+46+60+61"</formula>
    </cfRule>
  </conditionalFormatting>
  <conditionalFormatting sqref="Q64">
    <cfRule type="expression" dxfId="248" priority="239">
      <formula>#REF! ="64≠29+62"</formula>
    </cfRule>
  </conditionalFormatting>
  <conditionalFormatting sqref="Q79">
    <cfRule type="expression" dxfId="247" priority="240">
      <formula>#REF! ="80≠73+74+75+76+77+78+79"</formula>
    </cfRule>
  </conditionalFormatting>
  <conditionalFormatting sqref="Q85">
    <cfRule type="expression" dxfId="246" priority="241">
      <formula>#REF! ="88≠82+83+84+85+86+87"</formula>
    </cfRule>
  </conditionalFormatting>
  <conditionalFormatting sqref="AL91">
    <cfRule type="expression" dxfId="245" priority="206">
      <formula>#REF! = "64≠94"</formula>
    </cfRule>
  </conditionalFormatting>
  <conditionalFormatting sqref="AL91">
    <cfRule type="expression" dxfId="244" priority="207">
      <formula>#REF! = "94≠68+69+71+80+88+89+90+91+92"</formula>
    </cfRule>
  </conditionalFormatting>
  <conditionalFormatting sqref="AL35">
    <cfRule type="expression" dxfId="243" priority="208">
      <formula>#REF! ="35≠36+38"</formula>
    </cfRule>
  </conditionalFormatting>
  <conditionalFormatting sqref="AL39">
    <cfRule type="expression" dxfId="242" priority="209">
      <formula>#REF! ="39≠40+41+42+43+44"</formula>
    </cfRule>
  </conditionalFormatting>
  <conditionalFormatting sqref="AL45">
    <cfRule type="expression" dxfId="241" priority="210">
      <formula>#REF! ="45≠33+34+35+39"</formula>
    </cfRule>
  </conditionalFormatting>
  <conditionalFormatting sqref="AL50">
    <cfRule type="expression" dxfId="240" priority="211">
      <formula>#REF! ="50≠51+53"</formula>
    </cfRule>
  </conditionalFormatting>
  <conditionalFormatting sqref="AL54">
    <cfRule type="expression" dxfId="239" priority="212">
      <formula>#REF! ="54≠55+56+57+58+59"</formula>
    </cfRule>
  </conditionalFormatting>
  <conditionalFormatting sqref="AL60">
    <cfRule type="expression" dxfId="238" priority="213">
      <formula>#REF! ="60≠48+49+50+54"</formula>
    </cfRule>
  </conditionalFormatting>
  <conditionalFormatting sqref="AL62">
    <cfRule type="expression" dxfId="237" priority="214">
      <formula>#REF! ="62≠45+46+60+61"</formula>
    </cfRule>
  </conditionalFormatting>
  <conditionalFormatting sqref="AL64">
    <cfRule type="expression" dxfId="236" priority="215">
      <formula>#REF! ="64≠29+62"</formula>
    </cfRule>
  </conditionalFormatting>
  <conditionalFormatting sqref="AL79">
    <cfRule type="expression" dxfId="235" priority="216">
      <formula>#REF! ="80≠73+74+75+76+77+78+79"</formula>
    </cfRule>
  </conditionalFormatting>
  <conditionalFormatting sqref="AL85">
    <cfRule type="expression" dxfId="234" priority="217">
      <formula>#REF! ="88≠82+83+84+85+86+87"</formula>
    </cfRule>
  </conditionalFormatting>
  <conditionalFormatting sqref="AC91">
    <cfRule type="expression" dxfId="233" priority="182">
      <formula>#REF! = "64≠94"</formula>
    </cfRule>
  </conditionalFormatting>
  <conditionalFormatting sqref="AC91">
    <cfRule type="expression" dxfId="232" priority="183">
      <formula>#REF! = "94≠68+69+71+80+88+89+90+91+92"</formula>
    </cfRule>
  </conditionalFormatting>
  <conditionalFormatting sqref="AC35">
    <cfRule type="expression" dxfId="231" priority="184">
      <formula>#REF! ="35≠36+38"</formula>
    </cfRule>
  </conditionalFormatting>
  <conditionalFormatting sqref="AC39">
    <cfRule type="expression" dxfId="230" priority="185">
      <formula>#REF! ="39≠40+41+42+43+44"</formula>
    </cfRule>
  </conditionalFormatting>
  <conditionalFormatting sqref="AC45">
    <cfRule type="expression" dxfId="229" priority="186">
      <formula>#REF! ="45≠33+34+35+39"</formula>
    </cfRule>
  </conditionalFormatting>
  <conditionalFormatting sqref="AC50">
    <cfRule type="expression" dxfId="228" priority="187">
      <formula>#REF! ="50≠51+53"</formula>
    </cfRule>
  </conditionalFormatting>
  <conditionalFormatting sqref="AC54">
    <cfRule type="expression" dxfId="227" priority="188">
      <formula>#REF! ="54≠55+56+57+58+59"</formula>
    </cfRule>
  </conditionalFormatting>
  <conditionalFormatting sqref="AC60">
    <cfRule type="expression" dxfId="226" priority="189">
      <formula>#REF! ="60≠48+49+50+54"</formula>
    </cfRule>
  </conditionalFormatting>
  <conditionalFormatting sqref="AC62">
    <cfRule type="expression" dxfId="225" priority="190">
      <formula>#REF! ="62≠45+46+60+61"</formula>
    </cfRule>
  </conditionalFormatting>
  <conditionalFormatting sqref="AC64">
    <cfRule type="expression" dxfId="224" priority="191">
      <formula>#REF! ="64≠29+62"</formula>
    </cfRule>
  </conditionalFormatting>
  <conditionalFormatting sqref="AC79">
    <cfRule type="expression" dxfId="223" priority="192">
      <formula>#REF! ="80≠73+74+75+76+77+78+79"</formula>
    </cfRule>
  </conditionalFormatting>
  <conditionalFormatting sqref="AC85">
    <cfRule type="expression" dxfId="222" priority="193">
      <formula>#REF! ="88≠82+83+84+85+86+87"</formula>
    </cfRule>
  </conditionalFormatting>
  <conditionalFormatting sqref="AI91">
    <cfRule type="expression" dxfId="221" priority="134">
      <formula>#REF! = "64≠94"</formula>
    </cfRule>
  </conditionalFormatting>
  <conditionalFormatting sqref="AI91">
    <cfRule type="expression" dxfId="220" priority="135">
      <formula>#REF! = "94≠68+69+71+80+88+89+90+91+92"</formula>
    </cfRule>
  </conditionalFormatting>
  <conditionalFormatting sqref="AI35">
    <cfRule type="expression" dxfId="219" priority="136">
      <formula>#REF! ="35≠36+38"</formula>
    </cfRule>
  </conditionalFormatting>
  <conditionalFormatting sqref="AI39">
    <cfRule type="expression" dxfId="218" priority="137">
      <formula>#REF! ="39≠40+41+42+43+44"</formula>
    </cfRule>
  </conditionalFormatting>
  <conditionalFormatting sqref="AI45">
    <cfRule type="expression" dxfId="217" priority="138">
      <formula>#REF! ="45≠33+34+35+39"</formula>
    </cfRule>
  </conditionalFormatting>
  <conditionalFormatting sqref="AI50">
    <cfRule type="expression" dxfId="216" priority="139">
      <formula>#REF! ="50≠51+53"</formula>
    </cfRule>
  </conditionalFormatting>
  <conditionalFormatting sqref="AI54">
    <cfRule type="expression" dxfId="215" priority="140">
      <formula>#REF! ="54≠55+56+57+58+59"</formula>
    </cfRule>
  </conditionalFormatting>
  <conditionalFormatting sqref="AI60">
    <cfRule type="expression" dxfId="214" priority="141">
      <formula>#REF! ="60≠48+49+50+54"</formula>
    </cfRule>
  </conditionalFormatting>
  <conditionalFormatting sqref="AI62">
    <cfRule type="expression" dxfId="213" priority="142">
      <formula>#REF! ="62≠45+46+60+61"</formula>
    </cfRule>
  </conditionalFormatting>
  <conditionalFormatting sqref="AI64">
    <cfRule type="expression" dxfId="212" priority="143">
      <formula>#REF! ="64≠29+62"</formula>
    </cfRule>
  </conditionalFormatting>
  <conditionalFormatting sqref="AI79">
    <cfRule type="expression" dxfId="211" priority="144">
      <formula>#REF! ="80≠73+74+75+76+77+78+79"</formula>
    </cfRule>
  </conditionalFormatting>
  <conditionalFormatting sqref="AI85">
    <cfRule type="expression" dxfId="210" priority="145">
      <formula>#REF! ="88≠82+83+84+85+86+87"</formula>
    </cfRule>
  </conditionalFormatting>
  <conditionalFormatting sqref="N91">
    <cfRule type="expression" dxfId="209" priority="110">
      <formula>#REF! = "64≠94"</formula>
    </cfRule>
  </conditionalFormatting>
  <conditionalFormatting sqref="N91">
    <cfRule type="expression" dxfId="208" priority="111">
      <formula>#REF! = "94≠68+69+71+80+88+89+90+91+92"</formula>
    </cfRule>
  </conditionalFormatting>
  <conditionalFormatting sqref="N35">
    <cfRule type="expression" dxfId="207" priority="112">
      <formula>#REF! ="35≠36+38"</formula>
    </cfRule>
  </conditionalFormatting>
  <conditionalFormatting sqref="N39">
    <cfRule type="expression" dxfId="206" priority="113">
      <formula>#REF! ="39≠40+41+42+43+44"</formula>
    </cfRule>
  </conditionalFormatting>
  <conditionalFormatting sqref="N45">
    <cfRule type="expression" dxfId="205" priority="114">
      <formula>#REF! ="45≠33+34+35+39"</formula>
    </cfRule>
  </conditionalFormatting>
  <conditionalFormatting sqref="N50">
    <cfRule type="expression" dxfId="204" priority="115">
      <formula>#REF! ="50≠51+53"</formula>
    </cfRule>
  </conditionalFormatting>
  <conditionalFormatting sqref="N54">
    <cfRule type="expression" dxfId="203" priority="116">
      <formula>#REF! ="54≠55+56+57+58+59"</formula>
    </cfRule>
  </conditionalFormatting>
  <conditionalFormatting sqref="N60">
    <cfRule type="expression" dxfId="202" priority="117">
      <formula>#REF! ="60≠48+49+50+54"</formula>
    </cfRule>
  </conditionalFormatting>
  <conditionalFormatting sqref="N62">
    <cfRule type="expression" dxfId="201" priority="118">
      <formula>#REF! ="62≠45+46+60+61"</formula>
    </cfRule>
  </conditionalFormatting>
  <conditionalFormatting sqref="N64">
    <cfRule type="expression" dxfId="200" priority="119">
      <formula>#REF! ="64≠29+62"</formula>
    </cfRule>
  </conditionalFormatting>
  <conditionalFormatting sqref="N79">
    <cfRule type="expression" dxfId="199" priority="120">
      <formula>#REF! ="80≠73+74+75+76+77+78+79"</formula>
    </cfRule>
  </conditionalFormatting>
  <conditionalFormatting sqref="N85">
    <cfRule type="expression" dxfId="198" priority="121">
      <formula>#REF! ="88≠82+83+84+85+86+87"</formula>
    </cfRule>
  </conditionalFormatting>
  <conditionalFormatting sqref="T91">
    <cfRule type="expression" dxfId="197" priority="86">
      <formula>#REF! = "64≠94"</formula>
    </cfRule>
  </conditionalFormatting>
  <conditionalFormatting sqref="T91">
    <cfRule type="expression" dxfId="196" priority="87">
      <formula>#REF! = "94≠68+69+71+80+88+89+90+91+92"</formula>
    </cfRule>
  </conditionalFormatting>
  <conditionalFormatting sqref="T35">
    <cfRule type="expression" dxfId="195" priority="88">
      <formula>#REF! ="35≠36+38"</formula>
    </cfRule>
  </conditionalFormatting>
  <conditionalFormatting sqref="T39">
    <cfRule type="expression" dxfId="194" priority="89">
      <formula>#REF! ="39≠40+41+42+43+44"</formula>
    </cfRule>
  </conditionalFormatting>
  <conditionalFormatting sqref="T45">
    <cfRule type="expression" dxfId="193" priority="90">
      <formula>#REF! ="45≠33+34+35+39"</formula>
    </cfRule>
  </conditionalFormatting>
  <conditionalFormatting sqref="T50">
    <cfRule type="expression" dxfId="192" priority="91">
      <formula>#REF! ="50≠51+53"</formula>
    </cfRule>
  </conditionalFormatting>
  <conditionalFormatting sqref="T54">
    <cfRule type="expression" dxfId="191" priority="92">
      <formula>#REF! ="54≠55+56+57+58+59"</formula>
    </cfRule>
  </conditionalFormatting>
  <conditionalFormatting sqref="T60">
    <cfRule type="expression" dxfId="190" priority="93">
      <formula>#REF! ="60≠48+49+50+54"</formula>
    </cfRule>
  </conditionalFormatting>
  <conditionalFormatting sqref="T62">
    <cfRule type="expression" dxfId="189" priority="94">
      <formula>#REF! ="62≠45+46+60+61"</formula>
    </cfRule>
  </conditionalFormatting>
  <conditionalFormatting sqref="T64">
    <cfRule type="expression" dxfId="188" priority="95">
      <formula>#REF! ="64≠29+62"</formula>
    </cfRule>
  </conditionalFormatting>
  <conditionalFormatting sqref="T79">
    <cfRule type="expression" dxfId="187" priority="96">
      <formula>#REF! ="80≠73+74+75+76+77+78+79"</formula>
    </cfRule>
  </conditionalFormatting>
  <conditionalFormatting sqref="T85">
    <cfRule type="expression" dxfId="186" priority="97">
      <formula>#REF! ="88≠82+83+84+85+86+87"</formula>
    </cfRule>
  </conditionalFormatting>
  <conditionalFormatting sqref="AF91">
    <cfRule type="expression" dxfId="185" priority="62">
      <formula>#REF! = "64≠94"</formula>
    </cfRule>
  </conditionalFormatting>
  <conditionalFormatting sqref="AF91">
    <cfRule type="expression" dxfId="184" priority="63">
      <formula>#REF! = "94≠68+69+71+80+88+89+90+91+92"</formula>
    </cfRule>
  </conditionalFormatting>
  <conditionalFormatting sqref="AF35">
    <cfRule type="expression" dxfId="183" priority="64">
      <formula>#REF! ="35≠36+38"</formula>
    </cfRule>
  </conditionalFormatting>
  <conditionalFormatting sqref="AF39">
    <cfRule type="expression" dxfId="182" priority="65">
      <formula>#REF! ="39≠40+41+42+43+44"</formula>
    </cfRule>
  </conditionalFormatting>
  <conditionalFormatting sqref="AF45">
    <cfRule type="expression" dxfId="181" priority="66">
      <formula>#REF! ="45≠33+34+35+39"</formula>
    </cfRule>
  </conditionalFormatting>
  <conditionalFormatting sqref="AF50">
    <cfRule type="expression" dxfId="180" priority="67">
      <formula>#REF! ="50≠51+53"</formula>
    </cfRule>
  </conditionalFormatting>
  <conditionalFormatting sqref="AF54">
    <cfRule type="expression" dxfId="179" priority="68">
      <formula>#REF! ="54≠55+56+57+58+59"</formula>
    </cfRule>
  </conditionalFormatting>
  <conditionalFormatting sqref="AF60">
    <cfRule type="expression" dxfId="178" priority="69">
      <formula>#REF! ="60≠48+49+50+54"</formula>
    </cfRule>
  </conditionalFormatting>
  <conditionalFormatting sqref="AF62">
    <cfRule type="expression" dxfId="177" priority="70">
      <formula>#REF! ="62≠45+46+60+61"</formula>
    </cfRule>
  </conditionalFormatting>
  <conditionalFormatting sqref="AF64">
    <cfRule type="expression" dxfId="176" priority="71">
      <formula>#REF! ="64≠29+62"</formula>
    </cfRule>
  </conditionalFormatting>
  <conditionalFormatting sqref="AF79">
    <cfRule type="expression" dxfId="175" priority="72">
      <formula>#REF! ="80≠73+74+75+76+77+78+79"</formula>
    </cfRule>
  </conditionalFormatting>
  <conditionalFormatting sqref="AF85">
    <cfRule type="expression" dxfId="174" priority="73">
      <formula>#REF! ="88≠82+83+84+85+86+87"</formula>
    </cfRule>
  </conditionalFormatting>
  <conditionalFormatting sqref="E91">
    <cfRule type="expression" dxfId="173" priority="38">
      <formula>#REF! = "64≠94"</formula>
    </cfRule>
  </conditionalFormatting>
  <conditionalFormatting sqref="E91">
    <cfRule type="expression" dxfId="172" priority="39">
      <formula>#REF! = "94≠68+69+71+80+88+89+90+91+92"</formula>
    </cfRule>
  </conditionalFormatting>
  <conditionalFormatting sqref="E35">
    <cfRule type="expression" dxfId="171" priority="40">
      <formula>#REF! ="35≠36+38"</formula>
    </cfRule>
  </conditionalFormatting>
  <conditionalFormatting sqref="E39">
    <cfRule type="expression" dxfId="170" priority="41">
      <formula>#REF! ="39≠40+41+42+43+44"</formula>
    </cfRule>
  </conditionalFormatting>
  <conditionalFormatting sqref="E45">
    <cfRule type="expression" dxfId="169" priority="42">
      <formula>#REF! ="45≠33+34+35+39"</formula>
    </cfRule>
  </conditionalFormatting>
  <conditionalFormatting sqref="E50">
    <cfRule type="expression" dxfId="168" priority="43">
      <formula>#REF! ="50≠51+53"</formula>
    </cfRule>
  </conditionalFormatting>
  <conditionalFormatting sqref="E54">
    <cfRule type="expression" dxfId="167" priority="44">
      <formula>#REF! ="54≠55+56+57+58+59"</formula>
    </cfRule>
  </conditionalFormatting>
  <conditionalFormatting sqref="E60">
    <cfRule type="expression" dxfId="166" priority="45">
      <formula>#REF! ="60≠48+49+50+54"</formula>
    </cfRule>
  </conditionalFormatting>
  <conditionalFormatting sqref="E62">
    <cfRule type="expression" dxfId="165" priority="46">
      <formula>#REF! ="62≠45+46+60+61"</formula>
    </cfRule>
  </conditionalFormatting>
  <conditionalFormatting sqref="E64">
    <cfRule type="expression" dxfId="164" priority="47">
      <formula>#REF! ="64≠29+62"</formula>
    </cfRule>
  </conditionalFormatting>
  <conditionalFormatting sqref="E79">
    <cfRule type="expression" dxfId="163" priority="48">
      <formula>#REF! ="80≠73+74+75+76+77+78+79"</formula>
    </cfRule>
  </conditionalFormatting>
  <conditionalFormatting sqref="E85">
    <cfRule type="expression" dxfId="162" priority="49">
      <formula>#REF! ="88≠82+83+84+85+86+87"</formula>
    </cfRule>
  </conditionalFormatting>
  <conditionalFormatting sqref="H91">
    <cfRule type="expression" dxfId="161" priority="14">
      <formula>#REF! = "64≠94"</formula>
    </cfRule>
  </conditionalFormatting>
  <conditionalFormatting sqref="H91">
    <cfRule type="expression" dxfId="160" priority="15">
      <formula>#REF! = "94≠68+69+71+80+88+89+90+91+92"</formula>
    </cfRule>
  </conditionalFormatting>
  <conditionalFormatting sqref="H35">
    <cfRule type="expression" dxfId="159" priority="16">
      <formula>#REF! ="35≠36+38"</formula>
    </cfRule>
  </conditionalFormatting>
  <conditionalFormatting sqref="H39">
    <cfRule type="expression" dxfId="158" priority="17">
      <formula>#REF! ="39≠40+41+42+43+44"</formula>
    </cfRule>
  </conditionalFormatting>
  <conditionalFormatting sqref="H45">
    <cfRule type="expression" dxfId="157" priority="18">
      <formula>#REF! ="45≠33+34+35+39"</formula>
    </cfRule>
  </conditionalFormatting>
  <conditionalFormatting sqref="H50">
    <cfRule type="expression" dxfId="156" priority="19">
      <formula>#REF! ="50≠51+53"</formula>
    </cfRule>
  </conditionalFormatting>
  <conditionalFormatting sqref="H54">
    <cfRule type="expression" dxfId="155" priority="20">
      <formula>#REF! ="54≠55+56+57+58+59"</formula>
    </cfRule>
  </conditionalFormatting>
  <conditionalFormatting sqref="H60">
    <cfRule type="expression" dxfId="154" priority="21">
      <formula>#REF! ="60≠48+49+50+54"</formula>
    </cfRule>
  </conditionalFormatting>
  <conditionalFormatting sqref="H62">
    <cfRule type="expression" dxfId="153" priority="22">
      <formula>#REF! ="62≠45+46+60+61"</formula>
    </cfRule>
  </conditionalFormatting>
  <conditionalFormatting sqref="H64">
    <cfRule type="expression" dxfId="152" priority="23">
      <formula>#REF! ="64≠29+62"</formula>
    </cfRule>
  </conditionalFormatting>
  <conditionalFormatting sqref="H79">
    <cfRule type="expression" dxfId="151" priority="24">
      <formula>#REF! ="80≠73+74+75+76+77+78+79"</formula>
    </cfRule>
  </conditionalFormatting>
  <conditionalFormatting sqref="H85">
    <cfRule type="expression" dxfId="150" priority="25">
      <formula>#REF! ="88≠82+83+84+85+86+87"</formula>
    </cfRule>
  </conditionalFormatting>
  <conditionalFormatting sqref="AA35 C35 R35 AM35 AD35 W35:X35 AJ35 O35 U35 AG35 F35 I35 K35:L35">
    <cfRule type="expression" dxfId="149" priority="1133">
      <formula>#REF! ="35≠36+38"</formula>
    </cfRule>
  </conditionalFormatting>
  <conditionalFormatting sqref="AA39 C39 R39 AM39 AD39 W39:X39 AJ39 O39 U39 AG39 F39 I39 K39:L39">
    <cfRule type="expression" dxfId="148" priority="1134">
      <formula>#REF! ="39≠40+41+42+43+44"</formula>
    </cfRule>
  </conditionalFormatting>
  <conditionalFormatting sqref="AA45 C45 R45 AM45 AD45 W45:X45 AJ45 O45 U45 AG45 F45 I45 K45:L45">
    <cfRule type="expression" dxfId="147" priority="1135">
      <formula>#REF! ="45≠33+34+35+39"</formula>
    </cfRule>
  </conditionalFormatting>
  <conditionalFormatting sqref="AA50 C50 R50 AM50 AD50 W50:X50 AJ50 O50 U50 AG50 F50 I50 K50:L50">
    <cfRule type="expression" dxfId="146" priority="1136">
      <formula>#REF! ="50≠51+53"</formula>
    </cfRule>
  </conditionalFormatting>
  <conditionalFormatting sqref="AA54 C54 R54 AM54 AD54 W54:X54 AJ54 O54 U54 AG54 F54 I54 K54:L54">
    <cfRule type="expression" dxfId="145" priority="1137">
      <formula>#REF! ="54≠55+56+57+58+59"</formula>
    </cfRule>
  </conditionalFormatting>
  <conditionalFormatting sqref="AA60 C60 R60 AM60 AD60 W60:X60 AJ60 O60 U60 AG60 F60 I60 K60:L60">
    <cfRule type="expression" dxfId="144" priority="1138">
      <formula>#REF! ="60≠48+49+50+54"</formula>
    </cfRule>
  </conditionalFormatting>
  <conditionalFormatting sqref="AA62 C62 R62 AM62 AD62 W62:X62 AJ62 O62 U62 AG62 F62 I62 K62:L62">
    <cfRule type="expression" dxfId="143" priority="1139">
      <formula>#REF! ="62≠45+46+60+61"</formula>
    </cfRule>
  </conditionalFormatting>
  <conditionalFormatting sqref="AA64 C64 R64 AM64 AD64 AJ64 O64 U64 AG64 F64 I64 K64:L64 W64:X64">
    <cfRule type="expression" dxfId="142" priority="1140">
      <formula>#REF! ="64≠29+62"</formula>
    </cfRule>
  </conditionalFormatting>
  <conditionalFormatting sqref="AA79 C79 R79 AM79 AD79 W79:X79 AJ79 O79 U79 AG79 F79 I79 K79:L79">
    <cfRule type="expression" dxfId="141" priority="1141">
      <formula>#REF! ="80≠73+74+75+76+77+78+79"</formula>
    </cfRule>
  </conditionalFormatting>
  <conditionalFormatting sqref="AA85 C85 R85 AM85 AD85 W85:X85 AJ85 O85 U85 AG85 F85 I85 K85:L85">
    <cfRule type="expression" dxfId="140" priority="1142">
      <formula>#REF! ="88≠82+83+84+85+86+87"</formula>
    </cfRule>
  </conditionalFormatting>
  <conditionalFormatting sqref="AA91 C91 R91 AM91 AD91 W91:X91 AJ91 O91 U91 AG91 F91 I91 K91:L91">
    <cfRule type="expression" dxfId="139" priority="1143">
      <formula>#REF! = "64≠94"</formula>
    </cfRule>
  </conditionalFormatting>
  <conditionalFormatting sqref="AA91 C91 R91 AM91 AD91 W91:X91 AJ91 O91 U91 AG91 F91 I91 K91:L91">
    <cfRule type="expression" dxfId="138" priority="1144">
      <formula>#REF! = "94≠68+69+71+80+88+89+90+91+92"</formula>
    </cfRule>
  </conditionalFormatting>
  <hyperlinks>
    <hyperlink ref="B1" location="Innhold!A1" display="Tilbake" xr:uid="{00000000-0004-0000-2200-000000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BE87"/>
  <sheetViews>
    <sheetView showGridLines="0" zoomScale="80" zoomScaleNormal="8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84.5703125" style="700" customWidth="1"/>
    <col min="2" max="37" width="11.7109375" style="700" customWidth="1"/>
    <col min="38" max="38" width="16.7109375" style="700" customWidth="1"/>
    <col min="39" max="39" width="16.42578125" style="700" customWidth="1"/>
    <col min="40" max="40" width="11.7109375" style="700" customWidth="1"/>
    <col min="41" max="41" width="12.28515625" style="700" bestFit="1" customWidth="1"/>
    <col min="42" max="16384" width="11.42578125" style="700"/>
  </cols>
  <sheetData>
    <row r="1" spans="1:57" ht="20.25" customHeight="1" x14ac:dyDescent="0.3">
      <c r="A1" s="699" t="s">
        <v>170</v>
      </c>
      <c r="B1" s="474" t="s">
        <v>52</v>
      </c>
      <c r="AO1" s="701"/>
    </row>
    <row r="2" spans="1:57" ht="20.100000000000001" customHeight="1" x14ac:dyDescent="0.3">
      <c r="A2" s="699" t="s">
        <v>402</v>
      </c>
      <c r="AO2" s="701"/>
    </row>
    <row r="3" spans="1:57" ht="20.100000000000001" customHeight="1" x14ac:dyDescent="0.3">
      <c r="A3" s="702" t="s">
        <v>403</v>
      </c>
      <c r="AO3" s="703"/>
    </row>
    <row r="4" spans="1:57" ht="18.75" customHeight="1" x14ac:dyDescent="0.25">
      <c r="A4" s="704" t="s">
        <v>360</v>
      </c>
      <c r="B4" s="705"/>
      <c r="C4" s="706"/>
      <c r="D4" s="707"/>
      <c r="E4" s="705"/>
      <c r="F4" s="706"/>
      <c r="G4" s="707"/>
      <c r="H4" s="706"/>
      <c r="I4" s="706"/>
      <c r="J4" s="706"/>
      <c r="K4" s="706"/>
      <c r="L4" s="706"/>
      <c r="M4" s="707"/>
      <c r="N4" s="706"/>
      <c r="O4" s="706"/>
      <c r="P4" s="707"/>
      <c r="Q4" s="705"/>
      <c r="R4" s="706"/>
      <c r="S4" s="707"/>
      <c r="T4" s="705"/>
      <c r="U4" s="706"/>
      <c r="V4" s="707"/>
      <c r="W4" s="705"/>
      <c r="X4" s="706"/>
      <c r="Y4" s="707"/>
      <c r="Z4" s="705"/>
      <c r="AA4" s="706"/>
      <c r="AB4" s="707"/>
      <c r="AC4" s="705"/>
      <c r="AD4" s="706"/>
      <c r="AE4" s="707"/>
      <c r="AF4" s="705"/>
      <c r="AG4" s="706"/>
      <c r="AH4" s="707"/>
      <c r="AI4" s="705"/>
      <c r="AJ4" s="706"/>
      <c r="AK4" s="707"/>
      <c r="AL4" s="705"/>
      <c r="AM4" s="706"/>
      <c r="AN4" s="707"/>
      <c r="AO4" s="708"/>
      <c r="AP4" s="709"/>
      <c r="AQ4" s="709"/>
      <c r="AR4" s="709"/>
      <c r="AS4" s="709"/>
      <c r="AT4" s="709"/>
      <c r="AU4" s="709"/>
      <c r="AV4" s="709"/>
      <c r="AW4" s="709"/>
      <c r="AX4" s="709"/>
      <c r="AY4" s="709"/>
      <c r="AZ4" s="709"/>
      <c r="BA4" s="709"/>
      <c r="BB4" s="709"/>
      <c r="BC4" s="709"/>
      <c r="BD4" s="709"/>
      <c r="BE4" s="709"/>
    </row>
    <row r="5" spans="1:57" ht="18.75" customHeight="1" x14ac:dyDescent="0.3">
      <c r="A5" s="525" t="s">
        <v>404</v>
      </c>
      <c r="B5" s="1035" t="s">
        <v>173</v>
      </c>
      <c r="C5" s="1036"/>
      <c r="D5" s="1037"/>
      <c r="E5" s="1035" t="s">
        <v>174</v>
      </c>
      <c r="F5" s="1036"/>
      <c r="G5" s="1037"/>
      <c r="H5" s="1035" t="s">
        <v>174</v>
      </c>
      <c r="I5" s="1036"/>
      <c r="J5" s="1037"/>
      <c r="K5" s="1035" t="s">
        <v>487</v>
      </c>
      <c r="L5" s="1036"/>
      <c r="M5" s="1037"/>
      <c r="N5" s="1035" t="s">
        <v>175</v>
      </c>
      <c r="O5" s="1036"/>
      <c r="P5" s="1037"/>
      <c r="Q5" s="1035" t="s">
        <v>176</v>
      </c>
      <c r="R5" s="1036"/>
      <c r="S5" s="1037"/>
      <c r="T5" s="1035" t="s">
        <v>177</v>
      </c>
      <c r="U5" s="1036"/>
      <c r="V5" s="1037"/>
      <c r="W5" s="941" t="s">
        <v>177</v>
      </c>
      <c r="X5" s="942"/>
      <c r="Y5" s="943"/>
      <c r="Z5" s="885"/>
      <c r="AA5" s="886"/>
      <c r="AB5" s="887"/>
      <c r="AC5" s="1035" t="s">
        <v>178</v>
      </c>
      <c r="AD5" s="1036"/>
      <c r="AE5" s="1037"/>
      <c r="AF5" s="1035"/>
      <c r="AG5" s="1036"/>
      <c r="AH5" s="1037"/>
      <c r="AI5" s="1035" t="s">
        <v>72</v>
      </c>
      <c r="AJ5" s="1036"/>
      <c r="AK5" s="1037"/>
      <c r="AL5" s="1035" t="s">
        <v>405</v>
      </c>
      <c r="AM5" s="1036"/>
      <c r="AN5" s="1037"/>
      <c r="AO5" s="710"/>
      <c r="AP5" s="711"/>
      <c r="AQ5" s="1063"/>
      <c r="AR5" s="1063"/>
      <c r="AS5" s="1063"/>
      <c r="AT5" s="1063"/>
      <c r="AU5" s="1063"/>
      <c r="AV5" s="1063"/>
      <c r="AW5" s="1063"/>
      <c r="AX5" s="1063"/>
      <c r="AY5" s="1063"/>
      <c r="AZ5" s="1063"/>
      <c r="BA5" s="1063"/>
      <c r="BB5" s="1063"/>
      <c r="BC5" s="1063"/>
      <c r="BD5" s="1063"/>
      <c r="BE5" s="1063"/>
    </row>
    <row r="6" spans="1:57" ht="18.75" customHeight="1" x14ac:dyDescent="0.3">
      <c r="A6" s="526" t="s">
        <v>406</v>
      </c>
      <c r="B6" s="1029" t="s">
        <v>179</v>
      </c>
      <c r="C6" s="1030"/>
      <c r="D6" s="1031"/>
      <c r="E6" s="1029" t="s">
        <v>498</v>
      </c>
      <c r="F6" s="1030"/>
      <c r="G6" s="1031"/>
      <c r="H6" s="1029" t="s">
        <v>180</v>
      </c>
      <c r="I6" s="1030"/>
      <c r="J6" s="1031"/>
      <c r="K6" s="1029" t="s">
        <v>180</v>
      </c>
      <c r="L6" s="1030"/>
      <c r="M6" s="1031"/>
      <c r="N6" s="1029" t="s">
        <v>180</v>
      </c>
      <c r="O6" s="1030"/>
      <c r="P6" s="1031"/>
      <c r="Q6" s="1029" t="s">
        <v>181</v>
      </c>
      <c r="R6" s="1030"/>
      <c r="S6" s="1031"/>
      <c r="T6" s="1029" t="s">
        <v>90</v>
      </c>
      <c r="U6" s="1030"/>
      <c r="V6" s="1031"/>
      <c r="W6" s="1029" t="s">
        <v>63</v>
      </c>
      <c r="X6" s="1030"/>
      <c r="Y6" s="1031"/>
      <c r="Z6" s="1029" t="s">
        <v>65</v>
      </c>
      <c r="AA6" s="1030"/>
      <c r="AB6" s="1031"/>
      <c r="AC6" s="1029" t="s">
        <v>179</v>
      </c>
      <c r="AD6" s="1030"/>
      <c r="AE6" s="1031"/>
      <c r="AF6" s="1029" t="s">
        <v>67</v>
      </c>
      <c r="AG6" s="1030"/>
      <c r="AH6" s="1031"/>
      <c r="AI6" s="1029" t="s">
        <v>180</v>
      </c>
      <c r="AJ6" s="1030"/>
      <c r="AK6" s="1031"/>
      <c r="AL6" s="1029" t="s">
        <v>407</v>
      </c>
      <c r="AM6" s="1030"/>
      <c r="AN6" s="1031"/>
      <c r="AO6" s="710"/>
      <c r="AP6" s="711"/>
      <c r="AQ6" s="1063"/>
      <c r="AR6" s="1063"/>
      <c r="AS6" s="1063"/>
      <c r="AT6" s="1063"/>
      <c r="AU6" s="1063"/>
      <c r="AV6" s="1063"/>
      <c r="AW6" s="1063"/>
      <c r="AX6" s="1063"/>
      <c r="AY6" s="1063"/>
      <c r="AZ6" s="1063"/>
      <c r="BA6" s="1063"/>
      <c r="BB6" s="1063"/>
      <c r="BC6" s="1063"/>
      <c r="BD6" s="1063"/>
      <c r="BE6" s="1063"/>
    </row>
    <row r="7" spans="1:57" ht="18.75" customHeight="1" x14ac:dyDescent="0.3">
      <c r="A7" s="526"/>
      <c r="B7" s="712"/>
      <c r="C7" s="712"/>
      <c r="D7" s="527" t="s">
        <v>80</v>
      </c>
      <c r="E7" s="712"/>
      <c r="F7" s="712"/>
      <c r="G7" s="527" t="s">
        <v>80</v>
      </c>
      <c r="H7" s="712"/>
      <c r="I7" s="712"/>
      <c r="J7" s="527" t="s">
        <v>80</v>
      </c>
      <c r="K7" s="712"/>
      <c r="L7" s="712"/>
      <c r="M7" s="527" t="s">
        <v>80</v>
      </c>
      <c r="N7" s="712"/>
      <c r="O7" s="712"/>
      <c r="P7" s="527" t="s">
        <v>80</v>
      </c>
      <c r="Q7" s="712"/>
      <c r="R7" s="712"/>
      <c r="S7" s="527" t="s">
        <v>80</v>
      </c>
      <c r="T7" s="712"/>
      <c r="U7" s="712"/>
      <c r="V7" s="527" t="s">
        <v>80</v>
      </c>
      <c r="W7" s="712"/>
      <c r="X7" s="712"/>
      <c r="Y7" s="527" t="s">
        <v>80</v>
      </c>
      <c r="Z7" s="712"/>
      <c r="AA7" s="712"/>
      <c r="AB7" s="527" t="s">
        <v>80</v>
      </c>
      <c r="AC7" s="712"/>
      <c r="AD7" s="712"/>
      <c r="AE7" s="527" t="s">
        <v>80</v>
      </c>
      <c r="AF7" s="712"/>
      <c r="AG7" s="712"/>
      <c r="AH7" s="527" t="s">
        <v>80</v>
      </c>
      <c r="AI7" s="712"/>
      <c r="AJ7" s="712"/>
      <c r="AK7" s="527" t="s">
        <v>80</v>
      </c>
      <c r="AL7" s="712"/>
      <c r="AM7" s="712"/>
      <c r="AN7" s="527" t="s">
        <v>80</v>
      </c>
      <c r="AO7" s="710"/>
      <c r="AP7" s="711"/>
      <c r="AQ7" s="711"/>
      <c r="AR7" s="711"/>
      <c r="AS7" s="711"/>
      <c r="AT7" s="711"/>
      <c r="AU7" s="711"/>
      <c r="AV7" s="711"/>
      <c r="AW7" s="711"/>
      <c r="AX7" s="711"/>
      <c r="AY7" s="711"/>
      <c r="AZ7" s="711"/>
      <c r="BA7" s="711"/>
      <c r="BB7" s="711"/>
      <c r="BC7" s="711"/>
      <c r="BD7" s="711"/>
      <c r="BE7" s="711"/>
    </row>
    <row r="8" spans="1:57" ht="18.75" customHeight="1" x14ac:dyDescent="0.25">
      <c r="A8" s="713" t="s">
        <v>286</v>
      </c>
      <c r="B8" s="714">
        <v>2019</v>
      </c>
      <c r="C8" s="714">
        <v>2020</v>
      </c>
      <c r="D8" s="529" t="s">
        <v>82</v>
      </c>
      <c r="E8" s="714">
        <f>$B$8</f>
        <v>2019</v>
      </c>
      <c r="F8" s="714">
        <f>$C$8</f>
        <v>2020</v>
      </c>
      <c r="G8" s="529" t="s">
        <v>82</v>
      </c>
      <c r="H8" s="714">
        <f>$B$8</f>
        <v>2019</v>
      </c>
      <c r="I8" s="714">
        <f>$C$8</f>
        <v>2020</v>
      </c>
      <c r="J8" s="529" t="s">
        <v>82</v>
      </c>
      <c r="K8" s="714">
        <f>$B$8</f>
        <v>2019</v>
      </c>
      <c r="L8" s="714">
        <f>$C$8</f>
        <v>2020</v>
      </c>
      <c r="M8" s="529" t="s">
        <v>82</v>
      </c>
      <c r="N8" s="714">
        <f>$B$8</f>
        <v>2019</v>
      </c>
      <c r="O8" s="714">
        <f>$C$8</f>
        <v>2020</v>
      </c>
      <c r="P8" s="529" t="s">
        <v>82</v>
      </c>
      <c r="Q8" s="714">
        <f>$B$8</f>
        <v>2019</v>
      </c>
      <c r="R8" s="714">
        <f>$C$8</f>
        <v>2020</v>
      </c>
      <c r="S8" s="529" t="s">
        <v>82</v>
      </c>
      <c r="T8" s="714">
        <f>$B$8</f>
        <v>2019</v>
      </c>
      <c r="U8" s="714">
        <f>$C$8</f>
        <v>2020</v>
      </c>
      <c r="V8" s="529" t="s">
        <v>82</v>
      </c>
      <c r="W8" s="714">
        <f>$B$8</f>
        <v>2019</v>
      </c>
      <c r="X8" s="714">
        <f>$C$8</f>
        <v>2020</v>
      </c>
      <c r="Y8" s="529" t="s">
        <v>82</v>
      </c>
      <c r="Z8" s="714">
        <f>$B$8</f>
        <v>2019</v>
      </c>
      <c r="AA8" s="714">
        <f>$C$8</f>
        <v>2020</v>
      </c>
      <c r="AB8" s="529" t="s">
        <v>82</v>
      </c>
      <c r="AC8" s="714">
        <f>$B$8</f>
        <v>2019</v>
      </c>
      <c r="AD8" s="714">
        <f>$C$8</f>
        <v>2020</v>
      </c>
      <c r="AE8" s="529" t="s">
        <v>82</v>
      </c>
      <c r="AF8" s="714">
        <f>$B$8</f>
        <v>2019</v>
      </c>
      <c r="AG8" s="714">
        <f>$C$8</f>
        <v>2020</v>
      </c>
      <c r="AH8" s="529" t="s">
        <v>82</v>
      </c>
      <c r="AI8" s="714">
        <f>$B$8</f>
        <v>2019</v>
      </c>
      <c r="AJ8" s="714">
        <f>$C$8</f>
        <v>2020</v>
      </c>
      <c r="AK8" s="529" t="s">
        <v>82</v>
      </c>
      <c r="AL8" s="714">
        <f>$B$8</f>
        <v>2019</v>
      </c>
      <c r="AM8" s="714">
        <f>$C$8</f>
        <v>2020</v>
      </c>
      <c r="AN8" s="529" t="s">
        <v>82</v>
      </c>
      <c r="AO8" s="710"/>
      <c r="AP8" s="715"/>
      <c r="AQ8" s="716"/>
      <c r="AR8" s="716"/>
      <c r="AS8" s="715"/>
      <c r="AT8" s="716"/>
      <c r="AU8" s="716"/>
      <c r="AV8" s="715"/>
      <c r="AW8" s="716"/>
      <c r="AX8" s="716"/>
      <c r="AY8" s="715"/>
      <c r="AZ8" s="716"/>
      <c r="BA8" s="716"/>
      <c r="BB8" s="715"/>
      <c r="BC8" s="716"/>
      <c r="BD8" s="716"/>
      <c r="BE8" s="715"/>
    </row>
    <row r="9" spans="1:57" s="548" customFormat="1" ht="18.75" customHeight="1" x14ac:dyDescent="0.3">
      <c r="A9" s="552"/>
      <c r="B9" s="902"/>
      <c r="C9" s="903"/>
      <c r="D9" s="540"/>
      <c r="E9" s="919"/>
      <c r="F9" s="903"/>
      <c r="G9" s="540"/>
      <c r="H9" s="919"/>
      <c r="I9" s="903"/>
      <c r="J9" s="540"/>
      <c r="K9" s="820"/>
      <c r="L9" s="903"/>
      <c r="M9" s="540"/>
      <c r="N9" s="919"/>
      <c r="O9" s="903"/>
      <c r="P9" s="540"/>
      <c r="Q9" s="937"/>
      <c r="R9" s="903"/>
      <c r="S9" s="718"/>
      <c r="T9" s="965"/>
      <c r="U9" s="903"/>
      <c r="V9" s="540"/>
      <c r="W9" s="920"/>
      <c r="X9" s="903"/>
      <c r="Y9" s="540"/>
      <c r="Z9" s="919"/>
      <c r="AA9" s="903"/>
      <c r="AB9" s="540"/>
      <c r="AC9" s="919"/>
      <c r="AD9" s="903"/>
      <c r="AE9" s="540"/>
      <c r="AF9" s="902"/>
      <c r="AG9" s="903"/>
      <c r="AH9" s="540"/>
      <c r="AI9" s="902"/>
      <c r="AJ9" s="903"/>
      <c r="AK9" s="540"/>
      <c r="AL9" s="717"/>
      <c r="AM9" s="717"/>
      <c r="AN9" s="540"/>
      <c r="AO9" s="719"/>
      <c r="AP9" s="719"/>
    </row>
    <row r="10" spans="1:57" s="548" customFormat="1" ht="18.75" customHeight="1" x14ac:dyDescent="0.3">
      <c r="A10" s="552" t="s">
        <v>408</v>
      </c>
      <c r="B10" s="919"/>
      <c r="C10" s="920"/>
      <c r="D10" s="540"/>
      <c r="E10" s="919"/>
      <c r="F10" s="920"/>
      <c r="G10" s="540"/>
      <c r="H10" s="919"/>
      <c r="I10" s="920"/>
      <c r="J10" s="540"/>
      <c r="K10" s="820"/>
      <c r="L10" s="920"/>
      <c r="M10" s="540"/>
      <c r="N10" s="919"/>
      <c r="O10" s="920"/>
      <c r="P10" s="540"/>
      <c r="Q10" s="938"/>
      <c r="R10" s="920"/>
      <c r="S10" s="720"/>
      <c r="T10" s="966"/>
      <c r="U10" s="920"/>
      <c r="V10" s="540"/>
      <c r="W10" s="920"/>
      <c r="X10" s="920"/>
      <c r="Y10" s="540"/>
      <c r="Z10" s="919"/>
      <c r="AA10" s="920"/>
      <c r="AB10" s="540"/>
      <c r="AC10" s="919"/>
      <c r="AD10" s="920"/>
      <c r="AE10" s="540"/>
      <c r="AF10" s="919"/>
      <c r="AG10" s="920"/>
      <c r="AH10" s="540"/>
      <c r="AI10" s="919"/>
      <c r="AJ10" s="920"/>
      <c r="AK10" s="540"/>
      <c r="AL10" s="717"/>
      <c r="AM10" s="717"/>
      <c r="AN10" s="540"/>
      <c r="AO10" s="719"/>
      <c r="AP10" s="719"/>
    </row>
    <row r="11" spans="1:57" s="726" customFormat="1" ht="18.75" customHeight="1" x14ac:dyDescent="0.3">
      <c r="A11" s="721" t="s">
        <v>409</v>
      </c>
      <c r="B11" s="921">
        <f>SUM(B12+B15+B18+B19+B21+B22)</f>
        <v>1098.96</v>
      </c>
      <c r="C11" s="922">
        <f>SUM(C12+C15+C18+C19+C21+C22)</f>
        <v>1209.0629999999999</v>
      </c>
      <c r="D11" s="722">
        <f>IF(B11=0, "    ---- ", IF(ABS(ROUND(100/B11*C11-100,1))&lt;999,ROUND(100/B11*C11-100,1),IF(ROUND(100/B11*C11-100,1)&gt;999,999,-999)))</f>
        <v>10</v>
      </c>
      <c r="E11" s="921">
        <f>SUM(E12+E15+E18+E19+E21+E22)</f>
        <v>1582.5</v>
      </c>
      <c r="F11" s="922">
        <f>SUM(F12+F15+F18+F19+F21+F22)</f>
        <v>1659.4</v>
      </c>
      <c r="G11" s="722">
        <f>IF(E11=0, "    ---- ", IF(ABS(ROUND(100/E11*F11-100,1))&lt;999,ROUND(100/E11*F11-100,1),IF(ROUND(100/E11*F11-100,1)&gt;999,999,-999)))</f>
        <v>4.9000000000000004</v>
      </c>
      <c r="H11" s="921">
        <f>SUM(H12+H15+H18+H19+H21+H22)</f>
        <v>193496.07400000002</v>
      </c>
      <c r="I11" s="922">
        <f>SUM(I12+I15+I18+I19+I21+I22)</f>
        <v>188967.5</v>
      </c>
      <c r="J11" s="722">
        <f t="shared" ref="J11:J54" si="0">IF(H11=0, "    ---- ", IF(ABS(ROUND(100/H11*I11-100,1))&lt;999,ROUND(100/H11*I11-100,1),IF(ROUND(100/H11*I11-100,1)&gt;999,999,-999)))</f>
        <v>-2.2999999999999998</v>
      </c>
      <c r="K11" s="821"/>
      <c r="L11" s="922">
        <f>SUM(L12+L15+L18+L19+L21+L22)</f>
        <v>6911</v>
      </c>
      <c r="M11" s="722" t="str">
        <f>IF(K11=0, "    ---- ", IF(ABS(ROUND(100/K11*L11-100,1))&lt;999,ROUND(100/K11*L11-100,1),IF(ROUND(100/K11*L11-100,1)&gt;999,999,-999)))</f>
        <v xml:space="preserve">    ---- </v>
      </c>
      <c r="N11" s="921">
        <f>SUM(N12+N15+N18+N19+N21+N22)</f>
        <v>1011.5930000000001</v>
      </c>
      <c r="O11" s="922">
        <f>SUM(O12+O15+O18+O19+O21+O22)</f>
        <v>963.07100000000003</v>
      </c>
      <c r="P11" s="722">
        <f>IF(N11=0, "    ---- ", IF(ABS(ROUND(100/N11*O11-100,1))&lt;999,ROUND(100/N11*O11-100,1),IF(ROUND(100/N11*O11-100,1)&gt;999,999,-999)))</f>
        <v>-4.8</v>
      </c>
      <c r="Q11" s="921">
        <f>SUM(Q12+Q15+Q18+Q19+Q21+Q22)</f>
        <v>6896.1</v>
      </c>
      <c r="R11" s="922">
        <f>SUM(R12+R15+R18+R19+R21+R22)</f>
        <v>7364.0999999999995</v>
      </c>
      <c r="S11" s="723">
        <f>IF(Q11=0, "    ---- ", IF(ABS(ROUND(100/Q11*R11-100,1))&lt;999,ROUND(100/Q11*R11-100,1),IF(ROUND(100/Q11*R11-100,1)&gt;999,999,-999)))</f>
        <v>6.8</v>
      </c>
      <c r="T11" s="921">
        <f>SUM(T12+T15+T18+T19+T21+T22)</f>
        <v>51.045821430000004</v>
      </c>
      <c r="U11" s="922">
        <f>SUM(U12+U15+U18+U19+U21+U22)</f>
        <v>47.95949978999996</v>
      </c>
      <c r="V11" s="540">
        <f t="shared" ref="V11:V12" si="1">IF(T11=0, "    ---- ", IF(ABS(ROUND(100/T11*U11-100,1))&lt;999,ROUND(100/T11*U11-100,1),IF(ROUND(100/T11*U11-100,1)&gt;999,999,-999)))</f>
        <v>-6</v>
      </c>
      <c r="W11" s="922"/>
      <c r="X11" s="922">
        <f>SUM(X12+X15+X18+X19+X21+X22)</f>
        <v>456054.73747088999</v>
      </c>
      <c r="Y11" s="722" t="str">
        <f>IF(W11=0, "    ---- ", IF(ABS(ROUND(100/W11*X11-100,1))&lt;999,ROUND(100/W11*X11-100,1),IF(ROUND(100/W11*X11-100,1)&gt;999,999,-999)))</f>
        <v xml:space="preserve">    ---- </v>
      </c>
      <c r="Z11" s="921">
        <f>SUM(Z12+Z15+Z18+Z19+Z21+Z22)</f>
        <v>46799.979532076228</v>
      </c>
      <c r="AA11" s="922">
        <f>SUM(AA12+AA15+AA18+AA19+AA21+AA22)</f>
        <v>47225.549999999996</v>
      </c>
      <c r="AB11" s="722">
        <f t="shared" ref="AB11:AB54" si="2">IF(Z11=0, "    ---- ", IF(ABS(ROUND(100/Z11*AA11-100,1))&lt;999,ROUND(100/Z11*AA11-100,1),IF(ROUND(100/Z11*AA11-100,1)&gt;999,999,-999)))</f>
        <v>0.9</v>
      </c>
      <c r="AC11" s="921">
        <f>SUM(AC12+AC15+AC18+AC19+AC21+AC22)</f>
        <v>66898</v>
      </c>
      <c r="AD11" s="922">
        <f>SUM(AD12+AD15+AD18+AD19+AD21+AD22)</f>
        <v>66749</v>
      </c>
      <c r="AE11" s="722">
        <f>IF(AC11=0, "    ---- ", IF(ABS(ROUND(100/AC11*AD11-100,1))&lt;999,ROUND(100/AC11*AD11-100,1),IF(ROUND(100/AC11*AD11-100,1)&gt;999,999,-999)))</f>
        <v>-0.2</v>
      </c>
      <c r="AF11" s="921">
        <f>SUM(AF12+AF15+AF18+AF19+AF21+AF22)</f>
        <v>22350</v>
      </c>
      <c r="AG11" s="922">
        <f>SUM(AG12+AG15+AG18+AG19+AG21+AG22)</f>
        <v>17905</v>
      </c>
      <c r="AH11" s="722">
        <f t="shared" ref="AH11:AH54" si="3">IF(AF11=0, "    ---- ", IF(ABS(ROUND(100/AF11*AG11-100,1))&lt;999,ROUND(100/AF11*AG11-100,1),IF(ROUND(100/AF11*AG11-100,1)&gt;999,999,-999)))</f>
        <v>-19.899999999999999</v>
      </c>
      <c r="AI11" s="921">
        <f>SUM(AI12+AI15+AI18+AI19+AI21+AI22)</f>
        <v>171963</v>
      </c>
      <c r="AJ11" s="922">
        <f>SUM(AJ12+AJ15+AJ18+AJ19+AJ21+AJ22)</f>
        <v>172089</v>
      </c>
      <c r="AK11" s="722">
        <f t="shared" ref="AK11:AK45" si="4">IF(AI11=0, "    ---- ", IF(ABS(ROUND(100/AI11*AJ11-100,1))&lt;999,ROUND(100/AI11*AJ11-100,1),IF(ROUND(100/AI11*AJ11-100,1)&gt;999,999,-999)))</f>
        <v>0.1</v>
      </c>
      <c r="AL11" s="632">
        <f t="shared" ref="AL11:AL45" si="5">+B11+H11+K11+N11+Q11+T11+W11+E11+Z11+AC11+AF11+AI11</f>
        <v>512147.25235350622</v>
      </c>
      <c r="AM11" s="632">
        <f t="shared" ref="AM11:AM45" si="6">+C11+I11+L11+O11+R11+U11+X11+F11+AA11+AD11+AG11+AJ11</f>
        <v>967145.38097068004</v>
      </c>
      <c r="AN11" s="722">
        <f>IF(AL11=0, "    ---- ", IF(ABS(ROUND(100/AL11*AM11-100,1))&lt;999,ROUND(100/AL11*AM11-100,1),IF(ROUND(100/AL11*AM11-100,1)&gt;999,999,-999)))</f>
        <v>88.8</v>
      </c>
      <c r="AO11" s="724"/>
      <c r="AP11" s="725"/>
    </row>
    <row r="12" spans="1:57" s="548" customFormat="1" ht="18.75" customHeight="1" x14ac:dyDescent="0.3">
      <c r="A12" s="534" t="s">
        <v>410</v>
      </c>
      <c r="B12" s="902">
        <v>245.244</v>
      </c>
      <c r="C12" s="920">
        <v>237.54900000000001</v>
      </c>
      <c r="D12" s="540">
        <f>IF(B12=0, "    ---- ", IF(ABS(ROUND(100/B12*C12-100,1))&lt;999,ROUND(100/B12*C12-100,1),IF(ROUND(100/B12*C12-100,1)&gt;999,999,-999)))</f>
        <v>-3.1</v>
      </c>
      <c r="E12" s="919"/>
      <c r="F12" s="920"/>
      <c r="G12" s="540"/>
      <c r="H12" s="919">
        <v>12461.545</v>
      </c>
      <c r="I12" s="920">
        <v>11036.7</v>
      </c>
      <c r="J12" s="540">
        <f t="shared" si="0"/>
        <v>-11.4</v>
      </c>
      <c r="K12" s="820"/>
      <c r="L12" s="920">
        <v>566</v>
      </c>
      <c r="M12" s="540"/>
      <c r="N12" s="919">
        <v>60.503</v>
      </c>
      <c r="O12" s="920">
        <v>59.457999999999998</v>
      </c>
      <c r="P12" s="540">
        <f>IF(N12=0, "    ---- ", IF(ABS(ROUND(100/N12*O12-100,1))&lt;999,ROUND(100/N12*O12-100,1),IF(ROUND(100/N12*O12-100,1)&gt;999,999,-999)))</f>
        <v>-1.7</v>
      </c>
      <c r="Q12" s="919"/>
      <c r="R12" s="920"/>
      <c r="S12" s="720"/>
      <c r="T12" s="919">
        <v>25.141164</v>
      </c>
      <c r="U12" s="920">
        <v>23.770146623515501</v>
      </c>
      <c r="V12" s="540">
        <f t="shared" si="1"/>
        <v>-5.5</v>
      </c>
      <c r="W12" s="920"/>
      <c r="X12" s="920"/>
      <c r="Y12" s="540"/>
      <c r="Z12" s="919">
        <v>756.57448278113054</v>
      </c>
      <c r="AA12" s="920">
        <v>673.25</v>
      </c>
      <c r="AB12" s="540">
        <f t="shared" si="2"/>
        <v>-11</v>
      </c>
      <c r="AC12" s="919"/>
      <c r="AD12" s="920"/>
      <c r="AE12" s="540"/>
      <c r="AF12" s="919">
        <v>846</v>
      </c>
      <c r="AG12" s="920">
        <v>413</v>
      </c>
      <c r="AH12" s="540">
        <f t="shared" si="3"/>
        <v>-51.2</v>
      </c>
      <c r="AI12" s="919">
        <f>2149+1692</f>
        <v>3841</v>
      </c>
      <c r="AJ12" s="920">
        <f>2089+1845+12</f>
        <v>3946</v>
      </c>
      <c r="AK12" s="540">
        <f t="shared" si="4"/>
        <v>2.7</v>
      </c>
      <c r="AL12" s="717">
        <f t="shared" si="5"/>
        <v>18236.00764678113</v>
      </c>
      <c r="AM12" s="717">
        <f t="shared" si="6"/>
        <v>16955.727146623518</v>
      </c>
      <c r="AN12" s="540">
        <f t="shared" ref="AN12:AN54" si="7">IF(AL12=0, "    ---- ", IF(ABS(ROUND(100/AL12*AM12-100,1))&lt;999,ROUND(100/AL12*AM12-100,1),IF(ROUND(100/AL12*AM12-100,1)&gt;999,999,-999)))</f>
        <v>-7</v>
      </c>
      <c r="AO12" s="719"/>
      <c r="AP12" s="719"/>
    </row>
    <row r="13" spans="1:57" s="548" customFormat="1" ht="18.75" customHeight="1" x14ac:dyDescent="0.3">
      <c r="A13" s="534" t="s">
        <v>411</v>
      </c>
      <c r="B13" s="902"/>
      <c r="C13" s="903"/>
      <c r="D13" s="540"/>
      <c r="E13" s="902"/>
      <c r="F13" s="903"/>
      <c r="G13" s="540"/>
      <c r="H13" s="902">
        <v>3532.2539999999999</v>
      </c>
      <c r="I13" s="920">
        <v>2878.7</v>
      </c>
      <c r="J13" s="609">
        <f t="shared" si="0"/>
        <v>-18.5</v>
      </c>
      <c r="K13" s="444"/>
      <c r="L13" s="920"/>
      <c r="M13" s="540"/>
      <c r="N13" s="902"/>
      <c r="O13" s="903"/>
      <c r="P13" s="540"/>
      <c r="Q13" s="919"/>
      <c r="R13" s="903"/>
      <c r="S13" s="720"/>
      <c r="T13" s="902"/>
      <c r="U13" s="903"/>
      <c r="V13" s="540"/>
      <c r="W13" s="903"/>
      <c r="X13" s="903"/>
      <c r="Y13" s="540"/>
      <c r="Z13" s="902">
        <v>447.42914819467677</v>
      </c>
      <c r="AA13" s="903">
        <v>409.72</v>
      </c>
      <c r="AB13" s="540">
        <f t="shared" si="2"/>
        <v>-8.4</v>
      </c>
      <c r="AC13" s="902"/>
      <c r="AD13" s="903"/>
      <c r="AE13" s="540"/>
      <c r="AF13" s="902">
        <v>314</v>
      </c>
      <c r="AG13" s="903">
        <v>277</v>
      </c>
      <c r="AH13" s="540">
        <f t="shared" si="3"/>
        <v>-11.8</v>
      </c>
      <c r="AI13" s="902">
        <v>2149</v>
      </c>
      <c r="AJ13" s="903">
        <v>2089</v>
      </c>
      <c r="AK13" s="540">
        <f t="shared" si="4"/>
        <v>-2.8</v>
      </c>
      <c r="AL13" s="717">
        <f t="shared" si="5"/>
        <v>6442.6831481946765</v>
      </c>
      <c r="AM13" s="717">
        <f t="shared" si="6"/>
        <v>5654.42</v>
      </c>
      <c r="AN13" s="540">
        <f t="shared" si="7"/>
        <v>-12.2</v>
      </c>
      <c r="AO13" s="719"/>
      <c r="AP13" s="719"/>
    </row>
    <row r="14" spans="1:57" s="548" customFormat="1" ht="18.75" customHeight="1" x14ac:dyDescent="0.3">
      <c r="A14" s="534" t="s">
        <v>412</v>
      </c>
      <c r="B14" s="902">
        <v>245.244</v>
      </c>
      <c r="C14" s="903">
        <v>237.54900000000001</v>
      </c>
      <c r="D14" s="540">
        <f t="shared" ref="D14:D15" si="8">IF(B14=0, "    ---- ", IF(ABS(ROUND(100/B14*C14-100,1))&lt;999,ROUND(100/B14*C14-100,1),IF(ROUND(100/B14*C14-100,1)&gt;999,999,-999)))</f>
        <v>-3.1</v>
      </c>
      <c r="E14" s="902"/>
      <c r="F14" s="903"/>
      <c r="G14" s="540"/>
      <c r="H14" s="902">
        <v>9359.5820000000003</v>
      </c>
      <c r="I14" s="920">
        <v>8158</v>
      </c>
      <c r="J14" s="609">
        <f t="shared" si="0"/>
        <v>-12.8</v>
      </c>
      <c r="K14" s="444"/>
      <c r="L14" s="903"/>
      <c r="M14" s="540"/>
      <c r="N14" s="902"/>
      <c r="O14" s="903"/>
      <c r="P14" s="540"/>
      <c r="Q14" s="902"/>
      <c r="R14" s="903"/>
      <c r="S14" s="540"/>
      <c r="T14" s="902"/>
      <c r="U14" s="903"/>
      <c r="V14" s="540"/>
      <c r="W14" s="903"/>
      <c r="X14" s="903"/>
      <c r="Y14" s="540"/>
      <c r="Z14" s="902">
        <v>55.028700439999994</v>
      </c>
      <c r="AA14" s="903">
        <v>36.81</v>
      </c>
      <c r="AB14" s="540">
        <f t="shared" si="2"/>
        <v>-33.1</v>
      </c>
      <c r="AC14" s="902"/>
      <c r="AD14" s="903"/>
      <c r="AE14" s="540"/>
      <c r="AF14" s="902">
        <v>144</v>
      </c>
      <c r="AG14" s="903">
        <v>135</v>
      </c>
      <c r="AH14" s="540">
        <f t="shared" si="3"/>
        <v>-6.3</v>
      </c>
      <c r="AI14" s="902"/>
      <c r="AJ14" s="903"/>
      <c r="AK14" s="540"/>
      <c r="AL14" s="717">
        <f t="shared" si="5"/>
        <v>9803.8547004400007</v>
      </c>
      <c r="AM14" s="717">
        <f t="shared" si="6"/>
        <v>8567.3590000000004</v>
      </c>
      <c r="AN14" s="540">
        <f t="shared" si="7"/>
        <v>-12.6</v>
      </c>
      <c r="AO14" s="719"/>
      <c r="AP14" s="719"/>
    </row>
    <row r="15" spans="1:57" s="548" customFormat="1" ht="18.75" customHeight="1" x14ac:dyDescent="0.3">
      <c r="A15" s="534" t="s">
        <v>413</v>
      </c>
      <c r="B15" s="919">
        <f>65.923+41.934</f>
        <v>107.857</v>
      </c>
      <c r="C15" s="920">
        <f>89.454+40.673</f>
        <v>130.12700000000001</v>
      </c>
      <c r="D15" s="540">
        <f t="shared" si="8"/>
        <v>20.6</v>
      </c>
      <c r="E15" s="919"/>
      <c r="F15" s="920"/>
      <c r="G15" s="540"/>
      <c r="H15" s="919">
        <v>24313.884999999998</v>
      </c>
      <c r="I15" s="920">
        <v>23166.6</v>
      </c>
      <c r="J15" s="720">
        <f t="shared" si="0"/>
        <v>-4.7</v>
      </c>
      <c r="K15" s="820"/>
      <c r="L15" s="920">
        <v>3313</v>
      </c>
      <c r="M15" s="540" t="str">
        <f>IF(K15=0, "    ---- ", IF(ABS(ROUND(100/K15*L15-100,1))&lt;999,ROUND(100/K15*L15-100,1),IF(ROUND(100/K15*L15-100,1)&gt;999,999,-999)))</f>
        <v xml:space="preserve">    ---- </v>
      </c>
      <c r="N15" s="919">
        <v>588.95500000000004</v>
      </c>
      <c r="O15" s="920">
        <v>721.13900000000001</v>
      </c>
      <c r="P15" s="540">
        <f>IF(N15=0, "    ---- ", IF(ABS(ROUND(100/N15*O15-100,1))&lt;999,ROUND(100/N15*O15-100,1),IF(ROUND(100/N15*O15-100,1)&gt;999,999,-999)))</f>
        <v>22.4</v>
      </c>
      <c r="Q15" s="919">
        <v>1906.4</v>
      </c>
      <c r="R15" s="920">
        <v>2252.6999999999998</v>
      </c>
      <c r="S15" s="540">
        <f>IF(Q15=0, "    ---- ", IF(ABS(ROUND(100/Q15*R15-100,1))&lt;999,ROUND(100/Q15*R15-100,1),IF(ROUND(100/Q15*R15-100,1)&gt;999,999,-999)))</f>
        <v>18.2</v>
      </c>
      <c r="T15" s="919">
        <v>2.4544589999999999</v>
      </c>
      <c r="U15" s="920">
        <v>2.2810968220557601</v>
      </c>
      <c r="V15" s="540">
        <f>IF(T15=0, "    ---- ", IF(ABS(ROUND(100/T15*U15-100,1))&lt;999,ROUND(100/T15*U15-100,1),IF(ROUND(100/T15*U15-100,1)&gt;999,999,-999)))</f>
        <v>-7.1</v>
      </c>
      <c r="W15" s="920"/>
      <c r="X15" s="920"/>
      <c r="Y15" s="540"/>
      <c r="Z15" s="919">
        <v>3581.3747481607747</v>
      </c>
      <c r="AA15" s="920">
        <v>3571.43</v>
      </c>
      <c r="AB15" s="540">
        <f t="shared" si="2"/>
        <v>-0.3</v>
      </c>
      <c r="AC15" s="919"/>
      <c r="AD15" s="920"/>
      <c r="AE15" s="720"/>
      <c r="AF15" s="919">
        <v>5379</v>
      </c>
      <c r="AG15" s="920">
        <v>2591</v>
      </c>
      <c r="AH15" s="540">
        <f t="shared" si="3"/>
        <v>-51.8</v>
      </c>
      <c r="AI15" s="919">
        <v>8951</v>
      </c>
      <c r="AJ15" s="920">
        <v>8346</v>
      </c>
      <c r="AK15" s="540">
        <f t="shared" si="4"/>
        <v>-6.8</v>
      </c>
      <c r="AL15" s="717">
        <f t="shared" si="5"/>
        <v>44830.926207160781</v>
      </c>
      <c r="AM15" s="717">
        <f t="shared" si="6"/>
        <v>44094.27709682205</v>
      </c>
      <c r="AN15" s="540">
        <f t="shared" si="7"/>
        <v>-1.6</v>
      </c>
      <c r="AO15" s="719"/>
      <c r="AP15" s="719"/>
    </row>
    <row r="16" spans="1:57" s="548" customFormat="1" ht="18.75" customHeight="1" x14ac:dyDescent="0.3">
      <c r="A16" s="534" t="s">
        <v>411</v>
      </c>
      <c r="B16" s="919"/>
      <c r="C16" s="920"/>
      <c r="D16" s="540"/>
      <c r="E16" s="919"/>
      <c r="F16" s="920"/>
      <c r="G16" s="540"/>
      <c r="H16" s="919">
        <v>21403.684000000001</v>
      </c>
      <c r="I16" s="920">
        <v>20225.599999999999</v>
      </c>
      <c r="J16" s="720">
        <f t="shared" si="0"/>
        <v>-5.5</v>
      </c>
      <c r="K16" s="820"/>
      <c r="L16" s="920"/>
      <c r="M16" s="540"/>
      <c r="N16" s="919"/>
      <c r="O16" s="920"/>
      <c r="P16" s="540"/>
      <c r="Q16" s="919"/>
      <c r="R16" s="920"/>
      <c r="S16" s="540"/>
      <c r="T16" s="919"/>
      <c r="U16" s="920"/>
      <c r="V16" s="540"/>
      <c r="W16" s="920"/>
      <c r="X16" s="920"/>
      <c r="Y16" s="540"/>
      <c r="Z16" s="919">
        <v>2543.7600636753677</v>
      </c>
      <c r="AA16" s="920">
        <v>2408.8000000000002</v>
      </c>
      <c r="AB16" s="540">
        <f t="shared" si="2"/>
        <v>-5.3</v>
      </c>
      <c r="AC16" s="919"/>
      <c r="AD16" s="920"/>
      <c r="AE16" s="720"/>
      <c r="AF16" s="919">
        <v>2602</v>
      </c>
      <c r="AG16" s="920">
        <v>2415</v>
      </c>
      <c r="AH16" s="540">
        <f t="shared" si="3"/>
        <v>-7.2</v>
      </c>
      <c r="AI16" s="919">
        <v>8951</v>
      </c>
      <c r="AJ16" s="920">
        <v>8346</v>
      </c>
      <c r="AK16" s="540">
        <f t="shared" si="4"/>
        <v>-6.8</v>
      </c>
      <c r="AL16" s="717">
        <f t="shared" si="5"/>
        <v>35500.444063675372</v>
      </c>
      <c r="AM16" s="717">
        <f t="shared" si="6"/>
        <v>33395.399999999994</v>
      </c>
      <c r="AN16" s="540">
        <f t="shared" si="7"/>
        <v>-5.9</v>
      </c>
      <c r="AO16" s="719"/>
      <c r="AP16" s="719"/>
    </row>
    <row r="17" spans="1:42" s="548" customFormat="1" ht="18.75" customHeight="1" x14ac:dyDescent="0.3">
      <c r="A17" s="534" t="s">
        <v>412</v>
      </c>
      <c r="B17" s="919">
        <f>65.923+41.934</f>
        <v>107.857</v>
      </c>
      <c r="C17" s="920">
        <f>89.454+40.673</f>
        <v>130.12700000000001</v>
      </c>
      <c r="D17" s="540">
        <f t="shared" ref="D17:D20" si="9">IF(B17=0, "    ---- ", IF(ABS(ROUND(100/B17*C17-100,1))&lt;999,ROUND(100/B17*C17-100,1),IF(ROUND(100/B17*C17-100,1)&gt;999,999,-999)))</f>
        <v>20.6</v>
      </c>
      <c r="E17" s="919"/>
      <c r="F17" s="920"/>
      <c r="G17" s="540"/>
      <c r="H17" s="919">
        <v>3047.239</v>
      </c>
      <c r="I17" s="920">
        <v>2941</v>
      </c>
      <c r="J17" s="720">
        <f t="shared" si="0"/>
        <v>-3.5</v>
      </c>
      <c r="K17" s="820"/>
      <c r="L17" s="984">
        <v>0.2</v>
      </c>
      <c r="M17" s="540" t="str">
        <f>IF(K17=0, "    ---- ", IF(ABS(ROUND(100/K17*L17-100,1))&lt;999,ROUND(100/K17*L17-100,1),IF(ROUND(100/K17*L17-100,1)&gt;999,999,-999)))</f>
        <v xml:space="preserve">    ---- </v>
      </c>
      <c r="N17" s="919"/>
      <c r="O17" s="920"/>
      <c r="P17" s="540"/>
      <c r="Q17" s="919">
        <v>1906.4</v>
      </c>
      <c r="R17" s="920">
        <v>2252.6999999999998</v>
      </c>
      <c r="S17" s="540">
        <f>IF(Q17=0, "    ---- ", IF(ABS(ROUND(100/Q17*R17-100,1))&lt;999,ROUND(100/Q17*R17-100,1),IF(ROUND(100/Q17*R17-100,1)&gt;999,999,-999)))</f>
        <v>18.2</v>
      </c>
      <c r="T17" s="919"/>
      <c r="U17" s="920"/>
      <c r="V17" s="540"/>
      <c r="W17" s="920"/>
      <c r="X17" s="920"/>
      <c r="Y17" s="540"/>
      <c r="Z17" s="919">
        <v>492.35386825202244</v>
      </c>
      <c r="AA17" s="920">
        <v>522.25</v>
      </c>
      <c r="AB17" s="540">
        <f t="shared" si="2"/>
        <v>6.1</v>
      </c>
      <c r="AC17" s="919"/>
      <c r="AD17" s="920"/>
      <c r="AE17" s="720"/>
      <c r="AF17" s="919">
        <v>164</v>
      </c>
      <c r="AG17" s="920">
        <v>175</v>
      </c>
      <c r="AH17" s="540">
        <f t="shared" si="3"/>
        <v>6.7</v>
      </c>
      <c r="AI17" s="919"/>
      <c r="AJ17" s="920"/>
      <c r="AK17" s="540"/>
      <c r="AL17" s="717">
        <f t="shared" si="5"/>
        <v>5717.8498682520221</v>
      </c>
      <c r="AM17" s="717">
        <f t="shared" si="6"/>
        <v>6021.277</v>
      </c>
      <c r="AN17" s="540">
        <f t="shared" si="7"/>
        <v>5.3</v>
      </c>
      <c r="AO17" s="719"/>
      <c r="AP17" s="719"/>
    </row>
    <row r="18" spans="1:42" s="548" customFormat="1" ht="18.75" customHeight="1" x14ac:dyDescent="0.3">
      <c r="A18" s="534" t="s">
        <v>414</v>
      </c>
      <c r="B18" s="919">
        <v>0.51100000000000001</v>
      </c>
      <c r="C18" s="920">
        <v>0.52500000000000002</v>
      </c>
      <c r="D18" s="540">
        <f t="shared" si="9"/>
        <v>2.7</v>
      </c>
      <c r="E18" s="919"/>
      <c r="F18" s="920"/>
      <c r="G18" s="540"/>
      <c r="H18" s="919">
        <f>868.681+6.336</f>
        <v>875.01700000000005</v>
      </c>
      <c r="I18" s="920">
        <v>290</v>
      </c>
      <c r="J18" s="720">
        <f t="shared" si="0"/>
        <v>-66.900000000000006</v>
      </c>
      <c r="K18" s="820"/>
      <c r="L18" s="920">
        <v>2438</v>
      </c>
      <c r="M18" s="540"/>
      <c r="N18" s="919">
        <v>43.573999999999998</v>
      </c>
      <c r="O18" s="920">
        <v>38.411000000000001</v>
      </c>
      <c r="P18" s="540">
        <f>IF(N18=0, "    ---- ", IF(ABS(ROUND(100/N18*O18-100,1))&lt;999,ROUND(100/N18*O18-100,1),IF(ROUND(100/N18*O18-100,1)&gt;999,999,-999)))</f>
        <v>-11.8</v>
      </c>
      <c r="Q18" s="919"/>
      <c r="R18" s="920"/>
      <c r="S18" s="540"/>
      <c r="T18" s="919">
        <v>23.45019843</v>
      </c>
      <c r="U18" s="920">
        <v>21.9082563444287</v>
      </c>
      <c r="V18" s="540">
        <f>IF(T18=0, "    ---- ", IF(ABS(ROUND(100/T18*U18-100,1))&lt;999,ROUND(100/T18*U18-100,1),IF(ROUND(100/T18*U18-100,1)&gt;999,999,-999)))</f>
        <v>-6.6</v>
      </c>
      <c r="W18" s="920"/>
      <c r="X18" s="920">
        <v>18.486153500000004</v>
      </c>
      <c r="Y18" s="540" t="str">
        <f>IF(W18=0, "    ---- ", IF(ABS(ROUND(100/W18*X18-100,1))&lt;999,ROUND(100/W18*X18-100,1),IF(ROUND(100/W18*X18-100,1)&gt;999,999,-999)))</f>
        <v xml:space="preserve">    ---- </v>
      </c>
      <c r="Z18" s="919"/>
      <c r="AA18" s="920"/>
      <c r="AB18" s="540"/>
      <c r="AC18" s="919"/>
      <c r="AD18" s="920"/>
      <c r="AE18" s="720"/>
      <c r="AF18" s="919">
        <v>1550</v>
      </c>
      <c r="AG18" s="920">
        <v>77</v>
      </c>
      <c r="AH18" s="540">
        <f t="shared" si="3"/>
        <v>-95</v>
      </c>
      <c r="AI18" s="919">
        <v>1353</v>
      </c>
      <c r="AJ18" s="920">
        <v>1535</v>
      </c>
      <c r="AK18" s="540">
        <f t="shared" si="4"/>
        <v>13.5</v>
      </c>
      <c r="AL18" s="717">
        <f t="shared" si="5"/>
        <v>3845.5521984299999</v>
      </c>
      <c r="AM18" s="717">
        <f t="shared" si="6"/>
        <v>4419.3304098444287</v>
      </c>
      <c r="AN18" s="540">
        <f t="shared" si="7"/>
        <v>14.9</v>
      </c>
      <c r="AO18" s="719"/>
      <c r="AP18" s="719"/>
    </row>
    <row r="19" spans="1:42" s="548" customFormat="1" ht="18.75" customHeight="1" x14ac:dyDescent="0.3">
      <c r="A19" s="534" t="s">
        <v>415</v>
      </c>
      <c r="B19" s="919">
        <v>691.89099999999996</v>
      </c>
      <c r="C19" s="920">
        <f>390.402+164.425+231.118</f>
        <v>785.94499999999994</v>
      </c>
      <c r="D19" s="540">
        <f t="shared" si="9"/>
        <v>13.6</v>
      </c>
      <c r="E19" s="919">
        <v>1582.5</v>
      </c>
      <c r="F19" s="920">
        <v>1659.4</v>
      </c>
      <c r="G19" s="540">
        <f>IF(E19=0, "    ---- ", IF(ABS(ROUND(100/E19*F19-100,1))&lt;999,ROUND(100/E19*F19-100,1),IF(ROUND(100/E19*F19-100,1)&gt;999,999,-999)))</f>
        <v>4.9000000000000004</v>
      </c>
      <c r="H19" s="919">
        <v>151008.274</v>
      </c>
      <c r="I19" s="920">
        <v>149889.20000000001</v>
      </c>
      <c r="J19" s="720">
        <f t="shared" si="0"/>
        <v>-0.7</v>
      </c>
      <c r="K19" s="820"/>
      <c r="L19" s="920"/>
      <c r="M19" s="540" t="str">
        <f>IF(K19=0, "    ---- ", IF(ABS(ROUND(100/K19*L19-100,1))&lt;999,ROUND(100/K19*L19-100,1),IF(ROUND(100/K19*L19-100,1)&gt;999,999,-999)))</f>
        <v xml:space="preserve">    ---- </v>
      </c>
      <c r="N19" s="919">
        <v>161.70400000000001</v>
      </c>
      <c r="O19" s="920">
        <v>0</v>
      </c>
      <c r="P19" s="540">
        <f>IF(N19=0, "    ---- ", IF(ABS(ROUND(100/N19*O19-100,1))&lt;999,ROUND(100/N19*O19-100,1),IF(ROUND(100/N19*O19-100,1)&gt;999,999,-999)))</f>
        <v>-100</v>
      </c>
      <c r="Q19" s="919">
        <v>4989.7</v>
      </c>
      <c r="R19" s="920">
        <v>5111.3999999999996</v>
      </c>
      <c r="S19" s="540">
        <f>IF(Q19=0, "    ---- ", IF(ABS(ROUND(100/Q19*R19-100,1))&lt;999,ROUND(100/Q19*R19-100,1),IF(ROUND(100/Q19*R19-100,1)&gt;999,999,-999)))</f>
        <v>2.4</v>
      </c>
      <c r="T19" s="919"/>
      <c r="U19" s="920"/>
      <c r="V19" s="540"/>
      <c r="W19" s="920"/>
      <c r="X19" s="920"/>
      <c r="Y19" s="540"/>
      <c r="Z19" s="919">
        <v>42414.442553334622</v>
      </c>
      <c r="AA19" s="920">
        <v>42927.78</v>
      </c>
      <c r="AB19" s="540">
        <f t="shared" si="2"/>
        <v>1.2</v>
      </c>
      <c r="AC19" s="919"/>
      <c r="AD19" s="920"/>
      <c r="AE19" s="720"/>
      <c r="AF19" s="919">
        <v>14132</v>
      </c>
      <c r="AG19" s="920">
        <v>14824</v>
      </c>
      <c r="AH19" s="540">
        <f t="shared" si="3"/>
        <v>4.9000000000000004</v>
      </c>
      <c r="AI19" s="919">
        <f>23340+127889+1941+1809+245+88</f>
        <v>155312</v>
      </c>
      <c r="AJ19" s="920">
        <f>277856-38135-64541-1843-17761</f>
        <v>155576</v>
      </c>
      <c r="AK19" s="540">
        <f t="shared" si="4"/>
        <v>0.2</v>
      </c>
      <c r="AL19" s="717">
        <f t="shared" si="5"/>
        <v>370292.51155333465</v>
      </c>
      <c r="AM19" s="717">
        <f t="shared" si="6"/>
        <v>370773.72499999998</v>
      </c>
      <c r="AN19" s="540">
        <f t="shared" si="7"/>
        <v>0.1</v>
      </c>
      <c r="AO19" s="719"/>
      <c r="AP19" s="719"/>
    </row>
    <row r="20" spans="1:42" s="548" customFormat="1" ht="18.75" customHeight="1" x14ac:dyDescent="0.3">
      <c r="A20" s="534" t="s">
        <v>416</v>
      </c>
      <c r="B20" s="919">
        <v>176.779</v>
      </c>
      <c r="C20" s="920">
        <v>164.42500000000001</v>
      </c>
      <c r="D20" s="540">
        <f t="shared" si="9"/>
        <v>-7</v>
      </c>
      <c r="E20" s="919">
        <v>956.9</v>
      </c>
      <c r="F20" s="920">
        <v>986.4</v>
      </c>
      <c r="G20" s="540">
        <f>IF(E20=0, "    ---- ", IF(ABS(ROUND(100/E20*F20-100,1))&lt;999,ROUND(100/E20*F20-100,1),IF(ROUND(100/E20*F20-100,1)&gt;999,999,-999)))</f>
        <v>3.1</v>
      </c>
      <c r="H20" s="919">
        <v>129100.084</v>
      </c>
      <c r="I20" s="920">
        <v>131666.79999999999</v>
      </c>
      <c r="J20" s="720">
        <f t="shared" si="0"/>
        <v>2</v>
      </c>
      <c r="K20" s="820"/>
      <c r="L20" s="920"/>
      <c r="M20" s="540"/>
      <c r="N20" s="919"/>
      <c r="O20" s="920"/>
      <c r="P20" s="540"/>
      <c r="Q20" s="919">
        <v>3869.8</v>
      </c>
      <c r="R20" s="920">
        <v>3869.7</v>
      </c>
      <c r="S20" s="540">
        <f>IF(Q20=0, "    ---- ", IF(ABS(ROUND(100/Q20*R20-100,1))&lt;999,ROUND(100/Q20*R20-100,1),IF(ROUND(100/Q20*R20-100,1)&gt;999,999,-999)))</f>
        <v>0</v>
      </c>
      <c r="T20" s="919"/>
      <c r="U20" s="920"/>
      <c r="V20" s="540"/>
      <c r="W20" s="920"/>
      <c r="X20" s="920"/>
      <c r="Y20" s="540"/>
      <c r="Z20" s="919">
        <v>34556.870683454836</v>
      </c>
      <c r="AA20" s="920">
        <v>36209.68</v>
      </c>
      <c r="AB20" s="540">
        <f t="shared" si="2"/>
        <v>4.8</v>
      </c>
      <c r="AC20" s="919"/>
      <c r="AD20" s="920"/>
      <c r="AE20" s="720"/>
      <c r="AF20" s="919">
        <v>9024</v>
      </c>
      <c r="AG20" s="920">
        <v>8963</v>
      </c>
      <c r="AH20" s="540">
        <f t="shared" si="3"/>
        <v>-0.7</v>
      </c>
      <c r="AI20" s="919">
        <v>127889</v>
      </c>
      <c r="AJ20" s="920">
        <v>131273</v>
      </c>
      <c r="AK20" s="540">
        <f t="shared" si="4"/>
        <v>2.6</v>
      </c>
      <c r="AL20" s="717">
        <f t="shared" si="5"/>
        <v>305573.43368345482</v>
      </c>
      <c r="AM20" s="717">
        <f t="shared" si="6"/>
        <v>313133.005</v>
      </c>
      <c r="AN20" s="540">
        <f t="shared" si="7"/>
        <v>2.5</v>
      </c>
      <c r="AO20" s="719"/>
      <c r="AP20" s="719"/>
    </row>
    <row r="21" spans="1:42" s="548" customFormat="1" ht="18.75" customHeight="1" x14ac:dyDescent="0.3">
      <c r="A21" s="534" t="s">
        <v>417</v>
      </c>
      <c r="B21" s="919"/>
      <c r="C21" s="920"/>
      <c r="D21" s="540"/>
      <c r="E21" s="919"/>
      <c r="F21" s="920"/>
      <c r="G21" s="540"/>
      <c r="H21" s="919"/>
      <c r="I21" s="920"/>
      <c r="J21" s="720"/>
      <c r="K21" s="820"/>
      <c r="L21" s="920"/>
      <c r="M21" s="540"/>
      <c r="N21" s="919"/>
      <c r="O21" s="920"/>
      <c r="P21" s="540"/>
      <c r="Q21" s="919"/>
      <c r="R21" s="920"/>
      <c r="S21" s="540"/>
      <c r="T21" s="919"/>
      <c r="U21" s="920"/>
      <c r="V21" s="540"/>
      <c r="W21" s="920"/>
      <c r="X21" s="920">
        <v>456036.25131739001</v>
      </c>
      <c r="Y21" s="540" t="str">
        <f>IF(W21=0, "    ---- ", IF(ABS(ROUND(100/W21*X21-100,1))&lt;999,ROUND(100/W21*X21-100,1),IF(ROUND(100/W21*X21-100,1)&gt;999,999,-999)))</f>
        <v xml:space="preserve">    ---- </v>
      </c>
      <c r="Z21" s="919"/>
      <c r="AA21" s="920"/>
      <c r="AB21" s="540"/>
      <c r="AC21" s="919">
        <v>66898</v>
      </c>
      <c r="AD21" s="920">
        <v>66749</v>
      </c>
      <c r="AE21" s="720">
        <f>IF(AC21=0, "    ---- ", IF(ABS(ROUND(100/AC21*AD21-100,1))&lt;999,ROUND(100/AC21*AD21-100,1),IF(ROUND(100/AC21*AD21-100,1)&gt;999,999,-999)))</f>
        <v>-0.2</v>
      </c>
      <c r="AF21" s="919"/>
      <c r="AG21" s="920"/>
      <c r="AH21" s="540"/>
      <c r="AI21" s="919">
        <v>2506</v>
      </c>
      <c r="AJ21" s="920">
        <v>2686</v>
      </c>
      <c r="AK21" s="540">
        <f t="shared" si="4"/>
        <v>7.2</v>
      </c>
      <c r="AL21" s="717">
        <f t="shared" si="5"/>
        <v>69404</v>
      </c>
      <c r="AM21" s="717">
        <f t="shared" si="6"/>
        <v>525471.25131739001</v>
      </c>
      <c r="AN21" s="540">
        <f t="shared" si="7"/>
        <v>657.1</v>
      </c>
      <c r="AO21" s="719"/>
      <c r="AP21" s="719"/>
    </row>
    <row r="22" spans="1:42" s="548" customFormat="1" ht="18.75" customHeight="1" x14ac:dyDescent="0.3">
      <c r="A22" s="534" t="s">
        <v>418</v>
      </c>
      <c r="B22" s="919">
        <v>53.457000000000001</v>
      </c>
      <c r="C22" s="920">
        <v>54.917000000000002</v>
      </c>
      <c r="D22" s="540">
        <f>IF(B22=0, "    ---- ", IF(ABS(ROUND(100/B22*C22-100,1))&lt;999,ROUND(100/B22*C22-100,1),IF(ROUND(100/B22*C22-100,1)&gt;999,999,-999)))</f>
        <v>2.7</v>
      </c>
      <c r="E22" s="919"/>
      <c r="F22" s="920"/>
      <c r="G22" s="540"/>
      <c r="H22" s="919">
        <f>4624.762+212.591</f>
        <v>4837.3530000000001</v>
      </c>
      <c r="I22" s="920">
        <f>2824.1+1760.9</f>
        <v>4585</v>
      </c>
      <c r="J22" s="720">
        <f t="shared" si="0"/>
        <v>-5.2</v>
      </c>
      <c r="K22" s="820"/>
      <c r="L22" s="920">
        <v>594</v>
      </c>
      <c r="M22" s="540"/>
      <c r="N22" s="919">
        <v>156.857</v>
      </c>
      <c r="O22" s="920">
        <v>144.06299999999999</v>
      </c>
      <c r="P22" s="540">
        <f>IF(N22=0, "    ---- ", IF(ABS(ROUND(100/N22*O22-100,1))&lt;999,ROUND(100/N22*O22-100,1),IF(ROUND(100/N22*O22-100,1)&gt;999,999,-999)))</f>
        <v>-8.1999999999999993</v>
      </c>
      <c r="Q22" s="919"/>
      <c r="R22" s="920"/>
      <c r="S22" s="540"/>
      <c r="T22" s="919"/>
      <c r="U22" s="920"/>
      <c r="V22" s="540"/>
      <c r="W22" s="920"/>
      <c r="X22" s="920"/>
      <c r="Y22" s="540"/>
      <c r="Z22" s="919">
        <v>47.587747799700011</v>
      </c>
      <c r="AA22" s="920">
        <v>53.09</v>
      </c>
      <c r="AB22" s="540">
        <f t="shared" si="2"/>
        <v>11.6</v>
      </c>
      <c r="AC22" s="919"/>
      <c r="AD22" s="920"/>
      <c r="AE22" s="720"/>
      <c r="AF22" s="919">
        <v>443</v>
      </c>
      <c r="AG22" s="920"/>
      <c r="AH22" s="720">
        <f>IF(AF22=0, "    ---- ", IF(ABS(ROUND(100/AF22*AG22-100,1))&lt;999,ROUND(100/AF22*AG22-100,1),IF(ROUND(100/AF22*AG22-100,1)&gt;999,999,-999)))</f>
        <v>-100</v>
      </c>
      <c r="AI22" s="919"/>
      <c r="AJ22" s="920"/>
      <c r="AK22" s="540"/>
      <c r="AL22" s="717">
        <f t="shared" si="5"/>
        <v>5538.2547477997005</v>
      </c>
      <c r="AM22" s="717">
        <f t="shared" si="6"/>
        <v>5431.0700000000006</v>
      </c>
      <c r="AN22" s="540">
        <f t="shared" si="7"/>
        <v>-1.9</v>
      </c>
      <c r="AO22" s="719"/>
      <c r="AP22" s="719"/>
    </row>
    <row r="23" spans="1:42" s="726" customFormat="1" ht="18.75" customHeight="1" x14ac:dyDescent="0.3">
      <c r="A23" s="721" t="s">
        <v>419</v>
      </c>
      <c r="B23" s="921">
        <f>SUM(B24+B27+B30+B31+B33+B34)</f>
        <v>1098.96</v>
      </c>
      <c r="C23" s="922">
        <f>SUM(C24+C27+C30+C31+C33+C34)</f>
        <v>1154.146</v>
      </c>
      <c r="D23" s="722">
        <f>IF(B23=0, "    ---- ", IF(ABS(ROUND(100/B23*C23-100,1))&lt;999,ROUND(100/B23*C23-100,1),IF(ROUND(100/B23*C23-100,1)&gt;999,999,-999)))</f>
        <v>5</v>
      </c>
      <c r="E23" s="921"/>
      <c r="F23" s="922"/>
      <c r="G23" s="722"/>
      <c r="H23" s="921">
        <f>SUM(H24+H27+H30+H31+H33+H34)</f>
        <v>193496.07400000002</v>
      </c>
      <c r="I23" s="922">
        <f>SUM(I24+I27+I30+I31+I33+I34)</f>
        <v>188967.5</v>
      </c>
      <c r="J23" s="723">
        <f t="shared" si="0"/>
        <v>-2.2999999999999998</v>
      </c>
      <c r="K23" s="821"/>
      <c r="L23" s="922">
        <f>SUM(L24+L27+L30+L31+L33+L34)</f>
        <v>6385</v>
      </c>
      <c r="M23" s="722" t="str">
        <f>IF(K23=0, "    ---- ", IF(ABS(ROUND(100/K23*L23-100,1))&lt;999,ROUND(100/K23*L23-100,1),IF(ROUND(100/K23*L23-100,1)&gt;999,999,-999)))</f>
        <v xml:space="preserve">    ---- </v>
      </c>
      <c r="N23" s="921">
        <f>SUM(N24+N27+N30+N31+N33+N34)</f>
        <v>931.94100000000003</v>
      </c>
      <c r="O23" s="922">
        <f>SUM(O24+O27+O30+O31+O33+O34)</f>
        <v>916.75799999999992</v>
      </c>
      <c r="P23" s="722">
        <f>IF(N23=0, "    ---- ", IF(ABS(ROUND(100/N23*O23-100,1))&lt;999,ROUND(100/N23*O23-100,1),IF(ROUND(100/N23*O23-100,1)&gt;999,999,-999)))</f>
        <v>-1.6</v>
      </c>
      <c r="Q23" s="921">
        <f>SUM(Q24+Q27+Q30+Q31+Q33+Q34)</f>
        <v>6442</v>
      </c>
      <c r="R23" s="922">
        <f>SUM(R24+R27+R30+R31+R33+R34)</f>
        <v>6845.9</v>
      </c>
      <c r="S23" s="722">
        <f>IF(Q23=0, "    ---- ", IF(ABS(ROUND(100/Q23*R23-100,1))&lt;999,ROUND(100/Q23*R23-100,1),IF(ROUND(100/Q23*R23-100,1)&gt;999,999,-999)))</f>
        <v>6.3</v>
      </c>
      <c r="T23" s="921"/>
      <c r="U23" s="922"/>
      <c r="V23" s="722"/>
      <c r="W23" s="922"/>
      <c r="X23" s="922"/>
      <c r="Y23" s="722"/>
      <c r="Z23" s="921">
        <f>SUM(Z24+Z27+Z30+Z31+Z33+Z34)</f>
        <v>46799.979532076228</v>
      </c>
      <c r="AA23" s="922">
        <f>SUM(AA24+AA27+AA30+AA31+AA33+AA34)</f>
        <v>47225.549999999996</v>
      </c>
      <c r="AB23" s="722">
        <f t="shared" si="2"/>
        <v>0.9</v>
      </c>
      <c r="AC23" s="921"/>
      <c r="AD23" s="922"/>
      <c r="AE23" s="723"/>
      <c r="AF23" s="921">
        <f>SUM(AF24+AF27+AF30+AF31+AF33+AF34)</f>
        <v>22350</v>
      </c>
      <c r="AG23" s="922">
        <f>SUM(AG24+AG27+AG30+AG31+AG33+AG34)</f>
        <v>17905</v>
      </c>
      <c r="AH23" s="722">
        <f t="shared" si="3"/>
        <v>-19.899999999999999</v>
      </c>
      <c r="AI23" s="921">
        <f>SUM(AI24+AI27+AI30+AI31+AI33+AI34)</f>
        <v>171963</v>
      </c>
      <c r="AJ23" s="922">
        <f>SUM(AJ24+AJ27+AJ30+AJ31+AJ33+AJ34)</f>
        <v>172089</v>
      </c>
      <c r="AK23" s="722">
        <f t="shared" si="4"/>
        <v>0.1</v>
      </c>
      <c r="AL23" s="632">
        <f t="shared" si="5"/>
        <v>443081.95453207626</v>
      </c>
      <c r="AM23" s="632">
        <f t="shared" si="6"/>
        <v>441488.85399999999</v>
      </c>
      <c r="AN23" s="722">
        <f t="shared" si="7"/>
        <v>-0.4</v>
      </c>
      <c r="AO23" s="724"/>
      <c r="AP23" s="725"/>
    </row>
    <row r="24" spans="1:42" s="548" customFormat="1" ht="18.75" customHeight="1" x14ac:dyDescent="0.3">
      <c r="A24" s="534" t="s">
        <v>410</v>
      </c>
      <c r="B24" s="919">
        <v>245.244</v>
      </c>
      <c r="C24" s="920">
        <v>237.54900000000001</v>
      </c>
      <c r="D24" s="540">
        <f>IF(B24=0, "    ---- ", IF(ABS(ROUND(100/B24*C24-100,1))&lt;999,ROUND(100/B24*C24-100,1),IF(ROUND(100/B24*C24-100,1)&gt;999,999,-999)))</f>
        <v>-3.1</v>
      </c>
      <c r="E24" s="919"/>
      <c r="F24" s="920"/>
      <c r="G24" s="540"/>
      <c r="H24" s="919">
        <v>12461.545</v>
      </c>
      <c r="I24" s="920">
        <v>11036.7</v>
      </c>
      <c r="J24" s="720">
        <f t="shared" si="0"/>
        <v>-11.4</v>
      </c>
      <c r="K24" s="820"/>
      <c r="L24" s="920">
        <v>566</v>
      </c>
      <c r="M24" s="540"/>
      <c r="N24" s="919">
        <v>60.127000000000002</v>
      </c>
      <c r="O24" s="920">
        <v>59.173000000000002</v>
      </c>
      <c r="P24" s="540">
        <f>IF(N24=0, "    ---- ", IF(ABS(ROUND(100/N24*O24-100,1))&lt;999,ROUND(100/N24*O24-100,1),IF(ROUND(100/N24*O24-100,1)&gt;999,999,-999)))</f>
        <v>-1.6</v>
      </c>
      <c r="Q24" s="919"/>
      <c r="R24" s="920"/>
      <c r="S24" s="540"/>
      <c r="T24" s="919"/>
      <c r="U24" s="920"/>
      <c r="V24" s="540"/>
      <c r="W24" s="920"/>
      <c r="X24" s="920"/>
      <c r="Y24" s="540"/>
      <c r="Z24" s="919">
        <v>756.57448278113054</v>
      </c>
      <c r="AA24" s="920">
        <v>673.25</v>
      </c>
      <c r="AB24" s="540">
        <f t="shared" si="2"/>
        <v>-11</v>
      </c>
      <c r="AC24" s="919"/>
      <c r="AD24" s="920"/>
      <c r="AE24" s="720"/>
      <c r="AF24" s="919">
        <v>846</v>
      </c>
      <c r="AG24" s="920">
        <v>413</v>
      </c>
      <c r="AH24" s="540">
        <f t="shared" si="3"/>
        <v>-51.2</v>
      </c>
      <c r="AI24" s="919">
        <f>+AI12</f>
        <v>3841</v>
      </c>
      <c r="AJ24" s="920">
        <v>3946</v>
      </c>
      <c r="AK24" s="540">
        <f t="shared" si="4"/>
        <v>2.7</v>
      </c>
      <c r="AL24" s="717">
        <f t="shared" si="5"/>
        <v>18210.490482781133</v>
      </c>
      <c r="AM24" s="717">
        <f t="shared" si="6"/>
        <v>16931.672000000002</v>
      </c>
      <c r="AN24" s="540">
        <f t="shared" si="7"/>
        <v>-7</v>
      </c>
      <c r="AO24" s="719"/>
      <c r="AP24" s="719"/>
    </row>
    <row r="25" spans="1:42" s="548" customFormat="1" ht="18.75" customHeight="1" x14ac:dyDescent="0.3">
      <c r="A25" s="534" t="s">
        <v>411</v>
      </c>
      <c r="B25" s="919"/>
      <c r="C25" s="920"/>
      <c r="D25" s="540"/>
      <c r="E25" s="919"/>
      <c r="F25" s="920"/>
      <c r="G25" s="540"/>
      <c r="H25" s="902">
        <v>3532.2539999999999</v>
      </c>
      <c r="I25" s="920">
        <v>2878.7</v>
      </c>
      <c r="J25" s="720">
        <f t="shared" si="0"/>
        <v>-18.5</v>
      </c>
      <c r="K25" s="820"/>
      <c r="L25" s="920"/>
      <c r="M25" s="540"/>
      <c r="N25" s="919"/>
      <c r="O25" s="920"/>
      <c r="P25" s="540"/>
      <c r="Q25" s="919"/>
      <c r="R25" s="920"/>
      <c r="S25" s="540"/>
      <c r="T25" s="919"/>
      <c r="U25" s="920"/>
      <c r="V25" s="540"/>
      <c r="W25" s="920"/>
      <c r="X25" s="920"/>
      <c r="Y25" s="540"/>
      <c r="Z25" s="919">
        <v>447.42914819467677</v>
      </c>
      <c r="AA25" s="920">
        <v>409.72</v>
      </c>
      <c r="AB25" s="540">
        <f t="shared" si="2"/>
        <v>-8.4</v>
      </c>
      <c r="AC25" s="919"/>
      <c r="AD25" s="920"/>
      <c r="AE25" s="720"/>
      <c r="AF25" s="902">
        <v>314</v>
      </c>
      <c r="AG25" s="903">
        <v>277</v>
      </c>
      <c r="AH25" s="540">
        <f t="shared" si="3"/>
        <v>-11.8</v>
      </c>
      <c r="AI25" s="919">
        <f>+AI13</f>
        <v>2149</v>
      </c>
      <c r="AJ25" s="920">
        <v>2089</v>
      </c>
      <c r="AK25" s="540">
        <f t="shared" si="4"/>
        <v>-2.8</v>
      </c>
      <c r="AL25" s="717">
        <f t="shared" si="5"/>
        <v>6442.6831481946765</v>
      </c>
      <c r="AM25" s="717">
        <f t="shared" si="6"/>
        <v>5654.42</v>
      </c>
      <c r="AN25" s="540">
        <f t="shared" si="7"/>
        <v>-12.2</v>
      </c>
      <c r="AO25" s="719"/>
      <c r="AP25" s="719"/>
    </row>
    <row r="26" spans="1:42" s="548" customFormat="1" ht="18.75" customHeight="1" x14ac:dyDescent="0.3">
      <c r="A26" s="534" t="s">
        <v>412</v>
      </c>
      <c r="B26" s="919"/>
      <c r="C26" s="920"/>
      <c r="D26" s="540"/>
      <c r="E26" s="919"/>
      <c r="F26" s="920"/>
      <c r="G26" s="540"/>
      <c r="H26" s="902">
        <v>9359.5820000000003</v>
      </c>
      <c r="I26" s="920">
        <v>8158</v>
      </c>
      <c r="J26" s="720">
        <f t="shared" si="0"/>
        <v>-12.8</v>
      </c>
      <c r="K26" s="820"/>
      <c r="L26" s="984"/>
      <c r="M26" s="540"/>
      <c r="N26" s="919"/>
      <c r="O26" s="920"/>
      <c r="P26" s="540"/>
      <c r="Q26" s="919"/>
      <c r="R26" s="920"/>
      <c r="S26" s="540"/>
      <c r="T26" s="919"/>
      <c r="U26" s="920"/>
      <c r="V26" s="540"/>
      <c r="W26" s="920"/>
      <c r="X26" s="920"/>
      <c r="Y26" s="540"/>
      <c r="Z26" s="919">
        <v>55.028700439999994</v>
      </c>
      <c r="AA26" s="920">
        <v>36.81</v>
      </c>
      <c r="AB26" s="540">
        <f t="shared" si="2"/>
        <v>-33.1</v>
      </c>
      <c r="AC26" s="919"/>
      <c r="AD26" s="920"/>
      <c r="AE26" s="720"/>
      <c r="AF26" s="902">
        <v>144</v>
      </c>
      <c r="AG26" s="903">
        <v>135</v>
      </c>
      <c r="AH26" s="540">
        <f t="shared" si="3"/>
        <v>-6.3</v>
      </c>
      <c r="AI26" s="919"/>
      <c r="AJ26" s="920"/>
      <c r="AK26" s="540"/>
      <c r="AL26" s="717">
        <f t="shared" si="5"/>
        <v>9558.6107004400001</v>
      </c>
      <c r="AM26" s="717">
        <f t="shared" si="6"/>
        <v>8329.81</v>
      </c>
      <c r="AN26" s="540">
        <f t="shared" si="7"/>
        <v>-12.9</v>
      </c>
      <c r="AO26" s="719"/>
      <c r="AP26" s="719"/>
    </row>
    <row r="27" spans="1:42" s="548" customFormat="1" ht="18.75" customHeight="1" x14ac:dyDescent="0.3">
      <c r="A27" s="534" t="s">
        <v>413</v>
      </c>
      <c r="B27" s="919">
        <f>65.923+41.934</f>
        <v>107.857</v>
      </c>
      <c r="C27" s="920">
        <f>89.454+40.673</f>
        <v>130.12700000000001</v>
      </c>
      <c r="D27" s="540">
        <f>IF(B27=0, "    ---- ", IF(ABS(ROUND(100/B27*C27-100,1))&lt;999,ROUND(100/B27*C27-100,1),IF(ROUND(100/B27*C27-100,1)&gt;999,999,-999)))</f>
        <v>20.6</v>
      </c>
      <c r="E27" s="919"/>
      <c r="F27" s="920"/>
      <c r="G27" s="540"/>
      <c r="H27" s="919">
        <v>24313.884999999998</v>
      </c>
      <c r="I27" s="920">
        <v>23166.6</v>
      </c>
      <c r="J27" s="720">
        <f t="shared" si="0"/>
        <v>-4.7</v>
      </c>
      <c r="K27" s="820"/>
      <c r="L27" s="920">
        <v>3313</v>
      </c>
      <c r="M27" s="540" t="str">
        <f>IF(K27=0, "    ---- ", IF(ABS(ROUND(100/K27*L27-100,1))&lt;999,ROUND(100/K27*L27-100,1),IF(ROUND(100/K27*L27-100,1)&gt;999,999,-999)))</f>
        <v xml:space="preserve">    ---- </v>
      </c>
      <c r="N27" s="919">
        <v>580.65499999999997</v>
      </c>
      <c r="O27" s="920">
        <v>719.95399999999995</v>
      </c>
      <c r="P27" s="540">
        <f>IF(N27=0, "    ---- ", IF(ABS(ROUND(100/N27*O27-100,1))&lt;999,ROUND(100/N27*O27-100,1),IF(ROUND(100/N27*O27-100,1)&gt;999,999,-999)))</f>
        <v>24</v>
      </c>
      <c r="Q27" s="919">
        <v>1487</v>
      </c>
      <c r="R27" s="920">
        <f>2252.7-474.8</f>
        <v>1777.8999999999999</v>
      </c>
      <c r="S27" s="540">
        <f>IF(Q27=0, "    ---- ", IF(ABS(ROUND(100/Q27*R27-100,1))&lt;999,ROUND(100/Q27*R27-100,1),IF(ROUND(100/Q27*R27-100,1)&gt;999,999,-999)))</f>
        <v>19.600000000000001</v>
      </c>
      <c r="T27" s="919"/>
      <c r="U27" s="920"/>
      <c r="V27" s="540"/>
      <c r="W27" s="920"/>
      <c r="X27" s="920"/>
      <c r="Y27" s="540"/>
      <c r="Z27" s="919">
        <v>3581.3747481607747</v>
      </c>
      <c r="AA27" s="920">
        <v>3571.43</v>
      </c>
      <c r="AB27" s="540">
        <f t="shared" si="2"/>
        <v>-0.3</v>
      </c>
      <c r="AC27" s="919"/>
      <c r="AD27" s="920"/>
      <c r="AE27" s="720"/>
      <c r="AF27" s="919">
        <v>5379</v>
      </c>
      <c r="AG27" s="920">
        <v>2591</v>
      </c>
      <c r="AH27" s="540">
        <f t="shared" si="3"/>
        <v>-51.8</v>
      </c>
      <c r="AI27" s="919">
        <f>+AI15</f>
        <v>8951</v>
      </c>
      <c r="AJ27" s="920">
        <v>8346</v>
      </c>
      <c r="AK27" s="540">
        <f t="shared" si="4"/>
        <v>-6.8</v>
      </c>
      <c r="AL27" s="717">
        <f t="shared" si="5"/>
        <v>44400.771748160769</v>
      </c>
      <c r="AM27" s="717">
        <f t="shared" si="6"/>
        <v>43616.010999999999</v>
      </c>
      <c r="AN27" s="540">
        <f t="shared" si="7"/>
        <v>-1.8</v>
      </c>
      <c r="AO27" s="719"/>
      <c r="AP27" s="719"/>
    </row>
    <row r="28" spans="1:42" s="548" customFormat="1" ht="18.75" customHeight="1" x14ac:dyDescent="0.3">
      <c r="A28" s="534" t="s">
        <v>411</v>
      </c>
      <c r="B28" s="919"/>
      <c r="C28" s="920"/>
      <c r="D28" s="540"/>
      <c r="E28" s="919"/>
      <c r="F28" s="920"/>
      <c r="G28" s="540"/>
      <c r="H28" s="919">
        <v>21403.684000000001</v>
      </c>
      <c r="I28" s="920">
        <v>20225.599999999999</v>
      </c>
      <c r="J28" s="720">
        <f t="shared" si="0"/>
        <v>-5.5</v>
      </c>
      <c r="K28" s="820"/>
      <c r="L28" s="920"/>
      <c r="M28" s="540"/>
      <c r="N28" s="919"/>
      <c r="O28" s="920"/>
      <c r="P28" s="540"/>
      <c r="Q28" s="919"/>
      <c r="R28" s="920"/>
      <c r="S28" s="540"/>
      <c r="T28" s="919"/>
      <c r="U28" s="920"/>
      <c r="V28" s="540"/>
      <c r="W28" s="920"/>
      <c r="X28" s="920"/>
      <c r="Y28" s="540"/>
      <c r="Z28" s="919">
        <v>2523.6851684458893</v>
      </c>
      <c r="AA28" s="920">
        <v>2389.16</v>
      </c>
      <c r="AB28" s="540">
        <f t="shared" si="2"/>
        <v>-5.3</v>
      </c>
      <c r="AC28" s="919"/>
      <c r="AD28" s="920"/>
      <c r="AE28" s="720"/>
      <c r="AF28" s="919">
        <v>2602</v>
      </c>
      <c r="AG28" s="920">
        <v>2415</v>
      </c>
      <c r="AH28" s="540">
        <f t="shared" si="3"/>
        <v>-7.2</v>
      </c>
      <c r="AI28" s="919">
        <f>+AI16</f>
        <v>8951</v>
      </c>
      <c r="AJ28" s="920">
        <v>8346</v>
      </c>
      <c r="AK28" s="540">
        <f t="shared" si="4"/>
        <v>-6.8</v>
      </c>
      <c r="AL28" s="717">
        <f t="shared" si="5"/>
        <v>35480.36916844589</v>
      </c>
      <c r="AM28" s="717">
        <f t="shared" si="6"/>
        <v>33375.759999999995</v>
      </c>
      <c r="AN28" s="540">
        <f t="shared" si="7"/>
        <v>-5.9</v>
      </c>
      <c r="AO28" s="719"/>
      <c r="AP28" s="719"/>
    </row>
    <row r="29" spans="1:42" s="548" customFormat="1" ht="18.75" customHeight="1" x14ac:dyDescent="0.3">
      <c r="A29" s="534" t="s">
        <v>412</v>
      </c>
      <c r="B29" s="919"/>
      <c r="C29" s="920"/>
      <c r="D29" s="540"/>
      <c r="E29" s="919"/>
      <c r="F29" s="920"/>
      <c r="G29" s="540"/>
      <c r="H29" s="919">
        <v>3047.239</v>
      </c>
      <c r="I29" s="920">
        <v>2941</v>
      </c>
      <c r="J29" s="720">
        <f t="shared" si="0"/>
        <v>-3.5</v>
      </c>
      <c r="K29" s="820"/>
      <c r="L29" s="984">
        <v>0.2</v>
      </c>
      <c r="M29" s="540" t="str">
        <f>IF(K29=0, "    ---- ", IF(ABS(ROUND(100/K29*L29-100,1))&lt;999,ROUND(100/K29*L29-100,1),IF(ROUND(100/K29*L29-100,1)&gt;999,999,-999)))</f>
        <v xml:space="preserve">    ---- </v>
      </c>
      <c r="N29" s="919"/>
      <c r="O29" s="920"/>
      <c r="P29" s="540"/>
      <c r="Q29" s="919">
        <v>1487</v>
      </c>
      <c r="R29" s="920">
        <v>1777.8999999999999</v>
      </c>
      <c r="S29" s="540">
        <f>IF(Q29=0, "    ---- ", IF(ABS(ROUND(100/Q29*R29-100,1))&lt;999,ROUND(100/Q29*R29-100,1),IF(ROUND(100/Q29*R29-100,1)&gt;999,999,-999)))</f>
        <v>19.600000000000001</v>
      </c>
      <c r="T29" s="919"/>
      <c r="U29" s="920"/>
      <c r="V29" s="540"/>
      <c r="W29" s="920"/>
      <c r="X29" s="920"/>
      <c r="Y29" s="540"/>
      <c r="Z29" s="919">
        <v>492.35386825202244</v>
      </c>
      <c r="AA29" s="920">
        <v>522.25</v>
      </c>
      <c r="AB29" s="540">
        <f t="shared" si="2"/>
        <v>6.1</v>
      </c>
      <c r="AC29" s="919"/>
      <c r="AD29" s="920"/>
      <c r="AE29" s="720"/>
      <c r="AF29" s="919">
        <v>164</v>
      </c>
      <c r="AG29" s="920">
        <v>175</v>
      </c>
      <c r="AH29" s="540">
        <f t="shared" si="3"/>
        <v>6.7</v>
      </c>
      <c r="AI29" s="919"/>
      <c r="AJ29" s="920"/>
      <c r="AK29" s="540"/>
      <c r="AL29" s="717">
        <f t="shared" si="5"/>
        <v>5190.5928682520216</v>
      </c>
      <c r="AM29" s="717">
        <f t="shared" si="6"/>
        <v>5416.3499999999995</v>
      </c>
      <c r="AN29" s="540">
        <f t="shared" si="7"/>
        <v>4.3</v>
      </c>
      <c r="AO29" s="719"/>
      <c r="AP29" s="719"/>
    </row>
    <row r="30" spans="1:42" s="548" customFormat="1" ht="18.75" customHeight="1" x14ac:dyDescent="0.3">
      <c r="A30" s="534" t="s">
        <v>414</v>
      </c>
      <c r="B30" s="919">
        <v>0.51100000000000001</v>
      </c>
      <c r="C30" s="920">
        <v>0.52500000000000002</v>
      </c>
      <c r="D30" s="540">
        <f t="shared" ref="D30:D32" si="10">IF(B30=0, "    ---- ", IF(ABS(ROUND(100/B30*C30-100,1))&lt;999,ROUND(100/B30*C30-100,1),IF(ROUND(100/B30*C30-100,1)&gt;999,999,-999)))</f>
        <v>2.7</v>
      </c>
      <c r="E30" s="919"/>
      <c r="F30" s="920"/>
      <c r="G30" s="540"/>
      <c r="H30" s="919">
        <f>868.681+6.336</f>
        <v>875.01700000000005</v>
      </c>
      <c r="I30" s="920">
        <v>290</v>
      </c>
      <c r="J30" s="720">
        <f t="shared" si="0"/>
        <v>-66.900000000000006</v>
      </c>
      <c r="K30" s="820"/>
      <c r="L30" s="920">
        <v>2072</v>
      </c>
      <c r="M30" s="540"/>
      <c r="N30" s="919">
        <v>39.262999999999998</v>
      </c>
      <c r="O30" s="920">
        <v>33.134</v>
      </c>
      <c r="P30" s="540">
        <f>IF(N30=0, "    ---- ", IF(ABS(ROUND(100/N30*O30-100,1))&lt;999,ROUND(100/N30*O30-100,1),IF(ROUND(100/N30*O30-100,1)&gt;999,999,-999)))</f>
        <v>-15.6</v>
      </c>
      <c r="Q30" s="919"/>
      <c r="R30" s="920"/>
      <c r="S30" s="540"/>
      <c r="T30" s="919"/>
      <c r="U30" s="920"/>
      <c r="V30" s="540"/>
      <c r="W30" s="920"/>
      <c r="X30" s="920"/>
      <c r="Y30" s="540"/>
      <c r="Z30" s="919"/>
      <c r="AA30" s="920"/>
      <c r="AB30" s="540"/>
      <c r="AC30" s="919"/>
      <c r="AD30" s="920"/>
      <c r="AE30" s="720"/>
      <c r="AF30" s="919">
        <v>1550</v>
      </c>
      <c r="AG30" s="920">
        <v>77</v>
      </c>
      <c r="AH30" s="540">
        <f t="shared" si="3"/>
        <v>-95</v>
      </c>
      <c r="AI30" s="919">
        <f>+AI18</f>
        <v>1353</v>
      </c>
      <c r="AJ30" s="920">
        <v>1535</v>
      </c>
      <c r="AK30" s="540">
        <f t="shared" si="4"/>
        <v>13.5</v>
      </c>
      <c r="AL30" s="717">
        <f t="shared" si="5"/>
        <v>3817.7910000000002</v>
      </c>
      <c r="AM30" s="717">
        <f t="shared" si="6"/>
        <v>4007.6590000000001</v>
      </c>
      <c r="AN30" s="540">
        <f t="shared" si="7"/>
        <v>5</v>
      </c>
      <c r="AO30" s="719"/>
      <c r="AP30" s="719"/>
    </row>
    <row r="31" spans="1:42" s="548" customFormat="1" ht="18.75" customHeight="1" x14ac:dyDescent="0.3">
      <c r="A31" s="534" t="s">
        <v>415</v>
      </c>
      <c r="B31" s="919">
        <v>691.89099999999996</v>
      </c>
      <c r="C31" s="920">
        <f>390.402+164.425+231.118</f>
        <v>785.94499999999994</v>
      </c>
      <c r="D31" s="540">
        <f t="shared" si="10"/>
        <v>13.6</v>
      </c>
      <c r="E31" s="919"/>
      <c r="F31" s="920"/>
      <c r="G31" s="540"/>
      <c r="H31" s="919">
        <v>151008.274</v>
      </c>
      <c r="I31" s="920">
        <v>149889.20000000001</v>
      </c>
      <c r="J31" s="720">
        <f t="shared" si="0"/>
        <v>-0.7</v>
      </c>
      <c r="K31" s="820"/>
      <c r="L31" s="920"/>
      <c r="M31" s="540" t="str">
        <f>IF(K31=0, "    ---- ", IF(ABS(ROUND(100/K31*L31-100,1))&lt;999,ROUND(100/K31*L31-100,1),IF(ROUND(100/K31*L31-100,1)&gt;999,999,-999)))</f>
        <v xml:space="preserve">    ---- </v>
      </c>
      <c r="N31" s="919">
        <v>141.76300000000001</v>
      </c>
      <c r="O31" s="920">
        <v>-7.452</v>
      </c>
      <c r="P31" s="540">
        <f>IF(N31=0, "    ---- ", IF(ABS(ROUND(100/N31*O31-100,1))&lt;999,ROUND(100/N31*O31-100,1),IF(ROUND(100/N31*O31-100,1)&gt;999,999,-999)))</f>
        <v>-105.3</v>
      </c>
      <c r="Q31" s="919">
        <v>4955</v>
      </c>
      <c r="R31" s="920">
        <f>5111.4-43.4</f>
        <v>5068</v>
      </c>
      <c r="S31" s="540">
        <f>IF(Q31=0, "    ---- ", IF(ABS(ROUND(100/Q31*R31-100,1))&lt;999,ROUND(100/Q31*R31-100,1),IF(ROUND(100/Q31*R31-100,1)&gt;999,999,-999)))</f>
        <v>2.2999999999999998</v>
      </c>
      <c r="T31" s="919"/>
      <c r="U31" s="920"/>
      <c r="V31" s="540"/>
      <c r="W31" s="920"/>
      <c r="X31" s="920"/>
      <c r="Y31" s="540"/>
      <c r="Z31" s="919">
        <v>42414.442553334622</v>
      </c>
      <c r="AA31" s="920">
        <v>42927.78</v>
      </c>
      <c r="AB31" s="540">
        <f t="shared" si="2"/>
        <v>1.2</v>
      </c>
      <c r="AC31" s="919"/>
      <c r="AD31" s="920"/>
      <c r="AE31" s="720"/>
      <c r="AF31" s="919">
        <v>14132</v>
      </c>
      <c r="AG31" s="920">
        <v>14824</v>
      </c>
      <c r="AH31" s="540">
        <f t="shared" si="3"/>
        <v>4.9000000000000004</v>
      </c>
      <c r="AI31" s="919">
        <f>+AI19</f>
        <v>155312</v>
      </c>
      <c r="AJ31" s="920">
        <v>155576</v>
      </c>
      <c r="AK31" s="540">
        <f t="shared" si="4"/>
        <v>0.2</v>
      </c>
      <c r="AL31" s="717">
        <f t="shared" si="5"/>
        <v>368655.37055333465</v>
      </c>
      <c r="AM31" s="717">
        <f t="shared" si="6"/>
        <v>369063.473</v>
      </c>
      <c r="AN31" s="540">
        <f t="shared" si="7"/>
        <v>0.1</v>
      </c>
      <c r="AO31" s="719"/>
      <c r="AP31" s="719"/>
    </row>
    <row r="32" spans="1:42" s="548" customFormat="1" ht="18.75" customHeight="1" x14ac:dyDescent="0.3">
      <c r="A32" s="534" t="s">
        <v>416</v>
      </c>
      <c r="B32" s="919">
        <v>176.779</v>
      </c>
      <c r="C32" s="920">
        <v>164.42500000000001</v>
      </c>
      <c r="D32" s="540">
        <f t="shared" si="10"/>
        <v>-7</v>
      </c>
      <c r="E32" s="919"/>
      <c r="F32" s="920"/>
      <c r="G32" s="540"/>
      <c r="H32" s="919">
        <v>129100.084</v>
      </c>
      <c r="I32" s="920">
        <v>131666.79999999999</v>
      </c>
      <c r="J32" s="720">
        <f t="shared" si="0"/>
        <v>2</v>
      </c>
      <c r="K32" s="820"/>
      <c r="L32" s="920"/>
      <c r="M32" s="540"/>
      <c r="N32" s="919"/>
      <c r="O32" s="920"/>
      <c r="P32" s="540"/>
      <c r="Q32" s="919">
        <v>3870</v>
      </c>
      <c r="R32" s="920">
        <v>3869.7</v>
      </c>
      <c r="S32" s="540">
        <f>IF(Q32=0, "    ---- ", IF(ABS(ROUND(100/Q32*R32-100,1))&lt;999,ROUND(100/Q32*R32-100,1),IF(ROUND(100/Q32*R32-100,1)&gt;999,999,-999)))</f>
        <v>0</v>
      </c>
      <c r="T32" s="919"/>
      <c r="U32" s="920"/>
      <c r="V32" s="540"/>
      <c r="W32" s="920"/>
      <c r="X32" s="920">
        <v>456019.29273716162</v>
      </c>
      <c r="Y32" s="540" t="str">
        <f>IF(W32=0, "    ---- ", IF(ABS(ROUND(100/W32*X32-100,1))&lt;999,ROUND(100/W32*X32-100,1),IF(ROUND(100/W32*X32-100,1)&gt;999,999,-999)))</f>
        <v xml:space="preserve">    ---- </v>
      </c>
      <c r="Z32" s="919">
        <v>34556.870683454836</v>
      </c>
      <c r="AA32" s="920">
        <v>36209.68</v>
      </c>
      <c r="AB32" s="540">
        <f t="shared" si="2"/>
        <v>4.8</v>
      </c>
      <c r="AC32" s="919"/>
      <c r="AD32" s="920"/>
      <c r="AE32" s="720"/>
      <c r="AF32" s="919">
        <v>9024</v>
      </c>
      <c r="AG32" s="920">
        <v>8963</v>
      </c>
      <c r="AH32" s="540">
        <f t="shared" si="3"/>
        <v>-0.7</v>
      </c>
      <c r="AI32" s="919">
        <f>+AI20</f>
        <v>127889</v>
      </c>
      <c r="AJ32" s="920">
        <v>131273</v>
      </c>
      <c r="AK32" s="540">
        <f t="shared" si="4"/>
        <v>2.6</v>
      </c>
      <c r="AL32" s="717">
        <f t="shared" si="5"/>
        <v>304616.73368345486</v>
      </c>
      <c r="AM32" s="717">
        <f t="shared" si="6"/>
        <v>768165.89773716161</v>
      </c>
      <c r="AN32" s="540">
        <f t="shared" si="7"/>
        <v>152.19999999999999</v>
      </c>
      <c r="AO32" s="719"/>
      <c r="AP32" s="719"/>
    </row>
    <row r="33" spans="1:42" s="548" customFormat="1" ht="18.75" customHeight="1" x14ac:dyDescent="0.3">
      <c r="A33" s="534" t="s">
        <v>417</v>
      </c>
      <c r="B33" s="919"/>
      <c r="C33" s="920"/>
      <c r="D33" s="540"/>
      <c r="E33" s="919"/>
      <c r="F33" s="920"/>
      <c r="G33" s="540"/>
      <c r="H33" s="919"/>
      <c r="I33" s="920"/>
      <c r="J33" s="720"/>
      <c r="K33" s="820"/>
      <c r="L33" s="920"/>
      <c r="M33" s="540"/>
      <c r="N33" s="919"/>
      <c r="O33" s="920"/>
      <c r="P33" s="540"/>
      <c r="Q33" s="919"/>
      <c r="R33" s="920"/>
      <c r="S33" s="540"/>
      <c r="T33" s="919"/>
      <c r="U33" s="920"/>
      <c r="V33" s="540"/>
      <c r="W33" s="920"/>
      <c r="X33" s="920"/>
      <c r="Y33" s="540"/>
      <c r="Z33" s="919"/>
      <c r="AA33" s="920"/>
      <c r="AB33" s="540"/>
      <c r="AC33" s="919"/>
      <c r="AD33" s="920"/>
      <c r="AE33" s="720"/>
      <c r="AF33" s="919"/>
      <c r="AG33" s="920"/>
      <c r="AH33" s="540"/>
      <c r="AI33" s="919">
        <f>+AI21</f>
        <v>2506</v>
      </c>
      <c r="AJ33" s="920">
        <v>2686</v>
      </c>
      <c r="AK33" s="540">
        <f t="shared" si="4"/>
        <v>7.2</v>
      </c>
      <c r="AL33" s="717">
        <f t="shared" si="5"/>
        <v>2506</v>
      </c>
      <c r="AM33" s="717">
        <f t="shared" si="6"/>
        <v>2686</v>
      </c>
      <c r="AN33" s="540">
        <f t="shared" si="7"/>
        <v>7.2</v>
      </c>
      <c r="AO33" s="719"/>
      <c r="AP33" s="719"/>
    </row>
    <row r="34" spans="1:42" s="548" customFormat="1" ht="18.75" customHeight="1" x14ac:dyDescent="0.3">
      <c r="A34" s="534" t="s">
        <v>418</v>
      </c>
      <c r="B34" s="919">
        <v>53.457000000000001</v>
      </c>
      <c r="C34" s="920"/>
      <c r="D34" s="540">
        <f>IF(B34=0, "    ---- ", IF(ABS(ROUND(100/B34*C34-100,1))&lt;999,ROUND(100/B34*C34-100,1),IF(ROUND(100/B34*C34-100,1)&gt;999,999,-999)))</f>
        <v>-100</v>
      </c>
      <c r="E34" s="919"/>
      <c r="F34" s="920"/>
      <c r="G34" s="540"/>
      <c r="H34" s="919">
        <f>4624.762+212.591</f>
        <v>4837.3530000000001</v>
      </c>
      <c r="I34" s="920">
        <f>2824.1+1760.9</f>
        <v>4585</v>
      </c>
      <c r="J34" s="720">
        <f t="shared" si="0"/>
        <v>-5.2</v>
      </c>
      <c r="K34" s="820"/>
      <c r="L34" s="920">
        <v>434</v>
      </c>
      <c r="M34" s="540"/>
      <c r="N34" s="919">
        <v>110.133</v>
      </c>
      <c r="O34" s="920">
        <v>111.949</v>
      </c>
      <c r="P34" s="540">
        <f>IF(N34=0, "    ---- ", IF(ABS(ROUND(100/N34*O34-100,1))&lt;999,ROUND(100/N34*O34-100,1),IF(ROUND(100/N34*O34-100,1)&gt;999,999,-999)))</f>
        <v>1.6</v>
      </c>
      <c r="Q34" s="919"/>
      <c r="R34" s="920"/>
      <c r="S34" s="540"/>
      <c r="T34" s="919"/>
      <c r="U34" s="920"/>
      <c r="V34" s="540"/>
      <c r="W34" s="920"/>
      <c r="X34" s="920"/>
      <c r="Y34" s="540"/>
      <c r="Z34" s="919">
        <v>47.587747799700011</v>
      </c>
      <c r="AA34" s="920">
        <v>53.09</v>
      </c>
      <c r="AB34" s="540">
        <f t="shared" si="2"/>
        <v>11.6</v>
      </c>
      <c r="AC34" s="919"/>
      <c r="AD34" s="920"/>
      <c r="AE34" s="720"/>
      <c r="AF34" s="919">
        <v>443</v>
      </c>
      <c r="AG34" s="920"/>
      <c r="AH34" s="540"/>
      <c r="AI34" s="919"/>
      <c r="AJ34" s="920"/>
      <c r="AK34" s="540"/>
      <c r="AL34" s="717">
        <f t="shared" si="5"/>
        <v>5491.5307477997003</v>
      </c>
      <c r="AM34" s="717">
        <f t="shared" si="6"/>
        <v>5184.0389999999998</v>
      </c>
      <c r="AN34" s="540">
        <f t="shared" si="7"/>
        <v>-5.6</v>
      </c>
      <c r="AO34" s="719"/>
      <c r="AP34" s="719"/>
    </row>
    <row r="35" spans="1:42" s="726" customFormat="1" ht="18.75" customHeight="1" x14ac:dyDescent="0.3">
      <c r="A35" s="721" t="s">
        <v>420</v>
      </c>
      <c r="B35" s="921">
        <f>SUM(B36:B39)</f>
        <v>22.509</v>
      </c>
      <c r="C35" s="922">
        <f>SUM(C36:C39)</f>
        <v>26.604999999999997</v>
      </c>
      <c r="D35" s="722">
        <f>IF(B35=0, "    ---- ", IF(ABS(ROUND(100/B35*C35-100,1))&lt;999,ROUND(100/B35*C35-100,1),IF(ROUND(100/B35*C35-100,1)&gt;999,999,-999)))</f>
        <v>18.2</v>
      </c>
      <c r="E35" s="921">
        <f>SUM(E36:E39)</f>
        <v>110</v>
      </c>
      <c r="F35" s="922">
        <f>SUM(F36:F39)</f>
        <v>109.2</v>
      </c>
      <c r="G35" s="722">
        <f>IF(E35=0, "    ---- ", IF(ABS(ROUND(100/E35*F35-100,1))&lt;999,ROUND(100/E35*F35-100,1),IF(ROUND(100/E35*F35-100,1)&gt;999,999,-999)))</f>
        <v>-0.7</v>
      </c>
      <c r="H35" s="921">
        <f>SUM(H36:H39)</f>
        <v>7082.8909999999996</v>
      </c>
      <c r="I35" s="922">
        <f>SUM(I36:I39)</f>
        <v>6134.4</v>
      </c>
      <c r="J35" s="723">
        <f t="shared" si="0"/>
        <v>-13.4</v>
      </c>
      <c r="K35" s="821"/>
      <c r="L35" s="922">
        <f>SUM(L36:L39)</f>
        <v>0</v>
      </c>
      <c r="M35" s="722" t="str">
        <f>IF(K35=0, "    ---- ", IF(ABS(ROUND(100/K35*L35-100,1))&lt;999,ROUND(100/K35*L35-100,1),IF(ROUND(100/K35*L35-100,1)&gt;999,999,-999)))</f>
        <v xml:space="preserve">    ---- </v>
      </c>
      <c r="N35" s="921">
        <f>SUM(N36:N39)</f>
        <v>7.6389999999999993</v>
      </c>
      <c r="O35" s="922">
        <f>SUM(O36:O39)</f>
        <v>5.7919999999999998</v>
      </c>
      <c r="P35" s="722">
        <f>IF(N35=0, "    ---- ", IF(ABS(ROUND(100/N35*O35-100,1))&lt;999,ROUND(100/N35*O35-100,1),IF(ROUND(100/N35*O35-100,1)&gt;999,999,-999)))</f>
        <v>-24.2</v>
      </c>
      <c r="Q35" s="921">
        <f>SUM(Q36:Q39)</f>
        <v>284</v>
      </c>
      <c r="R35" s="922">
        <f>SUM(R36:R39)</f>
        <v>295.8</v>
      </c>
      <c r="S35" s="722">
        <f>IF(Q35=0, "    ---- ", IF(ABS(ROUND(100/Q35*R35-100,1))&lt;999,ROUND(100/Q35*R35-100,1),IF(ROUND(100/Q35*R35-100,1)&gt;999,999,-999)))</f>
        <v>4.2</v>
      </c>
      <c r="T35" s="921"/>
      <c r="U35" s="922"/>
      <c r="V35" s="722"/>
      <c r="W35" s="922"/>
      <c r="X35" s="922">
        <f>SUM(X36:X39)</f>
        <v>43325.203834</v>
      </c>
      <c r="Y35" s="722" t="str">
        <f>IF(W35=0, "    ---- ", IF(ABS(ROUND(100/W35*X35-100,1))&lt;999,ROUND(100/W35*X35-100,1),IF(ROUND(100/W35*X35-100,1)&gt;999,999,-999)))</f>
        <v xml:space="preserve">    ---- </v>
      </c>
      <c r="Z35" s="921">
        <f>SUM(Z36:Z39)</f>
        <v>2509.9870693862999</v>
      </c>
      <c r="AA35" s="922">
        <f>SUM(AA36:AA39)</f>
        <v>2615.91</v>
      </c>
      <c r="AB35" s="722">
        <f t="shared" si="2"/>
        <v>4.2</v>
      </c>
      <c r="AC35" s="921">
        <f>SUM(AC36:AC39)</f>
        <v>7241</v>
      </c>
      <c r="AD35" s="922">
        <f>SUM(AD36:AD39)</f>
        <v>7886</v>
      </c>
      <c r="AE35" s="723">
        <f>IF(AC35=0, "    ---- ", IF(ABS(ROUND(100/AC35*AD35-100,1))&lt;999,ROUND(100/AC35*AD35-100,1),IF(ROUND(100/AC35*AD35-100,1)&gt;999,999,-999)))</f>
        <v>8.9</v>
      </c>
      <c r="AF35" s="921">
        <f>SUM(AF36:AF39)</f>
        <v>1337</v>
      </c>
      <c r="AG35" s="922">
        <f>SUM(AG36:AG39)</f>
        <v>1207</v>
      </c>
      <c r="AH35" s="722">
        <f t="shared" si="3"/>
        <v>-9.6999999999999993</v>
      </c>
      <c r="AI35" s="921">
        <f>SUM(AI36:AI39)</f>
        <v>9022</v>
      </c>
      <c r="AJ35" s="922">
        <f>SUM(AJ36:AJ39)</f>
        <v>11380</v>
      </c>
      <c r="AK35" s="722">
        <f t="shared" si="4"/>
        <v>26.1</v>
      </c>
      <c r="AL35" s="632">
        <f t="shared" si="5"/>
        <v>27617.026069386302</v>
      </c>
      <c r="AM35" s="632">
        <f t="shared" si="6"/>
        <v>72985.910833999995</v>
      </c>
      <c r="AN35" s="722">
        <f t="shared" si="7"/>
        <v>164.3</v>
      </c>
      <c r="AO35" s="724"/>
      <c r="AP35" s="725"/>
    </row>
    <row r="36" spans="1:42" s="548" customFormat="1" ht="18.75" customHeight="1" x14ac:dyDescent="0.3">
      <c r="A36" s="534" t="s">
        <v>410</v>
      </c>
      <c r="B36" s="919"/>
      <c r="C36" s="920"/>
      <c r="D36" s="540"/>
      <c r="E36" s="919"/>
      <c r="F36" s="920"/>
      <c r="G36" s="540"/>
      <c r="H36" s="919">
        <v>506.36099999999999</v>
      </c>
      <c r="I36" s="920">
        <v>381.4</v>
      </c>
      <c r="J36" s="720">
        <f t="shared" si="0"/>
        <v>-24.7</v>
      </c>
      <c r="K36" s="820"/>
      <c r="L36" s="920"/>
      <c r="M36" s="540"/>
      <c r="N36" s="919"/>
      <c r="O36" s="920"/>
      <c r="P36" s="540"/>
      <c r="Q36" s="919"/>
      <c r="R36" s="920"/>
      <c r="S36" s="540"/>
      <c r="T36" s="919"/>
      <c r="U36" s="920"/>
      <c r="V36" s="540"/>
      <c r="W36" s="920"/>
      <c r="X36" s="920"/>
      <c r="Y36" s="540"/>
      <c r="Z36" s="919">
        <v>40.635894497003022</v>
      </c>
      <c r="AA36" s="920">
        <v>30.05</v>
      </c>
      <c r="AB36" s="540">
        <f t="shared" si="2"/>
        <v>-26.1</v>
      </c>
      <c r="AC36" s="919"/>
      <c r="AD36" s="920"/>
      <c r="AE36" s="720"/>
      <c r="AF36" s="919">
        <v>6</v>
      </c>
      <c r="AG36" s="920">
        <v>4</v>
      </c>
      <c r="AH36" s="540">
        <f t="shared" si="3"/>
        <v>-33.299999999999997</v>
      </c>
      <c r="AI36" s="919">
        <v>181</v>
      </c>
      <c r="AJ36" s="920">
        <v>180</v>
      </c>
      <c r="AK36" s="540">
        <f t="shared" si="4"/>
        <v>-0.6</v>
      </c>
      <c r="AL36" s="717">
        <f t="shared" si="5"/>
        <v>733.99689449700304</v>
      </c>
      <c r="AM36" s="717">
        <f t="shared" si="6"/>
        <v>595.45000000000005</v>
      </c>
      <c r="AN36" s="540">
        <f t="shared" si="7"/>
        <v>-18.899999999999999</v>
      </c>
      <c r="AO36" s="719"/>
      <c r="AP36" s="719"/>
    </row>
    <row r="37" spans="1:42" s="548" customFormat="1" ht="18.75" customHeight="1" x14ac:dyDescent="0.3">
      <c r="A37" s="534" t="s">
        <v>413</v>
      </c>
      <c r="B37" s="919">
        <v>0.29699999999999999</v>
      </c>
      <c r="C37" s="920">
        <v>0.33600000000000002</v>
      </c>
      <c r="D37" s="540">
        <f>IF(B37=0, "    ---- ", IF(ABS(ROUND(100/B37*C37-100,1))&lt;999,ROUND(100/B37*C37-100,1),IF(ROUND(100/B37*C37-100,1)&gt;999,999,-999)))</f>
        <v>13.1</v>
      </c>
      <c r="E37" s="919"/>
      <c r="F37" s="920"/>
      <c r="G37" s="540"/>
      <c r="H37" s="919">
        <v>877.87699999999995</v>
      </c>
      <c r="I37" s="920">
        <v>473.1</v>
      </c>
      <c r="J37" s="540">
        <f t="shared" si="0"/>
        <v>-46.1</v>
      </c>
      <c r="K37" s="820"/>
      <c r="L37" s="920"/>
      <c r="M37" s="540" t="str">
        <f>IF(K37=0, "    ---- ", IF(ABS(ROUND(100/K37*L37-100,1))&lt;999,ROUND(100/K37*L37-100,1),IF(ROUND(100/K37*L37-100,1)&gt;999,999,-999)))</f>
        <v xml:space="preserve">    ---- </v>
      </c>
      <c r="N37" s="919">
        <v>5.3769999999999998</v>
      </c>
      <c r="O37" s="920">
        <v>5.7919999999999998</v>
      </c>
      <c r="P37" s="540">
        <f>IF(N37=0, "    ---- ", IF(ABS(ROUND(100/N37*O37-100,1))&lt;999,ROUND(100/N37*O37-100,1),IF(ROUND(100/N37*O37-100,1)&gt;999,999,-999)))</f>
        <v>7.7</v>
      </c>
      <c r="Q37" s="919">
        <v>7.2</v>
      </c>
      <c r="R37" s="920">
        <v>7.8</v>
      </c>
      <c r="S37" s="540">
        <f>IF(Q37=0, "    ---- ", IF(ABS(ROUND(100/Q37*R37-100,1))&lt;999,ROUND(100/Q37*R37-100,1),IF(ROUND(100/Q37*R37-100,1)&gt;999,999,-999)))</f>
        <v>8.3000000000000007</v>
      </c>
      <c r="T37" s="919"/>
      <c r="U37" s="920"/>
      <c r="V37" s="540"/>
      <c r="W37" s="920"/>
      <c r="X37" s="920"/>
      <c r="Y37" s="540"/>
      <c r="Z37" s="919">
        <v>257.39445388929698</v>
      </c>
      <c r="AA37" s="920">
        <v>232.89</v>
      </c>
      <c r="AB37" s="540">
        <f t="shared" si="2"/>
        <v>-9.5</v>
      </c>
      <c r="AC37" s="919"/>
      <c r="AD37" s="920"/>
      <c r="AE37" s="540"/>
      <c r="AF37" s="919">
        <v>146</v>
      </c>
      <c r="AG37" s="920">
        <v>128</v>
      </c>
      <c r="AH37" s="540">
        <f t="shared" si="3"/>
        <v>-12.3</v>
      </c>
      <c r="AI37" s="919">
        <v>741</v>
      </c>
      <c r="AJ37" s="920">
        <v>686</v>
      </c>
      <c r="AK37" s="540">
        <f t="shared" si="4"/>
        <v>-7.4</v>
      </c>
      <c r="AL37" s="717">
        <f t="shared" si="5"/>
        <v>2035.145453889297</v>
      </c>
      <c r="AM37" s="717">
        <f t="shared" si="6"/>
        <v>1533.9180000000001</v>
      </c>
      <c r="AN37" s="540">
        <f t="shared" si="7"/>
        <v>-24.6</v>
      </c>
      <c r="AO37" s="719"/>
      <c r="AP37" s="719"/>
    </row>
    <row r="38" spans="1:42" s="548" customFormat="1" ht="18.75" customHeight="1" x14ac:dyDescent="0.3">
      <c r="A38" s="534" t="s">
        <v>415</v>
      </c>
      <c r="B38" s="919">
        <f>22.509-0.297</f>
        <v>22.212</v>
      </c>
      <c r="C38" s="920">
        <f>20.47+5.799</f>
        <v>26.268999999999998</v>
      </c>
      <c r="D38" s="540">
        <f>IF(B38=0, "    ---- ", IF(ABS(ROUND(100/B38*C38-100,1))&lt;999,ROUND(100/B38*C38-100,1),IF(ROUND(100/B38*C38-100,1)&gt;999,999,-999)))</f>
        <v>18.3</v>
      </c>
      <c r="E38" s="919">
        <v>110</v>
      </c>
      <c r="F38" s="920">
        <v>109.2</v>
      </c>
      <c r="G38" s="540">
        <f>IF(E38=0, "    ---- ", IF(ABS(ROUND(100/E38*F38-100,1))&lt;999,ROUND(100/E38*F38-100,1),IF(ROUND(100/E38*F38-100,1)&gt;999,999,-999)))</f>
        <v>-0.7</v>
      </c>
      <c r="H38" s="919">
        <v>5698.6530000000002</v>
      </c>
      <c r="I38" s="920">
        <f>5233.2+46.7</f>
        <v>5279.9</v>
      </c>
      <c r="J38" s="720">
        <f t="shared" si="0"/>
        <v>-7.3</v>
      </c>
      <c r="K38" s="820"/>
      <c r="L38" s="920"/>
      <c r="M38" s="540" t="str">
        <f>IF(K38=0, "    ---- ", IF(ABS(ROUND(100/K38*L38-100,1))&lt;999,ROUND(100/K38*L38-100,1),IF(ROUND(100/K38*L38-100,1)&gt;999,999,-999)))</f>
        <v xml:space="preserve">    ---- </v>
      </c>
      <c r="N38" s="919">
        <v>2.262</v>
      </c>
      <c r="O38" s="920"/>
      <c r="P38" s="540">
        <f>IF(N38=0, "    ---- ", IF(ABS(ROUND(100/N38*O38-100,1))&lt;999,ROUND(100/N38*O38-100,1),IF(ROUND(100/N38*O38-100,1)&gt;999,999,-999)))</f>
        <v>-100</v>
      </c>
      <c r="Q38" s="919">
        <v>276.8</v>
      </c>
      <c r="R38" s="920">
        <v>288</v>
      </c>
      <c r="S38" s="540">
        <f>IF(Q38=0, "    ---- ", IF(ABS(ROUND(100/Q38*R38-100,1))&lt;999,ROUND(100/Q38*R38-100,1),IF(ROUND(100/Q38*R38-100,1)&gt;999,999,-999)))</f>
        <v>4</v>
      </c>
      <c r="T38" s="919"/>
      <c r="U38" s="920"/>
      <c r="V38" s="540"/>
      <c r="W38" s="920"/>
      <c r="X38" s="920"/>
      <c r="Y38" s="540"/>
      <c r="Z38" s="919">
        <v>2211.956721</v>
      </c>
      <c r="AA38" s="920">
        <v>2352.9699999999998</v>
      </c>
      <c r="AB38" s="540">
        <f t="shared" si="2"/>
        <v>6.4</v>
      </c>
      <c r="AC38" s="919"/>
      <c r="AD38" s="920"/>
      <c r="AE38" s="720"/>
      <c r="AF38" s="919">
        <v>1185</v>
      </c>
      <c r="AG38" s="920">
        <v>1075</v>
      </c>
      <c r="AH38" s="540">
        <f t="shared" si="3"/>
        <v>-9.3000000000000007</v>
      </c>
      <c r="AI38" s="919">
        <v>7864</v>
      </c>
      <c r="AJ38" s="920">
        <v>10250</v>
      </c>
      <c r="AK38" s="540">
        <f t="shared" si="4"/>
        <v>30.3</v>
      </c>
      <c r="AL38" s="717">
        <f t="shared" si="5"/>
        <v>17370.883720999998</v>
      </c>
      <c r="AM38" s="717">
        <f t="shared" si="6"/>
        <v>19381.339</v>
      </c>
      <c r="AN38" s="540">
        <f t="shared" si="7"/>
        <v>11.6</v>
      </c>
      <c r="AO38" s="719"/>
      <c r="AP38" s="719"/>
    </row>
    <row r="39" spans="1:42" s="548" customFormat="1" ht="18.75" customHeight="1" x14ac:dyDescent="0.3">
      <c r="A39" s="534" t="s">
        <v>417</v>
      </c>
      <c r="B39" s="919"/>
      <c r="C39" s="920"/>
      <c r="D39" s="540"/>
      <c r="E39" s="919"/>
      <c r="F39" s="920"/>
      <c r="G39" s="540"/>
      <c r="H39" s="919"/>
      <c r="I39" s="920"/>
      <c r="J39" s="720"/>
      <c r="K39" s="820"/>
      <c r="L39" s="920"/>
      <c r="M39" s="540"/>
      <c r="N39" s="919"/>
      <c r="O39" s="920"/>
      <c r="P39" s="540"/>
      <c r="Q39" s="919"/>
      <c r="R39" s="920"/>
      <c r="S39" s="540"/>
      <c r="T39" s="919"/>
      <c r="U39" s="920"/>
      <c r="V39" s="540"/>
      <c r="W39" s="920"/>
      <c r="X39" s="920">
        <v>43325.203834</v>
      </c>
      <c r="Y39" s="540" t="str">
        <f>IF(W39=0, "    ---- ", IF(ABS(ROUND(100/W39*X39-100,1))&lt;999,ROUND(100/W39*X39-100,1),IF(ROUND(100/W39*X39-100,1)&gt;999,999,-999)))</f>
        <v xml:space="preserve">    ---- </v>
      </c>
      <c r="Z39" s="919"/>
      <c r="AA39" s="920"/>
      <c r="AB39" s="540"/>
      <c r="AC39" s="919">
        <v>7241</v>
      </c>
      <c r="AD39" s="920">
        <v>7886</v>
      </c>
      <c r="AE39" s="720">
        <f>IF(AC39=0, "    ---- ", IF(ABS(ROUND(100/AC39*AD39-100,1))&lt;999,ROUND(100/AC39*AD39-100,1),IF(ROUND(100/AC39*AD39-100,1)&gt;999,999,-999)))</f>
        <v>8.9</v>
      </c>
      <c r="AF39" s="919"/>
      <c r="AG39" s="920"/>
      <c r="AH39" s="540"/>
      <c r="AI39" s="919">
        <v>236</v>
      </c>
      <c r="AJ39" s="920">
        <v>264</v>
      </c>
      <c r="AK39" s="540">
        <f t="shared" si="4"/>
        <v>11.9</v>
      </c>
      <c r="AL39" s="717">
        <f t="shared" si="5"/>
        <v>7477</v>
      </c>
      <c r="AM39" s="717">
        <f t="shared" si="6"/>
        <v>51475.203834</v>
      </c>
      <c r="AN39" s="540">
        <f t="shared" si="7"/>
        <v>588.4</v>
      </c>
      <c r="AO39" s="719"/>
      <c r="AP39" s="719"/>
    </row>
    <row r="40" spans="1:42" s="726" customFormat="1" ht="18.75" customHeight="1" x14ac:dyDescent="0.3">
      <c r="A40" s="721" t="s">
        <v>421</v>
      </c>
      <c r="B40" s="921">
        <v>42.593000000000004</v>
      </c>
      <c r="C40" s="922">
        <v>68.406000000000006</v>
      </c>
      <c r="D40" s="722">
        <f>IF(B40=0, "    ---- ", IF(ABS(ROUND(100/B40*C40-100,1))&lt;999,ROUND(100/B40*C40-100,1),IF(ROUND(100/B40*C40-100,1)&gt;999,999,-999)))</f>
        <v>60.6</v>
      </c>
      <c r="E40" s="921">
        <v>19.2</v>
      </c>
      <c r="F40" s="922">
        <v>0</v>
      </c>
      <c r="G40" s="722">
        <f>IF(E40=0, "    ---- ", IF(ABS(ROUND(100/E40*F40-100,1))&lt;999,ROUND(100/E40*F40-100,1),IF(ROUND(100/E40*F40-100,1)&gt;999,999,-999)))</f>
        <v>-100</v>
      </c>
      <c r="H40" s="921">
        <v>5557.1989999999996</v>
      </c>
      <c r="I40" s="922">
        <v>2626.9</v>
      </c>
      <c r="J40" s="723">
        <f t="shared" si="0"/>
        <v>-52.7</v>
      </c>
      <c r="K40" s="821"/>
      <c r="L40" s="922">
        <v>46</v>
      </c>
      <c r="M40" s="722"/>
      <c r="N40" s="921">
        <v>6.88</v>
      </c>
      <c r="O40" s="922">
        <v>6.9</v>
      </c>
      <c r="P40" s="540">
        <f t="shared" ref="P40:P41" si="11">IF(N40=0, "    ---- ", IF(ABS(ROUND(100/N40*O40-100,1))&lt;999,ROUND(100/N40*O40-100,1),IF(ROUND(100/N40*O40-100,1)&gt;999,999,-999)))</f>
        <v>0.3</v>
      </c>
      <c r="Q40" s="921">
        <v>21.2</v>
      </c>
      <c r="R40" s="922">
        <v>1.6</v>
      </c>
      <c r="S40" s="722">
        <f>IF(Q40=0, "    ---- ", IF(ABS(ROUND(100/Q40*R40-100,1))&lt;999,ROUND(100/Q40*R40-100,1),IF(ROUND(100/Q40*R40-100,1)&gt;999,999,-999)))</f>
        <v>-92.5</v>
      </c>
      <c r="T40" s="921"/>
      <c r="U40" s="922"/>
      <c r="V40" s="722"/>
      <c r="W40" s="922"/>
      <c r="X40" s="922">
        <v>55137.488722000002</v>
      </c>
      <c r="Y40" s="722" t="str">
        <f>IF(W40=0, "    ---- ", IF(ABS(ROUND(100/W40*X40-100,1))&lt;999,ROUND(100/W40*X40-100,1),IF(ROUND(100/W40*X40-100,1)&gt;999,999,-999)))</f>
        <v xml:space="preserve">    ---- </v>
      </c>
      <c r="Z40" s="921">
        <v>1629.85</v>
      </c>
      <c r="AA40" s="922">
        <v>2340</v>
      </c>
      <c r="AB40" s="722">
        <f t="shared" si="2"/>
        <v>43.6</v>
      </c>
      <c r="AC40" s="921">
        <v>16522</v>
      </c>
      <c r="AD40" s="922">
        <v>17605</v>
      </c>
      <c r="AE40" s="723">
        <f>IF(AC40=0, "    ---- ", IF(ABS(ROUND(100/AC40*AD40-100,1))&lt;999,ROUND(100/AC40*AD40-100,1),IF(ROUND(100/AC40*AD40-100,1)&gt;999,999,-999)))</f>
        <v>6.6</v>
      </c>
      <c r="AF40" s="921">
        <v>2326</v>
      </c>
      <c r="AG40" s="619">
        <v>2806</v>
      </c>
      <c r="AH40" s="722">
        <f t="shared" si="3"/>
        <v>20.6</v>
      </c>
      <c r="AI40" s="921">
        <v>5500</v>
      </c>
      <c r="AJ40" s="922">
        <v>7170</v>
      </c>
      <c r="AK40" s="722">
        <f t="shared" si="4"/>
        <v>30.4</v>
      </c>
      <c r="AL40" s="632">
        <f t="shared" si="5"/>
        <v>31624.921999999999</v>
      </c>
      <c r="AM40" s="632">
        <f t="shared" si="6"/>
        <v>87808.294721999991</v>
      </c>
      <c r="AN40" s="722">
        <f t="shared" si="7"/>
        <v>177.7</v>
      </c>
      <c r="AO40" s="725"/>
      <c r="AP40" s="725"/>
    </row>
    <row r="41" spans="1:42" s="726" customFormat="1" ht="18.75" customHeight="1" x14ac:dyDescent="0.3">
      <c r="A41" s="721" t="s">
        <v>422</v>
      </c>
      <c r="B41" s="921">
        <f>SUM(B42:B44)</f>
        <v>15.064</v>
      </c>
      <c r="C41" s="922">
        <f>SUM(C42:C44)</f>
        <v>16.077000000000002</v>
      </c>
      <c r="D41" s="722">
        <f t="shared" ref="D41:D54" si="12">IF(B41=0, "    ---- ", IF(ABS(ROUND(100/B41*C41-100,1))&lt;999,ROUND(100/B41*C41-100,1),IF(ROUND(100/B41*C41-100,1)&gt;999,999,-999)))</f>
        <v>6.7</v>
      </c>
      <c r="E41" s="921">
        <f>SUM(E42:E44)</f>
        <v>31.1</v>
      </c>
      <c r="F41" s="922">
        <f>SUM(F42:F44)</f>
        <v>33.4</v>
      </c>
      <c r="G41" s="722">
        <f>IF(E41=0, "    ---- ", IF(ABS(ROUND(100/E41*F41-100,1))&lt;999,ROUND(100/E41*F41-100,1),IF(ROUND(100/E41*F41-100,1)&gt;999,999,-999)))</f>
        <v>7.4</v>
      </c>
      <c r="H41" s="921">
        <f>SUM(H42:H44)</f>
        <v>651.65300000000002</v>
      </c>
      <c r="I41" s="922">
        <f>SUM(I42:I44)</f>
        <v>543.79999999999995</v>
      </c>
      <c r="J41" s="723">
        <f t="shared" si="0"/>
        <v>-16.600000000000001</v>
      </c>
      <c r="K41" s="821"/>
      <c r="L41" s="922">
        <f>SUM(L42:L44)</f>
        <v>0</v>
      </c>
      <c r="M41" s="722"/>
      <c r="N41" s="921"/>
      <c r="O41" s="922">
        <f>SUM(O42:O44)</f>
        <v>0</v>
      </c>
      <c r="P41" s="540" t="str">
        <f t="shared" si="11"/>
        <v xml:space="preserve">    ---- </v>
      </c>
      <c r="Q41" s="921">
        <f>SUM(Q42:Q44)</f>
        <v>2.5</v>
      </c>
      <c r="R41" s="922">
        <f>SUM(R42:R44)</f>
        <v>2.7</v>
      </c>
      <c r="S41" s="722">
        <f>IF(Q41=0, "    ---- ", IF(ABS(ROUND(100/Q41*R41-100,1))&lt;999,ROUND(100/Q41*R41-100,1),IF(ROUND(100/Q41*R41-100,1)&gt;999,999,-999)))</f>
        <v>8</v>
      </c>
      <c r="T41" s="921"/>
      <c r="U41" s="922"/>
      <c r="V41" s="722"/>
      <c r="W41" s="922"/>
      <c r="X41" s="922">
        <f>SUM(X42:X44)</f>
        <v>38187.132681000003</v>
      </c>
      <c r="Y41" s="722" t="str">
        <f>IF(W41=0, "    ---- ", IF(ABS(ROUND(100/W41*X41-100,1))&lt;999,ROUND(100/W41*X41-100,1),IF(ROUND(100/W41*X41-100,1)&gt;999,999,-999)))</f>
        <v xml:space="preserve">    ---- </v>
      </c>
      <c r="Z41" s="921">
        <f>SUM(Z42:Z44)</f>
        <v>732.17227200000002</v>
      </c>
      <c r="AA41" s="922">
        <f>SUM(AA42:AA44)</f>
        <v>845</v>
      </c>
      <c r="AB41" s="722">
        <f t="shared" si="2"/>
        <v>15.4</v>
      </c>
      <c r="AC41" s="921">
        <f>SUM(AC42:AC44)</f>
        <v>1578</v>
      </c>
      <c r="AD41" s="922">
        <f>SUM(AD42:AD44)</f>
        <v>7077</v>
      </c>
      <c r="AE41" s="723">
        <f>IF(AC41=0, "    ---- ", IF(ABS(ROUND(100/AC41*AD41-100,1))&lt;999,ROUND(100/AC41*AD41-100,1),IF(ROUND(100/AC41*AD41-100,1)&gt;999,999,-999)))</f>
        <v>348.5</v>
      </c>
      <c r="AF41" s="921">
        <f>SUM(AF42:AF44)</f>
        <v>289</v>
      </c>
      <c r="AG41" s="922">
        <f>SUM(AG42:AG44)</f>
        <v>264</v>
      </c>
      <c r="AH41" s="722">
        <f t="shared" si="3"/>
        <v>-8.6999999999999993</v>
      </c>
      <c r="AI41" s="921">
        <f>SUM(AI42:AI44)</f>
        <v>2016</v>
      </c>
      <c r="AJ41" s="922">
        <f>SUM(AJ42:AJ44)</f>
        <v>2266</v>
      </c>
      <c r="AK41" s="722">
        <f t="shared" si="4"/>
        <v>12.4</v>
      </c>
      <c r="AL41" s="632">
        <f t="shared" si="5"/>
        <v>5315.4892719999998</v>
      </c>
      <c r="AM41" s="632">
        <f t="shared" si="6"/>
        <v>49235.109681000002</v>
      </c>
      <c r="AN41" s="722">
        <f t="shared" si="7"/>
        <v>826.3</v>
      </c>
      <c r="AO41" s="724"/>
      <c r="AP41" s="725"/>
    </row>
    <row r="42" spans="1:42" s="548" customFormat="1" ht="18.75" customHeight="1" x14ac:dyDescent="0.3">
      <c r="A42" s="534" t="s">
        <v>413</v>
      </c>
      <c r="B42" s="919"/>
      <c r="C42" s="920"/>
      <c r="D42" s="540"/>
      <c r="E42" s="919"/>
      <c r="F42" s="920"/>
      <c r="G42" s="540"/>
      <c r="H42" s="919">
        <v>52.402000000000001</v>
      </c>
      <c r="I42" s="920">
        <v>42.8</v>
      </c>
      <c r="J42" s="540">
        <f t="shared" si="0"/>
        <v>-18.3</v>
      </c>
      <c r="K42" s="820"/>
      <c r="L42" s="920"/>
      <c r="M42" s="540"/>
      <c r="N42" s="919"/>
      <c r="O42" s="920"/>
      <c r="P42" s="540"/>
      <c r="Q42" s="919"/>
      <c r="R42" s="920"/>
      <c r="S42" s="540"/>
      <c r="T42" s="919"/>
      <c r="U42" s="920"/>
      <c r="V42" s="540"/>
      <c r="W42" s="920"/>
      <c r="X42" s="920"/>
      <c r="Y42" s="540"/>
      <c r="Z42" s="919">
        <v>0.45297300000000001</v>
      </c>
      <c r="AA42" s="920">
        <v>0</v>
      </c>
      <c r="AB42" s="540">
        <f t="shared" si="2"/>
        <v>-100</v>
      </c>
      <c r="AC42" s="919"/>
      <c r="AD42" s="920"/>
      <c r="AE42" s="540"/>
      <c r="AF42" s="919"/>
      <c r="AG42" s="920"/>
      <c r="AH42" s="540"/>
      <c r="AI42" s="919"/>
      <c r="AJ42" s="920"/>
      <c r="AK42" s="540"/>
      <c r="AL42" s="717">
        <f t="shared" si="5"/>
        <v>52.854973000000001</v>
      </c>
      <c r="AM42" s="717">
        <f t="shared" si="6"/>
        <v>42.8</v>
      </c>
      <c r="AN42" s="540">
        <f t="shared" si="7"/>
        <v>-19</v>
      </c>
      <c r="AO42" s="719"/>
      <c r="AP42" s="719"/>
    </row>
    <row r="43" spans="1:42" s="548" customFormat="1" ht="18.75" customHeight="1" x14ac:dyDescent="0.3">
      <c r="A43" s="534" t="s">
        <v>415</v>
      </c>
      <c r="B43" s="919">
        <v>15.064</v>
      </c>
      <c r="C43" s="920">
        <v>16.077000000000002</v>
      </c>
      <c r="D43" s="540">
        <f t="shared" si="12"/>
        <v>6.7</v>
      </c>
      <c r="E43" s="919">
        <v>31.1</v>
      </c>
      <c r="F43" s="920">
        <v>33.4</v>
      </c>
      <c r="G43" s="540">
        <f>IF(E43=0, "    ---- ", IF(ABS(ROUND(100/E43*F43-100,1))&lt;999,ROUND(100/E43*F43-100,1),IF(ROUND(100/E43*F43-100,1)&gt;999,999,-999)))</f>
        <v>7.4</v>
      </c>
      <c r="H43" s="919">
        <v>599.25099999999998</v>
      </c>
      <c r="I43" s="920">
        <f>497.4+3.6</f>
        <v>501</v>
      </c>
      <c r="J43" s="720">
        <f t="shared" si="0"/>
        <v>-16.399999999999999</v>
      </c>
      <c r="K43" s="820"/>
      <c r="L43" s="920"/>
      <c r="M43" s="540"/>
      <c r="N43" s="919"/>
      <c r="O43" s="920"/>
      <c r="P43" s="540"/>
      <c r="Q43" s="919">
        <v>2.5</v>
      </c>
      <c r="R43" s="920">
        <v>2.7</v>
      </c>
      <c r="S43" s="540">
        <f>IF(Q43=0, "    ---- ", IF(ABS(ROUND(100/Q43*R43-100,1))&lt;999,ROUND(100/Q43*R43-100,1),IF(ROUND(100/Q43*R43-100,1)&gt;999,999,-999)))</f>
        <v>8</v>
      </c>
      <c r="T43" s="919"/>
      <c r="U43" s="920"/>
      <c r="V43" s="540"/>
      <c r="W43" s="920"/>
      <c r="X43" s="920"/>
      <c r="Y43" s="540"/>
      <c r="Z43" s="919">
        <v>731.71929899999998</v>
      </c>
      <c r="AA43" s="920">
        <v>845</v>
      </c>
      <c r="AB43" s="540">
        <f t="shared" si="2"/>
        <v>15.5</v>
      </c>
      <c r="AC43" s="919"/>
      <c r="AD43" s="920"/>
      <c r="AE43" s="720"/>
      <c r="AF43" s="919">
        <v>289</v>
      </c>
      <c r="AG43" s="920">
        <v>264</v>
      </c>
      <c r="AH43" s="540">
        <f t="shared" si="3"/>
        <v>-8.6999999999999993</v>
      </c>
      <c r="AI43" s="919">
        <f>1368+511</f>
        <v>1879</v>
      </c>
      <c r="AJ43" s="920">
        <f>1346+503</f>
        <v>1849</v>
      </c>
      <c r="AK43" s="540">
        <f t="shared" si="4"/>
        <v>-1.6</v>
      </c>
      <c r="AL43" s="717">
        <f t="shared" si="5"/>
        <v>3547.6342989999998</v>
      </c>
      <c r="AM43" s="717">
        <f t="shared" si="6"/>
        <v>3511.1770000000001</v>
      </c>
      <c r="AN43" s="540">
        <f t="shared" si="7"/>
        <v>-1</v>
      </c>
      <c r="AO43" s="719"/>
      <c r="AP43" s="719"/>
    </row>
    <row r="44" spans="1:42" s="548" customFormat="1" ht="18.75" customHeight="1" x14ac:dyDescent="0.3">
      <c r="A44" s="534" t="s">
        <v>417</v>
      </c>
      <c r="B44" s="919"/>
      <c r="C44" s="920"/>
      <c r="D44" s="540"/>
      <c r="E44" s="919"/>
      <c r="F44" s="920"/>
      <c r="G44" s="540"/>
      <c r="H44" s="919"/>
      <c r="I44" s="920"/>
      <c r="J44" s="720"/>
      <c r="K44" s="820"/>
      <c r="L44" s="920"/>
      <c r="M44" s="540"/>
      <c r="N44" s="919"/>
      <c r="O44" s="920"/>
      <c r="P44" s="540"/>
      <c r="Q44" s="919"/>
      <c r="R44" s="920"/>
      <c r="S44" s="540"/>
      <c r="T44" s="820"/>
      <c r="U44" s="617"/>
      <c r="V44" s="540"/>
      <c r="W44" s="920"/>
      <c r="X44" s="920">
        <v>38187.132681000003</v>
      </c>
      <c r="Y44" s="540" t="str">
        <f>IF(W44=0, "    ---- ", IF(ABS(ROUND(100/W44*X44-100,1))&lt;999,ROUND(100/W44*X44-100,1),IF(ROUND(100/W44*X44-100,1)&gt;999,999,-999)))</f>
        <v xml:space="preserve">    ---- </v>
      </c>
      <c r="Z44" s="919"/>
      <c r="AA44" s="920"/>
      <c r="AB44" s="540"/>
      <c r="AC44" s="919">
        <v>1578</v>
      </c>
      <c r="AD44" s="920">
        <v>7077</v>
      </c>
      <c r="AE44" s="720">
        <f>IF(AC44=0, "    ---- ", IF(ABS(ROUND(100/AC44*AD44-100,1))&lt;999,ROUND(100/AC44*AD44-100,1),IF(ROUND(100/AC44*AD44-100,1)&gt;999,999,-999)))</f>
        <v>348.5</v>
      </c>
      <c r="AF44" s="919"/>
      <c r="AG44" s="920"/>
      <c r="AH44" s="540"/>
      <c r="AI44" s="919">
        <v>137</v>
      </c>
      <c r="AJ44" s="920">
        <v>417</v>
      </c>
      <c r="AK44" s="540">
        <f t="shared" si="4"/>
        <v>204.4</v>
      </c>
      <c r="AL44" s="717">
        <f t="shared" si="5"/>
        <v>1715</v>
      </c>
      <c r="AM44" s="717">
        <f t="shared" si="6"/>
        <v>45681.132681000003</v>
      </c>
      <c r="AN44" s="540">
        <f t="shared" si="7"/>
        <v>999</v>
      </c>
      <c r="AO44" s="719"/>
      <c r="AP44" s="719"/>
    </row>
    <row r="45" spans="1:42" s="726" customFormat="1" ht="18.75" customHeight="1" x14ac:dyDescent="0.3">
      <c r="A45" s="721" t="s">
        <v>423</v>
      </c>
      <c r="B45" s="921"/>
      <c r="C45" s="922"/>
      <c r="D45" s="722"/>
      <c r="E45" s="921"/>
      <c r="F45" s="922"/>
      <c r="G45" s="722"/>
      <c r="H45" s="921">
        <v>96.135000000000005</v>
      </c>
      <c r="I45" s="922">
        <v>203.7</v>
      </c>
      <c r="J45" s="723">
        <f t="shared" si="0"/>
        <v>111.9</v>
      </c>
      <c r="K45" s="821"/>
      <c r="L45" s="922"/>
      <c r="M45" s="722" t="str">
        <f>IF(K45=0, "    ---- ", IF(ABS(ROUND(100/K45*L45-100,1))&lt;999,ROUND(100/K45*L45-100,1),IF(ROUND(100/K45*L45-100,1)&gt;999,999,-999)))</f>
        <v xml:space="preserve">    ---- </v>
      </c>
      <c r="N45" s="921">
        <v>30.344999999999999</v>
      </c>
      <c r="O45" s="922">
        <v>28.161000000000001</v>
      </c>
      <c r="P45" s="722">
        <f>IF(N45=0, "    ---- ", IF(ABS(ROUND(100/N45*O45-100,1))&lt;999,ROUND(100/N45*O45-100,1),IF(ROUND(100/N45*O45-100,1)&gt;999,999,-999)))</f>
        <v>-7.2</v>
      </c>
      <c r="Q45" s="921"/>
      <c r="R45" s="922"/>
      <c r="S45" s="722"/>
      <c r="T45" s="821"/>
      <c r="U45" s="619"/>
      <c r="V45" s="722"/>
      <c r="W45" s="922"/>
      <c r="X45" s="922">
        <v>18.235199999999999</v>
      </c>
      <c r="Y45" s="540" t="str">
        <f>IF(W45=0, "    ---- ", IF(ABS(ROUND(100/W45*X45-100,1))&lt;999,ROUND(100/W45*X45-100,1),IF(ROUND(100/W45*X45-100,1)&gt;999,999,-999)))</f>
        <v xml:space="preserve">    ---- </v>
      </c>
      <c r="Z45" s="921"/>
      <c r="AA45" s="922"/>
      <c r="AB45" s="722"/>
      <c r="AC45" s="921">
        <v>350</v>
      </c>
      <c r="AD45" s="922">
        <v>336</v>
      </c>
      <c r="AE45" s="720">
        <f>IF(AC45=0, "    ---- ", IF(ABS(ROUND(100/AC45*AD45-100,1))&lt;999,ROUND(100/AC45*AD45-100,1),IF(ROUND(100/AC45*AD45-100,1)&gt;999,999,-999)))</f>
        <v>-4</v>
      </c>
      <c r="AF45" s="921"/>
      <c r="AG45" s="922"/>
      <c r="AH45" s="722"/>
      <c r="AI45" s="921">
        <v>662</v>
      </c>
      <c r="AJ45" s="922">
        <v>702</v>
      </c>
      <c r="AK45" s="722">
        <f t="shared" si="4"/>
        <v>6</v>
      </c>
      <c r="AL45" s="632">
        <f t="shared" si="5"/>
        <v>1138.48</v>
      </c>
      <c r="AM45" s="632">
        <f t="shared" si="6"/>
        <v>1288.0962</v>
      </c>
      <c r="AN45" s="722">
        <f t="shared" si="7"/>
        <v>13.1</v>
      </c>
      <c r="AO45" s="724"/>
      <c r="AP45" s="725"/>
    </row>
    <row r="46" spans="1:42" s="726" customFormat="1" ht="18.75" customHeight="1" x14ac:dyDescent="0.3">
      <c r="A46" s="721"/>
      <c r="B46" s="921"/>
      <c r="C46" s="922"/>
      <c r="D46" s="722"/>
      <c r="E46" s="921"/>
      <c r="F46" s="922"/>
      <c r="G46" s="722"/>
      <c r="H46" s="921"/>
      <c r="I46" s="922"/>
      <c r="J46" s="723"/>
      <c r="K46" s="821"/>
      <c r="L46" s="619"/>
      <c r="M46" s="722"/>
      <c r="N46" s="821"/>
      <c r="O46" s="619"/>
      <c r="P46" s="722"/>
      <c r="Q46" s="921"/>
      <c r="R46" s="922"/>
      <c r="S46" s="722"/>
      <c r="T46" s="821"/>
      <c r="U46" s="619"/>
      <c r="V46" s="722"/>
      <c r="W46" s="922"/>
      <c r="X46" s="922"/>
      <c r="Y46" s="722"/>
      <c r="Z46" s="921"/>
      <c r="AA46" s="922"/>
      <c r="AB46" s="722"/>
      <c r="AC46" s="921"/>
      <c r="AD46" s="922"/>
      <c r="AE46" s="723"/>
      <c r="AF46" s="921"/>
      <c r="AG46" s="922"/>
      <c r="AH46" s="722"/>
      <c r="AI46" s="821"/>
      <c r="AJ46" s="619"/>
      <c r="AK46" s="722"/>
      <c r="AL46" s="632"/>
      <c r="AM46" s="632"/>
      <c r="AN46" s="722"/>
      <c r="AO46" s="725"/>
      <c r="AP46" s="725"/>
    </row>
    <row r="47" spans="1:42" s="726" customFormat="1" ht="18.75" customHeight="1" x14ac:dyDescent="0.3">
      <c r="A47" s="721" t="s">
        <v>424</v>
      </c>
      <c r="B47" s="921">
        <f>SUM(B11+B35+B40+B41+B45)</f>
        <v>1179.1260000000002</v>
      </c>
      <c r="C47" s="922">
        <f>SUM(C11+C35+C40+C41+C45)</f>
        <v>1320.1509999999998</v>
      </c>
      <c r="D47" s="722">
        <f t="shared" si="12"/>
        <v>12</v>
      </c>
      <c r="E47" s="921">
        <f>SUM(E11+E35+E40+E41+E45)</f>
        <v>1742.8</v>
      </c>
      <c r="F47" s="922">
        <f>SUM(F11+F35+F40+F41+F45)</f>
        <v>1802.0000000000002</v>
      </c>
      <c r="G47" s="722">
        <f>IF(E47=0, "    ---- ", IF(ABS(ROUND(100/E47*F47-100,1))&lt;999,ROUND(100/E47*F47-100,1),IF(ROUND(100/E47*F47-100,1)&gt;999,999,-999)))</f>
        <v>3.4</v>
      </c>
      <c r="H47" s="921">
        <f>SUM(H11+H35+H40+H41+H45)</f>
        <v>206883.95200000002</v>
      </c>
      <c r="I47" s="922">
        <f>SUM(I11+I35+I40+I41+I45)</f>
        <v>198476.3</v>
      </c>
      <c r="J47" s="723">
        <f t="shared" si="0"/>
        <v>-4.0999999999999996</v>
      </c>
      <c r="K47" s="821"/>
      <c r="L47" s="619">
        <f>SUM(L11+L35+L40+L41+L45)</f>
        <v>6957</v>
      </c>
      <c r="M47" s="722" t="str">
        <f>IF(K47=0, "    ---- ", IF(ABS(ROUND(100/K47*L47-100,1))&lt;999,ROUND(100/K47*L47-100,1),IF(ROUND(100/K47*L47-100,1)&gt;999,999,-999)))</f>
        <v xml:space="preserve">    ---- </v>
      </c>
      <c r="N47" s="821">
        <f>SUM(N11+N35+N40+N41+N45)</f>
        <v>1056.4570000000001</v>
      </c>
      <c r="O47" s="619">
        <f>SUM(O11+O35+O40+O41+O45)</f>
        <v>1003.924</v>
      </c>
      <c r="P47" s="722">
        <f t="shared" ref="P47:P54" si="13">IF(N47=0, "    ---- ", IF(ABS(ROUND(100/N47*O47-100,1))&lt;999,ROUND(100/N47*O47-100,1),IF(ROUND(100/N47*O47-100,1)&gt;999,999,-999)))</f>
        <v>-5</v>
      </c>
      <c r="Q47" s="921">
        <f>SUM(Q11+Q35+Q40+Q41+Q45)</f>
        <v>7203.8</v>
      </c>
      <c r="R47" s="922">
        <f>SUM(R11+R35+R40+R41+R45)</f>
        <v>7664.2</v>
      </c>
      <c r="S47" s="722">
        <f>IF(Q47=0, "    ---- ", IF(ABS(ROUND(100/Q47*R47-100,1))&lt;999,ROUND(100/Q47*R47-100,1),IF(ROUND(100/Q47*R47-100,1)&gt;999,999,-999)))</f>
        <v>6.4</v>
      </c>
      <c r="T47" s="821">
        <f>SUM(T11+T35+T40+T41+T45)</f>
        <v>51.045821430000004</v>
      </c>
      <c r="U47" s="619">
        <f>SUM(U11+U35+U40+U41+U45)</f>
        <v>47.95949978999996</v>
      </c>
      <c r="V47" s="722">
        <f>IF(T47=0, "    ---- ", IF(ABS(ROUND(100/T47*U47-100,1))&lt;999,ROUND(100/T47*U47-100,1),IF(ROUND(100/T47*U47-100,1)&gt;999,999,-999)))</f>
        <v>-6</v>
      </c>
      <c r="W47" s="922"/>
      <c r="X47" s="922">
        <f>SUM(X11+X35+X40+X41+X45)</f>
        <v>592722.79790789005</v>
      </c>
      <c r="Y47" s="722" t="str">
        <f>IF(W47=0, "    ---- ", IF(ABS(ROUND(100/W47*X47-100,1))&lt;999,ROUND(100/W47*X47-100,1),IF(ROUND(100/W47*X47-100,1)&gt;999,999,-999)))</f>
        <v xml:space="preserve">    ---- </v>
      </c>
      <c r="Z47" s="921">
        <f>SUM(Z11+Z35+Z40+Z41+Z45)</f>
        <v>51671.988873462527</v>
      </c>
      <c r="AA47" s="922">
        <f>SUM(AA11+AA35+AA40+AA41+AA45)</f>
        <v>53026.459999999992</v>
      </c>
      <c r="AB47" s="722">
        <f t="shared" si="2"/>
        <v>2.6</v>
      </c>
      <c r="AC47" s="921">
        <f>SUM(AC11+AC35+AC40+AC41+AC45)</f>
        <v>92589</v>
      </c>
      <c r="AD47" s="922">
        <f>SUM(AD11+AD35+AD40+AD41+AD45)</f>
        <v>99653</v>
      </c>
      <c r="AE47" s="723">
        <f>IF(AC47=0, "    ---- ", IF(ABS(ROUND(100/AC47*AD47-100,1))&lt;999,ROUND(100/AC47*AD47-100,1),IF(ROUND(100/AC47*AD47-100,1)&gt;999,999,-999)))</f>
        <v>7.6</v>
      </c>
      <c r="AF47" s="921">
        <f>SUM(AF11+AF35+AF40+AF41+AF45)</f>
        <v>26302</v>
      </c>
      <c r="AG47" s="922">
        <f>SUM(AG11+AG35+AG40+AG41+AG45)</f>
        <v>22182</v>
      </c>
      <c r="AH47" s="722">
        <f t="shared" si="3"/>
        <v>-15.7</v>
      </c>
      <c r="AI47" s="821">
        <f>SUM(AI11+AI35+AI40+AI41+AI45)</f>
        <v>189163</v>
      </c>
      <c r="AJ47" s="619">
        <f>SUM(AJ11+AJ35+AJ40+AJ41+AJ45)</f>
        <v>193607</v>
      </c>
      <c r="AK47" s="722">
        <f>SUM(AK11+AK35+AK40+AK41+AK45)</f>
        <v>75</v>
      </c>
      <c r="AL47" s="632">
        <f t="shared" ref="AL47:AM54" si="14">+B47+H47+K47+N47+Q47+T47+W47+E47+Z47+AC47+AF47+AI47</f>
        <v>577843.16969489248</v>
      </c>
      <c r="AM47" s="632">
        <f t="shared" si="14"/>
        <v>1178462.7924076801</v>
      </c>
      <c r="AN47" s="722">
        <f t="shared" si="7"/>
        <v>103.9</v>
      </c>
      <c r="AO47" s="724"/>
      <c r="AP47" s="725"/>
    </row>
    <row r="48" spans="1:42" s="548" customFormat="1" ht="18.75" customHeight="1" x14ac:dyDescent="0.3">
      <c r="A48" s="534" t="s">
        <v>410</v>
      </c>
      <c r="B48" s="919">
        <f>SUM(B12+B36)</f>
        <v>245.244</v>
      </c>
      <c r="C48" s="920">
        <f>SUM(C12+C36)</f>
        <v>237.54900000000001</v>
      </c>
      <c r="D48" s="540">
        <f t="shared" si="12"/>
        <v>-3.1</v>
      </c>
      <c r="E48" s="919"/>
      <c r="F48" s="920">
        <f>SUM(F12+F36)</f>
        <v>0</v>
      </c>
      <c r="G48" s="540" t="str">
        <f t="shared" ref="G48:G50" si="15">IF(E48=0, "    ---- ", IF(ABS(ROUND(100/E48*F48-100,1))&lt;999,ROUND(100/E48*F48-100,1),IF(ROUND(100/E48*F48-100,1)&gt;999,999,-999)))</f>
        <v xml:space="preserve">    ---- </v>
      </c>
      <c r="H48" s="919">
        <f>SUM(H12+H36)</f>
        <v>12967.906000000001</v>
      </c>
      <c r="I48" s="920">
        <f>SUM(I12+I36)</f>
        <v>11418.1</v>
      </c>
      <c r="J48" s="720">
        <f t="shared" si="0"/>
        <v>-12</v>
      </c>
      <c r="K48" s="820"/>
      <c r="L48" s="617">
        <f>SUM(L12+L36)</f>
        <v>566</v>
      </c>
      <c r="M48" s="540" t="str">
        <f>IF(K48=0, "    ---- ", IF(ABS(ROUND(100/K48*L48-100,1))&lt;999,ROUND(100/K48*L48-100,1),IF(ROUND(100/K48*L48-100,1)&gt;999,999,-999)))</f>
        <v xml:space="preserve">    ---- </v>
      </c>
      <c r="N48" s="820">
        <f>SUM(N12+N36)</f>
        <v>60.503</v>
      </c>
      <c r="O48" s="617">
        <f>SUM(O12+O36)</f>
        <v>59.457999999999998</v>
      </c>
      <c r="P48" s="540">
        <f t="shared" si="13"/>
        <v>-1.7</v>
      </c>
      <c r="Q48" s="919"/>
      <c r="R48" s="920">
        <f>SUM(R12+R36)</f>
        <v>0</v>
      </c>
      <c r="S48" s="540" t="str">
        <f>IF(Q48=0, "    ---- ", IF(ABS(ROUND(100/Q48*R48-100,1))&lt;999,ROUND(100/Q48*R48-100,1),IF(ROUND(100/Q48*R48-100,1)&gt;999,999,-999)))</f>
        <v xml:space="preserve">    ---- </v>
      </c>
      <c r="T48" s="820">
        <f>SUM(T12+T36)</f>
        <v>25.141164</v>
      </c>
      <c r="U48" s="617">
        <f>SUM(U12+U36)</f>
        <v>23.770146623515501</v>
      </c>
      <c r="V48" s="540">
        <f>IF(T48=0, "    ---- ", IF(ABS(ROUND(100/T48*U48-100,1))&lt;999,ROUND(100/T48*U48-100,1),IF(ROUND(100/T48*U48-100,1)&gt;999,999,-999)))</f>
        <v>-5.5</v>
      </c>
      <c r="W48" s="920"/>
      <c r="X48" s="920">
        <f>SUM(X12+X36)</f>
        <v>0</v>
      </c>
      <c r="Y48" s="722" t="str">
        <f t="shared" ref="Y48:Y49" si="16">IF(W48=0, "    ---- ", IF(ABS(ROUND(100/W48*X48-100,1))&lt;999,ROUND(100/W48*X48-100,1),IF(ROUND(100/W48*X48-100,1)&gt;999,999,-999)))</f>
        <v xml:space="preserve">    ---- </v>
      </c>
      <c r="Z48" s="919">
        <f>SUM(Z12+Z36)</f>
        <v>797.21037727813359</v>
      </c>
      <c r="AA48" s="920">
        <f>SUM(AA12+AA36)</f>
        <v>703.3</v>
      </c>
      <c r="AB48" s="540">
        <f t="shared" si="2"/>
        <v>-11.8</v>
      </c>
      <c r="AC48" s="919"/>
      <c r="AD48" s="920">
        <f>SUM(AD12+AD36)</f>
        <v>0</v>
      </c>
      <c r="AE48" s="720" t="str">
        <f t="shared" ref="AE48:AE51" si="17">IF(AC48=0, "    ---- ", IF(ABS(ROUND(100/AC48*AD48-100,1))&lt;999,ROUND(100/AC48*AD48-100,1),IF(ROUND(100/AC48*AD48-100,1)&gt;999,999,-999)))</f>
        <v xml:space="preserve">    ---- </v>
      </c>
      <c r="AF48" s="919">
        <f>SUM(AF12+AF36)</f>
        <v>852</v>
      </c>
      <c r="AG48" s="920">
        <f>SUM(AG12+AG36)</f>
        <v>417</v>
      </c>
      <c r="AH48" s="540">
        <f t="shared" si="3"/>
        <v>-51.1</v>
      </c>
      <c r="AI48" s="820">
        <f>SUM(AI12+AI36)</f>
        <v>4022</v>
      </c>
      <c r="AJ48" s="617">
        <f>SUM(AJ12+AJ36)</f>
        <v>4126</v>
      </c>
      <c r="AK48" s="540">
        <f>SUM(AK12+AK36)</f>
        <v>2.1</v>
      </c>
      <c r="AL48" s="717">
        <f t="shared" si="14"/>
        <v>18970.004541278136</v>
      </c>
      <c r="AM48" s="717">
        <f t="shared" si="14"/>
        <v>17551.177146623515</v>
      </c>
      <c r="AN48" s="540">
        <f t="shared" si="7"/>
        <v>-7.5</v>
      </c>
      <c r="AO48" s="719"/>
      <c r="AP48" s="719"/>
    </row>
    <row r="49" spans="1:42" s="548" customFormat="1" ht="18.75" customHeight="1" x14ac:dyDescent="0.3">
      <c r="A49" s="534" t="s">
        <v>413</v>
      </c>
      <c r="B49" s="919">
        <f>SUM(B15+B37+B42)</f>
        <v>108.154</v>
      </c>
      <c r="C49" s="920">
        <f>SUM(C15+C37+C42)</f>
        <v>130.46300000000002</v>
      </c>
      <c r="D49" s="540">
        <f t="shared" si="12"/>
        <v>20.6</v>
      </c>
      <c r="E49" s="919"/>
      <c r="F49" s="920">
        <f>SUM(F15+F37+F42)</f>
        <v>0</v>
      </c>
      <c r="G49" s="540" t="str">
        <f t="shared" si="15"/>
        <v xml:space="preserve">    ---- </v>
      </c>
      <c r="H49" s="919">
        <f>SUM(H15+H37+H42)</f>
        <v>25244.163999999997</v>
      </c>
      <c r="I49" s="920">
        <f>SUM(I15+I37+I42)</f>
        <v>23682.499999999996</v>
      </c>
      <c r="J49" s="720">
        <f t="shared" si="0"/>
        <v>-6.2</v>
      </c>
      <c r="K49" s="820"/>
      <c r="L49" s="617">
        <f>SUM(L15+L37+L42)</f>
        <v>3313</v>
      </c>
      <c r="M49" s="540" t="str">
        <f>IF(K49=0, "    ---- ", IF(ABS(ROUND(100/K49*L49-100,1))&lt;999,ROUND(100/K49*L49-100,1),IF(ROUND(100/K49*L49-100,1)&gt;999,999,-999)))</f>
        <v xml:space="preserve">    ---- </v>
      </c>
      <c r="N49" s="820">
        <f>SUM(N15+N37+N42)</f>
        <v>594.33199999999999</v>
      </c>
      <c r="O49" s="617">
        <f>SUM(O15+O37+O42)</f>
        <v>726.93100000000004</v>
      </c>
      <c r="P49" s="540">
        <f t="shared" si="13"/>
        <v>22.3</v>
      </c>
      <c r="Q49" s="919">
        <f>SUM(Q15+Q37+Q42)</f>
        <v>1913.6000000000001</v>
      </c>
      <c r="R49" s="920">
        <f>SUM(R15+R37+R42)</f>
        <v>2260.5</v>
      </c>
      <c r="S49" s="540">
        <f>IF(Q49=0, "    ---- ", IF(ABS(ROUND(100/Q49*R49-100,1))&lt;999,ROUND(100/Q49*R49-100,1),IF(ROUND(100/Q49*R49-100,1)&gt;999,999,-999)))</f>
        <v>18.100000000000001</v>
      </c>
      <c r="T49" s="820">
        <f>SUM(T15+T37+T42)</f>
        <v>2.4544589999999999</v>
      </c>
      <c r="U49" s="617">
        <f>SUM(U15+U37+U42)</f>
        <v>2.2810968220557601</v>
      </c>
      <c r="V49" s="540">
        <f>IF(T49=0, "    ---- ", IF(ABS(ROUND(100/T49*U49-100,1))&lt;999,ROUND(100/T49*U49-100,1),IF(ROUND(100/T49*U49-100,1)&gt;999,999,-999)))</f>
        <v>-7.1</v>
      </c>
      <c r="W49" s="920"/>
      <c r="X49" s="920">
        <f>SUM(X15+X37+X42)</f>
        <v>0</v>
      </c>
      <c r="Y49" s="722" t="str">
        <f t="shared" si="16"/>
        <v xml:space="preserve">    ---- </v>
      </c>
      <c r="Z49" s="919">
        <f>SUM(Z15+Z37+Z42)</f>
        <v>3839.2221750500717</v>
      </c>
      <c r="AA49" s="920">
        <f>SUM(AA15+AA37+AA42)</f>
        <v>3804.3199999999997</v>
      </c>
      <c r="AB49" s="540">
        <f t="shared" si="2"/>
        <v>-0.9</v>
      </c>
      <c r="AC49" s="919"/>
      <c r="AD49" s="920">
        <f>SUM(AD15+AD37+AD42)</f>
        <v>0</v>
      </c>
      <c r="AE49" s="720" t="str">
        <f t="shared" si="17"/>
        <v xml:space="preserve">    ---- </v>
      </c>
      <c r="AF49" s="919">
        <f>SUM(AF15+AF37+AF42)</f>
        <v>5525</v>
      </c>
      <c r="AG49" s="920">
        <f>SUM(AG15+AG37+AG42)</f>
        <v>2719</v>
      </c>
      <c r="AH49" s="540">
        <f t="shared" si="3"/>
        <v>-50.8</v>
      </c>
      <c r="AI49" s="820">
        <f>SUM(AI15+AI37+AI42)</f>
        <v>9692</v>
      </c>
      <c r="AJ49" s="617">
        <f>SUM(AJ15+AJ37+AJ42)</f>
        <v>9032</v>
      </c>
      <c r="AK49" s="540">
        <f>SUM(AK15+AK37+AK42)</f>
        <v>-14.2</v>
      </c>
      <c r="AL49" s="717">
        <f t="shared" si="14"/>
        <v>46918.926634050062</v>
      </c>
      <c r="AM49" s="717">
        <f t="shared" si="14"/>
        <v>45670.995096822051</v>
      </c>
      <c r="AN49" s="540">
        <f t="shared" si="7"/>
        <v>-2.7</v>
      </c>
      <c r="AO49" s="719"/>
      <c r="AP49" s="719"/>
    </row>
    <row r="50" spans="1:42" s="548" customFormat="1" ht="18.75" customHeight="1" x14ac:dyDescent="0.3">
      <c r="A50" s="534" t="s">
        <v>414</v>
      </c>
      <c r="B50" s="919">
        <f>SUM(B18)</f>
        <v>0.51100000000000001</v>
      </c>
      <c r="C50" s="920">
        <f>SUM(C18)</f>
        <v>0.52500000000000002</v>
      </c>
      <c r="D50" s="540">
        <f t="shared" si="12"/>
        <v>2.7</v>
      </c>
      <c r="E50" s="919"/>
      <c r="F50" s="920">
        <f>SUM(F18)</f>
        <v>0</v>
      </c>
      <c r="G50" s="540" t="str">
        <f t="shared" si="15"/>
        <v xml:space="preserve">    ---- </v>
      </c>
      <c r="H50" s="919">
        <f>SUM(H18)</f>
        <v>875.01700000000005</v>
      </c>
      <c r="I50" s="920">
        <f>SUM(I18)</f>
        <v>290</v>
      </c>
      <c r="J50" s="540">
        <f t="shared" si="0"/>
        <v>-66.900000000000006</v>
      </c>
      <c r="K50" s="820"/>
      <c r="L50" s="617">
        <f>SUM(L18)</f>
        <v>2438</v>
      </c>
      <c r="M50" s="540" t="str">
        <f>IF(K50=0, "    ---- ", IF(ABS(ROUND(100/K50*L50-100,1))&lt;999,ROUND(100/K50*L50-100,1),IF(ROUND(100/K50*L50-100,1)&gt;999,999,-999)))</f>
        <v xml:space="preserve">    ---- </v>
      </c>
      <c r="N50" s="820">
        <f>SUM(N18)</f>
        <v>43.573999999999998</v>
      </c>
      <c r="O50" s="617">
        <f>SUM(O18)</f>
        <v>38.411000000000001</v>
      </c>
      <c r="P50" s="540">
        <f t="shared" si="13"/>
        <v>-11.8</v>
      </c>
      <c r="Q50" s="919"/>
      <c r="R50" s="920">
        <f>SUM(R18)</f>
        <v>0</v>
      </c>
      <c r="S50" s="540" t="str">
        <f>IF(Q50=0, "    ---- ", IF(ABS(ROUND(100/Q50*R50-100,1))&lt;999,ROUND(100/Q50*R50-100,1),IF(ROUND(100/Q50*R50-100,1)&gt;999,999,-999)))</f>
        <v xml:space="preserve">    ---- </v>
      </c>
      <c r="T50" s="820">
        <f>SUM(T18)</f>
        <v>23.45019843</v>
      </c>
      <c r="U50" s="617">
        <f>SUM(U18)</f>
        <v>21.9082563444287</v>
      </c>
      <c r="V50" s="540">
        <f>IF(T50=0, "    ---- ", IF(ABS(ROUND(100/T50*U50-100,1))&lt;999,ROUND(100/T50*U50-100,1),IF(ROUND(100/T50*U50-100,1)&gt;999,999,-999)))</f>
        <v>-6.6</v>
      </c>
      <c r="W50" s="920"/>
      <c r="X50" s="920">
        <f>SUM(X18)</f>
        <v>18.486153500000004</v>
      </c>
      <c r="Y50" s="540" t="str">
        <f>IF(W50=0, "    ---- ", IF(ABS(ROUND(100/W50*X50-100,1))&lt;999,ROUND(100/W50*X50-100,1),IF(ROUND(100/W50*X50-100,1)&gt;999,999,-999)))</f>
        <v xml:space="preserve">    ---- </v>
      </c>
      <c r="Z50" s="919"/>
      <c r="AA50" s="920">
        <f>SUM(AA18)</f>
        <v>0</v>
      </c>
      <c r="AB50" s="540" t="str">
        <f t="shared" si="2"/>
        <v xml:space="preserve">    ---- </v>
      </c>
      <c r="AC50" s="919"/>
      <c r="AD50" s="920">
        <f>SUM(AD18)</f>
        <v>0</v>
      </c>
      <c r="AE50" s="720" t="str">
        <f t="shared" si="17"/>
        <v xml:space="preserve">    ---- </v>
      </c>
      <c r="AF50" s="919">
        <f>SUM(AF18)</f>
        <v>1550</v>
      </c>
      <c r="AG50" s="920">
        <f>SUM(AG18)</f>
        <v>77</v>
      </c>
      <c r="AH50" s="540">
        <f t="shared" si="3"/>
        <v>-95</v>
      </c>
      <c r="AI50" s="820">
        <f>SUM(AI18)</f>
        <v>1353</v>
      </c>
      <c r="AJ50" s="617">
        <f>SUM(AJ18)</f>
        <v>1535</v>
      </c>
      <c r="AK50" s="540">
        <f>SUM(AK18)</f>
        <v>13.5</v>
      </c>
      <c r="AL50" s="717">
        <f t="shared" si="14"/>
        <v>3845.5521984299999</v>
      </c>
      <c r="AM50" s="717">
        <f t="shared" si="14"/>
        <v>4419.3304098444287</v>
      </c>
      <c r="AN50" s="540">
        <f t="shared" si="7"/>
        <v>14.9</v>
      </c>
      <c r="AO50" s="719"/>
      <c r="AP50" s="719"/>
    </row>
    <row r="51" spans="1:42" s="548" customFormat="1" ht="18.75" customHeight="1" x14ac:dyDescent="0.3">
      <c r="A51" s="534" t="s">
        <v>415</v>
      </c>
      <c r="B51" s="919">
        <f>SUM(B19+B38+B43)</f>
        <v>729.16699999999992</v>
      </c>
      <c r="C51" s="920">
        <f>SUM(C19+C38+C43)</f>
        <v>828.29099999999994</v>
      </c>
      <c r="D51" s="540">
        <f t="shared" si="12"/>
        <v>13.6</v>
      </c>
      <c r="E51" s="919">
        <f>SUM(E19+E38+E43)</f>
        <v>1723.6</v>
      </c>
      <c r="F51" s="920">
        <f>SUM(F19+F38+F43)</f>
        <v>1802.0000000000002</v>
      </c>
      <c r="G51" s="540">
        <f>IF(E51=0, "    ---- ", IF(ABS(ROUND(100/E51*F51-100,1))&lt;999,ROUND(100/E51*F51-100,1),IF(ROUND(100/E51*F51-100,1)&gt;999,999,-999)))</f>
        <v>4.5</v>
      </c>
      <c r="H51" s="919">
        <f>SUM(H19+H38+H43)</f>
        <v>157306.17799999999</v>
      </c>
      <c r="I51" s="920">
        <f>SUM(I19+I38+I43)</f>
        <v>155670.1</v>
      </c>
      <c r="J51" s="720">
        <f t="shared" si="0"/>
        <v>-1</v>
      </c>
      <c r="K51" s="820"/>
      <c r="L51" s="617">
        <f>SUM(L19+L38+L43)</f>
        <v>0</v>
      </c>
      <c r="M51" s="540" t="str">
        <f>IF(K51=0, "    ---- ", IF(ABS(ROUND(100/K51*L51-100,1))&lt;999,ROUND(100/K51*L51-100,1),IF(ROUND(100/K51*L51-100,1)&gt;999,999,-999)))</f>
        <v xml:space="preserve">    ---- </v>
      </c>
      <c r="N51" s="820">
        <f>SUM(N19+N38+N43)</f>
        <v>163.96600000000001</v>
      </c>
      <c r="O51" s="617">
        <f>SUM(O19+O38+O43)</f>
        <v>0</v>
      </c>
      <c r="P51" s="540">
        <f t="shared" si="13"/>
        <v>-100</v>
      </c>
      <c r="Q51" s="919">
        <f>SUM(Q19+Q38+Q43)</f>
        <v>5269</v>
      </c>
      <c r="R51" s="920">
        <f>SUM(R19+R38+R43)</f>
        <v>5402.0999999999995</v>
      </c>
      <c r="S51" s="540">
        <f>IF(Q51=0, "    ---- ", IF(ABS(ROUND(100/Q51*R51-100,1))&lt;999,ROUND(100/Q51*R51-100,1),IF(ROUND(100/Q51*R51-100,1)&gt;999,999,-999)))</f>
        <v>2.5</v>
      </c>
      <c r="T51" s="820">
        <f>SUM(T19+T38+T43)</f>
        <v>0</v>
      </c>
      <c r="U51" s="617">
        <f>SUM(U19+U38+U43)</f>
        <v>0</v>
      </c>
      <c r="V51" s="540" t="str">
        <f>IF(T51=0, "    ---- ", IF(ABS(ROUND(100/T51*U51-100,1))&lt;999,ROUND(100/T51*U51-100,1),IF(ROUND(100/T51*U51-100,1)&gt;999,999,-999)))</f>
        <v xml:space="preserve">    ---- </v>
      </c>
      <c r="W51" s="920"/>
      <c r="X51" s="920">
        <f>SUM(X19+X38+X43)</f>
        <v>0</v>
      </c>
      <c r="Y51" s="722" t="str">
        <f>IF(W51=0, "    ---- ", IF(ABS(ROUND(100/W51*X51-100,1))&lt;999,ROUND(100/W51*X51-100,1),IF(ROUND(100/W51*X51-100,1)&gt;999,999,-999)))</f>
        <v xml:space="preserve">    ---- </v>
      </c>
      <c r="Z51" s="919">
        <f>SUM(Z19+Z38+Z43)</f>
        <v>45358.118573334621</v>
      </c>
      <c r="AA51" s="920">
        <f>SUM(AA19+AA38+AA43)</f>
        <v>46125.75</v>
      </c>
      <c r="AB51" s="540">
        <f t="shared" si="2"/>
        <v>1.7</v>
      </c>
      <c r="AC51" s="919"/>
      <c r="AD51" s="920">
        <f>SUM(AD19+AD38+AD43)</f>
        <v>0</v>
      </c>
      <c r="AE51" s="720" t="str">
        <f t="shared" si="17"/>
        <v xml:space="preserve">    ---- </v>
      </c>
      <c r="AF51" s="919">
        <f>SUM(AF19+AF38+AF43)</f>
        <v>15606</v>
      </c>
      <c r="AG51" s="920">
        <f>SUM(AG19+AG38+AG43)</f>
        <v>16163</v>
      </c>
      <c r="AH51" s="540">
        <f t="shared" si="3"/>
        <v>3.6</v>
      </c>
      <c r="AI51" s="820">
        <f>SUM(AI19+AI38+AI43)</f>
        <v>165055</v>
      </c>
      <c r="AJ51" s="617">
        <f>SUM(AJ19+AJ38+AJ43)</f>
        <v>167675</v>
      </c>
      <c r="AK51" s="540">
        <f>SUM(AK19+AK38+AK43)</f>
        <v>28.9</v>
      </c>
      <c r="AL51" s="717">
        <f t="shared" si="14"/>
        <v>391211.02957333461</v>
      </c>
      <c r="AM51" s="717">
        <f t="shared" si="14"/>
        <v>393666.24100000004</v>
      </c>
      <c r="AN51" s="540">
        <f t="shared" si="7"/>
        <v>0.6</v>
      </c>
      <c r="AO51" s="719"/>
      <c r="AP51" s="719"/>
    </row>
    <row r="52" spans="1:42" s="548" customFormat="1" ht="18.75" customHeight="1" x14ac:dyDescent="0.3">
      <c r="A52" s="534" t="s">
        <v>417</v>
      </c>
      <c r="B52" s="919"/>
      <c r="C52" s="920">
        <f>SUM(C21+C39+C44)</f>
        <v>0</v>
      </c>
      <c r="D52" s="540" t="str">
        <f t="shared" si="12"/>
        <v xml:space="preserve">    ---- </v>
      </c>
      <c r="E52" s="919"/>
      <c r="F52" s="920">
        <f>SUM(F21+F39+F44)</f>
        <v>0</v>
      </c>
      <c r="G52" s="540" t="str">
        <f t="shared" ref="G52:G53" si="18">IF(E52=0, "    ---- ", IF(ABS(ROUND(100/E52*F52-100,1))&lt;999,ROUND(100/E52*F52-100,1),IF(ROUND(100/E52*F52-100,1)&gt;999,999,-999)))</f>
        <v xml:space="preserve">    ---- </v>
      </c>
      <c r="H52" s="919">
        <f>SUM(H21+H39+H44)</f>
        <v>0</v>
      </c>
      <c r="I52" s="920">
        <f>SUM(I21+I39+I44)</f>
        <v>0</v>
      </c>
      <c r="J52" s="720" t="str">
        <f t="shared" si="0"/>
        <v xml:space="preserve">    ---- </v>
      </c>
      <c r="K52" s="820"/>
      <c r="L52" s="617">
        <f>SUM(L21+L39+L44)</f>
        <v>0</v>
      </c>
      <c r="M52" s="540"/>
      <c r="N52" s="820"/>
      <c r="O52" s="617">
        <f>SUM(O21+O39+O44)</f>
        <v>0</v>
      </c>
      <c r="P52" s="540" t="str">
        <f t="shared" si="13"/>
        <v xml:space="preserve">    ---- </v>
      </c>
      <c r="Q52" s="919"/>
      <c r="R52" s="920">
        <f>SUM(R21+R39+R44)</f>
        <v>0</v>
      </c>
      <c r="S52" s="540" t="str">
        <f t="shared" ref="S52:S53" si="19">IF(Q52=0, "    ---- ", IF(ABS(ROUND(100/Q52*R52-100,1))&lt;999,ROUND(100/Q52*R52-100,1),IF(ROUND(100/Q52*R52-100,1)&gt;999,999,-999)))</f>
        <v xml:space="preserve">    ---- </v>
      </c>
      <c r="T52" s="820"/>
      <c r="U52" s="617">
        <f>SUM(U21+U39+U44)</f>
        <v>0</v>
      </c>
      <c r="V52" s="540" t="str">
        <f t="shared" ref="V52:V54" si="20">IF(T52=0, "    ---- ", IF(ABS(ROUND(100/T52*U52-100,1))&lt;999,ROUND(100/T52*U52-100,1),IF(ROUND(100/T52*U52-100,1)&gt;999,999,-999)))</f>
        <v xml:space="preserve">    ---- </v>
      </c>
      <c r="W52" s="920"/>
      <c r="X52" s="920">
        <f>SUM(X21+X39+X44)</f>
        <v>537548.58783238998</v>
      </c>
      <c r="Y52" s="540" t="str">
        <f>IF(W52=0, "    ---- ", IF(ABS(ROUND(100/W52*X52-100,1))&lt;999,ROUND(100/W52*X52-100,1),IF(ROUND(100/W52*X52-100,1)&gt;999,999,-999)))</f>
        <v xml:space="preserve">    ---- </v>
      </c>
      <c r="Z52" s="919"/>
      <c r="AA52" s="920">
        <f>SUM(AA21+AA39+AA44)</f>
        <v>0</v>
      </c>
      <c r="AB52" s="540" t="str">
        <f t="shared" si="2"/>
        <v xml:space="preserve">    ---- </v>
      </c>
      <c r="AC52" s="919">
        <f>SUM(AC21+AC39+AC44)</f>
        <v>75717</v>
      </c>
      <c r="AD52" s="920">
        <f>SUM(AD21+AD39+AD44)</f>
        <v>81712</v>
      </c>
      <c r="AE52" s="720">
        <f>IF(AC52=0, "    ---- ", IF(ABS(ROUND(100/AC52*AD52-100,1))&lt;999,ROUND(100/AC52*AD52-100,1),IF(ROUND(100/AC52*AD52-100,1)&gt;999,999,-999)))</f>
        <v>7.9</v>
      </c>
      <c r="AF52" s="919"/>
      <c r="AG52" s="920">
        <f>SUM(AG21+AG39+AG44)</f>
        <v>0</v>
      </c>
      <c r="AH52" s="540" t="str">
        <f t="shared" si="3"/>
        <v xml:space="preserve">    ---- </v>
      </c>
      <c r="AI52" s="820">
        <f>SUM(AI21+AI39+AI44)</f>
        <v>2879</v>
      </c>
      <c r="AJ52" s="617">
        <f>SUM(AJ21+AJ39+AJ44)</f>
        <v>3367</v>
      </c>
      <c r="AK52" s="540">
        <f>SUM(AK21+AK39+AK44)</f>
        <v>223.5</v>
      </c>
      <c r="AL52" s="717">
        <f t="shared" si="14"/>
        <v>78596</v>
      </c>
      <c r="AM52" s="717">
        <f t="shared" si="14"/>
        <v>622627.58783238998</v>
      </c>
      <c r="AN52" s="540">
        <f t="shared" si="7"/>
        <v>692.2</v>
      </c>
      <c r="AO52" s="719"/>
      <c r="AP52" s="719"/>
    </row>
    <row r="53" spans="1:42" s="548" customFormat="1" ht="18.75" customHeight="1" x14ac:dyDescent="0.3">
      <c r="A53" s="534" t="s">
        <v>418</v>
      </c>
      <c r="B53" s="919">
        <f>SUM(B22)</f>
        <v>53.457000000000001</v>
      </c>
      <c r="C53" s="920">
        <f>SUM(C22)</f>
        <v>54.917000000000002</v>
      </c>
      <c r="D53" s="540">
        <f t="shared" si="12"/>
        <v>2.7</v>
      </c>
      <c r="E53" s="919"/>
      <c r="F53" s="920">
        <f>SUM(F22)</f>
        <v>0</v>
      </c>
      <c r="G53" s="540" t="str">
        <f t="shared" si="18"/>
        <v xml:space="preserve">    ---- </v>
      </c>
      <c r="H53" s="919">
        <f>SUM(H22)</f>
        <v>4837.3530000000001</v>
      </c>
      <c r="I53" s="920">
        <f>SUM(I22)</f>
        <v>4585</v>
      </c>
      <c r="J53" s="540">
        <f t="shared" si="0"/>
        <v>-5.2</v>
      </c>
      <c r="K53" s="820"/>
      <c r="L53" s="617">
        <f>SUM(L22)</f>
        <v>594</v>
      </c>
      <c r="M53" s="540" t="str">
        <f>IF(K53=0, "    ---- ", IF(ABS(ROUND(100/K53*L53-100,1))&lt;999,ROUND(100/K53*L53-100,1),IF(ROUND(100/K53*L53-100,1)&gt;999,999,-999)))</f>
        <v xml:space="preserve">    ---- </v>
      </c>
      <c r="N53" s="820">
        <f>SUM(N22)</f>
        <v>156.857</v>
      </c>
      <c r="O53" s="617">
        <f>SUM(O22)</f>
        <v>144.06299999999999</v>
      </c>
      <c r="P53" s="540">
        <f t="shared" si="13"/>
        <v>-8.1999999999999993</v>
      </c>
      <c r="Q53" s="919"/>
      <c r="R53" s="920">
        <f>SUM(R22)</f>
        <v>0</v>
      </c>
      <c r="S53" s="540" t="str">
        <f t="shared" si="19"/>
        <v xml:space="preserve">    ---- </v>
      </c>
      <c r="T53" s="820"/>
      <c r="U53" s="617">
        <f>SUM(U22)</f>
        <v>0</v>
      </c>
      <c r="V53" s="540" t="str">
        <f t="shared" si="20"/>
        <v xml:space="preserve">    ---- </v>
      </c>
      <c r="W53" s="920"/>
      <c r="X53" s="920">
        <f>SUM(X22)</f>
        <v>0</v>
      </c>
      <c r="Y53" s="722" t="str">
        <f>IF(W53=0, "    ---- ", IF(ABS(ROUND(100/W53*X53-100,1))&lt;999,ROUND(100/W53*X53-100,1),IF(ROUND(100/W53*X53-100,1)&gt;999,999,-999)))</f>
        <v xml:space="preserve">    ---- </v>
      </c>
      <c r="Z53" s="919">
        <f>SUM(Z22)</f>
        <v>47.587747799700011</v>
      </c>
      <c r="AA53" s="920">
        <f>SUM(AA22)</f>
        <v>53.09</v>
      </c>
      <c r="AB53" s="540">
        <f t="shared" si="2"/>
        <v>11.6</v>
      </c>
      <c r="AC53" s="919"/>
      <c r="AD53" s="920">
        <f>SUM(AD22)</f>
        <v>0</v>
      </c>
      <c r="AE53" s="720" t="str">
        <f>IF(AC53=0, "    ---- ", IF(ABS(ROUND(100/AC53*AD53-100,1))&lt;999,ROUND(100/AC53*AD53-100,1),IF(ROUND(100/AC53*AD53-100,1)&gt;999,999,-999)))</f>
        <v xml:space="preserve">    ---- </v>
      </c>
      <c r="AF53" s="919">
        <f>SUM(AF22)</f>
        <v>443</v>
      </c>
      <c r="AG53" s="920">
        <f>SUM(AG22)</f>
        <v>0</v>
      </c>
      <c r="AH53" s="540">
        <f t="shared" si="3"/>
        <v>-100</v>
      </c>
      <c r="AI53" s="820"/>
      <c r="AJ53" s="617">
        <f>SUM(AJ22)</f>
        <v>0</v>
      </c>
      <c r="AK53" s="540">
        <f>SUM(AK22)</f>
        <v>0</v>
      </c>
      <c r="AL53" s="717">
        <f t="shared" si="14"/>
        <v>5538.2547477997005</v>
      </c>
      <c r="AM53" s="717">
        <f t="shared" si="14"/>
        <v>5431.0700000000006</v>
      </c>
      <c r="AN53" s="540">
        <f t="shared" si="7"/>
        <v>-1.9</v>
      </c>
      <c r="AO53" s="719"/>
      <c r="AP53" s="719"/>
    </row>
    <row r="54" spans="1:42" s="548" customFormat="1" ht="18.75" customHeight="1" x14ac:dyDescent="0.3">
      <c r="A54" s="727" t="s">
        <v>425</v>
      </c>
      <c r="B54" s="923">
        <f>SUM(B40+B45)</f>
        <v>42.593000000000004</v>
      </c>
      <c r="C54" s="924">
        <f>SUM(C40+C45)</f>
        <v>68.406000000000006</v>
      </c>
      <c r="D54" s="728">
        <f t="shared" si="12"/>
        <v>60.6</v>
      </c>
      <c r="E54" s="923">
        <f>SUM(E40+E45)</f>
        <v>19.2</v>
      </c>
      <c r="F54" s="924">
        <f>SUM(F40+F45)</f>
        <v>0</v>
      </c>
      <c r="G54" s="728">
        <f>IF(E54=0, "    ---- ", IF(ABS(ROUND(100/E54*F54-100,1))&lt;999,ROUND(100/E54*F54-100,1),IF(ROUND(100/E54*F54-100,1)&gt;999,999,-999)))</f>
        <v>-100</v>
      </c>
      <c r="H54" s="923">
        <f>SUM(H40+H45)</f>
        <v>5653.3339999999998</v>
      </c>
      <c r="I54" s="924">
        <f>SUM(I40+I45)</f>
        <v>2830.6</v>
      </c>
      <c r="J54" s="728">
        <f t="shared" si="0"/>
        <v>-49.9</v>
      </c>
      <c r="K54" s="822"/>
      <c r="L54" s="624">
        <f>SUM(L40+L45)</f>
        <v>46</v>
      </c>
      <c r="M54" s="728" t="str">
        <f>IF(K54=0, "    ---- ", IF(ABS(ROUND(100/K54*L54-100,1))&lt;999,ROUND(100/K54*L54-100,1),IF(ROUND(100/K54*L54-100,1)&gt;999,999,-999)))</f>
        <v xml:space="preserve">    ---- </v>
      </c>
      <c r="N54" s="822">
        <f>SUM(N40+N45)</f>
        <v>37.225000000000001</v>
      </c>
      <c r="O54" s="624">
        <f>SUM(O40+O45)</f>
        <v>35.061</v>
      </c>
      <c r="P54" s="728">
        <f t="shared" si="13"/>
        <v>-5.8</v>
      </c>
      <c r="Q54" s="923">
        <f>SUM(Q40+Q45)</f>
        <v>21.2</v>
      </c>
      <c r="R54" s="924">
        <f>SUM(R40+R45)</f>
        <v>1.6</v>
      </c>
      <c r="S54" s="728">
        <f>IF(Q54=0, "    ---- ", IF(ABS(ROUND(100/Q54*R54-100,1))&lt;999,ROUND(100/Q54*R54-100,1),IF(ROUND(100/Q54*R54-100,1)&gt;999,999,-999)))</f>
        <v>-92.5</v>
      </c>
      <c r="T54" s="822"/>
      <c r="U54" s="624">
        <f>SUM(U40+U45)</f>
        <v>0</v>
      </c>
      <c r="V54" s="728" t="str">
        <f t="shared" si="20"/>
        <v xml:space="preserve">    ---- </v>
      </c>
      <c r="W54" s="924"/>
      <c r="X54" s="924">
        <f>SUM(X40+X45)</f>
        <v>55155.723922000005</v>
      </c>
      <c r="Y54" s="728" t="str">
        <f>IF(W54=0, "    ---- ", IF(ABS(ROUND(100/W54*X54-100,1))&lt;999,ROUND(100/W54*X54-100,1),IF(ROUND(100/W54*X54-100,1)&gt;999,999,-999)))</f>
        <v xml:space="preserve">    ---- </v>
      </c>
      <c r="Z54" s="923">
        <f>SUM(Z40+Z45)</f>
        <v>1629.85</v>
      </c>
      <c r="AA54" s="924">
        <f>SUM(AA40+AA45)</f>
        <v>2340</v>
      </c>
      <c r="AB54" s="728">
        <f t="shared" si="2"/>
        <v>43.6</v>
      </c>
      <c r="AC54" s="923">
        <f>SUM(AC40+AC45)</f>
        <v>16872</v>
      </c>
      <c r="AD54" s="924">
        <f>SUM(AD40+AD45)</f>
        <v>17941</v>
      </c>
      <c r="AE54" s="728">
        <f>IF(AC54=0, "    ---- ", IF(ABS(ROUND(100/AC54*AD54-100,1))&lt;999,ROUND(100/AC54*AD54-100,1),IF(ROUND(100/AC54*AD54-100,1)&gt;999,999,-999)))</f>
        <v>6.3</v>
      </c>
      <c r="AF54" s="923">
        <f>SUM(AF40+AF45)</f>
        <v>2326</v>
      </c>
      <c r="AG54" s="624">
        <f>SUM(AG40+AG45)</f>
        <v>2806</v>
      </c>
      <c r="AH54" s="728">
        <f t="shared" si="3"/>
        <v>20.6</v>
      </c>
      <c r="AI54" s="822">
        <f>SUM(AI40+AI45)</f>
        <v>6162</v>
      </c>
      <c r="AJ54" s="624">
        <f>SUM(AJ40+AJ45)</f>
        <v>7872</v>
      </c>
      <c r="AK54" s="728">
        <f>SUM(AK40+AK45)</f>
        <v>36.4</v>
      </c>
      <c r="AL54" s="729">
        <f t="shared" si="14"/>
        <v>32763.402000000002</v>
      </c>
      <c r="AM54" s="729">
        <f t="shared" si="14"/>
        <v>89096.390922000006</v>
      </c>
      <c r="AN54" s="728">
        <f t="shared" si="7"/>
        <v>171.9</v>
      </c>
      <c r="AO54" s="719"/>
      <c r="AP54" s="719"/>
    </row>
    <row r="55" spans="1:42" s="548" customFormat="1" ht="18.75" customHeight="1" x14ac:dyDescent="0.3">
      <c r="A55" s="576" t="s">
        <v>250</v>
      </c>
      <c r="B55" s="730"/>
      <c r="C55" s="730"/>
      <c r="D55" s="730"/>
      <c r="E55" s="730"/>
      <c r="F55" s="730"/>
      <c r="G55" s="730"/>
      <c r="H55" s="730"/>
      <c r="I55" s="730"/>
      <c r="J55" s="730"/>
      <c r="K55" s="730"/>
      <c r="L55" s="730"/>
      <c r="M55" s="730"/>
      <c r="N55" s="730"/>
      <c r="O55" s="730"/>
      <c r="P55" s="730"/>
      <c r="Q55" s="730"/>
      <c r="R55" s="730"/>
      <c r="S55" s="730"/>
      <c r="T55" s="730"/>
      <c r="U55" s="730"/>
      <c r="V55" s="730"/>
      <c r="W55" s="730"/>
      <c r="X55" s="730"/>
      <c r="Y55" s="730"/>
      <c r="Z55" s="730"/>
      <c r="AA55" s="730"/>
      <c r="AB55" s="730"/>
      <c r="AC55" s="730"/>
      <c r="AD55" s="730"/>
      <c r="AE55" s="730"/>
      <c r="AF55" s="730"/>
      <c r="AG55" s="730"/>
      <c r="AH55" s="730"/>
      <c r="AI55" s="730"/>
      <c r="AJ55" s="730"/>
      <c r="AK55" s="730"/>
      <c r="AL55" s="730"/>
      <c r="AM55" s="730"/>
      <c r="AN55" s="730"/>
      <c r="AO55" s="719"/>
      <c r="AP55" s="719"/>
    </row>
    <row r="56" spans="1:42" s="548" customFormat="1" ht="18.75" customHeight="1" x14ac:dyDescent="0.3">
      <c r="A56" s="576" t="s">
        <v>251</v>
      </c>
      <c r="B56" s="730"/>
      <c r="C56" s="730"/>
      <c r="D56" s="730"/>
      <c r="E56" s="730"/>
      <c r="F56" s="730"/>
      <c r="G56" s="730"/>
      <c r="H56" s="730"/>
      <c r="I56" s="730"/>
      <c r="J56" s="730"/>
      <c r="K56" s="730"/>
      <c r="L56" s="730"/>
      <c r="M56" s="730"/>
      <c r="N56" s="730"/>
      <c r="O56" s="730"/>
      <c r="P56" s="730"/>
      <c r="Q56" s="730"/>
      <c r="R56" s="730"/>
      <c r="S56" s="730"/>
      <c r="T56" s="730"/>
      <c r="U56" s="730"/>
      <c r="V56" s="730"/>
      <c r="W56" s="730"/>
      <c r="X56" s="730"/>
      <c r="Y56" s="730"/>
      <c r="Z56" s="730"/>
      <c r="AA56" s="730"/>
      <c r="AB56" s="730"/>
      <c r="AC56" s="730"/>
      <c r="AD56" s="730"/>
      <c r="AE56" s="730"/>
      <c r="AF56" s="730"/>
      <c r="AG56" s="730"/>
      <c r="AH56" s="730"/>
      <c r="AI56" s="730"/>
      <c r="AJ56" s="730"/>
      <c r="AK56" s="730"/>
      <c r="AL56" s="730"/>
      <c r="AM56" s="730"/>
      <c r="AN56" s="730"/>
      <c r="AO56" s="719"/>
      <c r="AP56" s="719"/>
    </row>
    <row r="57" spans="1:42" s="548" customFormat="1" ht="18.75" customHeight="1" x14ac:dyDescent="0.3">
      <c r="W57" s="576"/>
      <c r="Z57" s="576"/>
      <c r="AI57" s="576"/>
      <c r="AL57" s="576"/>
      <c r="AP57" s="719"/>
    </row>
    <row r="58" spans="1:42" s="681" customFormat="1" ht="18.75" x14ac:dyDescent="0.3"/>
    <row r="59" spans="1:42" s="681" customFormat="1" ht="18.75" x14ac:dyDescent="0.3"/>
    <row r="60" spans="1:42" s="681" customFormat="1" ht="18.75" x14ac:dyDescent="0.3"/>
    <row r="61" spans="1:42" s="681" customFormat="1" ht="18.75" x14ac:dyDescent="0.3"/>
    <row r="62" spans="1:42" s="681" customFormat="1" ht="18.75" x14ac:dyDescent="0.3"/>
    <row r="63" spans="1:42" s="681" customFormat="1" ht="18.75" x14ac:dyDescent="0.3"/>
    <row r="64" spans="1:42" s="681" customFormat="1" ht="18.75" x14ac:dyDescent="0.3"/>
    <row r="65" spans="1:40" s="681" customFormat="1" ht="18.75" x14ac:dyDescent="0.3"/>
    <row r="66" spans="1:40" s="681" customFormat="1" ht="18.75" x14ac:dyDescent="0.3"/>
    <row r="67" spans="1:40" s="681" customFormat="1" ht="18.75" x14ac:dyDescent="0.3"/>
    <row r="68" spans="1:40" s="681" customFormat="1" ht="18.75" x14ac:dyDescent="0.3"/>
    <row r="69" spans="1:40" s="681" customFormat="1" ht="18.75" x14ac:dyDescent="0.3"/>
    <row r="70" spans="1:40" s="681" customFormat="1" ht="18.75" x14ac:dyDescent="0.3"/>
    <row r="71" spans="1:40" s="681" customFormat="1" ht="18.75" x14ac:dyDescent="0.3"/>
    <row r="72" spans="1:40" s="681" customFormat="1" ht="18.75" x14ac:dyDescent="0.3">
      <c r="A72" s="682"/>
      <c r="B72" s="682"/>
      <c r="C72" s="682"/>
      <c r="D72" s="682"/>
      <c r="E72" s="682"/>
      <c r="F72" s="682"/>
      <c r="G72" s="682"/>
      <c r="H72" s="682"/>
      <c r="I72" s="682"/>
      <c r="J72" s="682"/>
      <c r="K72" s="682"/>
      <c r="L72" s="682"/>
      <c r="M72" s="682"/>
      <c r="N72" s="682"/>
      <c r="O72" s="682"/>
      <c r="P72" s="682"/>
      <c r="Q72" s="682"/>
      <c r="R72" s="682"/>
      <c r="S72" s="682"/>
      <c r="T72" s="682"/>
      <c r="U72" s="682"/>
      <c r="V72" s="682"/>
      <c r="W72" s="682"/>
      <c r="X72" s="682"/>
      <c r="Y72" s="682"/>
      <c r="Z72" s="682"/>
      <c r="AA72" s="682"/>
      <c r="AB72" s="682"/>
      <c r="AC72" s="682"/>
      <c r="AD72" s="682"/>
      <c r="AE72" s="682"/>
      <c r="AF72" s="682"/>
      <c r="AG72" s="682"/>
      <c r="AH72" s="682"/>
      <c r="AI72" s="682"/>
      <c r="AJ72" s="682"/>
      <c r="AK72" s="682"/>
      <c r="AL72" s="682"/>
      <c r="AM72" s="682"/>
      <c r="AN72" s="682"/>
    </row>
    <row r="73" spans="1:40" s="681" customFormat="1" ht="18.75" x14ac:dyDescent="0.3">
      <c r="A73" s="682"/>
      <c r="B73" s="682"/>
      <c r="C73" s="682"/>
      <c r="D73" s="682"/>
      <c r="E73" s="682"/>
      <c r="F73" s="682"/>
      <c r="G73" s="682"/>
      <c r="H73" s="682"/>
      <c r="I73" s="682"/>
      <c r="J73" s="682"/>
      <c r="K73" s="682"/>
      <c r="L73" s="682"/>
      <c r="M73" s="682"/>
      <c r="N73" s="682"/>
      <c r="O73" s="682"/>
      <c r="P73" s="682"/>
      <c r="Q73" s="682"/>
      <c r="R73" s="682"/>
      <c r="S73" s="682"/>
      <c r="T73" s="682"/>
      <c r="U73" s="682"/>
      <c r="V73" s="682"/>
      <c r="W73" s="682"/>
      <c r="X73" s="682"/>
      <c r="Y73" s="682"/>
      <c r="Z73" s="682"/>
      <c r="AA73" s="682"/>
      <c r="AB73" s="682"/>
      <c r="AC73" s="682"/>
      <c r="AD73" s="682"/>
      <c r="AE73" s="682"/>
      <c r="AF73" s="682"/>
      <c r="AG73" s="682"/>
      <c r="AH73" s="682"/>
      <c r="AI73" s="682"/>
      <c r="AJ73" s="682"/>
      <c r="AK73" s="682"/>
      <c r="AL73" s="682"/>
      <c r="AM73" s="682"/>
      <c r="AN73" s="682"/>
    </row>
    <row r="74" spans="1:40" s="681" customFormat="1" ht="18.75" x14ac:dyDescent="0.3">
      <c r="A74" s="682"/>
      <c r="B74" s="682"/>
      <c r="C74" s="682"/>
      <c r="D74" s="682"/>
      <c r="E74" s="682"/>
      <c r="F74" s="682"/>
      <c r="G74" s="682"/>
      <c r="H74" s="682"/>
      <c r="I74" s="682"/>
      <c r="J74" s="682"/>
      <c r="K74" s="682"/>
      <c r="L74" s="682"/>
      <c r="M74" s="682"/>
      <c r="N74" s="682"/>
      <c r="O74" s="682"/>
      <c r="P74" s="682"/>
      <c r="Q74" s="682"/>
      <c r="R74" s="682"/>
      <c r="S74" s="682"/>
      <c r="T74" s="682"/>
      <c r="U74" s="682"/>
      <c r="V74" s="682"/>
      <c r="W74" s="682"/>
      <c r="X74" s="682"/>
      <c r="Y74" s="682"/>
      <c r="Z74" s="682"/>
      <c r="AA74" s="682"/>
      <c r="AB74" s="682"/>
      <c r="AC74" s="682"/>
      <c r="AD74" s="682"/>
      <c r="AE74" s="682"/>
      <c r="AF74" s="682"/>
      <c r="AG74" s="682"/>
      <c r="AH74" s="682"/>
      <c r="AI74" s="682"/>
      <c r="AJ74" s="682"/>
      <c r="AK74" s="682"/>
      <c r="AL74" s="682"/>
      <c r="AM74" s="682"/>
      <c r="AN74" s="682"/>
    </row>
    <row r="75" spans="1:40" s="681" customFormat="1" ht="18.75" x14ac:dyDescent="0.3">
      <c r="A75" s="682"/>
      <c r="B75" s="682"/>
      <c r="C75" s="682"/>
      <c r="D75" s="682"/>
      <c r="E75" s="682"/>
      <c r="F75" s="682"/>
      <c r="G75" s="682"/>
      <c r="H75" s="682"/>
      <c r="I75" s="682"/>
      <c r="J75" s="682"/>
      <c r="K75" s="682"/>
      <c r="L75" s="682"/>
      <c r="M75" s="682"/>
      <c r="N75" s="682"/>
      <c r="O75" s="682"/>
      <c r="P75" s="682"/>
      <c r="Q75" s="682"/>
      <c r="R75" s="682"/>
      <c r="S75" s="682"/>
      <c r="T75" s="682"/>
      <c r="U75" s="682"/>
      <c r="V75" s="682"/>
      <c r="W75" s="682"/>
      <c r="X75" s="682"/>
      <c r="Y75" s="682"/>
      <c r="Z75" s="682"/>
      <c r="AA75" s="682"/>
      <c r="AB75" s="682"/>
      <c r="AC75" s="682"/>
      <c r="AD75" s="682"/>
      <c r="AE75" s="682"/>
      <c r="AF75" s="682"/>
      <c r="AG75" s="682"/>
      <c r="AH75" s="682"/>
      <c r="AI75" s="682"/>
      <c r="AJ75" s="682"/>
      <c r="AK75" s="682"/>
      <c r="AL75" s="682"/>
      <c r="AM75" s="682"/>
      <c r="AN75" s="682"/>
    </row>
    <row r="76" spans="1:40" s="681" customFormat="1" ht="18.75" x14ac:dyDescent="0.3"/>
    <row r="77" spans="1:40" s="681" customFormat="1" ht="18.75" x14ac:dyDescent="0.3"/>
    <row r="78" spans="1:40" s="681" customFormat="1" ht="18.75" x14ac:dyDescent="0.3"/>
    <row r="79" spans="1:40" s="681" customFormat="1" ht="18.75" x14ac:dyDescent="0.3"/>
    <row r="80" spans="1:40" s="681" customFormat="1" ht="18.75" x14ac:dyDescent="0.3"/>
    <row r="81" s="681" customFormat="1" ht="18.75" x14ac:dyDescent="0.3"/>
    <row r="82" s="681" customFormat="1" ht="18.75" x14ac:dyDescent="0.3"/>
    <row r="83" s="681" customFormat="1" ht="18.75" x14ac:dyDescent="0.3"/>
    <row r="84" s="681" customFormat="1" ht="18.75" x14ac:dyDescent="0.3"/>
    <row r="85" s="681" customFormat="1" ht="18.75" x14ac:dyDescent="0.3"/>
    <row r="86" s="681" customFormat="1" ht="18.75" x14ac:dyDescent="0.3"/>
    <row r="87" s="681" customFormat="1" ht="18.75" x14ac:dyDescent="0.3"/>
  </sheetData>
  <mergeCells count="34">
    <mergeCell ref="B5:D5"/>
    <mergeCell ref="H5:J5"/>
    <mergeCell ref="N5:P5"/>
    <mergeCell ref="Q5:S5"/>
    <mergeCell ref="T5:V5"/>
    <mergeCell ref="K5:M5"/>
    <mergeCell ref="AT5:AV5"/>
    <mergeCell ref="AW5:AY5"/>
    <mergeCell ref="AZ5:BB5"/>
    <mergeCell ref="BC5:BE5"/>
    <mergeCell ref="B6:D6"/>
    <mergeCell ref="H6:J6"/>
    <mergeCell ref="N6:P6"/>
    <mergeCell ref="Q6:S6"/>
    <mergeCell ref="T6:V6"/>
    <mergeCell ref="W6:Y6"/>
    <mergeCell ref="AC5:AE5"/>
    <mergeCell ref="AF5:AH5"/>
    <mergeCell ref="AI5:AK5"/>
    <mergeCell ref="AL5:AN5"/>
    <mergeCell ref="AQ5:AS5"/>
    <mergeCell ref="E5:G5"/>
    <mergeCell ref="K6:M6"/>
    <mergeCell ref="BC6:BE6"/>
    <mergeCell ref="E6:G6"/>
    <mergeCell ref="Z6:AB6"/>
    <mergeCell ref="AC6:AE6"/>
    <mergeCell ref="AF6:AH6"/>
    <mergeCell ref="AI6:AK6"/>
    <mergeCell ref="AL6:AN6"/>
    <mergeCell ref="AQ6:AS6"/>
    <mergeCell ref="AT6:AV6"/>
    <mergeCell ref="AW6:AY6"/>
    <mergeCell ref="AZ6:BB6"/>
  </mergeCells>
  <conditionalFormatting sqref="AI47">
    <cfRule type="expression" dxfId="137" priority="226">
      <formula>#REF!="54≠55+56+57+58+59+60+61"</formula>
    </cfRule>
  </conditionalFormatting>
  <conditionalFormatting sqref="T47">
    <cfRule type="expression" dxfId="136" priority="166">
      <formula>#REF!="54≠55+56+57+58+59+60+61"</formula>
    </cfRule>
  </conditionalFormatting>
  <conditionalFormatting sqref="N47">
    <cfRule type="expression" dxfId="135" priority="136">
      <formula>#REF!="54≠55+56+57+58+59+60+61"</formula>
    </cfRule>
  </conditionalFormatting>
  <conditionalFormatting sqref="K11">
    <cfRule type="expression" dxfId="134" priority="112">
      <formula>#REF!="11≠12+15+18+19+21+22"</formula>
    </cfRule>
  </conditionalFormatting>
  <conditionalFormatting sqref="K23">
    <cfRule type="expression" dxfId="133" priority="113">
      <formula>#REF!="23≠24+27+30+31+33+34"</formula>
    </cfRule>
  </conditionalFormatting>
  <conditionalFormatting sqref="K35">
    <cfRule type="expression" dxfId="132" priority="114">
      <formula>#REF!="35≠36+37+38+39"</formula>
    </cfRule>
  </conditionalFormatting>
  <conditionalFormatting sqref="K41">
    <cfRule type="expression" dxfId="131" priority="115">
      <formula>#REF!="48≠49+50+51"</formula>
    </cfRule>
  </conditionalFormatting>
  <conditionalFormatting sqref="K47">
    <cfRule type="expression" dxfId="130" priority="116">
      <formula>#REF!="54≠55+56+57+58+59+60+61"</formula>
    </cfRule>
  </conditionalFormatting>
  <conditionalFormatting sqref="Z11">
    <cfRule type="expression" dxfId="129" priority="99">
      <formula>#REF!="11≠12+15+18+19+21+22"</formula>
    </cfRule>
  </conditionalFormatting>
  <conditionalFormatting sqref="Z47">
    <cfRule type="expression" dxfId="128" priority="100">
      <formula>#REF!="54≠55+56+57+58+59+60+61"</formula>
    </cfRule>
  </conditionalFormatting>
  <conditionalFormatting sqref="Z23">
    <cfRule type="expression" dxfId="127" priority="101">
      <formula>#REF!="23≠24+27+30+31+33+34"</formula>
    </cfRule>
  </conditionalFormatting>
  <conditionalFormatting sqref="Z35">
    <cfRule type="expression" dxfId="126" priority="102">
      <formula>#REF!="35≠36+37+38+39"</formula>
    </cfRule>
  </conditionalFormatting>
  <conditionalFormatting sqref="Z41">
    <cfRule type="expression" dxfId="125" priority="103">
      <formula>#REF!="48≠49+50+51"</formula>
    </cfRule>
  </conditionalFormatting>
  <conditionalFormatting sqref="B11">
    <cfRule type="expression" dxfId="124" priority="89">
      <formula>#REF!="11≠12+15+18+19+21+22"</formula>
    </cfRule>
  </conditionalFormatting>
  <conditionalFormatting sqref="B47">
    <cfRule type="expression" dxfId="123" priority="90">
      <formula>#REF!="54≠55+56+57+58+59+60+61"</formula>
    </cfRule>
  </conditionalFormatting>
  <conditionalFormatting sqref="B23">
    <cfRule type="expression" dxfId="122" priority="91">
      <formula>#REF!="23≠24+27+30+31+33+34"</formula>
    </cfRule>
  </conditionalFormatting>
  <conditionalFormatting sqref="B35">
    <cfRule type="expression" dxfId="121" priority="92">
      <formula>#REF!="35≠36+37+38+39"</formula>
    </cfRule>
  </conditionalFormatting>
  <conditionalFormatting sqref="B41">
    <cfRule type="expression" dxfId="120" priority="93">
      <formula>#REF!="48≠49+50+51"</formula>
    </cfRule>
  </conditionalFormatting>
  <conditionalFormatting sqref="Q11">
    <cfRule type="expression" dxfId="119" priority="79">
      <formula>#REF!="11≠12+15+18+19+21+22"</formula>
    </cfRule>
  </conditionalFormatting>
  <conditionalFormatting sqref="Q47">
    <cfRule type="expression" dxfId="118" priority="80">
      <formula>#REF!="54≠55+56+57+58+59+60+61"</formula>
    </cfRule>
  </conditionalFormatting>
  <conditionalFormatting sqref="Q23">
    <cfRule type="expression" dxfId="117" priority="81">
      <formula>#REF!="23≠24+27+30+31+33+34"</formula>
    </cfRule>
  </conditionalFormatting>
  <conditionalFormatting sqref="Q35">
    <cfRule type="expression" dxfId="116" priority="82">
      <formula>#REF!="35≠36+37+38+39"</formula>
    </cfRule>
  </conditionalFormatting>
  <conditionalFormatting sqref="Q41">
    <cfRule type="expression" dxfId="115" priority="83">
      <formula>#REF!="48≠49+50+51"</formula>
    </cfRule>
  </conditionalFormatting>
  <conditionalFormatting sqref="AI11">
    <cfRule type="expression" dxfId="114" priority="71">
      <formula>#REF!="11≠12+15+18+19+21+22"</formula>
    </cfRule>
  </conditionalFormatting>
  <conditionalFormatting sqref="AI23">
    <cfRule type="expression" dxfId="113" priority="72">
      <formula>#REF!="23≠24+27+30+31+33+34"</formula>
    </cfRule>
  </conditionalFormatting>
  <conditionalFormatting sqref="AI35">
    <cfRule type="expression" dxfId="112" priority="73">
      <formula>#REF!="35≠36+37+38+39"</formula>
    </cfRule>
  </conditionalFormatting>
  <conditionalFormatting sqref="AI41">
    <cfRule type="expression" dxfId="111" priority="74">
      <formula>#REF!="48≠49+50+51"</formula>
    </cfRule>
  </conditionalFormatting>
  <conditionalFormatting sqref="AC11">
    <cfRule type="expression" dxfId="110" priority="61">
      <formula>#REF!="11≠12+15+18+19+21+22"</formula>
    </cfRule>
  </conditionalFormatting>
  <conditionalFormatting sqref="AC47">
    <cfRule type="expression" dxfId="109" priority="62">
      <formula>#REF!="54≠55+56+57+58+59+60+61"</formula>
    </cfRule>
  </conditionalFormatting>
  <conditionalFormatting sqref="AC23">
    <cfRule type="expression" dxfId="108" priority="63">
      <formula>#REF!="23≠24+27+30+31+33+34"</formula>
    </cfRule>
  </conditionalFormatting>
  <conditionalFormatting sqref="AC35">
    <cfRule type="expression" dxfId="107" priority="64">
      <formula>#REF!="35≠36+37+38+39"</formula>
    </cfRule>
  </conditionalFormatting>
  <conditionalFormatting sqref="AC41">
    <cfRule type="expression" dxfId="106" priority="65">
      <formula>#REF!="48≠49+50+51"</formula>
    </cfRule>
  </conditionalFormatting>
  <conditionalFormatting sqref="W11">
    <cfRule type="expression" dxfId="105" priority="51">
      <formula>#REF!="11≠12+15+18+19+21+22"</formula>
    </cfRule>
  </conditionalFormatting>
  <conditionalFormatting sqref="W47">
    <cfRule type="expression" dxfId="104" priority="52">
      <formula>#REF!="54≠55+56+57+58+59+60+61"</formula>
    </cfRule>
  </conditionalFormatting>
  <conditionalFormatting sqref="W23">
    <cfRule type="expression" dxfId="103" priority="53">
      <formula>#REF!="23≠24+27+30+31+33+34"</formula>
    </cfRule>
  </conditionalFormatting>
  <conditionalFormatting sqref="W35">
    <cfRule type="expression" dxfId="102" priority="54">
      <formula>#REF!="35≠36+37+38+39"</formula>
    </cfRule>
  </conditionalFormatting>
  <conditionalFormatting sqref="W41">
    <cfRule type="expression" dxfId="101" priority="55">
      <formula>#REF!="48≠49+50+51"</formula>
    </cfRule>
  </conditionalFormatting>
  <conditionalFormatting sqref="AF11">
    <cfRule type="expression" dxfId="100" priority="41">
      <formula>#REF!="11≠12+15+18+19+21+22"</formula>
    </cfRule>
  </conditionalFormatting>
  <conditionalFormatting sqref="AF47">
    <cfRule type="expression" dxfId="99" priority="42">
      <formula>#REF!="54≠55+56+57+58+59+60+61"</formula>
    </cfRule>
  </conditionalFormatting>
  <conditionalFormatting sqref="AF23">
    <cfRule type="expression" dxfId="98" priority="43">
      <formula>#REF!="23≠24+27+30+31+33+34"</formula>
    </cfRule>
  </conditionalFormatting>
  <conditionalFormatting sqref="AF35">
    <cfRule type="expression" dxfId="97" priority="44">
      <formula>#REF!="35≠36+37+38+39"</formula>
    </cfRule>
  </conditionalFormatting>
  <conditionalFormatting sqref="AF41">
    <cfRule type="expression" dxfId="96" priority="45">
      <formula>#REF!="48≠49+50+51"</formula>
    </cfRule>
  </conditionalFormatting>
  <conditionalFormatting sqref="N11">
    <cfRule type="expression" dxfId="95" priority="33">
      <formula>#REF!="11≠12+15+18+19+21+22"</formula>
    </cfRule>
  </conditionalFormatting>
  <conditionalFormatting sqref="N23">
    <cfRule type="expression" dxfId="94" priority="34">
      <formula>#REF!="23≠24+27+30+31+33+34"</formula>
    </cfRule>
  </conditionalFormatting>
  <conditionalFormatting sqref="N35">
    <cfRule type="expression" dxfId="93" priority="35">
      <formula>#REF!="35≠36+37+38+39"</formula>
    </cfRule>
  </conditionalFormatting>
  <conditionalFormatting sqref="N41">
    <cfRule type="expression" dxfId="92" priority="36">
      <formula>#REF!="48≠49+50+51"</formula>
    </cfRule>
  </conditionalFormatting>
  <conditionalFormatting sqref="T11">
    <cfRule type="expression" dxfId="91" priority="25">
      <formula>#REF!="11≠12+15+18+19+21+22"</formula>
    </cfRule>
  </conditionalFormatting>
  <conditionalFormatting sqref="T23">
    <cfRule type="expression" dxfId="90" priority="26">
      <formula>#REF!="23≠24+27+30+31+33+34"</formula>
    </cfRule>
  </conditionalFormatting>
  <conditionalFormatting sqref="T35">
    <cfRule type="expression" dxfId="89" priority="27">
      <formula>#REF!="35≠36+37+38+39"</formula>
    </cfRule>
  </conditionalFormatting>
  <conditionalFormatting sqref="T41">
    <cfRule type="expression" dxfId="88" priority="28">
      <formula>#REF!="48≠49+50+51"</formula>
    </cfRule>
  </conditionalFormatting>
  <conditionalFormatting sqref="E11">
    <cfRule type="expression" dxfId="87" priority="15">
      <formula>#REF!="11≠12+15+18+19+21+22"</formula>
    </cfRule>
  </conditionalFormatting>
  <conditionalFormatting sqref="E47">
    <cfRule type="expression" dxfId="86" priority="16">
      <formula>#REF!="54≠55+56+57+58+59+60+61"</formula>
    </cfRule>
  </conditionalFormatting>
  <conditionalFormatting sqref="E23">
    <cfRule type="expression" dxfId="85" priority="17">
      <formula>#REF!="23≠24+27+30+31+33+34"</formula>
    </cfRule>
  </conditionalFormatting>
  <conditionalFormatting sqref="E35">
    <cfRule type="expression" dxfId="84" priority="18">
      <formula>#REF!="35≠36+37+38+39"</formula>
    </cfRule>
  </conditionalFormatting>
  <conditionalFormatting sqref="E41">
    <cfRule type="expression" dxfId="83" priority="19">
      <formula>#REF!="48≠49+50+51"</formula>
    </cfRule>
  </conditionalFormatting>
  <conditionalFormatting sqref="H11">
    <cfRule type="expression" dxfId="82" priority="10">
      <formula>#REF!="11≠12+15+18+19+21+22"</formula>
    </cfRule>
  </conditionalFormatting>
  <conditionalFormatting sqref="H47">
    <cfRule type="expression" dxfId="81" priority="11">
      <formula>#REF!="54≠55+56+57+58+59+60+61"</formula>
    </cfRule>
  </conditionalFormatting>
  <conditionalFormatting sqref="H23">
    <cfRule type="expression" dxfId="80" priority="12">
      <formula>#REF!="23≠24+27+30+31+33+34"</formula>
    </cfRule>
  </conditionalFormatting>
  <conditionalFormatting sqref="H35">
    <cfRule type="expression" dxfId="79" priority="13">
      <formula>#REF!="35≠36+37+38+39"</formula>
    </cfRule>
  </conditionalFormatting>
  <conditionalFormatting sqref="H41">
    <cfRule type="expression" dxfId="78" priority="14">
      <formula>#REF!="48≠49+50+51"</formula>
    </cfRule>
  </conditionalFormatting>
  <conditionalFormatting sqref="AL11:AM54 AA11 C11 R11 AJ11 AD11 X11 AG11 O11 U11 F11 I11 L11">
    <cfRule type="expression" dxfId="77" priority="1145">
      <formula>#REF!="11≠12+15+18+19+21+22"</formula>
    </cfRule>
  </conditionalFormatting>
  <conditionalFormatting sqref="AJ47:AK47 U47 O47 L47 AA47 C47 R47 AD47 X47 AG47 F47 I47">
    <cfRule type="expression" dxfId="76" priority="1146">
      <formula>#REF!="54≠55+56+57+58+59+60+61"</formula>
    </cfRule>
  </conditionalFormatting>
  <conditionalFormatting sqref="AA23 C23 R23 AJ23 AD23 X23 AG23 O23 U23 F23 I23 L23">
    <cfRule type="expression" dxfId="75" priority="1155">
      <formula>#REF!="23≠24+27+30+31+33+34"</formula>
    </cfRule>
  </conditionalFormatting>
  <conditionalFormatting sqref="AA35 C35 R35 AJ35 AD35 X35 AG35 O35 U35 F35 I35 L35">
    <cfRule type="expression" dxfId="74" priority="1156">
      <formula>#REF!="35≠36+37+38+39"</formula>
    </cfRule>
  </conditionalFormatting>
  <conditionalFormatting sqref="AA41 C41 R41 AJ41 AD41 X41 AG41 O41 U41 F41 I41 L41">
    <cfRule type="expression" dxfId="73" priority="1157">
      <formula>#REF!="48≠49+50+51"</formula>
    </cfRule>
  </conditionalFormatting>
  <hyperlinks>
    <hyperlink ref="B1" location="Innhold!A1" display="Tilbake" xr:uid="{00000000-0004-0000-2300-000000000000}"/>
  </hyperlinks>
  <pageMargins left="0.78740157480314965" right="0.78740157480314965" top="1.5748031496062993" bottom="0.98425196850393704" header="0.51181102362204722" footer="0.51181102362204722"/>
  <pageSetup paperSize="9" scale="45" fitToWidth="4" orientation="portrait" r:id="rId1"/>
  <headerFooter alignWithMargins="0"/>
  <colBreaks count="3" manualBreakCount="3">
    <brk id="16" min="1" max="63" man="1"/>
    <brk id="4" min="1" max="63" man="1"/>
    <brk id="37" min="1" max="63"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P75"/>
  <sheetViews>
    <sheetView showGridLines="0" zoomScale="80" zoomScaleNormal="8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2.5703125" defaultRowHeight="15.75" x14ac:dyDescent="0.25"/>
  <cols>
    <col min="1" max="1" width="77.7109375" style="731" customWidth="1"/>
    <col min="2" max="37" width="11.7109375" style="731" customWidth="1"/>
    <col min="38" max="38" width="13" style="731" customWidth="1"/>
    <col min="39" max="39" width="13.28515625" style="731" customWidth="1"/>
    <col min="40" max="42" width="11.7109375" style="731" customWidth="1"/>
    <col min="43" max="43" width="7.7109375" style="731" customWidth="1"/>
    <col min="44" max="45" width="11.7109375" style="731" customWidth="1"/>
    <col min="46" max="46" width="7.7109375" style="731" customWidth="1"/>
    <col min="47" max="16384" width="12.5703125" style="731"/>
  </cols>
  <sheetData>
    <row r="1" spans="1:42" ht="20.25" customHeight="1" x14ac:dyDescent="0.3">
      <c r="A1" s="699" t="s">
        <v>170</v>
      </c>
      <c r="B1" s="474" t="s">
        <v>52</v>
      </c>
    </row>
    <row r="2" spans="1:42" ht="20.100000000000001" customHeight="1" x14ac:dyDescent="0.3">
      <c r="A2" s="732" t="s">
        <v>426</v>
      </c>
    </row>
    <row r="3" spans="1:42" ht="20.100000000000001" customHeight="1" x14ac:dyDescent="0.3">
      <c r="A3" s="733" t="s">
        <v>504</v>
      </c>
      <c r="AO3" s="734"/>
    </row>
    <row r="4" spans="1:42" ht="18.75" customHeight="1" x14ac:dyDescent="0.25">
      <c r="A4" s="735" t="s">
        <v>360</v>
      </c>
      <c r="B4" s="736"/>
      <c r="C4" s="737"/>
      <c r="D4" s="738"/>
      <c r="E4" s="736"/>
      <c r="F4" s="737"/>
      <c r="G4" s="738"/>
      <c r="H4" s="737"/>
      <c r="I4" s="737"/>
      <c r="J4" s="737"/>
      <c r="K4" s="736"/>
      <c r="L4" s="737"/>
      <c r="M4" s="738"/>
      <c r="N4" s="737"/>
      <c r="O4" s="737"/>
      <c r="P4" s="738"/>
      <c r="Q4" s="737"/>
      <c r="R4" s="737"/>
      <c r="S4" s="738"/>
      <c r="T4" s="737"/>
      <c r="U4" s="737"/>
      <c r="V4" s="738"/>
      <c r="W4" s="736"/>
      <c r="X4" s="737"/>
      <c r="Y4" s="738"/>
      <c r="Z4" s="736"/>
      <c r="AA4" s="737"/>
      <c r="AB4" s="738"/>
      <c r="AC4" s="736"/>
      <c r="AD4" s="737"/>
      <c r="AE4" s="738"/>
      <c r="AF4" s="736"/>
      <c r="AG4" s="737"/>
      <c r="AH4" s="738"/>
      <c r="AI4" s="736"/>
      <c r="AJ4" s="737"/>
      <c r="AK4" s="738"/>
      <c r="AL4" s="736"/>
      <c r="AM4" s="737"/>
      <c r="AN4" s="738"/>
      <c r="AO4" s="734"/>
      <c r="AP4" s="734"/>
    </row>
    <row r="5" spans="1:42" ht="18.75" customHeight="1" x14ac:dyDescent="0.3">
      <c r="A5" s="739" t="s">
        <v>427</v>
      </c>
      <c r="B5" s="1067" t="s">
        <v>173</v>
      </c>
      <c r="C5" s="1068"/>
      <c r="D5" s="1069"/>
      <c r="E5" s="1035" t="s">
        <v>174</v>
      </c>
      <c r="F5" s="1036"/>
      <c r="G5" s="1037"/>
      <c r="H5" s="1035" t="s">
        <v>174</v>
      </c>
      <c r="I5" s="1036"/>
      <c r="J5" s="1037"/>
      <c r="K5" s="1035" t="s">
        <v>487</v>
      </c>
      <c r="L5" s="1036"/>
      <c r="M5" s="1037"/>
      <c r="N5" s="1035" t="s">
        <v>175</v>
      </c>
      <c r="O5" s="1036"/>
      <c r="P5" s="1037"/>
      <c r="Q5" s="1067" t="s">
        <v>176</v>
      </c>
      <c r="R5" s="1068"/>
      <c r="S5" s="1069"/>
      <c r="T5" s="950"/>
      <c r="U5" s="950"/>
      <c r="V5" s="951"/>
      <c r="W5" s="1067" t="s">
        <v>177</v>
      </c>
      <c r="X5" s="1068"/>
      <c r="Y5" s="1069"/>
      <c r="Z5" s="1067"/>
      <c r="AA5" s="1068"/>
      <c r="AB5" s="1069"/>
      <c r="AC5" s="1035"/>
      <c r="AD5" s="1036"/>
      <c r="AE5" s="1037"/>
      <c r="AF5" s="1067" t="s">
        <v>72</v>
      </c>
      <c r="AG5" s="1068"/>
      <c r="AH5" s="1069"/>
      <c r="AI5" s="1067" t="s">
        <v>405</v>
      </c>
      <c r="AJ5" s="1068"/>
      <c r="AK5" s="1069"/>
      <c r="AL5" s="1067" t="s">
        <v>283</v>
      </c>
      <c r="AM5" s="1068"/>
      <c r="AN5" s="1069"/>
      <c r="AO5" s="734"/>
      <c r="AP5" s="734"/>
    </row>
    <row r="6" spans="1:42" ht="18.75" customHeight="1" x14ac:dyDescent="0.3">
      <c r="A6" s="740" t="s">
        <v>406</v>
      </c>
      <c r="B6" s="1064" t="s">
        <v>179</v>
      </c>
      <c r="C6" s="1065"/>
      <c r="D6" s="1066"/>
      <c r="E6" s="1029" t="s">
        <v>498</v>
      </c>
      <c r="F6" s="1030"/>
      <c r="G6" s="1031"/>
      <c r="H6" s="1029" t="s">
        <v>180</v>
      </c>
      <c r="I6" s="1030"/>
      <c r="J6" s="1031"/>
      <c r="K6" s="1029" t="s">
        <v>180</v>
      </c>
      <c r="L6" s="1030"/>
      <c r="M6" s="1031"/>
      <c r="N6" s="1029" t="s">
        <v>180</v>
      </c>
      <c r="O6" s="1030"/>
      <c r="P6" s="1031"/>
      <c r="Q6" s="1064" t="s">
        <v>181</v>
      </c>
      <c r="R6" s="1065"/>
      <c r="S6" s="1066"/>
      <c r="T6" s="952"/>
      <c r="U6" s="952" t="s">
        <v>63</v>
      </c>
      <c r="V6" s="953"/>
      <c r="W6" s="1064" t="s">
        <v>65</v>
      </c>
      <c r="X6" s="1065"/>
      <c r="Y6" s="1066"/>
      <c r="Z6" s="1064" t="s">
        <v>71</v>
      </c>
      <c r="AA6" s="1065"/>
      <c r="AB6" s="1066"/>
      <c r="AC6" s="1029" t="s">
        <v>67</v>
      </c>
      <c r="AD6" s="1030"/>
      <c r="AE6" s="1031"/>
      <c r="AF6" s="1064" t="s">
        <v>180</v>
      </c>
      <c r="AG6" s="1065"/>
      <c r="AH6" s="1066"/>
      <c r="AI6" s="1064" t="s">
        <v>428</v>
      </c>
      <c r="AJ6" s="1065"/>
      <c r="AK6" s="1066"/>
      <c r="AL6" s="1064" t="s">
        <v>429</v>
      </c>
      <c r="AM6" s="1065"/>
      <c r="AN6" s="1066"/>
      <c r="AO6" s="734"/>
      <c r="AP6" s="734"/>
    </row>
    <row r="7" spans="1:42" ht="18.75" customHeight="1" x14ac:dyDescent="0.3">
      <c r="A7" s="740"/>
      <c r="B7" s="712"/>
      <c r="C7" s="712"/>
      <c r="D7" s="527" t="s">
        <v>80</v>
      </c>
      <c r="E7" s="712"/>
      <c r="F7" s="712"/>
      <c r="G7" s="527" t="s">
        <v>80</v>
      </c>
      <c r="H7" s="712"/>
      <c r="I7" s="712"/>
      <c r="J7" s="527" t="s">
        <v>80</v>
      </c>
      <c r="K7" s="712"/>
      <c r="L7" s="712"/>
      <c r="M7" s="527" t="s">
        <v>80</v>
      </c>
      <c r="N7" s="712"/>
      <c r="O7" s="712"/>
      <c r="P7" s="527" t="s">
        <v>80</v>
      </c>
      <c r="Q7" s="712"/>
      <c r="R7" s="712"/>
      <c r="S7" s="527" t="s">
        <v>80</v>
      </c>
      <c r="T7" s="712"/>
      <c r="U7" s="712"/>
      <c r="V7" s="527" t="s">
        <v>80</v>
      </c>
      <c r="W7" s="712"/>
      <c r="X7" s="712"/>
      <c r="Y7" s="527" t="s">
        <v>80</v>
      </c>
      <c r="Z7" s="712"/>
      <c r="AA7" s="712"/>
      <c r="AB7" s="527" t="s">
        <v>80</v>
      </c>
      <c r="AC7" s="712"/>
      <c r="AD7" s="712"/>
      <c r="AE7" s="527" t="s">
        <v>80</v>
      </c>
      <c r="AF7" s="712"/>
      <c r="AG7" s="712"/>
      <c r="AH7" s="527" t="s">
        <v>80</v>
      </c>
      <c r="AI7" s="712"/>
      <c r="AJ7" s="712"/>
      <c r="AK7" s="527" t="s">
        <v>80</v>
      </c>
      <c r="AL7" s="712"/>
      <c r="AM7" s="712"/>
      <c r="AN7" s="527" t="s">
        <v>80</v>
      </c>
      <c r="AO7" s="734"/>
      <c r="AP7" s="734"/>
    </row>
    <row r="8" spans="1:42" ht="18.75" customHeight="1" x14ac:dyDescent="0.25">
      <c r="A8" s="741" t="s">
        <v>286</v>
      </c>
      <c r="B8" s="714">
        <v>2019</v>
      </c>
      <c r="C8" s="714">
        <v>2020</v>
      </c>
      <c r="D8" s="529" t="s">
        <v>82</v>
      </c>
      <c r="E8" s="714">
        <f>$B$8</f>
        <v>2019</v>
      </c>
      <c r="F8" s="714">
        <f>$C$8</f>
        <v>2020</v>
      </c>
      <c r="G8" s="529" t="s">
        <v>82</v>
      </c>
      <c r="H8" s="714">
        <f>$B$8</f>
        <v>2019</v>
      </c>
      <c r="I8" s="714">
        <f>$C$8</f>
        <v>2020</v>
      </c>
      <c r="J8" s="529" t="s">
        <v>82</v>
      </c>
      <c r="K8" s="714">
        <f>$B$8</f>
        <v>2019</v>
      </c>
      <c r="L8" s="714">
        <f>$C$8</f>
        <v>2020</v>
      </c>
      <c r="M8" s="529" t="s">
        <v>82</v>
      </c>
      <c r="N8" s="714">
        <f>$B$8</f>
        <v>2019</v>
      </c>
      <c r="O8" s="714">
        <f>$C$8</f>
        <v>2020</v>
      </c>
      <c r="P8" s="529" t="s">
        <v>82</v>
      </c>
      <c r="Q8" s="714">
        <f>$B$8</f>
        <v>2019</v>
      </c>
      <c r="R8" s="714">
        <f>$C$8</f>
        <v>2020</v>
      </c>
      <c r="S8" s="529" t="s">
        <v>82</v>
      </c>
      <c r="T8" s="714">
        <f>$B$8</f>
        <v>2019</v>
      </c>
      <c r="U8" s="714">
        <f>$C$8</f>
        <v>2020</v>
      </c>
      <c r="V8" s="529" t="s">
        <v>82</v>
      </c>
      <c r="W8" s="714">
        <f>$B$8</f>
        <v>2019</v>
      </c>
      <c r="X8" s="714">
        <f>$C$8</f>
        <v>2020</v>
      </c>
      <c r="Y8" s="529" t="s">
        <v>82</v>
      </c>
      <c r="Z8" s="714">
        <f>$B$8</f>
        <v>2019</v>
      </c>
      <c r="AA8" s="714">
        <f>$C$8</f>
        <v>2020</v>
      </c>
      <c r="AB8" s="529" t="s">
        <v>82</v>
      </c>
      <c r="AC8" s="714">
        <f>$B$8</f>
        <v>2019</v>
      </c>
      <c r="AD8" s="714">
        <f>$C$8</f>
        <v>2020</v>
      </c>
      <c r="AE8" s="529" t="s">
        <v>82</v>
      </c>
      <c r="AF8" s="714">
        <f>$B$8</f>
        <v>2019</v>
      </c>
      <c r="AG8" s="714">
        <f>$C$8</f>
        <v>2020</v>
      </c>
      <c r="AH8" s="529" t="s">
        <v>82</v>
      </c>
      <c r="AI8" s="714">
        <f>$B$8</f>
        <v>2019</v>
      </c>
      <c r="AJ8" s="714">
        <f>$C$8</f>
        <v>2020</v>
      </c>
      <c r="AK8" s="529" t="s">
        <v>82</v>
      </c>
      <c r="AL8" s="714">
        <f>$B$8</f>
        <v>2019</v>
      </c>
      <c r="AM8" s="714">
        <f>$C$8</f>
        <v>2020</v>
      </c>
      <c r="AN8" s="529" t="s">
        <v>82</v>
      </c>
      <c r="AO8" s="734"/>
      <c r="AP8" s="734"/>
    </row>
    <row r="9" spans="1:42" s="748" customFormat="1" ht="18.75" customHeight="1" x14ac:dyDescent="0.3">
      <c r="A9" s="742"/>
      <c r="B9" s="925"/>
      <c r="C9" s="926"/>
      <c r="D9" s="448"/>
      <c r="E9" s="925"/>
      <c r="F9" s="926"/>
      <c r="G9" s="448"/>
      <c r="H9" s="925"/>
      <c r="I9" s="926"/>
      <c r="J9" s="448"/>
      <c r="K9" s="823"/>
      <c r="L9" s="659"/>
      <c r="M9" s="448"/>
      <c r="N9" s="925"/>
      <c r="O9" s="926"/>
      <c r="P9" s="448"/>
      <c r="Q9" s="925"/>
      <c r="R9" s="926"/>
      <c r="S9" s="448"/>
      <c r="T9" s="925"/>
      <c r="U9" s="926"/>
      <c r="V9" s="448"/>
      <c r="W9" s="925"/>
      <c r="X9" s="926"/>
      <c r="Y9" s="746"/>
      <c r="Z9" s="925"/>
      <c r="AA9" s="926"/>
      <c r="AB9" s="746"/>
      <c r="AC9" s="925"/>
      <c r="AD9" s="926"/>
      <c r="AE9" s="746"/>
      <c r="AF9" s="925"/>
      <c r="AG9" s="926"/>
      <c r="AH9" s="746"/>
      <c r="AI9" s="744"/>
      <c r="AJ9" s="744"/>
      <c r="AK9" s="448"/>
      <c r="AL9" s="745"/>
      <c r="AM9" s="745"/>
      <c r="AN9" s="448"/>
      <c r="AO9" s="747"/>
      <c r="AP9" s="747"/>
    </row>
    <row r="10" spans="1:42" s="755" customFormat="1" ht="18.75" customHeight="1" x14ac:dyDescent="0.3">
      <c r="A10" s="552" t="s">
        <v>430</v>
      </c>
      <c r="B10" s="927"/>
      <c r="C10" s="928"/>
      <c r="D10" s="750"/>
      <c r="E10" s="927"/>
      <c r="F10" s="928"/>
      <c r="G10" s="750"/>
      <c r="H10" s="927"/>
      <c r="I10" s="928"/>
      <c r="J10" s="750"/>
      <c r="K10" s="824"/>
      <c r="L10" s="657"/>
      <c r="M10" s="750"/>
      <c r="N10" s="927"/>
      <c r="O10" s="928"/>
      <c r="P10" s="750"/>
      <c r="Q10" s="927"/>
      <c r="R10" s="928"/>
      <c r="S10" s="750"/>
      <c r="T10" s="928"/>
      <c r="U10" s="928"/>
      <c r="V10" s="750"/>
      <c r="W10" s="927"/>
      <c r="X10" s="928"/>
      <c r="Y10" s="753"/>
      <c r="Z10" s="927"/>
      <c r="AA10" s="928"/>
      <c r="AB10" s="753"/>
      <c r="AC10" s="927"/>
      <c r="AD10" s="928"/>
      <c r="AE10" s="753"/>
      <c r="AF10" s="927"/>
      <c r="AG10" s="928"/>
      <c r="AH10" s="753"/>
      <c r="AI10" s="751"/>
      <c r="AJ10" s="751"/>
      <c r="AK10" s="750"/>
      <c r="AL10" s="752"/>
      <c r="AM10" s="752"/>
      <c r="AN10" s="750"/>
      <c r="AO10" s="754"/>
      <c r="AP10" s="754"/>
    </row>
    <row r="11" spans="1:42" s="755" customFormat="1" ht="18.75" customHeight="1" x14ac:dyDescent="0.3">
      <c r="A11" s="721" t="s">
        <v>431</v>
      </c>
      <c r="B11" s="927">
        <f>SUM(B12:B15)</f>
        <v>20672.888999999999</v>
      </c>
      <c r="C11" s="928">
        <f>SUM(C12:C15)</f>
        <v>24020.060999999998</v>
      </c>
      <c r="D11" s="750">
        <f>IF(B11=0, "    ---- ", IF(ABS(ROUND(100/B11*C11-100,1))&lt;999,ROUND(100/B11*C11-100,1),IF(ROUND(100/B11*C11-100,1)&gt;999,999,-999)))</f>
        <v>16.2</v>
      </c>
      <c r="E11" s="927">
        <f>SUM(E12:E15)</f>
        <v>4891.8999999999996</v>
      </c>
      <c r="F11" s="928">
        <f>SUM(F12:F15)</f>
        <v>5941.8</v>
      </c>
      <c r="G11" s="750">
        <f>IF(E11=0, "    ---- ", IF(ABS(ROUND(100/E11*F11-100,1))&lt;999,ROUND(100/E11*F11-100,1),IF(ROUND(100/E11*F11-100,1)&gt;999,999,-999)))</f>
        <v>21.5</v>
      </c>
      <c r="H11" s="927">
        <f>SUM(H12:H15)</f>
        <v>98363.005000000005</v>
      </c>
      <c r="I11" s="928">
        <f>SUM(I12:I15)</f>
        <v>110273.019</v>
      </c>
      <c r="J11" s="750">
        <f>IF(H11=0, "    ---- ", IF(ABS(ROUND(100/H11*I11-100,1))&lt;999,ROUND(100/H11*I11-100,1),IF(ROUND(100/H11*I11-100,1)&gt;999,999,-999)))</f>
        <v>12.1</v>
      </c>
      <c r="K11" s="824"/>
      <c r="L11" s="657"/>
      <c r="M11" s="750"/>
      <c r="N11" s="927">
        <f>SUM(N12:N15)</f>
        <v>4266.26</v>
      </c>
      <c r="O11" s="928">
        <f>SUM(O12:O15)</f>
        <v>0</v>
      </c>
      <c r="P11" s="750">
        <f>IF(N11=0, "    ---- ", IF(ABS(ROUND(100/N11*O11-100,1))&lt;999,ROUND(100/N11*O11-100,1),IF(ROUND(100/N11*O11-100,1)&gt;999,999,-999)))</f>
        <v>-100</v>
      </c>
      <c r="Q11" s="927">
        <f>SUM(Q12:Q15)</f>
        <v>29843.5</v>
      </c>
      <c r="R11" s="928">
        <f>SUM(R12:R15)</f>
        <v>34446.1</v>
      </c>
      <c r="S11" s="750">
        <f>IF(Q11=0, "    ---- ", IF(ABS(ROUND(100/Q11*R11-100,1))&lt;999,ROUND(100/Q11*R11-100,1),IF(ROUND(100/Q11*R11-100,1)&gt;999,999,-999)))</f>
        <v>15.4</v>
      </c>
      <c r="T11" s="928"/>
      <c r="U11" s="928">
        <f>SUM(U12:U15)</f>
        <v>1477.7597008399998</v>
      </c>
      <c r="V11" s="750" t="str">
        <f>IF(T11=0, "    ---- ", IF(ABS(ROUND(100/T11*U11-100,1))&lt;999,ROUND(100/T11*U11-100,1),IF(ROUND(100/T11*U11-100,1)&gt;999,999,-999)))</f>
        <v xml:space="preserve">    ---- </v>
      </c>
      <c r="W11" s="927">
        <f>SUM(W12:W15)</f>
        <v>77977.126611399901</v>
      </c>
      <c r="X11" s="928">
        <f>SUM(X12:X15)</f>
        <v>98862</v>
      </c>
      <c r="Y11" s="756">
        <f>IF(W11=0, "    ---- ", IF(ABS(ROUND(100/W11*X11-100,1))&lt;999,ROUND(100/W11*X11-100,1),IF(ROUND(100/W11*X11-100,1)&gt;999,999,-999)))</f>
        <v>26.8</v>
      </c>
      <c r="Z11" s="927">
        <f>SUM(Z12:Z15)</f>
        <v>2541.1866050899998</v>
      </c>
      <c r="AA11" s="928">
        <f>SUM(AA12:AA15)</f>
        <v>2931.7169809200004</v>
      </c>
      <c r="AB11" s="753">
        <f>IF(Z11=0, "    ---- ", IF(ABS(ROUND(100/Z11*AA11-100,1))&lt;999,ROUND(100/Z11*AA11-100,1),IF(ROUND(100/Z11*AA11-100,1)&gt;999,999,-999)))</f>
        <v>15.4</v>
      </c>
      <c r="AC11" s="927">
        <f>SUM(AC12:AC15)</f>
        <v>35400</v>
      </c>
      <c r="AD11" s="928">
        <f>SUM(AD12:AD15)</f>
        <v>42968</v>
      </c>
      <c r="AE11" s="756">
        <f>IF(AC11=0, "    ---- ", IF(ABS(ROUND(100/AC11*AD11-100,1))&lt;999,ROUND(100/AC11*AD11-100,1),IF(ROUND(100/AC11*AD11-100,1)&gt;999,999,-999)))</f>
        <v>21.4</v>
      </c>
      <c r="AF11" s="927">
        <f>SUM(AF12:AF15)</f>
        <v>114538</v>
      </c>
      <c r="AG11" s="928">
        <f>SUM(AG12:AG15)</f>
        <v>137089</v>
      </c>
      <c r="AH11" s="756">
        <f t="shared" ref="AH11:AH39" si="0">IF(AF11=0, "    ---- ", IF(ABS(ROUND(100/AF11*AG11-100,1))&lt;999,ROUND(100/AF11*AG11-100,1),IF(ROUND(100/AF11*AG11-100,1)&gt;999,999,-999)))</f>
        <v>19.7</v>
      </c>
      <c r="AI11" s="749">
        <f t="shared" ref="AI11:AI42" si="1">+B11+H11+K11+N11+Q11+T11+E11+W11+Z11+AC11+AF11</f>
        <v>388493.86721648986</v>
      </c>
      <c r="AJ11" s="749">
        <f t="shared" ref="AJ11:AJ42" si="2">+C11+I11+L11+O11+R11+U11+F11+X11+AA11+AD11+AG11</f>
        <v>458009.45668175997</v>
      </c>
      <c r="AK11" s="750">
        <f>IF(AI11=0, "    ---- ", IF(ABS(ROUND(100/AI11*AJ11-100,1))&lt;999,ROUND(100/AI11*AJ11-100,1),IF(ROUND(100/AI11*AJ11-100,1)&gt;999,999,-999)))</f>
        <v>17.899999999999999</v>
      </c>
      <c r="AL11" s="757"/>
      <c r="AM11" s="757"/>
      <c r="AN11" s="757"/>
      <c r="AO11" s="724"/>
      <c r="AP11" s="754"/>
    </row>
    <row r="12" spans="1:42" s="761" customFormat="1" ht="18.75" customHeight="1" x14ac:dyDescent="0.3">
      <c r="A12" s="534" t="s">
        <v>410</v>
      </c>
      <c r="B12" s="925">
        <v>2674.4859999999999</v>
      </c>
      <c r="C12" s="926">
        <v>2843.9479999999999</v>
      </c>
      <c r="D12" s="448">
        <f>IF(B12=0, "    ---- ", IF(ABS(ROUND(100/B12*C12-100,1))&lt;999,ROUND(100/B12*C12-100,1),IF(ROUND(100/B12*C12-100,1)&gt;999,999,-999)))</f>
        <v>6.3</v>
      </c>
      <c r="E12" s="925"/>
      <c r="F12" s="926"/>
      <c r="G12" s="448"/>
      <c r="H12" s="925">
        <v>6300.9430000000002</v>
      </c>
      <c r="I12" s="926">
        <v>6816</v>
      </c>
      <c r="J12" s="448">
        <f>IF(H12=0, "    ---- ", IF(ABS(ROUND(100/H12*I12-100,1))&lt;999,ROUND(100/H12*I12-100,1),IF(ROUND(100/H12*I12-100,1)&gt;999,999,-999)))</f>
        <v>8.1999999999999993</v>
      </c>
      <c r="K12" s="823"/>
      <c r="L12" s="659"/>
      <c r="M12" s="448"/>
      <c r="N12" s="925"/>
      <c r="O12" s="926"/>
      <c r="P12" s="448"/>
      <c r="Q12" s="925">
        <v>660</v>
      </c>
      <c r="R12" s="926">
        <v>834.2</v>
      </c>
      <c r="S12" s="448">
        <f>IF(Q12=0, "    ---- ", IF(ABS(ROUND(100/Q12*R12-100,1))&lt;999,ROUND(100/Q12*R12-100,1),IF(ROUND(100/Q12*R12-100,1)&gt;999,999,-999)))</f>
        <v>26.4</v>
      </c>
      <c r="T12" s="926"/>
      <c r="U12" s="926"/>
      <c r="V12" s="448"/>
      <c r="W12" s="925">
        <v>32172.172282732427</v>
      </c>
      <c r="X12" s="926">
        <v>36733</v>
      </c>
      <c r="Y12" s="758">
        <f>IF(W12=0, "    ---- ", IF(ABS(ROUND(100/W12*X12-100,1))&lt;999,ROUND(100/W12*X12-100,1),IF(ROUND(100/W12*X12-100,1)&gt;999,999,-999)))</f>
        <v>14.2</v>
      </c>
      <c r="Z12" s="925">
        <v>950.67500713000004</v>
      </c>
      <c r="AA12" s="926">
        <v>1080.9643559900001</v>
      </c>
      <c r="AB12" s="746">
        <f>IF(Z12=0, "    ---- ", IF(ABS(ROUND(100/Z12*AA12-100,1))&lt;999,ROUND(100/Z12*AA12-100,1),IF(ROUND(100/Z12*AA12-100,1)&gt;999,999,-999)))</f>
        <v>13.7</v>
      </c>
      <c r="AC12" s="925">
        <v>2717</v>
      </c>
      <c r="AD12" s="926">
        <v>3306</v>
      </c>
      <c r="AE12" s="758">
        <f>IF(AC12=0, "    ---- ", IF(ABS(ROUND(100/AC12*AD12-100,1))&lt;999,ROUND(100/AC12*AD12-100,1),IF(ROUND(100/AC12*AD12-100,1)&gt;999,999,-999)))</f>
        <v>21.7</v>
      </c>
      <c r="AF12" s="925">
        <v>7501</v>
      </c>
      <c r="AG12" s="926">
        <f>9086-12</f>
        <v>9074</v>
      </c>
      <c r="AH12" s="758">
        <f t="shared" si="0"/>
        <v>21</v>
      </c>
      <c r="AI12" s="743">
        <f t="shared" si="1"/>
        <v>52976.276289862428</v>
      </c>
      <c r="AJ12" s="743">
        <f t="shared" si="2"/>
        <v>60688.112355990001</v>
      </c>
      <c r="AK12" s="448">
        <f>IF(AI12=0, "    ---- ", IF(ABS(ROUND(100/AI12*AJ12-100,1))&lt;999,ROUND(100/AI12*AJ12-100,1),IF(ROUND(100/AI12*AJ12-100,1)&gt;999,999,-999)))</f>
        <v>14.6</v>
      </c>
      <c r="AL12" s="759"/>
      <c r="AM12" s="759"/>
      <c r="AN12" s="759"/>
      <c r="AO12" s="760"/>
      <c r="AP12" s="760"/>
    </row>
    <row r="13" spans="1:42" s="761" customFormat="1" ht="18.75" customHeight="1" x14ac:dyDescent="0.3">
      <c r="A13" s="534" t="s">
        <v>413</v>
      </c>
      <c r="B13" s="925">
        <v>2171.6790000000001</v>
      </c>
      <c r="C13" s="926">
        <v>2198.6060000000002</v>
      </c>
      <c r="D13" s="448">
        <f>IF(B13=0, "    ---- ", IF(ABS(ROUND(100/B13*C13-100,1))&lt;999,ROUND(100/B13*C13-100,1),IF(ROUND(100/B13*C13-100,1)&gt;999,999,-999)))</f>
        <v>1.2</v>
      </c>
      <c r="E13" s="925"/>
      <c r="F13" s="926"/>
      <c r="G13" s="448"/>
      <c r="H13" s="925">
        <v>5604.2889999999998</v>
      </c>
      <c r="I13" s="926">
        <v>5800.7560000000003</v>
      </c>
      <c r="J13" s="448">
        <f>IF(H13=0, "    ---- ", IF(ABS(ROUND(100/H13*I13-100,1))&lt;999,ROUND(100/H13*I13-100,1),IF(ROUND(100/H13*I13-100,1)&gt;999,999,-999)))</f>
        <v>3.5</v>
      </c>
      <c r="K13" s="823"/>
      <c r="L13" s="659"/>
      <c r="M13" s="448"/>
      <c r="N13" s="925">
        <v>157.59399999999999</v>
      </c>
      <c r="O13" s="928">
        <f t="shared" ref="O13:O14" si="3">SUM(O14:O17)</f>
        <v>0</v>
      </c>
      <c r="P13" s="448">
        <f>IF(N13=0, "    ---- ", IF(ABS(ROUND(100/N13*O13-100,1))&lt;999,ROUND(100/N13*O13-100,1),IF(ROUND(100/N13*O13-100,1)&gt;999,999,-999)))</f>
        <v>-100</v>
      </c>
      <c r="Q13" s="925">
        <f>2243-660</f>
        <v>1583</v>
      </c>
      <c r="R13" s="926">
        <v>1660.6</v>
      </c>
      <c r="S13" s="448">
        <f>IF(Q13=0, "    ---- ", IF(ABS(ROUND(100/Q13*R13-100,1))&lt;999,ROUND(100/Q13*R13-100,1),IF(ROUND(100/Q13*R13-100,1)&gt;999,999,-999)))</f>
        <v>4.9000000000000004</v>
      </c>
      <c r="T13" s="926"/>
      <c r="U13" s="926"/>
      <c r="V13" s="448"/>
      <c r="W13" s="925">
        <v>4316.9146712215479</v>
      </c>
      <c r="X13" s="926">
        <v>4941</v>
      </c>
      <c r="Y13" s="448">
        <f>IF(W13=0, "    ---- ", IF(ABS(ROUND(100/W13*X13-100,1))&lt;999,ROUND(100/W13*X13-100,1),IF(ROUND(100/W13*X13-100,1)&gt;999,999,-999)))</f>
        <v>14.5</v>
      </c>
      <c r="Z13" s="925">
        <v>942.67618587000004</v>
      </c>
      <c r="AA13" s="926">
        <v>1019.9726249300001</v>
      </c>
      <c r="AB13" s="448">
        <f>IF(Z13=0, "    ---- ", IF(ABS(ROUND(100/Z13*AA13-100,1))&lt;999,ROUND(100/Z13*AA13-100,1),IF(ROUND(100/Z13*AA13-100,1)&gt;999,999,-999)))</f>
        <v>8.1999999999999993</v>
      </c>
      <c r="AC13" s="925">
        <v>2664</v>
      </c>
      <c r="AD13" s="926">
        <v>3180</v>
      </c>
      <c r="AE13" s="448">
        <f>IF(AC13=0, "    ---- ", IF(ABS(ROUND(100/AC13*AD13-100,1))&lt;999,ROUND(100/AC13*AD13-100,1),IF(ROUND(100/AC13*AD13-100,1)&gt;999,999,-999)))</f>
        <v>19.399999999999999</v>
      </c>
      <c r="AF13" s="925">
        <v>4910</v>
      </c>
      <c r="AG13" s="926">
        <f>5737-2</f>
        <v>5735</v>
      </c>
      <c r="AH13" s="448">
        <f t="shared" si="0"/>
        <v>16.8</v>
      </c>
      <c r="AI13" s="743">
        <f t="shared" si="1"/>
        <v>22350.152857091547</v>
      </c>
      <c r="AJ13" s="743">
        <f t="shared" si="2"/>
        <v>24535.93462493</v>
      </c>
      <c r="AK13" s="448">
        <f>IF(AI13=0, "    ---- ", IF(ABS(ROUND(100/AI13*AJ13-100,1))&lt;999,ROUND(100/AI13*AJ13-100,1),IF(ROUND(100/AI13*AJ13-100,1)&gt;999,999,-999)))</f>
        <v>9.8000000000000007</v>
      </c>
      <c r="AL13" s="759"/>
      <c r="AM13" s="759"/>
      <c r="AN13" s="759"/>
      <c r="AO13" s="760"/>
      <c r="AP13" s="760"/>
    </row>
    <row r="14" spans="1:42" s="761" customFormat="1" ht="18.75" customHeight="1" x14ac:dyDescent="0.3">
      <c r="A14" s="534" t="s">
        <v>415</v>
      </c>
      <c r="B14" s="925">
        <v>15826.724</v>
      </c>
      <c r="C14" s="926">
        <f>12171.997+204.693+6600.817</f>
        <v>18977.506999999998</v>
      </c>
      <c r="D14" s="448">
        <f>IF(B14=0, "    ---- ", IF(ABS(ROUND(100/B14*C14-100,1))&lt;999,ROUND(100/B14*C14-100,1),IF(ROUND(100/B14*C14-100,1)&gt;999,999,-999)))</f>
        <v>19.899999999999999</v>
      </c>
      <c r="E14" s="925">
        <v>4891.8999999999996</v>
      </c>
      <c r="F14" s="926">
        <v>5941.8</v>
      </c>
      <c r="G14" s="448">
        <f>IF(E14=0, "    ---- ", IF(ABS(ROUND(100/E14*F14-100,1))&lt;999,ROUND(100/E14*F14-100,1),IF(ROUND(100/E14*F14-100,1)&gt;999,999,-999)))</f>
        <v>21.5</v>
      </c>
      <c r="H14" s="925">
        <f>87037.773-580</f>
        <v>86457.773000000001</v>
      </c>
      <c r="I14" s="926">
        <f>98243.482-587.219</f>
        <v>97656.263000000006</v>
      </c>
      <c r="J14" s="448">
        <f>IF(H14=0, "    ---- ", IF(ABS(ROUND(100/H14*I14-100,1))&lt;999,ROUND(100/H14*I14-100,1),IF(ROUND(100/H14*I14-100,1)&gt;999,999,-999)))</f>
        <v>13</v>
      </c>
      <c r="K14" s="823"/>
      <c r="L14" s="659"/>
      <c r="M14" s="448"/>
      <c r="N14" s="925">
        <v>4108.6660000000002</v>
      </c>
      <c r="O14" s="928">
        <f t="shared" si="3"/>
        <v>0</v>
      </c>
      <c r="P14" s="448">
        <f>IF(N14=0, "    ---- ", IF(ABS(ROUND(100/N14*O14-100,1))&lt;999,ROUND(100/N14*O14-100,1),IF(ROUND(100/N14*O14-100,1)&gt;999,999,-999)))</f>
        <v>-100</v>
      </c>
      <c r="Q14" s="925">
        <v>27600.5</v>
      </c>
      <c r="R14" s="926">
        <v>31951.3</v>
      </c>
      <c r="S14" s="448">
        <f>IF(Q14=0, "    ---- ", IF(ABS(ROUND(100/Q14*R14-100,1))&lt;999,ROUND(100/Q14*R14-100,1),IF(ROUND(100/Q14*R14-100,1)&gt;999,999,-999)))</f>
        <v>15.8</v>
      </c>
      <c r="T14" s="926"/>
      <c r="U14" s="926"/>
      <c r="V14" s="448"/>
      <c r="W14" s="925">
        <v>41488.039657445923</v>
      </c>
      <c r="X14" s="926">
        <v>57188</v>
      </c>
      <c r="Y14" s="448">
        <f>IF(W14=0, "    ---- ", IF(ABS(ROUND(100/W14*X14-100,1))&lt;999,ROUND(100/W14*X14-100,1),IF(ROUND(100/W14*X14-100,1)&gt;999,999,-999)))</f>
        <v>37.799999999999997</v>
      </c>
      <c r="Z14" s="925">
        <v>647.83541208999998</v>
      </c>
      <c r="AA14" s="926">
        <v>830.78</v>
      </c>
      <c r="AB14" s="448">
        <f>IF(Z14=0, "    ---- ", IF(ABS(ROUND(100/Z14*AA14-100,1))&lt;999,ROUND(100/Z14*AA14-100,1),IF(ROUND(100/Z14*AA14-100,1)&gt;999,999,-999)))</f>
        <v>28.2</v>
      </c>
      <c r="AC14" s="925">
        <v>30019</v>
      </c>
      <c r="AD14" s="926">
        <v>36482</v>
      </c>
      <c r="AE14" s="448">
        <f>IF(AC14=0, "    ---- ", IF(ABS(ROUND(100/AC14*AD14-100,1))&lt;999,ROUND(100/AC14*AD14-100,1),IF(ROUND(100/AC14*AD14-100,1)&gt;999,999,-999)))</f>
        <v>21.5</v>
      </c>
      <c r="AF14" s="925">
        <f>16424+614+53670+31419</f>
        <v>102127</v>
      </c>
      <c r="AG14" s="926">
        <f>1843+17761+64541+38135</f>
        <v>122280</v>
      </c>
      <c r="AH14" s="448">
        <f t="shared" si="0"/>
        <v>19.7</v>
      </c>
      <c r="AI14" s="743">
        <f t="shared" si="1"/>
        <v>313167.43806953589</v>
      </c>
      <c r="AJ14" s="743">
        <f t="shared" si="2"/>
        <v>371307.65</v>
      </c>
      <c r="AK14" s="448">
        <f t="shared" ref="AK14:AK42" si="4">IF(AI14=0, "    ---- ", IF(ABS(ROUND(100/AI14*AJ14-100,1))&lt;999,ROUND(100/AI14*AJ14-100,1),IF(ROUND(100/AI14*AJ14-100,1)&gt;999,999,-999)))</f>
        <v>18.600000000000001</v>
      </c>
      <c r="AL14" s="759"/>
      <c r="AM14" s="759"/>
      <c r="AN14" s="759"/>
      <c r="AO14" s="760"/>
      <c r="AP14" s="760"/>
    </row>
    <row r="15" spans="1:42" s="761" customFormat="1" ht="18.75" customHeight="1" x14ac:dyDescent="0.3">
      <c r="A15" s="534" t="s">
        <v>417</v>
      </c>
      <c r="B15" s="925"/>
      <c r="C15" s="926"/>
      <c r="D15" s="448"/>
      <c r="E15" s="925"/>
      <c r="F15" s="926"/>
      <c r="G15" s="448"/>
      <c r="H15" s="925"/>
      <c r="I15" s="926"/>
      <c r="J15" s="448"/>
      <c r="K15" s="823"/>
      <c r="L15" s="659"/>
      <c r="M15" s="448"/>
      <c r="N15" s="925"/>
      <c r="O15" s="926"/>
      <c r="P15" s="448"/>
      <c r="Q15" s="925"/>
      <c r="R15" s="926"/>
      <c r="S15" s="448"/>
      <c r="T15" s="926"/>
      <c r="U15" s="926">
        <v>1477.7597008399998</v>
      </c>
      <c r="V15" s="448" t="str">
        <f>IF(T15=0, "    ---- ", IF(ABS(ROUND(100/T15*U15-100,1))&lt;999,ROUND(100/T15*U15-100,1),IF(ROUND(100/T15*U15-100,1)&gt;999,999,-999)))</f>
        <v xml:space="preserve">    ---- </v>
      </c>
      <c r="W15" s="925"/>
      <c r="X15" s="926"/>
      <c r="Y15" s="448"/>
      <c r="Z15" s="925"/>
      <c r="AA15" s="926"/>
      <c r="AB15" s="448"/>
      <c r="AC15" s="925"/>
      <c r="AD15" s="926"/>
      <c r="AE15" s="448"/>
      <c r="AF15" s="925"/>
      <c r="AG15" s="926"/>
      <c r="AH15" s="448"/>
      <c r="AI15" s="743">
        <f t="shared" si="1"/>
        <v>0</v>
      </c>
      <c r="AJ15" s="743">
        <f t="shared" si="2"/>
        <v>1477.7597008399998</v>
      </c>
      <c r="AK15" s="448" t="str">
        <f t="shared" si="4"/>
        <v xml:space="preserve">    ---- </v>
      </c>
      <c r="AL15" s="759"/>
      <c r="AM15" s="759"/>
      <c r="AN15" s="759"/>
      <c r="AO15" s="760"/>
      <c r="AP15" s="760"/>
    </row>
    <row r="16" spans="1:42" s="755" customFormat="1" ht="18.75" customHeight="1" x14ac:dyDescent="0.3">
      <c r="A16" s="721" t="s">
        <v>419</v>
      </c>
      <c r="B16" s="927"/>
      <c r="C16" s="928"/>
      <c r="D16" s="750"/>
      <c r="E16" s="927"/>
      <c r="F16" s="928"/>
      <c r="G16" s="750"/>
      <c r="H16" s="927"/>
      <c r="I16" s="928"/>
      <c r="J16" s="750"/>
      <c r="K16" s="824"/>
      <c r="L16" s="657"/>
      <c r="M16" s="750"/>
      <c r="N16" s="927"/>
      <c r="O16" s="928"/>
      <c r="P16" s="750"/>
      <c r="Q16" s="927">
        <f>SUM(Q17:Q20)</f>
        <v>29843.5</v>
      </c>
      <c r="R16" s="928">
        <f>SUM(R17:R20)</f>
        <v>34444.5</v>
      </c>
      <c r="S16" s="750">
        <f>IF(Q16=0, "    ---- ", IF(ABS(ROUND(100/Q16*R16-100,1))&lt;999,ROUND(100/Q16*R16-100,1),IF(ROUND(100/Q16*R16-100,1)&gt;999,999,-999)))</f>
        <v>15.4</v>
      </c>
      <c r="T16" s="928"/>
      <c r="U16" s="928">
        <f>SUM(U17:U20)</f>
        <v>1477.7597008399998</v>
      </c>
      <c r="V16" s="750" t="str">
        <f>IF(T16=0, "    ---- ", IF(ABS(ROUND(100/T16*U16-100,1))&lt;999,ROUND(100/T16*U16-100,1),IF(ROUND(100/T16*U16-100,1)&gt;999,999,-999)))</f>
        <v xml:space="preserve">    ---- </v>
      </c>
      <c r="W16" s="927">
        <f>SUM(W17:W20)</f>
        <v>77977.126611399901</v>
      </c>
      <c r="X16" s="928">
        <f>SUM(X17:X20)</f>
        <v>98862</v>
      </c>
      <c r="Y16" s="750">
        <f>IF(W16=0, "    ---- ", IF(ABS(ROUND(100/W16*X16-100,1))&lt;999,ROUND(100/W16*X16-100,1),IF(ROUND(100/W16*X16-100,1)&gt;999,999,-999)))</f>
        <v>26.8</v>
      </c>
      <c r="Z16" s="927"/>
      <c r="AA16" s="928"/>
      <c r="AB16" s="750"/>
      <c r="AC16" s="927"/>
      <c r="AD16" s="928"/>
      <c r="AE16" s="750"/>
      <c r="AF16" s="927">
        <f>SUM(AF17:AF20)</f>
        <v>114538</v>
      </c>
      <c r="AG16" s="928">
        <f>SUM(AG17:AG20)</f>
        <v>137089</v>
      </c>
      <c r="AH16" s="750">
        <f t="shared" si="0"/>
        <v>19.7</v>
      </c>
      <c r="AI16" s="749">
        <f t="shared" si="1"/>
        <v>222358.6266113999</v>
      </c>
      <c r="AJ16" s="749">
        <f t="shared" si="2"/>
        <v>271873.25970083999</v>
      </c>
      <c r="AK16" s="750">
        <f t="shared" si="4"/>
        <v>22.3</v>
      </c>
      <c r="AL16" s="757"/>
      <c r="AM16" s="757"/>
      <c r="AN16" s="757"/>
      <c r="AO16" s="724"/>
      <c r="AP16" s="754"/>
    </row>
    <row r="17" spans="1:42" s="761" customFormat="1" ht="18.75" customHeight="1" x14ac:dyDescent="0.3">
      <c r="A17" s="534" t="s">
        <v>410</v>
      </c>
      <c r="B17" s="925"/>
      <c r="C17" s="926"/>
      <c r="D17" s="448"/>
      <c r="E17" s="925"/>
      <c r="F17" s="926"/>
      <c r="G17" s="448"/>
      <c r="H17" s="925"/>
      <c r="I17" s="926"/>
      <c r="J17" s="448"/>
      <c r="K17" s="823"/>
      <c r="L17" s="659"/>
      <c r="M17" s="448"/>
      <c r="N17" s="925"/>
      <c r="O17" s="926"/>
      <c r="P17" s="448"/>
      <c r="Q17" s="925">
        <v>660</v>
      </c>
      <c r="R17" s="926">
        <v>834.2</v>
      </c>
      <c r="S17" s="448">
        <f>IF(Q17=0, "    ---- ", IF(ABS(ROUND(100/Q17*R17-100,1))&lt;999,ROUND(100/Q17*R17-100,1),IF(ROUND(100/Q17*R17-100,1)&gt;999,999,-999)))</f>
        <v>26.4</v>
      </c>
      <c r="T17" s="926"/>
      <c r="U17" s="926"/>
      <c r="V17" s="448"/>
      <c r="W17" s="925">
        <v>32172.172282732427</v>
      </c>
      <c r="X17" s="926">
        <v>36733</v>
      </c>
      <c r="Y17" s="448">
        <f>IF(W17=0, "    ---- ", IF(ABS(ROUND(100/W17*X17-100,1))&lt;999,ROUND(100/W17*X17-100,1),IF(ROUND(100/W17*X17-100,1)&gt;999,999,-999)))</f>
        <v>14.2</v>
      </c>
      <c r="Z17" s="925"/>
      <c r="AA17" s="926"/>
      <c r="AB17" s="448"/>
      <c r="AC17" s="925"/>
      <c r="AD17" s="926"/>
      <c r="AE17" s="448"/>
      <c r="AF17" s="925">
        <f>+AF12</f>
        <v>7501</v>
      </c>
      <c r="AG17" s="926">
        <f>9086-12</f>
        <v>9074</v>
      </c>
      <c r="AH17" s="448">
        <f t="shared" si="0"/>
        <v>21</v>
      </c>
      <c r="AI17" s="743">
        <f t="shared" si="1"/>
        <v>40333.172282732427</v>
      </c>
      <c r="AJ17" s="743">
        <f t="shared" si="2"/>
        <v>46641.2</v>
      </c>
      <c r="AK17" s="448">
        <f t="shared" si="4"/>
        <v>15.6</v>
      </c>
      <c r="AL17" s="759"/>
      <c r="AM17" s="759"/>
      <c r="AN17" s="759"/>
      <c r="AO17" s="760"/>
      <c r="AP17" s="760"/>
    </row>
    <row r="18" spans="1:42" s="761" customFormat="1" ht="18.75" customHeight="1" x14ac:dyDescent="0.3">
      <c r="A18" s="534" t="s">
        <v>413</v>
      </c>
      <c r="B18" s="925"/>
      <c r="C18" s="926"/>
      <c r="D18" s="448"/>
      <c r="E18" s="925"/>
      <c r="F18" s="926"/>
      <c r="G18" s="448"/>
      <c r="H18" s="925"/>
      <c r="I18" s="926"/>
      <c r="J18" s="448"/>
      <c r="K18" s="823"/>
      <c r="L18" s="659"/>
      <c r="M18" s="448"/>
      <c r="N18" s="925"/>
      <c r="O18" s="926"/>
      <c r="P18" s="448"/>
      <c r="Q18" s="925">
        <v>1583</v>
      </c>
      <c r="R18" s="926">
        <v>1660.6</v>
      </c>
      <c r="S18" s="448">
        <f>IF(Q18=0, "    ---- ", IF(ABS(ROUND(100/Q18*R18-100,1))&lt;999,ROUND(100/Q18*R18-100,1),IF(ROUND(100/Q18*R18-100,1)&gt;999,999,-999)))</f>
        <v>4.9000000000000004</v>
      </c>
      <c r="T18" s="926"/>
      <c r="U18" s="926"/>
      <c r="V18" s="448"/>
      <c r="W18" s="925">
        <v>4316.9146712215479</v>
      </c>
      <c r="X18" s="926">
        <v>4941</v>
      </c>
      <c r="Y18" s="448">
        <f>IF(W18=0, "    ---- ", IF(ABS(ROUND(100/W18*X18-100,1))&lt;999,ROUND(100/W18*X18-100,1),IF(ROUND(100/W18*X18-100,1)&gt;999,999,-999)))</f>
        <v>14.5</v>
      </c>
      <c r="Z18" s="925"/>
      <c r="AA18" s="926"/>
      <c r="AB18" s="448"/>
      <c r="AC18" s="925"/>
      <c r="AD18" s="926"/>
      <c r="AE18" s="448"/>
      <c r="AF18" s="925">
        <f>+AF13</f>
        <v>4910</v>
      </c>
      <c r="AG18" s="926">
        <f>5737-2</f>
        <v>5735</v>
      </c>
      <c r="AH18" s="448">
        <f t="shared" si="0"/>
        <v>16.8</v>
      </c>
      <c r="AI18" s="743">
        <f t="shared" si="1"/>
        <v>10809.914671221548</v>
      </c>
      <c r="AJ18" s="743">
        <f t="shared" si="2"/>
        <v>12336.6</v>
      </c>
      <c r="AK18" s="448">
        <f t="shared" si="4"/>
        <v>14.1</v>
      </c>
      <c r="AL18" s="759"/>
      <c r="AM18" s="759"/>
      <c r="AN18" s="759"/>
      <c r="AO18" s="760"/>
      <c r="AP18" s="760"/>
    </row>
    <row r="19" spans="1:42" s="761" customFormat="1" ht="18.75" customHeight="1" x14ac:dyDescent="0.3">
      <c r="A19" s="534" t="s">
        <v>415</v>
      </c>
      <c r="B19" s="925"/>
      <c r="C19" s="926"/>
      <c r="D19" s="448"/>
      <c r="E19" s="925"/>
      <c r="F19" s="926"/>
      <c r="G19" s="448"/>
      <c r="H19" s="925"/>
      <c r="I19" s="926"/>
      <c r="J19" s="448"/>
      <c r="K19" s="823"/>
      <c r="L19" s="659"/>
      <c r="M19" s="448"/>
      <c r="N19" s="925"/>
      <c r="O19" s="926"/>
      <c r="P19" s="448"/>
      <c r="Q19" s="925">
        <v>27600.5</v>
      </c>
      <c r="R19" s="926">
        <f>31951.3-1.6</f>
        <v>31949.7</v>
      </c>
      <c r="S19" s="448">
        <f>IF(Q19=0, "    ---- ", IF(ABS(ROUND(100/Q19*R19-100,1))&lt;999,ROUND(100/Q19*R19-100,1),IF(ROUND(100/Q19*R19-100,1)&gt;999,999,-999)))</f>
        <v>15.8</v>
      </c>
      <c r="T19" s="926"/>
      <c r="U19" s="926"/>
      <c r="V19" s="448"/>
      <c r="W19" s="925">
        <v>41488.039657445923</v>
      </c>
      <c r="X19" s="926">
        <v>57188</v>
      </c>
      <c r="Y19" s="448">
        <f>IF(W19=0, "    ---- ", IF(ABS(ROUND(100/W19*X19-100,1))&lt;999,ROUND(100/W19*X19-100,1),IF(ROUND(100/W19*X19-100,1)&gt;999,999,-999)))</f>
        <v>37.799999999999997</v>
      </c>
      <c r="Z19" s="925"/>
      <c r="AA19" s="926"/>
      <c r="AB19" s="448"/>
      <c r="AC19" s="925"/>
      <c r="AD19" s="926"/>
      <c r="AE19" s="448"/>
      <c r="AF19" s="925">
        <f>+AF14</f>
        <v>102127</v>
      </c>
      <c r="AG19" s="926">
        <f>1843+17761+64541+38135</f>
        <v>122280</v>
      </c>
      <c r="AH19" s="448">
        <f t="shared" si="0"/>
        <v>19.7</v>
      </c>
      <c r="AI19" s="743">
        <f t="shared" si="1"/>
        <v>171215.53965744592</v>
      </c>
      <c r="AJ19" s="743">
        <f t="shared" si="2"/>
        <v>211417.7</v>
      </c>
      <c r="AK19" s="448">
        <f t="shared" si="4"/>
        <v>23.5</v>
      </c>
      <c r="AL19" s="759"/>
      <c r="AM19" s="759"/>
      <c r="AN19" s="759"/>
      <c r="AO19" s="760"/>
      <c r="AP19" s="760"/>
    </row>
    <row r="20" spans="1:42" s="761" customFormat="1" ht="18.75" customHeight="1" x14ac:dyDescent="0.3">
      <c r="A20" s="534" t="s">
        <v>417</v>
      </c>
      <c r="B20" s="925"/>
      <c r="C20" s="926"/>
      <c r="D20" s="448"/>
      <c r="E20" s="925"/>
      <c r="F20" s="926"/>
      <c r="G20" s="448"/>
      <c r="H20" s="925"/>
      <c r="I20" s="926"/>
      <c r="J20" s="448"/>
      <c r="K20" s="823"/>
      <c r="L20" s="659"/>
      <c r="M20" s="448"/>
      <c r="N20" s="925"/>
      <c r="O20" s="926"/>
      <c r="P20" s="448"/>
      <c r="Q20" s="925"/>
      <c r="R20" s="926"/>
      <c r="S20" s="448"/>
      <c r="T20" s="926"/>
      <c r="U20" s="926">
        <v>1477.7597008399998</v>
      </c>
      <c r="V20" s="448" t="str">
        <f>IF(T20=0, "    ---- ", IF(ABS(ROUND(100/T20*U20-100,1))&lt;999,ROUND(100/T20*U20-100,1),IF(ROUND(100/T20*U20-100,1)&gt;999,999,-999)))</f>
        <v xml:space="preserve">    ---- </v>
      </c>
      <c r="W20" s="925"/>
      <c r="X20" s="926"/>
      <c r="Y20" s="448"/>
      <c r="Z20" s="925"/>
      <c r="AA20" s="926"/>
      <c r="AB20" s="448"/>
      <c r="AC20" s="925"/>
      <c r="AD20" s="926"/>
      <c r="AE20" s="448"/>
      <c r="AF20" s="925"/>
      <c r="AG20" s="926"/>
      <c r="AH20" s="448"/>
      <c r="AI20" s="743">
        <f t="shared" si="1"/>
        <v>0</v>
      </c>
      <c r="AJ20" s="743">
        <f t="shared" si="2"/>
        <v>1477.7597008399998</v>
      </c>
      <c r="AK20" s="448" t="str">
        <f t="shared" si="4"/>
        <v xml:space="preserve">    ---- </v>
      </c>
      <c r="AL20" s="759"/>
      <c r="AM20" s="759"/>
      <c r="AN20" s="759"/>
      <c r="AO20" s="760"/>
      <c r="AP20" s="760"/>
    </row>
    <row r="21" spans="1:42" s="755" customFormat="1" ht="18.75" customHeight="1" x14ac:dyDescent="0.3">
      <c r="A21" s="721" t="s">
        <v>432</v>
      </c>
      <c r="B21" s="927"/>
      <c r="C21" s="928"/>
      <c r="D21" s="750"/>
      <c r="E21" s="927"/>
      <c r="F21" s="928"/>
      <c r="G21" s="750"/>
      <c r="H21" s="927"/>
      <c r="I21" s="928"/>
      <c r="J21" s="750"/>
      <c r="K21" s="824"/>
      <c r="L21" s="657"/>
      <c r="M21" s="750"/>
      <c r="N21" s="927"/>
      <c r="O21" s="928"/>
      <c r="P21" s="750"/>
      <c r="Q21" s="927"/>
      <c r="R21" s="928"/>
      <c r="S21" s="750"/>
      <c r="T21" s="928"/>
      <c r="U21" s="928"/>
      <c r="V21" s="750"/>
      <c r="W21" s="927"/>
      <c r="X21" s="928"/>
      <c r="Y21" s="750"/>
      <c r="Z21" s="927"/>
      <c r="AA21" s="928"/>
      <c r="AB21" s="750"/>
      <c r="AC21" s="927"/>
      <c r="AD21" s="928"/>
      <c r="AE21" s="750"/>
      <c r="AF21" s="927"/>
      <c r="AG21" s="928"/>
      <c r="AH21" s="750"/>
      <c r="AI21" s="749">
        <f t="shared" si="1"/>
        <v>0</v>
      </c>
      <c r="AJ21" s="749">
        <f t="shared" si="2"/>
        <v>0</v>
      </c>
      <c r="AK21" s="750" t="str">
        <f t="shared" si="4"/>
        <v xml:space="preserve">    ---- </v>
      </c>
      <c r="AL21" s="757"/>
      <c r="AM21" s="757"/>
      <c r="AN21" s="757"/>
      <c r="AO21" s="724"/>
      <c r="AP21" s="754"/>
    </row>
    <row r="22" spans="1:42" s="761" customFormat="1" ht="18.75" customHeight="1" x14ac:dyDescent="0.3">
      <c r="A22" s="534" t="s">
        <v>410</v>
      </c>
      <c r="B22" s="925"/>
      <c r="C22" s="926"/>
      <c r="D22" s="448"/>
      <c r="E22" s="925"/>
      <c r="F22" s="926"/>
      <c r="G22" s="448"/>
      <c r="H22" s="925"/>
      <c r="I22" s="926"/>
      <c r="J22" s="448"/>
      <c r="K22" s="823"/>
      <c r="L22" s="659"/>
      <c r="M22" s="448"/>
      <c r="N22" s="925"/>
      <c r="O22" s="926"/>
      <c r="P22" s="448"/>
      <c r="Q22" s="925"/>
      <c r="R22" s="926"/>
      <c r="S22" s="448"/>
      <c r="T22" s="926"/>
      <c r="U22" s="926"/>
      <c r="V22" s="448"/>
      <c r="W22" s="925"/>
      <c r="X22" s="926"/>
      <c r="Y22" s="448"/>
      <c r="Z22" s="925"/>
      <c r="AA22" s="926"/>
      <c r="AB22" s="448"/>
      <c r="AC22" s="925"/>
      <c r="AD22" s="926"/>
      <c r="AE22" s="448"/>
      <c r="AF22" s="925"/>
      <c r="AG22" s="926"/>
      <c r="AH22" s="448"/>
      <c r="AI22" s="743">
        <f t="shared" si="1"/>
        <v>0</v>
      </c>
      <c r="AJ22" s="743">
        <f t="shared" si="2"/>
        <v>0</v>
      </c>
      <c r="AK22" s="448" t="str">
        <f t="shared" si="4"/>
        <v xml:space="preserve">    ---- </v>
      </c>
      <c r="AL22" s="759"/>
      <c r="AM22" s="759"/>
      <c r="AN22" s="759"/>
      <c r="AO22" s="760"/>
      <c r="AP22" s="760"/>
    </row>
    <row r="23" spans="1:42" s="761" customFormat="1" ht="18.75" customHeight="1" x14ac:dyDescent="0.3">
      <c r="A23" s="534" t="s">
        <v>413</v>
      </c>
      <c r="B23" s="925"/>
      <c r="C23" s="926"/>
      <c r="D23" s="448"/>
      <c r="E23" s="925"/>
      <c r="F23" s="926"/>
      <c r="G23" s="448"/>
      <c r="H23" s="925"/>
      <c r="I23" s="926"/>
      <c r="J23" s="448"/>
      <c r="K23" s="823"/>
      <c r="L23" s="659"/>
      <c r="M23" s="448"/>
      <c r="N23" s="925"/>
      <c r="O23" s="926"/>
      <c r="P23" s="448"/>
      <c r="Q23" s="925"/>
      <c r="R23" s="926"/>
      <c r="S23" s="448"/>
      <c r="T23" s="926"/>
      <c r="U23" s="926"/>
      <c r="V23" s="448"/>
      <c r="W23" s="925"/>
      <c r="X23" s="926"/>
      <c r="Y23" s="448"/>
      <c r="Z23" s="925"/>
      <c r="AA23" s="926"/>
      <c r="AB23" s="448"/>
      <c r="AC23" s="925"/>
      <c r="AD23" s="926"/>
      <c r="AE23" s="448"/>
      <c r="AF23" s="925"/>
      <c r="AG23" s="926"/>
      <c r="AH23" s="448"/>
      <c r="AI23" s="743">
        <f t="shared" si="1"/>
        <v>0</v>
      </c>
      <c r="AJ23" s="743">
        <f t="shared" si="2"/>
        <v>0</v>
      </c>
      <c r="AK23" s="448" t="str">
        <f t="shared" si="4"/>
        <v xml:space="preserve">    ---- </v>
      </c>
      <c r="AL23" s="759"/>
      <c r="AM23" s="759"/>
      <c r="AN23" s="759"/>
      <c r="AO23" s="760"/>
      <c r="AP23" s="760"/>
    </row>
    <row r="24" spans="1:42" s="761" customFormat="1" ht="18.75" customHeight="1" x14ac:dyDescent="0.3">
      <c r="A24" s="534" t="s">
        <v>415</v>
      </c>
      <c r="B24" s="925"/>
      <c r="C24" s="926"/>
      <c r="D24" s="448"/>
      <c r="E24" s="925"/>
      <c r="F24" s="926"/>
      <c r="G24" s="448"/>
      <c r="H24" s="925"/>
      <c r="I24" s="926"/>
      <c r="J24" s="448"/>
      <c r="K24" s="823"/>
      <c r="L24" s="659"/>
      <c r="M24" s="448"/>
      <c r="N24" s="925"/>
      <c r="O24" s="926"/>
      <c r="P24" s="448"/>
      <c r="Q24" s="925"/>
      <c r="R24" s="926"/>
      <c r="S24" s="448"/>
      <c r="T24" s="926"/>
      <c r="U24" s="926"/>
      <c r="V24" s="448"/>
      <c r="W24" s="925"/>
      <c r="X24" s="926"/>
      <c r="Y24" s="448"/>
      <c r="Z24" s="925"/>
      <c r="AA24" s="926"/>
      <c r="AB24" s="448"/>
      <c r="AC24" s="925"/>
      <c r="AD24" s="926"/>
      <c r="AE24" s="448"/>
      <c r="AF24" s="925"/>
      <c r="AG24" s="926"/>
      <c r="AH24" s="448"/>
      <c r="AI24" s="743">
        <f t="shared" si="1"/>
        <v>0</v>
      </c>
      <c r="AJ24" s="743">
        <f t="shared" si="2"/>
        <v>0</v>
      </c>
      <c r="AK24" s="448" t="str">
        <f t="shared" si="4"/>
        <v xml:space="preserve">    ---- </v>
      </c>
      <c r="AL24" s="759"/>
      <c r="AM24" s="759"/>
      <c r="AN24" s="759"/>
      <c r="AO24" s="760"/>
      <c r="AP24" s="760"/>
    </row>
    <row r="25" spans="1:42" s="761" customFormat="1" ht="18.75" customHeight="1" x14ac:dyDescent="0.3">
      <c r="A25" s="534" t="s">
        <v>417</v>
      </c>
      <c r="B25" s="925"/>
      <c r="C25" s="926"/>
      <c r="D25" s="448"/>
      <c r="E25" s="925"/>
      <c r="F25" s="926"/>
      <c r="G25" s="448"/>
      <c r="H25" s="925"/>
      <c r="I25" s="926"/>
      <c r="J25" s="448"/>
      <c r="K25" s="823"/>
      <c r="L25" s="659"/>
      <c r="M25" s="448"/>
      <c r="N25" s="925"/>
      <c r="O25" s="926"/>
      <c r="P25" s="448"/>
      <c r="Q25" s="925"/>
      <c r="R25" s="926"/>
      <c r="S25" s="448"/>
      <c r="T25" s="926"/>
      <c r="U25" s="926"/>
      <c r="V25" s="448"/>
      <c r="W25" s="925"/>
      <c r="X25" s="926"/>
      <c r="Y25" s="448"/>
      <c r="Z25" s="925"/>
      <c r="AA25" s="926"/>
      <c r="AB25" s="448"/>
      <c r="AC25" s="925"/>
      <c r="AD25" s="926"/>
      <c r="AE25" s="448"/>
      <c r="AF25" s="925"/>
      <c r="AG25" s="926"/>
      <c r="AH25" s="448"/>
      <c r="AI25" s="743">
        <f t="shared" si="1"/>
        <v>0</v>
      </c>
      <c r="AJ25" s="743">
        <f t="shared" si="2"/>
        <v>0</v>
      </c>
      <c r="AK25" s="448" t="str">
        <f t="shared" si="4"/>
        <v xml:space="preserve">    ---- </v>
      </c>
      <c r="AL25" s="759"/>
      <c r="AM25" s="759"/>
      <c r="AN25" s="759"/>
      <c r="AO25" s="760"/>
      <c r="AP25" s="760"/>
    </row>
    <row r="26" spans="1:42" s="755" customFormat="1" ht="18.75" customHeight="1" x14ac:dyDescent="0.3">
      <c r="A26" s="762" t="s">
        <v>433</v>
      </c>
      <c r="B26" s="927"/>
      <c r="C26" s="928"/>
      <c r="D26" s="750"/>
      <c r="E26" s="927"/>
      <c r="F26" s="928"/>
      <c r="G26" s="750"/>
      <c r="H26" s="927"/>
      <c r="I26" s="928"/>
      <c r="J26" s="750"/>
      <c r="K26" s="657"/>
      <c r="L26" s="657"/>
      <c r="M26" s="750"/>
      <c r="N26" s="927"/>
      <c r="O26" s="928"/>
      <c r="P26" s="750"/>
      <c r="Q26" s="927"/>
      <c r="R26" s="928"/>
      <c r="S26" s="750"/>
      <c r="T26" s="928"/>
      <c r="U26" s="928">
        <f>SUM(U27:U30)</f>
        <v>135.04439400000001</v>
      </c>
      <c r="V26" s="750" t="str">
        <f>IF(T26=0, "    ---- ", IF(ABS(ROUND(100/T26*U26-100,1))&lt;999,ROUND(100/T26*U26-100,1),IF(ROUND(100/T26*U26-100,1)&gt;999,999,-999)))</f>
        <v xml:space="preserve">    ---- </v>
      </c>
      <c r="W26" s="927"/>
      <c r="X26" s="928"/>
      <c r="Y26" s="750"/>
      <c r="Z26" s="927"/>
      <c r="AA26" s="928"/>
      <c r="AB26" s="750"/>
      <c r="AC26" s="927"/>
      <c r="AD26" s="928"/>
      <c r="AE26" s="750"/>
      <c r="AF26" s="927"/>
      <c r="AG26" s="928"/>
      <c r="AH26" s="750"/>
      <c r="AI26" s="749">
        <f t="shared" si="1"/>
        <v>0</v>
      </c>
      <c r="AJ26" s="749">
        <f t="shared" si="2"/>
        <v>135.04439400000001</v>
      </c>
      <c r="AK26" s="750" t="str">
        <f t="shared" si="4"/>
        <v xml:space="preserve">    ---- </v>
      </c>
      <c r="AL26" s="757"/>
      <c r="AM26" s="757"/>
      <c r="AN26" s="757"/>
      <c r="AO26" s="724"/>
      <c r="AP26" s="754"/>
    </row>
    <row r="27" spans="1:42" s="761" customFormat="1" ht="18.75" customHeight="1" x14ac:dyDescent="0.3">
      <c r="A27" s="534" t="s">
        <v>410</v>
      </c>
      <c r="B27" s="925"/>
      <c r="C27" s="926"/>
      <c r="D27" s="448"/>
      <c r="E27" s="925"/>
      <c r="F27" s="926"/>
      <c r="G27" s="448"/>
      <c r="H27" s="925"/>
      <c r="I27" s="926"/>
      <c r="J27" s="448"/>
      <c r="K27" s="823"/>
      <c r="L27" s="659"/>
      <c r="M27" s="448"/>
      <c r="N27" s="925"/>
      <c r="O27" s="926"/>
      <c r="P27" s="448"/>
      <c r="Q27" s="925"/>
      <c r="R27" s="926"/>
      <c r="S27" s="448"/>
      <c r="T27" s="926"/>
      <c r="U27" s="926"/>
      <c r="V27" s="448"/>
      <c r="W27" s="925"/>
      <c r="X27" s="926"/>
      <c r="Y27" s="448"/>
      <c r="Z27" s="925"/>
      <c r="AA27" s="926"/>
      <c r="AB27" s="448"/>
      <c r="AC27" s="925"/>
      <c r="AD27" s="926"/>
      <c r="AE27" s="448"/>
      <c r="AF27" s="925"/>
      <c r="AG27" s="926"/>
      <c r="AH27" s="448"/>
      <c r="AI27" s="743">
        <f t="shared" si="1"/>
        <v>0</v>
      </c>
      <c r="AJ27" s="743">
        <f t="shared" si="2"/>
        <v>0</v>
      </c>
      <c r="AK27" s="448" t="str">
        <f t="shared" si="4"/>
        <v xml:space="preserve">    ---- </v>
      </c>
      <c r="AL27" s="759"/>
      <c r="AM27" s="759"/>
      <c r="AN27" s="759"/>
      <c r="AO27" s="760"/>
      <c r="AP27" s="760"/>
    </row>
    <row r="28" spans="1:42" s="761" customFormat="1" ht="18.75" customHeight="1" x14ac:dyDescent="0.3">
      <c r="A28" s="534" t="s">
        <v>413</v>
      </c>
      <c r="B28" s="925"/>
      <c r="C28" s="926"/>
      <c r="D28" s="448"/>
      <c r="E28" s="925"/>
      <c r="F28" s="926"/>
      <c r="G28" s="448"/>
      <c r="H28" s="925"/>
      <c r="I28" s="926"/>
      <c r="J28" s="448"/>
      <c r="K28" s="823"/>
      <c r="L28" s="659"/>
      <c r="M28" s="448"/>
      <c r="N28" s="925"/>
      <c r="O28" s="926"/>
      <c r="P28" s="448"/>
      <c r="Q28" s="925"/>
      <c r="R28" s="926"/>
      <c r="S28" s="448"/>
      <c r="T28" s="926"/>
      <c r="U28" s="926"/>
      <c r="V28" s="448"/>
      <c r="W28" s="925"/>
      <c r="X28" s="926"/>
      <c r="Y28" s="448"/>
      <c r="Z28" s="925"/>
      <c r="AA28" s="926"/>
      <c r="AB28" s="448"/>
      <c r="AC28" s="925"/>
      <c r="AD28" s="926"/>
      <c r="AE28" s="448"/>
      <c r="AF28" s="925"/>
      <c r="AG28" s="926"/>
      <c r="AH28" s="448"/>
      <c r="AI28" s="743">
        <f t="shared" si="1"/>
        <v>0</v>
      </c>
      <c r="AJ28" s="743">
        <f t="shared" si="2"/>
        <v>0</v>
      </c>
      <c r="AK28" s="448" t="str">
        <f t="shared" si="4"/>
        <v xml:space="preserve">    ---- </v>
      </c>
      <c r="AL28" s="759"/>
      <c r="AM28" s="759"/>
      <c r="AN28" s="759"/>
      <c r="AO28" s="760"/>
      <c r="AP28" s="760"/>
    </row>
    <row r="29" spans="1:42" s="761" customFormat="1" ht="18.75" customHeight="1" x14ac:dyDescent="0.3">
      <c r="A29" s="534" t="s">
        <v>415</v>
      </c>
      <c r="B29" s="925"/>
      <c r="C29" s="926"/>
      <c r="D29" s="448"/>
      <c r="E29" s="925"/>
      <c r="F29" s="926"/>
      <c r="G29" s="448"/>
      <c r="H29" s="925"/>
      <c r="I29" s="926"/>
      <c r="J29" s="448"/>
      <c r="K29" s="823"/>
      <c r="L29" s="659"/>
      <c r="M29" s="448"/>
      <c r="N29" s="925"/>
      <c r="O29" s="926"/>
      <c r="P29" s="448"/>
      <c r="Q29" s="925"/>
      <c r="R29" s="926"/>
      <c r="S29" s="448"/>
      <c r="T29" s="926"/>
      <c r="U29" s="926"/>
      <c r="V29" s="448"/>
      <c r="W29" s="925"/>
      <c r="X29" s="926"/>
      <c r="Y29" s="448"/>
      <c r="Z29" s="925"/>
      <c r="AA29" s="926"/>
      <c r="AB29" s="448"/>
      <c r="AC29" s="925"/>
      <c r="AD29" s="926"/>
      <c r="AE29" s="448"/>
      <c r="AF29" s="925"/>
      <c r="AG29" s="926"/>
      <c r="AH29" s="448"/>
      <c r="AI29" s="743">
        <f t="shared" si="1"/>
        <v>0</v>
      </c>
      <c r="AJ29" s="743">
        <f t="shared" si="2"/>
        <v>0</v>
      </c>
      <c r="AK29" s="448" t="str">
        <f t="shared" si="4"/>
        <v xml:space="preserve">    ---- </v>
      </c>
      <c r="AL29" s="759"/>
      <c r="AM29" s="759"/>
      <c r="AN29" s="759"/>
      <c r="AO29" s="760"/>
      <c r="AP29" s="760"/>
    </row>
    <row r="30" spans="1:42" s="761" customFormat="1" ht="18.75" customHeight="1" x14ac:dyDescent="0.3">
      <c r="A30" s="534" t="s">
        <v>417</v>
      </c>
      <c r="B30" s="925"/>
      <c r="C30" s="926"/>
      <c r="D30" s="448"/>
      <c r="E30" s="925"/>
      <c r="F30" s="926"/>
      <c r="G30" s="448"/>
      <c r="H30" s="925"/>
      <c r="I30" s="926"/>
      <c r="J30" s="448"/>
      <c r="K30" s="823"/>
      <c r="L30" s="659"/>
      <c r="M30" s="448"/>
      <c r="N30" s="925"/>
      <c r="O30" s="926"/>
      <c r="P30" s="448"/>
      <c r="Q30" s="925"/>
      <c r="R30" s="926"/>
      <c r="S30" s="448"/>
      <c r="T30" s="926"/>
      <c r="U30" s="926">
        <v>135.04439400000001</v>
      </c>
      <c r="V30" s="448" t="str">
        <f>IF(T30=0, "    ---- ", IF(ABS(ROUND(100/T30*U30-100,1))&lt;999,ROUND(100/T30*U30-100,1),IF(ROUND(100/T30*U30-100,1)&gt;999,999,-999)))</f>
        <v xml:space="preserve">    ---- </v>
      </c>
      <c r="W30" s="925"/>
      <c r="X30" s="926"/>
      <c r="Y30" s="448"/>
      <c r="Z30" s="925"/>
      <c r="AA30" s="926"/>
      <c r="AB30" s="448"/>
      <c r="AC30" s="925"/>
      <c r="AD30" s="926"/>
      <c r="AE30" s="448"/>
      <c r="AF30" s="925"/>
      <c r="AG30" s="926"/>
      <c r="AH30" s="448"/>
      <c r="AI30" s="743">
        <f t="shared" si="1"/>
        <v>0</v>
      </c>
      <c r="AJ30" s="743">
        <f t="shared" si="2"/>
        <v>135.04439400000001</v>
      </c>
      <c r="AK30" s="448" t="str">
        <f t="shared" si="4"/>
        <v xml:space="preserve">    ---- </v>
      </c>
      <c r="AL30" s="759"/>
      <c r="AM30" s="759"/>
      <c r="AN30" s="759"/>
      <c r="AO30" s="760"/>
      <c r="AP30" s="760"/>
    </row>
    <row r="31" spans="1:42" s="755" customFormat="1" ht="18.75" customHeight="1" x14ac:dyDescent="0.3">
      <c r="A31" s="762" t="s">
        <v>434</v>
      </c>
      <c r="B31" s="927">
        <f>SUM(B32:B34)</f>
        <v>59.975999999999999</v>
      </c>
      <c r="C31" s="928">
        <f>SUM(C32:C34)</f>
        <v>64.063000000000002</v>
      </c>
      <c r="D31" s="750">
        <f>IF(B31=0, "    ---- ", IF(ABS(ROUND(100/B31*C31-100,1))&lt;999,ROUND(100/B31*C31-100,1),IF(ROUND(100/B31*C31-100,1)&gt;999,999,-999)))</f>
        <v>6.8</v>
      </c>
      <c r="E31" s="927">
        <f>SUM(E32:E34)</f>
        <v>14.3</v>
      </c>
      <c r="F31" s="928">
        <f>SUM(F32:F34)</f>
        <v>17.399999999999999</v>
      </c>
      <c r="G31" s="750">
        <f>IF(E31=0, "    ---- ", IF(ABS(ROUND(100/E31*F31-100,1))&lt;999,ROUND(100/E31*F31-100,1),IF(ROUND(100/E31*F31-100,1)&gt;999,999,-999)))</f>
        <v>21.7</v>
      </c>
      <c r="H31" s="927">
        <f>SUM(H32:H34)</f>
        <v>580</v>
      </c>
      <c r="I31" s="928">
        <f>SUM(I32:I34)</f>
        <v>587.21908509000002</v>
      </c>
      <c r="J31" s="750">
        <f>IF(H31=0, "    ---- ", IF(ABS(ROUND(100/H31*I31-100,1))&lt;999,ROUND(100/H31*I31-100,1),IF(ROUND(100/H31*I31-100,1)&gt;999,999,-999)))</f>
        <v>1.2</v>
      </c>
      <c r="K31" s="824"/>
      <c r="L31" s="657"/>
      <c r="M31" s="750"/>
      <c r="N31" s="927"/>
      <c r="O31" s="928"/>
      <c r="P31" s="750"/>
      <c r="Q31" s="927">
        <f>SUM(Q32:Q34)</f>
        <v>287.39999999999998</v>
      </c>
      <c r="R31" s="928">
        <f>SUM(R32:R34)</f>
        <v>251.5</v>
      </c>
      <c r="S31" s="750">
        <f>IF(Q31=0, "    ---- ", IF(ABS(ROUND(100/Q31*R31-100,1))&lt;999,ROUND(100/Q31*R31-100,1),IF(ROUND(100/Q31*R31-100,1)&gt;999,999,-999)))</f>
        <v>-12.5</v>
      </c>
      <c r="T31" s="928"/>
      <c r="U31" s="928">
        <f>SUM(U32:U34)</f>
        <v>400.94814700000001</v>
      </c>
      <c r="V31" s="750" t="str">
        <f>IF(T31=0, "    ---- ", IF(ABS(ROUND(100/T31*U31-100,1))&lt;999,ROUND(100/T31*U31-100,1),IF(ROUND(100/T31*U31-100,1)&gt;999,999,-999)))</f>
        <v xml:space="preserve">    ---- </v>
      </c>
      <c r="W31" s="927"/>
      <c r="X31" s="928"/>
      <c r="Y31" s="750"/>
      <c r="Z31" s="927"/>
      <c r="AA31" s="928"/>
      <c r="AB31" s="750"/>
      <c r="AC31" s="927">
        <f>SUM(AC32:AC34)</f>
        <v>521</v>
      </c>
      <c r="AD31" s="928">
        <f>SUM(AD32:AD34)</f>
        <v>617</v>
      </c>
      <c r="AE31" s="750">
        <f>IF(AC31=0, "    ---- ", IF(ABS(ROUND(100/AC31*AD31-100,1))&lt;999,ROUND(100/AC31*AD31-100,1),IF(ROUND(100/AC31*AD31-100,1)&gt;999,999,-999)))</f>
        <v>18.399999999999999</v>
      </c>
      <c r="AF31" s="927"/>
      <c r="AG31" s="928"/>
      <c r="AH31" s="750"/>
      <c r="AI31" s="749">
        <f t="shared" si="1"/>
        <v>1462.6759999999999</v>
      </c>
      <c r="AJ31" s="749">
        <f t="shared" si="2"/>
        <v>1938.1302320900002</v>
      </c>
      <c r="AK31" s="750">
        <f t="shared" si="4"/>
        <v>32.5</v>
      </c>
      <c r="AL31" s="757"/>
      <c r="AM31" s="757"/>
      <c r="AN31" s="757"/>
      <c r="AO31" s="724"/>
      <c r="AP31" s="754"/>
    </row>
    <row r="32" spans="1:42" s="761" customFormat="1" ht="18.75" customHeight="1" x14ac:dyDescent="0.3">
      <c r="A32" s="534" t="s">
        <v>413</v>
      </c>
      <c r="B32" s="925"/>
      <c r="C32" s="926"/>
      <c r="D32" s="448"/>
      <c r="E32" s="925"/>
      <c r="F32" s="926"/>
      <c r="G32" s="448"/>
      <c r="H32" s="925"/>
      <c r="I32" s="926"/>
      <c r="J32" s="448"/>
      <c r="K32" s="823"/>
      <c r="L32" s="659"/>
      <c r="M32" s="448"/>
      <c r="N32" s="925"/>
      <c r="O32" s="926"/>
      <c r="P32" s="448"/>
      <c r="Q32" s="925"/>
      <c r="R32" s="926"/>
      <c r="S32" s="448"/>
      <c r="T32" s="926"/>
      <c r="U32" s="926"/>
      <c r="V32" s="448"/>
      <c r="W32" s="925"/>
      <c r="X32" s="926"/>
      <c r="Y32" s="448"/>
      <c r="Z32" s="925"/>
      <c r="AA32" s="926"/>
      <c r="AB32" s="448"/>
      <c r="AC32" s="925"/>
      <c r="AD32" s="926"/>
      <c r="AE32" s="448"/>
      <c r="AF32" s="925"/>
      <c r="AG32" s="926"/>
      <c r="AH32" s="448"/>
      <c r="AI32" s="743">
        <f t="shared" si="1"/>
        <v>0</v>
      </c>
      <c r="AJ32" s="743">
        <f t="shared" si="2"/>
        <v>0</v>
      </c>
      <c r="AK32" s="448" t="str">
        <f t="shared" si="4"/>
        <v xml:space="preserve">    ---- </v>
      </c>
      <c r="AL32" s="759"/>
      <c r="AM32" s="759"/>
      <c r="AN32" s="759"/>
      <c r="AO32" s="760"/>
      <c r="AP32" s="760"/>
    </row>
    <row r="33" spans="1:42" s="761" customFormat="1" ht="18.75" customHeight="1" x14ac:dyDescent="0.3">
      <c r="A33" s="534" t="s">
        <v>415</v>
      </c>
      <c r="B33" s="925">
        <v>59.975999999999999</v>
      </c>
      <c r="C33" s="926">
        <v>64.063000000000002</v>
      </c>
      <c r="D33" s="448">
        <f>IF(B33=0, "    ---- ", IF(ABS(ROUND(100/B33*C33-100,1))&lt;999,ROUND(100/B33*C33-100,1),IF(ROUND(100/B33*C33-100,1)&gt;999,999,-999)))</f>
        <v>6.8</v>
      </c>
      <c r="E33" s="925">
        <v>14.3</v>
      </c>
      <c r="F33" s="926">
        <v>17.399999999999999</v>
      </c>
      <c r="G33" s="448">
        <f>IF(E33=0, "    ---- ", IF(ABS(ROUND(100/E33*F33-100,1))&lt;999,ROUND(100/E33*F33-100,1),IF(ROUND(100/E33*F33-100,1)&gt;999,999,-999)))</f>
        <v>21.7</v>
      </c>
      <c r="H33" s="925">
        <v>580</v>
      </c>
      <c r="I33" s="967">
        <v>587.21908509000002</v>
      </c>
      <c r="J33" s="448">
        <f>IF(H33=0, "    ---- ", IF(ABS(ROUND(100/H33*I33-100,1))&lt;999,ROUND(100/H33*I33-100,1),IF(ROUND(100/H33*I33-100,1)&gt;999,999,-999)))</f>
        <v>1.2</v>
      </c>
      <c r="K33" s="823"/>
      <c r="L33" s="659"/>
      <c r="M33" s="448"/>
      <c r="N33" s="925"/>
      <c r="O33" s="926"/>
      <c r="P33" s="448"/>
      <c r="Q33" s="925">
        <v>287.39999999999998</v>
      </c>
      <c r="R33" s="926">
        <v>251.5</v>
      </c>
      <c r="S33" s="448">
        <f>IF(Q33=0, "    ---- ", IF(ABS(ROUND(100/Q33*R33-100,1))&lt;999,ROUND(100/Q33*R33-100,1),IF(ROUND(100/Q33*R33-100,1)&gt;999,999,-999)))</f>
        <v>-12.5</v>
      </c>
      <c r="T33" s="926"/>
      <c r="U33" s="926"/>
      <c r="V33" s="448"/>
      <c r="W33" s="925"/>
      <c r="X33" s="926"/>
      <c r="Y33" s="448"/>
      <c r="Z33" s="925"/>
      <c r="AA33" s="926"/>
      <c r="AB33" s="448"/>
      <c r="AC33" s="925">
        <v>521</v>
      </c>
      <c r="AD33" s="926">
        <v>617</v>
      </c>
      <c r="AE33" s="448">
        <f>IF(AC33=0, "    ---- ", IF(ABS(ROUND(100/AC33*AD33-100,1))&lt;999,ROUND(100/AC33*AD33-100,1),IF(ROUND(100/AC33*AD33-100,1)&gt;999,999,-999)))</f>
        <v>18.399999999999999</v>
      </c>
      <c r="AF33" s="925"/>
      <c r="AG33" s="926"/>
      <c r="AH33" s="448"/>
      <c r="AI33" s="743">
        <f t="shared" si="1"/>
        <v>1462.6759999999999</v>
      </c>
      <c r="AJ33" s="743">
        <f t="shared" si="2"/>
        <v>1537.1820850899999</v>
      </c>
      <c r="AK33" s="448">
        <f t="shared" si="4"/>
        <v>5.0999999999999996</v>
      </c>
      <c r="AL33" s="759"/>
      <c r="AM33" s="759"/>
      <c r="AN33" s="759"/>
      <c r="AO33" s="760"/>
      <c r="AP33" s="760"/>
    </row>
    <row r="34" spans="1:42" s="761" customFormat="1" ht="18.75" customHeight="1" x14ac:dyDescent="0.3">
      <c r="A34" s="534" t="s">
        <v>417</v>
      </c>
      <c r="B34" s="925"/>
      <c r="C34" s="926"/>
      <c r="D34" s="448"/>
      <c r="E34" s="925"/>
      <c r="F34" s="926"/>
      <c r="G34" s="448"/>
      <c r="H34" s="925"/>
      <c r="I34" s="926"/>
      <c r="J34" s="448"/>
      <c r="K34" s="823"/>
      <c r="L34" s="659"/>
      <c r="M34" s="448"/>
      <c r="N34" s="823"/>
      <c r="O34" s="659"/>
      <c r="P34" s="448"/>
      <c r="Q34" s="925"/>
      <c r="R34" s="926"/>
      <c r="S34" s="448"/>
      <c r="T34" s="926"/>
      <c r="U34" s="926">
        <v>400.94814700000001</v>
      </c>
      <c r="V34" s="448" t="str">
        <f>IF(T34=0, "    ---- ", IF(ABS(ROUND(100/T34*U34-100,1))&lt;999,ROUND(100/T34*U34-100,1),IF(ROUND(100/T34*U34-100,1)&gt;999,999,-999)))</f>
        <v xml:space="preserve">    ---- </v>
      </c>
      <c r="W34" s="925"/>
      <c r="X34" s="926"/>
      <c r="Y34" s="448"/>
      <c r="Z34" s="925"/>
      <c r="AA34" s="926"/>
      <c r="AB34" s="448"/>
      <c r="AC34" s="925"/>
      <c r="AD34" s="926"/>
      <c r="AE34" s="448"/>
      <c r="AF34" s="925"/>
      <c r="AG34" s="926"/>
      <c r="AH34" s="448"/>
      <c r="AI34" s="743">
        <f t="shared" si="1"/>
        <v>0</v>
      </c>
      <c r="AJ34" s="743">
        <f t="shared" si="2"/>
        <v>400.94814700000001</v>
      </c>
      <c r="AK34" s="448" t="str">
        <f t="shared" si="4"/>
        <v xml:space="preserve">    ---- </v>
      </c>
      <c r="AL34" s="763"/>
      <c r="AM34" s="759"/>
      <c r="AN34" s="759"/>
      <c r="AO34" s="760"/>
      <c r="AP34" s="760"/>
    </row>
    <row r="35" spans="1:42" s="755" customFormat="1" ht="18.75" customHeight="1" x14ac:dyDescent="0.3">
      <c r="A35" s="762" t="s">
        <v>435</v>
      </c>
      <c r="B35" s="927">
        <f>SUM(B11+B21+B26+B31)</f>
        <v>20732.864999999998</v>
      </c>
      <c r="C35" s="928">
        <f>SUM(C11+C21+C26+C31)</f>
        <v>24084.123999999996</v>
      </c>
      <c r="D35" s="750">
        <f>IF(B35=0, "    ---- ", IF(ABS(ROUND(100/B35*C35-100,1))&lt;999,ROUND(100/B35*C35-100,1),IF(ROUND(100/B35*C35-100,1)&gt;999,999,-999)))</f>
        <v>16.2</v>
      </c>
      <c r="E35" s="927">
        <f>SUM(E11+E21+E26+E31)</f>
        <v>4906.2</v>
      </c>
      <c r="F35" s="928">
        <f>SUM(F11+F21+F26+F31)</f>
        <v>5959.2</v>
      </c>
      <c r="G35" s="750">
        <f>IF(E35=0, "    ---- ", IF(ABS(ROUND(100/E35*F35-100,1))&lt;999,ROUND(100/E35*F35-100,1),IF(ROUND(100/E35*F35-100,1)&gt;999,999,-999)))</f>
        <v>21.5</v>
      </c>
      <c r="H35" s="927">
        <f>SUM(H11+H21+H26+H31)</f>
        <v>98943.005000000005</v>
      </c>
      <c r="I35" s="928">
        <f>SUM(I11+I21+I26+I31)</f>
        <v>110860.23808508999</v>
      </c>
      <c r="J35" s="750">
        <f>IF(H35=0, "    ---- ", IF(ABS(ROUND(100/H35*I35-100,1))&lt;999,ROUND(100/H35*I35-100,1),IF(ROUND(100/H35*I35-100,1)&gt;999,999,-999)))</f>
        <v>12</v>
      </c>
      <c r="K35" s="824"/>
      <c r="L35" s="657"/>
      <c r="M35" s="750"/>
      <c r="N35" s="824">
        <f>SUM(N11+N21+N26+N31)</f>
        <v>4266.26</v>
      </c>
      <c r="O35" s="657">
        <f>SUM(O11+O21+O26+O31)</f>
        <v>0</v>
      </c>
      <c r="P35" s="750">
        <f>IF(N35=0, "    ---- ", IF(ABS(ROUND(100/N35*O35-100,1))&lt;999,ROUND(100/N35*O35-100,1),IF(ROUND(100/N35*O35-100,1)&gt;999,999,-999)))</f>
        <v>-100</v>
      </c>
      <c r="Q35" s="927">
        <f>SUM(Q11+Q21+Q26+Q31)</f>
        <v>30130.9</v>
      </c>
      <c r="R35" s="928">
        <f>SUM(R11+R21+R26+R31)</f>
        <v>34697.599999999999</v>
      </c>
      <c r="S35" s="750">
        <f>IF(Q35=0, "    ---- ", IF(ABS(ROUND(100/Q35*R35-100,1))&lt;999,ROUND(100/Q35*R35-100,1),IF(ROUND(100/Q35*R35-100,1)&gt;999,999,-999)))</f>
        <v>15.2</v>
      </c>
      <c r="T35" s="928"/>
      <c r="U35" s="928">
        <f>SUM(U11+U21+U26+U31)</f>
        <v>2013.7522418399999</v>
      </c>
      <c r="V35" s="750" t="str">
        <f>IF(T35=0, "    ---- ", IF(ABS(ROUND(100/T35*U35-100,1))&lt;999,ROUND(100/T35*U35-100,1),IF(ROUND(100/T35*U35-100,1)&gt;999,999,-999)))</f>
        <v xml:space="preserve">    ---- </v>
      </c>
      <c r="W35" s="927">
        <f>SUM(W11+W21+W26+W31)</f>
        <v>77977.126611399901</v>
      </c>
      <c r="X35" s="928">
        <f>SUM(X11+X21+X26+X31)</f>
        <v>98862</v>
      </c>
      <c r="Y35" s="750">
        <f>IF(W35=0, "    ---- ", IF(ABS(ROUND(100/W35*X35-100,1))&lt;999,ROUND(100/W35*X35-100,1),IF(ROUND(100/W35*X35-100,1)&gt;999,999,-999)))</f>
        <v>26.8</v>
      </c>
      <c r="Z35" s="927">
        <f>SUM(Z11+Z21+Z26+Z31)</f>
        <v>2541.1866050899998</v>
      </c>
      <c r="AA35" s="928">
        <f>SUM(AA11+AA21+AA26+AA31)</f>
        <v>2931.7169809200004</v>
      </c>
      <c r="AB35" s="750">
        <f>IF(Z35=0, "    ---- ", IF(ABS(ROUND(100/Z35*AA35-100,1))&lt;999,ROUND(100/Z35*AA35-100,1),IF(ROUND(100/Z35*AA35-100,1)&gt;999,999,-999)))</f>
        <v>15.4</v>
      </c>
      <c r="AC35" s="927">
        <f>SUM(AC11+AC21+AC26+AC31)</f>
        <v>35921</v>
      </c>
      <c r="AD35" s="928">
        <f>SUM(AD11+AD21+AD26+AD31)</f>
        <v>43585</v>
      </c>
      <c r="AE35" s="750">
        <f>IF(AC35=0, "    ---- ", IF(ABS(ROUND(100/AC35*AD35-100,1))&lt;999,ROUND(100/AC35*AD35-100,1),IF(ROUND(100/AC35*AD35-100,1)&gt;999,999,-999)))</f>
        <v>21.3</v>
      </c>
      <c r="AF35" s="927">
        <f>SUM(AF11+AF21+AF26+AF31)</f>
        <v>114538</v>
      </c>
      <c r="AG35" s="928">
        <f>SUM(AG11+AG21+AG26+AG31)</f>
        <v>137089</v>
      </c>
      <c r="AH35" s="750">
        <f t="shared" si="0"/>
        <v>19.7</v>
      </c>
      <c r="AI35" s="749">
        <f t="shared" si="1"/>
        <v>389956.54321648995</v>
      </c>
      <c r="AJ35" s="749">
        <f t="shared" si="2"/>
        <v>460082.63130785001</v>
      </c>
      <c r="AK35" s="750">
        <f t="shared" si="4"/>
        <v>18</v>
      </c>
      <c r="AL35" s="749">
        <f>AI35+'Tabell 7a'!AL47</f>
        <v>967799.71291138243</v>
      </c>
      <c r="AM35" s="750">
        <f>AJ35+'Tabell 7a'!AM47</f>
        <v>1638545.42371553</v>
      </c>
      <c r="AN35" s="750">
        <f t="shared" ref="AN35:AN42" si="5">IF(AL35=0, "    ---- ", IF(ABS(ROUND(100/AL35*AM35-100,1))&lt;999,ROUND(100/AL35*AM35-100,1),IF(ROUND(100/AL35*AM35-100,1)&gt;999,999,-999)))</f>
        <v>69.3</v>
      </c>
      <c r="AO35" s="724"/>
      <c r="AP35" s="754"/>
    </row>
    <row r="36" spans="1:42" s="761" customFormat="1" ht="18.75" customHeight="1" x14ac:dyDescent="0.3">
      <c r="A36" s="534" t="s">
        <v>410</v>
      </c>
      <c r="B36" s="925">
        <f>SUM(B12+B22+B27)</f>
        <v>2674.4859999999999</v>
      </c>
      <c r="C36" s="926">
        <f>SUM(C12+C22+C27)</f>
        <v>2843.9479999999999</v>
      </c>
      <c r="D36" s="448">
        <f>IF(B36=0, "    ---- ", IF(ABS(ROUND(100/B36*C36-100,1))&lt;999,ROUND(100/B36*C36-100,1),IF(ROUND(100/B36*C36-100,1)&gt;999,999,-999)))</f>
        <v>6.3</v>
      </c>
      <c r="E36" s="925"/>
      <c r="F36" s="926"/>
      <c r="G36" s="448"/>
      <c r="H36" s="925">
        <f>SUM(H12+H22+H27)</f>
        <v>6300.9430000000002</v>
      </c>
      <c r="I36" s="926">
        <f>SUM(I12+I22+I27)</f>
        <v>6816</v>
      </c>
      <c r="J36" s="448">
        <f>IF(H36=0, "    ---- ", IF(ABS(ROUND(100/H36*I36-100,1))&lt;999,ROUND(100/H36*I36-100,1),IF(ROUND(100/H36*I36-100,1)&gt;999,999,-999)))</f>
        <v>8.1999999999999993</v>
      </c>
      <c r="K36" s="823"/>
      <c r="L36" s="659"/>
      <c r="M36" s="448"/>
      <c r="N36" s="823">
        <f>SUM(N12+N22+N27)</f>
        <v>0</v>
      </c>
      <c r="O36" s="659">
        <f>SUM(O12+O22+O27)</f>
        <v>0</v>
      </c>
      <c r="P36" s="448" t="str">
        <f>IF(N36=0, "    ---- ", IF(ABS(ROUND(100/N36*O36-100,1))&lt;999,ROUND(100/N36*O36-100,1),IF(ROUND(100/N36*O36-100,1)&gt;999,999,-999)))</f>
        <v xml:space="preserve">    ---- </v>
      </c>
      <c r="Q36" s="925">
        <f>SUM(Q12+Q22+Q27)</f>
        <v>660</v>
      </c>
      <c r="R36" s="926">
        <f>SUM(R12+R22+R27)</f>
        <v>834.2</v>
      </c>
      <c r="S36" s="448">
        <f>IF(Q36=0, "    ---- ", IF(ABS(ROUND(100/Q36*R36-100,1))&lt;999,ROUND(100/Q36*R36-100,1),IF(ROUND(100/Q36*R36-100,1)&gt;999,999,-999)))</f>
        <v>26.4</v>
      </c>
      <c r="T36" s="926"/>
      <c r="U36" s="926"/>
      <c r="V36" s="448"/>
      <c r="W36" s="925">
        <f>SUM(W12+W22+W27)</f>
        <v>32172.172282732427</v>
      </c>
      <c r="X36" s="926">
        <f>SUM(X12+X22+X27)</f>
        <v>36733</v>
      </c>
      <c r="Y36" s="448">
        <f>IF(W36=0, "    ---- ", IF(ABS(ROUND(100/W36*X36-100,1))&lt;999,ROUND(100/W36*X36-100,1),IF(ROUND(100/W36*X36-100,1)&gt;999,999,-999)))</f>
        <v>14.2</v>
      </c>
      <c r="Z36" s="925">
        <f>SUM(Z12+Z22+Z27)</f>
        <v>950.67500713000004</v>
      </c>
      <c r="AA36" s="926">
        <f>SUM(AA12+AA22+AA27)</f>
        <v>1080.9643559900001</v>
      </c>
      <c r="AB36" s="448">
        <f>IF(Z36=0, "    ---- ", IF(ABS(ROUND(100/Z36*AA36-100,1))&lt;999,ROUND(100/Z36*AA36-100,1),IF(ROUND(100/Z36*AA36-100,1)&gt;999,999,-999)))</f>
        <v>13.7</v>
      </c>
      <c r="AC36" s="925">
        <f>SUM(AC12+AC22+AC27)</f>
        <v>2717</v>
      </c>
      <c r="AD36" s="926">
        <f>SUM(AD12+AD22+AD27)</f>
        <v>3306</v>
      </c>
      <c r="AE36" s="448">
        <f>IF(AC36=0, "    ---- ", IF(ABS(ROUND(100/AC36*AD36-100,1))&lt;999,ROUND(100/AC36*AD36-100,1),IF(ROUND(100/AC36*AD36-100,1)&gt;999,999,-999)))</f>
        <v>21.7</v>
      </c>
      <c r="AF36" s="925">
        <f>SUM(AF12+AF22+AF27)</f>
        <v>7501</v>
      </c>
      <c r="AG36" s="926">
        <f>SUM(AG12+AG22+AG27)</f>
        <v>9074</v>
      </c>
      <c r="AH36" s="448">
        <f t="shared" si="0"/>
        <v>21</v>
      </c>
      <c r="AI36" s="743">
        <f t="shared" si="1"/>
        <v>52976.276289862428</v>
      </c>
      <c r="AJ36" s="743">
        <f t="shared" si="2"/>
        <v>60688.112355990001</v>
      </c>
      <c r="AK36" s="448">
        <f t="shared" si="4"/>
        <v>14.6</v>
      </c>
      <c r="AL36" s="743">
        <f>AI36+'Tabell 7a'!AL48</f>
        <v>71946.280831140568</v>
      </c>
      <c r="AM36" s="448">
        <f>AJ36+'Tabell 7a'!AM48</f>
        <v>78239.289502613508</v>
      </c>
      <c r="AN36" s="448">
        <f t="shared" si="5"/>
        <v>8.6999999999999993</v>
      </c>
      <c r="AO36" s="760"/>
      <c r="AP36" s="760"/>
    </row>
    <row r="37" spans="1:42" s="761" customFormat="1" ht="18.75" customHeight="1" x14ac:dyDescent="0.3">
      <c r="A37" s="534" t="s">
        <v>413</v>
      </c>
      <c r="B37" s="925">
        <f>SUM(B13+B23+B28+B32)</f>
        <v>2171.6790000000001</v>
      </c>
      <c r="C37" s="926">
        <f>SUM(C13+C23+C28+C32)</f>
        <v>2198.6060000000002</v>
      </c>
      <c r="D37" s="448">
        <f>IF(B37=0, "    ---- ", IF(ABS(ROUND(100/B37*C37-100,1))&lt;999,ROUND(100/B37*C37-100,1),IF(ROUND(100/B37*C37-100,1)&gt;999,999,-999)))</f>
        <v>1.2</v>
      </c>
      <c r="E37" s="925"/>
      <c r="F37" s="926"/>
      <c r="G37" s="448"/>
      <c r="H37" s="925">
        <f>SUM(H13+H23+H28+H32)</f>
        <v>5604.2889999999998</v>
      </c>
      <c r="I37" s="926">
        <f>SUM(I13+I23+I28+I32)</f>
        <v>5800.7560000000003</v>
      </c>
      <c r="J37" s="448">
        <f>IF(H37=0, "    ---- ", IF(ABS(ROUND(100/H37*I37-100,1))&lt;999,ROUND(100/H37*I37-100,1),IF(ROUND(100/H37*I37-100,1)&gt;999,999,-999)))</f>
        <v>3.5</v>
      </c>
      <c r="K37" s="823"/>
      <c r="L37" s="659"/>
      <c r="M37" s="448"/>
      <c r="N37" s="823">
        <f>SUM(N13+N23+N28+N32)</f>
        <v>157.59399999999999</v>
      </c>
      <c r="O37" s="659">
        <f>SUM(O13+O23+O28+O32)</f>
        <v>0</v>
      </c>
      <c r="P37" s="448">
        <f>IF(N37=0, "    ---- ", IF(ABS(ROUND(100/N37*O37-100,1))&lt;999,ROUND(100/N37*O37-100,1),IF(ROUND(100/N37*O37-100,1)&gt;999,999,-999)))</f>
        <v>-100</v>
      </c>
      <c r="Q37" s="925">
        <f>SUM(Q13+Q23+Q28+Q32)</f>
        <v>1583</v>
      </c>
      <c r="R37" s="926">
        <f>SUM(R13+R23+R28+R32)</f>
        <v>1660.6</v>
      </c>
      <c r="S37" s="448">
        <f>IF(Q37=0, "    ---- ", IF(ABS(ROUND(100/Q37*R37-100,1))&lt;999,ROUND(100/Q37*R37-100,1),IF(ROUND(100/Q37*R37-100,1)&gt;999,999,-999)))</f>
        <v>4.9000000000000004</v>
      </c>
      <c r="T37" s="926"/>
      <c r="U37" s="926"/>
      <c r="V37" s="448"/>
      <c r="W37" s="925">
        <f>SUM(W13+W23+W28+W32)</f>
        <v>4316.9146712215479</v>
      </c>
      <c r="X37" s="926">
        <f>SUM(X13+X23+X28+X32)</f>
        <v>4941</v>
      </c>
      <c r="Y37" s="448">
        <f>IF(W37=0, "    ---- ", IF(ABS(ROUND(100/W37*X37-100,1))&lt;999,ROUND(100/W37*X37-100,1),IF(ROUND(100/W37*X37-100,1)&gt;999,999,-999)))</f>
        <v>14.5</v>
      </c>
      <c r="Z37" s="925">
        <f>SUM(Z13+Z23+Z28+Z32)</f>
        <v>942.67618587000004</v>
      </c>
      <c r="AA37" s="926">
        <f>SUM(AA13+AA23+AA28+AA32)</f>
        <v>1019.9726249300001</v>
      </c>
      <c r="AB37" s="448">
        <f>IF(Z37=0, "    ---- ", IF(ABS(ROUND(100/Z37*AA37-100,1))&lt;999,ROUND(100/Z37*AA37-100,1),IF(ROUND(100/Z37*AA37-100,1)&gt;999,999,-999)))</f>
        <v>8.1999999999999993</v>
      </c>
      <c r="AC37" s="925">
        <f>SUM(AC13+AC23+AC28+AC32)</f>
        <v>2664</v>
      </c>
      <c r="AD37" s="926">
        <f>SUM(AD13+AD23+AD28+AD32)</f>
        <v>3180</v>
      </c>
      <c r="AE37" s="448">
        <f>IF(AC37=0, "    ---- ", IF(ABS(ROUND(100/AC37*AD37-100,1))&lt;999,ROUND(100/AC37*AD37-100,1),IF(ROUND(100/AC37*AD37-100,1)&gt;999,999,-999)))</f>
        <v>19.399999999999999</v>
      </c>
      <c r="AF37" s="925">
        <f>SUM(AF13+AF23+AF28+AF32)</f>
        <v>4910</v>
      </c>
      <c r="AG37" s="926">
        <f>SUM(AG13+AG23+AG28+AG32)</f>
        <v>5735</v>
      </c>
      <c r="AH37" s="448">
        <f t="shared" si="0"/>
        <v>16.8</v>
      </c>
      <c r="AI37" s="743">
        <f t="shared" si="1"/>
        <v>22350.152857091547</v>
      </c>
      <c r="AJ37" s="743">
        <f t="shared" si="2"/>
        <v>24535.93462493</v>
      </c>
      <c r="AK37" s="448">
        <f t="shared" si="4"/>
        <v>9.8000000000000007</v>
      </c>
      <c r="AL37" s="743">
        <f>AI37+'Tabell 7a'!AL49</f>
        <v>69269.079491141601</v>
      </c>
      <c r="AM37" s="448">
        <f>AJ37+'Tabell 7a'!AM49</f>
        <v>70206.929721752051</v>
      </c>
      <c r="AN37" s="448">
        <f t="shared" si="5"/>
        <v>1.4</v>
      </c>
      <c r="AO37" s="760"/>
      <c r="AP37" s="760"/>
    </row>
    <row r="38" spans="1:42" s="761" customFormat="1" ht="18.75" customHeight="1" x14ac:dyDescent="0.3">
      <c r="A38" s="574" t="s">
        <v>414</v>
      </c>
      <c r="B38" s="925"/>
      <c r="C38" s="926"/>
      <c r="D38" s="448"/>
      <c r="E38" s="925"/>
      <c r="F38" s="926"/>
      <c r="G38" s="448"/>
      <c r="H38" s="925"/>
      <c r="I38" s="926"/>
      <c r="J38" s="448"/>
      <c r="K38" s="823"/>
      <c r="L38" s="659"/>
      <c r="M38" s="448"/>
      <c r="N38" s="823"/>
      <c r="O38" s="659"/>
      <c r="P38" s="448" t="str">
        <f>IF(N38=0, "    ---- ", IF(ABS(ROUND(100/N38*O38-100,1))&lt;999,ROUND(100/N38*O38-100,1),IF(ROUND(100/N38*O38-100,1)&gt;999,999,-999)))</f>
        <v xml:space="preserve">    ---- </v>
      </c>
      <c r="Q38" s="925"/>
      <c r="R38" s="926"/>
      <c r="S38" s="448"/>
      <c r="T38" s="926"/>
      <c r="U38" s="926"/>
      <c r="V38" s="448"/>
      <c r="W38" s="925"/>
      <c r="X38" s="926"/>
      <c r="Y38" s="448"/>
      <c r="Z38" s="925"/>
      <c r="AA38" s="926"/>
      <c r="AB38" s="448"/>
      <c r="AC38" s="925"/>
      <c r="AD38" s="926"/>
      <c r="AE38" s="448"/>
      <c r="AF38" s="925"/>
      <c r="AG38" s="926"/>
      <c r="AH38" s="448"/>
      <c r="AI38" s="743">
        <f t="shared" si="1"/>
        <v>0</v>
      </c>
      <c r="AJ38" s="743">
        <f t="shared" si="2"/>
        <v>0</v>
      </c>
      <c r="AK38" s="448" t="str">
        <f t="shared" si="4"/>
        <v xml:space="preserve">    ---- </v>
      </c>
      <c r="AL38" s="743">
        <f>AI38+'Tabell 7a'!AL50</f>
        <v>3845.5521984299999</v>
      </c>
      <c r="AM38" s="448">
        <f>AJ38+'Tabell 7a'!AM50</f>
        <v>4419.3304098444287</v>
      </c>
      <c r="AN38" s="448">
        <f t="shared" si="5"/>
        <v>14.9</v>
      </c>
      <c r="AO38" s="760"/>
      <c r="AP38" s="760"/>
    </row>
    <row r="39" spans="1:42" s="761" customFormat="1" ht="18.75" customHeight="1" x14ac:dyDescent="0.3">
      <c r="A39" s="534" t="s">
        <v>415</v>
      </c>
      <c r="B39" s="925">
        <f>SUM(B14+B24+B29+B33)</f>
        <v>15886.7</v>
      </c>
      <c r="C39" s="926">
        <f>SUM(C14+C24+C29+C33)</f>
        <v>19041.569999999996</v>
      </c>
      <c r="D39" s="448">
        <f>IF(B39=0, "    ---- ", IF(ABS(ROUND(100/B39*C39-100,1))&lt;999,ROUND(100/B39*C39-100,1),IF(ROUND(100/B39*C39-100,1)&gt;999,999,-999)))</f>
        <v>19.899999999999999</v>
      </c>
      <c r="E39" s="925">
        <f>SUM(E14+E24+E29+E33)</f>
        <v>4906.2</v>
      </c>
      <c r="F39" s="926">
        <f>SUM(F14+F24+F29+F33)</f>
        <v>5959.2</v>
      </c>
      <c r="G39" s="448">
        <f>IF(E39=0, "    ---- ", IF(ABS(ROUND(100/E39*F39-100,1))&lt;999,ROUND(100/E39*F39-100,1),IF(ROUND(100/E39*F39-100,1)&gt;999,999,-999)))</f>
        <v>21.5</v>
      </c>
      <c r="H39" s="925">
        <f>SUM(H14+H24+H29+H33)</f>
        <v>87037.773000000001</v>
      </c>
      <c r="I39" s="926">
        <f>SUM(I14+I24+I29+I33)</f>
        <v>98243.48208509</v>
      </c>
      <c r="J39" s="448">
        <f>IF(H39=0, "    ---- ", IF(ABS(ROUND(100/H39*I39-100,1))&lt;999,ROUND(100/H39*I39-100,1),IF(ROUND(100/H39*I39-100,1)&gt;999,999,-999)))</f>
        <v>12.9</v>
      </c>
      <c r="K39" s="823"/>
      <c r="L39" s="659"/>
      <c r="M39" s="448"/>
      <c r="N39" s="823">
        <f>SUM(N14+N24+N29+N33)</f>
        <v>4108.6660000000002</v>
      </c>
      <c r="O39" s="659">
        <f>SUM(O14+O24+O29+O33)</f>
        <v>0</v>
      </c>
      <c r="P39" s="448">
        <f>IF(N39=0, "    ---- ", IF(ABS(ROUND(100/N39*O39-100,1))&lt;999,ROUND(100/N39*O39-100,1),IF(ROUND(100/N39*O39-100,1)&gt;999,999,-999)))</f>
        <v>-100</v>
      </c>
      <c r="Q39" s="925">
        <f>SUM(Q14+Q24+Q29+Q33)</f>
        <v>27887.9</v>
      </c>
      <c r="R39" s="926">
        <f>SUM(R14+R24+R29+R33)</f>
        <v>32202.799999999999</v>
      </c>
      <c r="S39" s="448">
        <f>IF(Q39=0, "    ---- ", IF(ABS(ROUND(100/Q39*R39-100,1))&lt;999,ROUND(100/Q39*R39-100,1),IF(ROUND(100/Q39*R39-100,1)&gt;999,999,-999)))</f>
        <v>15.5</v>
      </c>
      <c r="T39" s="926"/>
      <c r="U39" s="926"/>
      <c r="V39" s="448"/>
      <c r="W39" s="925">
        <f>SUM(W14+W24+W29+W33)</f>
        <v>41488.039657445923</v>
      </c>
      <c r="X39" s="926">
        <f>SUM(X14+X24+X29+X33)</f>
        <v>57188</v>
      </c>
      <c r="Y39" s="448">
        <f>IF(W39=0, "    ---- ", IF(ABS(ROUND(100/W39*X39-100,1))&lt;999,ROUND(100/W39*X39-100,1),IF(ROUND(100/W39*X39-100,1)&gt;999,999,-999)))</f>
        <v>37.799999999999997</v>
      </c>
      <c r="Z39" s="925">
        <f>SUM(Z14+Z24+Z29+Z33)</f>
        <v>647.83541208999998</v>
      </c>
      <c r="AA39" s="926">
        <f>SUM(AA14+AA24+AA29+AA33)</f>
        <v>830.78</v>
      </c>
      <c r="AB39" s="448">
        <f>IF(Z39=0, "    ---- ", IF(ABS(ROUND(100/Z39*AA39-100,1))&lt;999,ROUND(100/Z39*AA39-100,1),IF(ROUND(100/Z39*AA39-100,1)&gt;999,999,-999)))</f>
        <v>28.2</v>
      </c>
      <c r="AC39" s="925">
        <f>SUM(AC14+AC24+AC29+AC33)</f>
        <v>30540</v>
      </c>
      <c r="AD39" s="926">
        <f>SUM(AD14+AD24+AD29+AD33)</f>
        <v>37099</v>
      </c>
      <c r="AE39" s="448">
        <f>IF(AC39=0, "    ---- ", IF(ABS(ROUND(100/AC39*AD39-100,1))&lt;999,ROUND(100/AC39*AD39-100,1),IF(ROUND(100/AC39*AD39-100,1)&gt;999,999,-999)))</f>
        <v>21.5</v>
      </c>
      <c r="AF39" s="925">
        <f>SUM(AF14+AF24+AF29+AF33)</f>
        <v>102127</v>
      </c>
      <c r="AG39" s="926">
        <f>SUM(AG14+AG24+AG29+AG33)</f>
        <v>122280</v>
      </c>
      <c r="AH39" s="448">
        <f t="shared" si="0"/>
        <v>19.7</v>
      </c>
      <c r="AI39" s="743">
        <f t="shared" si="1"/>
        <v>314630.11406953592</v>
      </c>
      <c r="AJ39" s="743">
        <f t="shared" si="2"/>
        <v>372844.83208508999</v>
      </c>
      <c r="AK39" s="448">
        <f t="shared" si="4"/>
        <v>18.5</v>
      </c>
      <c r="AL39" s="743">
        <f>AI39+'Tabell 7a'!AL51</f>
        <v>705841.14364287048</v>
      </c>
      <c r="AM39" s="448">
        <f>AJ39+'Tabell 7a'!AM51</f>
        <v>766511.07308509003</v>
      </c>
      <c r="AN39" s="448">
        <f t="shared" si="5"/>
        <v>8.6</v>
      </c>
      <c r="AO39" s="760"/>
      <c r="AP39" s="760"/>
    </row>
    <row r="40" spans="1:42" s="761" customFormat="1" ht="18.75" customHeight="1" x14ac:dyDescent="0.3">
      <c r="A40" s="534" t="s">
        <v>417</v>
      </c>
      <c r="B40" s="925"/>
      <c r="C40" s="926"/>
      <c r="D40" s="448"/>
      <c r="E40" s="925"/>
      <c r="F40" s="926"/>
      <c r="G40" s="448"/>
      <c r="H40" s="925"/>
      <c r="I40" s="926"/>
      <c r="J40" s="448"/>
      <c r="K40" s="823"/>
      <c r="L40" s="659"/>
      <c r="M40" s="448"/>
      <c r="N40" s="823"/>
      <c r="O40" s="659"/>
      <c r="P40" s="448"/>
      <c r="Q40" s="925"/>
      <c r="R40" s="926"/>
      <c r="S40" s="448"/>
      <c r="T40" s="926"/>
      <c r="U40" s="926">
        <f>SUM(U15+U25+U30+U34)</f>
        <v>2013.7522418399999</v>
      </c>
      <c r="V40" s="448" t="str">
        <f>IF(T40=0, "    ---- ", IF(ABS(ROUND(100/T40*U40-100,1))&lt;999,ROUND(100/T40*U40-100,1),IF(ROUND(100/T40*U40-100,1)&gt;999,999,-999)))</f>
        <v xml:space="preserve">    ---- </v>
      </c>
      <c r="W40" s="925"/>
      <c r="X40" s="926"/>
      <c r="Y40" s="448"/>
      <c r="Z40" s="925"/>
      <c r="AA40" s="926"/>
      <c r="AB40" s="448"/>
      <c r="AC40" s="925"/>
      <c r="AD40" s="926"/>
      <c r="AE40" s="448"/>
      <c r="AF40" s="925"/>
      <c r="AG40" s="926"/>
      <c r="AH40" s="448"/>
      <c r="AI40" s="743">
        <f t="shared" si="1"/>
        <v>0</v>
      </c>
      <c r="AJ40" s="743">
        <f t="shared" si="2"/>
        <v>2013.7522418399999</v>
      </c>
      <c r="AK40" s="448" t="str">
        <f t="shared" si="4"/>
        <v xml:space="preserve">    ---- </v>
      </c>
      <c r="AL40" s="743">
        <f>AI40+'Tabell 7a'!AL52</f>
        <v>78596</v>
      </c>
      <c r="AM40" s="448">
        <f>AJ40+'Tabell 7a'!AM52</f>
        <v>624641.34007422999</v>
      </c>
      <c r="AN40" s="448">
        <f t="shared" si="5"/>
        <v>694.7</v>
      </c>
      <c r="AO40" s="760"/>
      <c r="AP40" s="760"/>
    </row>
    <row r="41" spans="1:42" s="761" customFormat="1" ht="18.75" customHeight="1" x14ac:dyDescent="0.3">
      <c r="A41" s="574" t="s">
        <v>418</v>
      </c>
      <c r="B41" s="925"/>
      <c r="C41" s="926"/>
      <c r="D41" s="448"/>
      <c r="E41" s="925"/>
      <c r="F41" s="926"/>
      <c r="G41" s="448"/>
      <c r="H41" s="925"/>
      <c r="I41" s="926"/>
      <c r="J41" s="448"/>
      <c r="K41" s="823"/>
      <c r="L41" s="659"/>
      <c r="M41" s="448"/>
      <c r="N41" s="823"/>
      <c r="O41" s="659"/>
      <c r="P41" s="448"/>
      <c r="Q41" s="925"/>
      <c r="R41" s="926"/>
      <c r="S41" s="448"/>
      <c r="T41" s="926"/>
      <c r="U41" s="926"/>
      <c r="V41" s="448"/>
      <c r="W41" s="925"/>
      <c r="X41" s="926"/>
      <c r="Y41" s="448"/>
      <c r="Z41" s="925"/>
      <c r="AA41" s="926"/>
      <c r="AB41" s="448"/>
      <c r="AC41" s="925"/>
      <c r="AD41" s="926"/>
      <c r="AE41" s="448"/>
      <c r="AF41" s="925"/>
      <c r="AG41" s="926"/>
      <c r="AH41" s="448"/>
      <c r="AI41" s="743">
        <f t="shared" si="1"/>
        <v>0</v>
      </c>
      <c r="AJ41" s="743">
        <f t="shared" si="2"/>
        <v>0</v>
      </c>
      <c r="AK41" s="448" t="str">
        <f t="shared" si="4"/>
        <v xml:space="preserve">    ---- </v>
      </c>
      <c r="AL41" s="743">
        <f>AI41+'Tabell 7a'!AL53</f>
        <v>5538.2547477997005</v>
      </c>
      <c r="AM41" s="448">
        <f>AJ41+'Tabell 7a'!AM53</f>
        <v>5431.0700000000006</v>
      </c>
      <c r="AN41" s="448">
        <f t="shared" si="5"/>
        <v>-1.9</v>
      </c>
      <c r="AO41" s="760"/>
      <c r="AP41" s="760"/>
    </row>
    <row r="42" spans="1:42" s="761" customFormat="1" ht="18.75" customHeight="1" x14ac:dyDescent="0.3">
      <c r="A42" s="833" t="s">
        <v>425</v>
      </c>
      <c r="B42" s="917"/>
      <c r="C42" s="918"/>
      <c r="D42" s="765"/>
      <c r="E42" s="917"/>
      <c r="F42" s="918"/>
      <c r="G42" s="765"/>
      <c r="H42" s="917"/>
      <c r="I42" s="918"/>
      <c r="J42" s="765"/>
      <c r="K42" s="696"/>
      <c r="L42" s="676"/>
      <c r="M42" s="765"/>
      <c r="N42" s="696"/>
      <c r="O42" s="676"/>
      <c r="P42" s="765"/>
      <c r="Q42" s="917"/>
      <c r="R42" s="918"/>
      <c r="S42" s="765"/>
      <c r="T42" s="918"/>
      <c r="U42" s="918"/>
      <c r="V42" s="765"/>
      <c r="W42" s="917"/>
      <c r="X42" s="918"/>
      <c r="Y42" s="765"/>
      <c r="Z42" s="917"/>
      <c r="AA42" s="918"/>
      <c r="AB42" s="765"/>
      <c r="AC42" s="917"/>
      <c r="AD42" s="918"/>
      <c r="AE42" s="765"/>
      <c r="AF42" s="917"/>
      <c r="AG42" s="918"/>
      <c r="AH42" s="765"/>
      <c r="AI42" s="764">
        <f t="shared" si="1"/>
        <v>0</v>
      </c>
      <c r="AJ42" s="764">
        <f t="shared" si="2"/>
        <v>0</v>
      </c>
      <c r="AK42" s="765" t="str">
        <f t="shared" si="4"/>
        <v xml:space="preserve">    ---- </v>
      </c>
      <c r="AL42" s="764">
        <f>AI42+'Tabell 7a'!AL54</f>
        <v>32763.402000000002</v>
      </c>
      <c r="AM42" s="765">
        <f>AJ42+'Tabell 7a'!AM54</f>
        <v>89096.390922000006</v>
      </c>
      <c r="AN42" s="765">
        <f t="shared" si="5"/>
        <v>171.9</v>
      </c>
      <c r="AO42" s="760"/>
      <c r="AP42" s="760"/>
    </row>
    <row r="43" spans="1:42" s="766" customFormat="1" ht="18.75" customHeight="1" x14ac:dyDescent="0.3">
      <c r="A43" s="576" t="s">
        <v>250</v>
      </c>
      <c r="B43" s="576"/>
      <c r="Q43" s="576"/>
      <c r="W43" s="767"/>
      <c r="AA43" s="768"/>
      <c r="AB43" s="768"/>
      <c r="AC43" s="576"/>
      <c r="AI43" s="576"/>
      <c r="AL43" s="576"/>
      <c r="AO43" s="769"/>
      <c r="AP43" s="769"/>
    </row>
    <row r="44" spans="1:42" s="766" customFormat="1" ht="18.75" customHeight="1" x14ac:dyDescent="0.3">
      <c r="A44" s="576" t="s">
        <v>252</v>
      </c>
      <c r="B44" s="770"/>
      <c r="Q44" s="576"/>
      <c r="AA44" s="768"/>
      <c r="AB44" s="768"/>
      <c r="AC44" s="576"/>
      <c r="AL44" s="576"/>
      <c r="AO44" s="769"/>
      <c r="AP44" s="769"/>
    </row>
    <row r="45" spans="1:42" s="766" customFormat="1" ht="18.75" x14ac:dyDescent="0.3">
      <c r="B45" s="681"/>
      <c r="C45" s="681"/>
      <c r="Q45" s="681"/>
      <c r="R45" s="681"/>
      <c r="W45" s="681"/>
      <c r="X45" s="681"/>
      <c r="Z45" s="681"/>
      <c r="AA45" s="681"/>
      <c r="AC45" s="681"/>
      <c r="AD45" s="681"/>
      <c r="AF45" s="681"/>
      <c r="AG45" s="681"/>
      <c r="AI45" s="681"/>
      <c r="AJ45" s="681"/>
      <c r="AL45" s="681"/>
      <c r="AM45" s="681"/>
    </row>
    <row r="46" spans="1:42" s="766" customFormat="1" ht="18.75" x14ac:dyDescent="0.3">
      <c r="B46" s="681"/>
      <c r="C46" s="681"/>
      <c r="Q46" s="681"/>
      <c r="R46" s="681"/>
      <c r="W46" s="681"/>
      <c r="X46" s="681"/>
      <c r="Z46" s="681"/>
      <c r="AA46" s="681"/>
      <c r="AC46" s="681"/>
      <c r="AD46" s="681"/>
      <c r="AF46" s="681"/>
      <c r="AG46" s="681"/>
      <c r="AI46" s="681"/>
      <c r="AJ46" s="681"/>
      <c r="AL46" s="681"/>
      <c r="AM46" s="681"/>
    </row>
    <row r="47" spans="1:42" s="766" customFormat="1" ht="18.75" x14ac:dyDescent="0.3">
      <c r="B47" s="681"/>
      <c r="C47" s="681"/>
      <c r="Q47" s="681"/>
      <c r="R47" s="681"/>
      <c r="W47" s="681"/>
      <c r="X47" s="681"/>
      <c r="Z47" s="681"/>
      <c r="AA47" s="681"/>
      <c r="AC47" s="681"/>
      <c r="AD47" s="681"/>
      <c r="AF47" s="681"/>
      <c r="AG47" s="681"/>
      <c r="AI47" s="681"/>
      <c r="AJ47" s="681"/>
      <c r="AL47" s="681"/>
      <c r="AM47" s="681"/>
    </row>
    <row r="48" spans="1:42" s="766" customFormat="1" ht="18.75" x14ac:dyDescent="0.3">
      <c r="B48" s="681"/>
      <c r="C48" s="681"/>
      <c r="Q48" s="681"/>
      <c r="R48" s="681"/>
      <c r="W48" s="681"/>
      <c r="X48" s="681"/>
      <c r="Z48" s="681"/>
      <c r="AA48" s="681"/>
      <c r="AC48" s="681"/>
      <c r="AD48" s="681"/>
      <c r="AF48" s="681"/>
      <c r="AG48" s="681"/>
      <c r="AI48" s="681"/>
      <c r="AJ48" s="681"/>
      <c r="AL48" s="681"/>
      <c r="AM48" s="681"/>
    </row>
    <row r="49" spans="1:40" s="766" customFormat="1" ht="18.75" x14ac:dyDescent="0.3">
      <c r="B49" s="681"/>
      <c r="C49" s="681"/>
      <c r="Q49" s="681"/>
      <c r="R49" s="681"/>
      <c r="W49" s="681"/>
      <c r="X49" s="681"/>
      <c r="Z49" s="681"/>
      <c r="AA49" s="681"/>
      <c r="AC49" s="681"/>
      <c r="AD49" s="681"/>
      <c r="AF49" s="681"/>
      <c r="AG49" s="681"/>
      <c r="AI49" s="681"/>
      <c r="AJ49" s="681"/>
      <c r="AL49" s="681"/>
      <c r="AM49" s="681"/>
    </row>
    <row r="50" spans="1:40" s="766" customFormat="1" ht="18.75" x14ac:dyDescent="0.3">
      <c r="B50" s="681"/>
      <c r="C50" s="681"/>
      <c r="Q50" s="681"/>
      <c r="R50" s="681"/>
      <c r="W50" s="681"/>
      <c r="X50" s="681"/>
      <c r="Z50" s="681"/>
      <c r="AA50" s="681"/>
      <c r="AC50" s="681"/>
      <c r="AD50" s="681"/>
      <c r="AF50" s="681"/>
      <c r="AG50" s="681"/>
      <c r="AI50" s="681"/>
      <c r="AJ50" s="681"/>
      <c r="AL50" s="681"/>
      <c r="AM50" s="681"/>
    </row>
    <row r="51" spans="1:40" s="766" customFormat="1" ht="18.75" x14ac:dyDescent="0.3">
      <c r="A51" s="769"/>
      <c r="B51" s="681"/>
      <c r="C51" s="681"/>
      <c r="D51" s="769"/>
      <c r="E51" s="769"/>
      <c r="F51" s="769"/>
      <c r="G51" s="769"/>
      <c r="H51" s="769"/>
      <c r="I51" s="769"/>
      <c r="J51" s="769"/>
      <c r="K51" s="769"/>
      <c r="L51" s="769"/>
      <c r="M51" s="769"/>
      <c r="N51" s="769"/>
      <c r="O51" s="769"/>
      <c r="P51" s="769"/>
      <c r="Q51" s="681"/>
      <c r="R51" s="681"/>
      <c r="S51" s="769"/>
      <c r="T51" s="769"/>
      <c r="U51" s="769"/>
      <c r="V51" s="769"/>
      <c r="W51" s="681"/>
      <c r="X51" s="681"/>
      <c r="Y51" s="769"/>
      <c r="Z51" s="681"/>
      <c r="AA51" s="681"/>
      <c r="AB51" s="769"/>
      <c r="AC51" s="681"/>
      <c r="AD51" s="681"/>
      <c r="AE51" s="769"/>
      <c r="AF51" s="681"/>
      <c r="AG51" s="681"/>
      <c r="AH51" s="769"/>
      <c r="AI51" s="681"/>
      <c r="AJ51" s="681"/>
      <c r="AK51" s="769"/>
      <c r="AL51" s="681"/>
      <c r="AM51" s="681"/>
      <c r="AN51" s="769"/>
    </row>
    <row r="52" spans="1:40" s="769" customFormat="1" ht="18.75" x14ac:dyDescent="0.3"/>
    <row r="53" spans="1:40" s="769" customFormat="1" ht="18.75" x14ac:dyDescent="0.3"/>
    <row r="54" spans="1:40" s="766" customFormat="1" ht="18.75" x14ac:dyDescent="0.3"/>
    <row r="55" spans="1:40" s="766" customFormat="1" ht="18.75" x14ac:dyDescent="0.3"/>
    <row r="56" spans="1:40" s="766" customFormat="1" ht="18.75" x14ac:dyDescent="0.3"/>
    <row r="57" spans="1:40" s="766" customFormat="1" ht="18.75" x14ac:dyDescent="0.3"/>
    <row r="58" spans="1:40" s="766" customFormat="1" ht="18.75" x14ac:dyDescent="0.3"/>
    <row r="59" spans="1:40" s="766" customFormat="1" ht="18.75" x14ac:dyDescent="0.3"/>
    <row r="60" spans="1:40" s="766" customFormat="1" ht="18.75" x14ac:dyDescent="0.3"/>
    <row r="61" spans="1:40" s="766" customFormat="1" ht="18.75" x14ac:dyDescent="0.3"/>
    <row r="62" spans="1:40" s="766" customFormat="1" ht="18.75" x14ac:dyDescent="0.3"/>
    <row r="63" spans="1:40" s="766" customFormat="1" ht="18.75" x14ac:dyDescent="0.3"/>
    <row r="64" spans="1:40" s="766" customFormat="1" ht="18.75" x14ac:dyDescent="0.3"/>
    <row r="65" s="766" customFormat="1" ht="18.75" x14ac:dyDescent="0.3"/>
    <row r="66" s="766" customFormat="1" ht="18.75" x14ac:dyDescent="0.3"/>
    <row r="67" s="766" customFormat="1" ht="18.75" x14ac:dyDescent="0.3"/>
    <row r="68" s="766" customFormat="1" ht="18.75" x14ac:dyDescent="0.3"/>
    <row r="69" s="766" customFormat="1" ht="18.75" x14ac:dyDescent="0.3"/>
    <row r="70" s="766" customFormat="1" ht="18.75" x14ac:dyDescent="0.3"/>
    <row r="71" s="766" customFormat="1" ht="18.75" x14ac:dyDescent="0.3"/>
    <row r="72" s="766" customFormat="1" ht="18.75" x14ac:dyDescent="0.3"/>
    <row r="73" s="766" customFormat="1" ht="18.75" x14ac:dyDescent="0.3"/>
    <row r="74" s="766" customFormat="1" ht="18.75" x14ac:dyDescent="0.3"/>
    <row r="75" s="766" customFormat="1" ht="18.75" x14ac:dyDescent="0.3"/>
  </sheetData>
  <mergeCells count="24">
    <mergeCell ref="AL5:AN5"/>
    <mergeCell ref="B5:D5"/>
    <mergeCell ref="H5:J5"/>
    <mergeCell ref="N5:P5"/>
    <mergeCell ref="Q5:S5"/>
    <mergeCell ref="E5:G5"/>
    <mergeCell ref="W5:Y5"/>
    <mergeCell ref="Z5:AB5"/>
    <mergeCell ref="AC5:AE5"/>
    <mergeCell ref="AF5:AH5"/>
    <mergeCell ref="AI5:AK5"/>
    <mergeCell ref="K5:M5"/>
    <mergeCell ref="AL6:AN6"/>
    <mergeCell ref="B6:D6"/>
    <mergeCell ref="H6:J6"/>
    <mergeCell ref="N6:P6"/>
    <mergeCell ref="Q6:S6"/>
    <mergeCell ref="E6:G6"/>
    <mergeCell ref="W6:Y6"/>
    <mergeCell ref="Z6:AB6"/>
    <mergeCell ref="AC6:AE6"/>
    <mergeCell ref="AF6:AH6"/>
    <mergeCell ref="AI6:AK6"/>
    <mergeCell ref="K6:M6"/>
  </mergeCells>
  <conditionalFormatting sqref="O35">
    <cfRule type="expression" dxfId="72" priority="146">
      <formula>#REF!="40≠41+42+43+44+45+46+47"</formula>
    </cfRule>
  </conditionalFormatting>
  <conditionalFormatting sqref="N35">
    <cfRule type="expression" dxfId="71" priority="137">
      <formula>#REF!="40≠41+42+43+44+45+46+47"</formula>
    </cfRule>
  </conditionalFormatting>
  <conditionalFormatting sqref="L35">
    <cfRule type="expression" dxfId="70" priority="122">
      <formula>#REF!="40≠41+42+43+44+45+46+47"</formula>
    </cfRule>
  </conditionalFormatting>
  <conditionalFormatting sqref="K11">
    <cfRule type="expression" dxfId="69" priority="114">
      <formula>#REF!="11≠12+13+14+15"</formula>
    </cfRule>
  </conditionalFormatting>
  <conditionalFormatting sqref="K16">
    <cfRule type="expression" dxfId="68" priority="115">
      <formula>#REF!="16≠17+18+19+20"</formula>
    </cfRule>
  </conditionalFormatting>
  <conditionalFormatting sqref="K21">
    <cfRule type="expression" dxfId="67" priority="116">
      <formula>#REF!="21≠22+23+24+25"</formula>
    </cfRule>
  </conditionalFormatting>
  <conditionalFormatting sqref="K31">
    <cfRule type="expression" dxfId="66" priority="117">
      <formula>#REF!="36≠37+38+39"</formula>
    </cfRule>
  </conditionalFormatting>
  <conditionalFormatting sqref="K35">
    <cfRule type="expression" dxfId="65" priority="113">
      <formula>#REF!="40≠41+42+43+44+45+46+47"</formula>
    </cfRule>
  </conditionalFormatting>
  <conditionalFormatting sqref="X35">
    <cfRule type="expression" dxfId="64" priority="107">
      <formula>#REF!="40≠41+42+43+44+45+46+47"</formula>
    </cfRule>
  </conditionalFormatting>
  <conditionalFormatting sqref="W35">
    <cfRule type="expression" dxfId="63" priority="98">
      <formula>#REF!="40≠41+42+43+44+45+46+47"</formula>
    </cfRule>
  </conditionalFormatting>
  <conditionalFormatting sqref="W11">
    <cfRule type="expression" dxfId="62" priority="99">
      <formula>#REF!="11≠12+13+14+15"</formula>
    </cfRule>
  </conditionalFormatting>
  <conditionalFormatting sqref="W16 W21">
    <cfRule type="expression" dxfId="61" priority="100">
      <formula>#REF!="16≠17+18+19+20"</formula>
    </cfRule>
  </conditionalFormatting>
  <conditionalFormatting sqref="W26">
    <cfRule type="expression" dxfId="60" priority="101">
      <formula>#REF!="26≠27+28+29+30"</formula>
    </cfRule>
  </conditionalFormatting>
  <conditionalFormatting sqref="W31">
    <cfRule type="expression" dxfId="59" priority="102">
      <formula>#REF!="36≠37+38+39"</formula>
    </cfRule>
  </conditionalFormatting>
  <conditionalFormatting sqref="B35:C35">
    <cfRule type="expression" dxfId="58" priority="96">
      <formula>#REF!="40≠41+42+43+44+45+46+47"</formula>
    </cfRule>
  </conditionalFormatting>
  <conditionalFormatting sqref="B11">
    <cfRule type="expression" dxfId="57" priority="89">
      <formula>#REF!="11≠12+13+14+15"</formula>
    </cfRule>
  </conditionalFormatting>
  <conditionalFormatting sqref="B16 B21">
    <cfRule type="expression" dxfId="56" priority="90">
      <formula>#REF!="16≠17+18+19+20"</formula>
    </cfRule>
  </conditionalFormatting>
  <conditionalFormatting sqref="B26">
    <cfRule type="expression" dxfId="55" priority="91">
      <formula>#REF!="26≠27+28+29+30"</formula>
    </cfRule>
  </conditionalFormatting>
  <conditionalFormatting sqref="B31">
    <cfRule type="expression" dxfId="54" priority="92">
      <formula>#REF!="36≠37+38+39"</formula>
    </cfRule>
  </conditionalFormatting>
  <conditionalFormatting sqref="R35">
    <cfRule type="expression" dxfId="53" priority="86">
      <formula>#REF!="40≠41+42+43+44+45+46+47"</formula>
    </cfRule>
  </conditionalFormatting>
  <conditionalFormatting sqref="Q11">
    <cfRule type="expression" dxfId="52" priority="77">
      <formula>#REF!="11≠12+13+14+15"</formula>
    </cfRule>
  </conditionalFormatting>
  <conditionalFormatting sqref="Q16 Q21">
    <cfRule type="expression" dxfId="51" priority="78">
      <formula>#REF!="16≠17+18+19+20"</formula>
    </cfRule>
  </conditionalFormatting>
  <conditionalFormatting sqref="Q26">
    <cfRule type="expression" dxfId="50" priority="79">
      <formula>#REF!="26≠27+28+29+30"</formula>
    </cfRule>
  </conditionalFormatting>
  <conditionalFormatting sqref="Q31">
    <cfRule type="expression" dxfId="49" priority="80">
      <formula>#REF!="36≠37+38+39"</formula>
    </cfRule>
  </conditionalFormatting>
  <conditionalFormatting sqref="Q35">
    <cfRule type="expression" dxfId="48" priority="81">
      <formula>#REF!="40≠41+42+43+44+45+46+47"</formula>
    </cfRule>
  </conditionalFormatting>
  <conditionalFormatting sqref="AG35">
    <cfRule type="expression" dxfId="47" priority="75">
      <formula>#REF!="40≠41+42+43+44+45+46+47"</formula>
    </cfRule>
  </conditionalFormatting>
  <conditionalFormatting sqref="AF35">
    <cfRule type="expression" dxfId="46" priority="66">
      <formula>#REF!="40≠41+42+43+44+45+46+47"</formula>
    </cfRule>
  </conditionalFormatting>
  <conditionalFormatting sqref="AF11">
    <cfRule type="expression" dxfId="45" priority="67">
      <formula>#REF!="11≠12+13+14+15"</formula>
    </cfRule>
  </conditionalFormatting>
  <conditionalFormatting sqref="AF16 AF21">
    <cfRule type="expression" dxfId="44" priority="68">
      <formula>#REF!="16≠17+18+19+20"</formula>
    </cfRule>
  </conditionalFormatting>
  <conditionalFormatting sqref="AF26">
    <cfRule type="expression" dxfId="43" priority="69">
      <formula>#REF!="26≠27+28+29+30"</formula>
    </cfRule>
  </conditionalFormatting>
  <conditionalFormatting sqref="AF31">
    <cfRule type="expression" dxfId="42" priority="70">
      <formula>#REF!="36≠37+38+39"</formula>
    </cfRule>
  </conditionalFormatting>
  <conditionalFormatting sqref="U35">
    <cfRule type="expression" dxfId="41" priority="64">
      <formula>#REF!="40≠41+42+43+44+45+46+47"</formula>
    </cfRule>
  </conditionalFormatting>
  <conditionalFormatting sqref="T35">
    <cfRule type="expression" dxfId="40" priority="54">
      <formula>#REF!="40≠41+42+43+44+45+46+47"</formula>
    </cfRule>
  </conditionalFormatting>
  <conditionalFormatting sqref="T11">
    <cfRule type="expression" dxfId="39" priority="55">
      <formula>#REF!="11≠12+13+14+15"</formula>
    </cfRule>
  </conditionalFormatting>
  <conditionalFormatting sqref="T16">
    <cfRule type="expression" dxfId="38" priority="56">
      <formula>#REF!="16≠17+18+19+20"</formula>
    </cfRule>
  </conditionalFormatting>
  <conditionalFormatting sqref="T21">
    <cfRule type="expression" dxfId="37" priority="57">
      <formula>#REF!="21≠22+23+24+25"</formula>
    </cfRule>
  </conditionalFormatting>
  <conditionalFormatting sqref="T26">
    <cfRule type="expression" dxfId="36" priority="58">
      <formula>#REF!="26≠27+28+29+30"</formula>
    </cfRule>
  </conditionalFormatting>
  <conditionalFormatting sqref="T31">
    <cfRule type="expression" dxfId="35" priority="59">
      <formula>#REF!="36≠37+38+39"</formula>
    </cfRule>
  </conditionalFormatting>
  <conditionalFormatting sqref="AD35">
    <cfRule type="expression" dxfId="34" priority="52">
      <formula>#REF!="40≠41+42+43+44+45+46+47"</formula>
    </cfRule>
  </conditionalFormatting>
  <conditionalFormatting sqref="AC35">
    <cfRule type="expression" dxfId="33" priority="43">
      <formula>#REF!="40≠41+42+43+44+45+46+47"</formula>
    </cfRule>
  </conditionalFormatting>
  <conditionalFormatting sqref="AC11">
    <cfRule type="expression" dxfId="32" priority="44">
      <formula>#REF!="11≠12+13+14+15"</formula>
    </cfRule>
  </conditionalFormatting>
  <conditionalFormatting sqref="AC16 AC21">
    <cfRule type="expression" dxfId="31" priority="45">
      <formula>#REF!="16≠17+18+19+20"</formula>
    </cfRule>
  </conditionalFormatting>
  <conditionalFormatting sqref="AC26">
    <cfRule type="expression" dxfId="30" priority="46">
      <formula>#REF!="26≠27+28+29+30"</formula>
    </cfRule>
  </conditionalFormatting>
  <conditionalFormatting sqref="AC31">
    <cfRule type="expression" dxfId="29" priority="47">
      <formula>#REF!="36≠37+38+39"</formula>
    </cfRule>
  </conditionalFormatting>
  <conditionalFormatting sqref="N11">
    <cfRule type="expression" dxfId="28" priority="34">
      <formula>#REF!="11≠12+13+14+15"</formula>
    </cfRule>
  </conditionalFormatting>
  <conditionalFormatting sqref="N16 N21">
    <cfRule type="expression" dxfId="27" priority="35">
      <formula>#REF!="16≠17+18+19+20"</formula>
    </cfRule>
  </conditionalFormatting>
  <conditionalFormatting sqref="N26">
    <cfRule type="expression" dxfId="26" priority="36">
      <formula>#REF!="26≠27+28+29+30"</formula>
    </cfRule>
  </conditionalFormatting>
  <conditionalFormatting sqref="N31">
    <cfRule type="expression" dxfId="25" priority="37">
      <formula>#REF!="36≠37+38+39"</formula>
    </cfRule>
  </conditionalFormatting>
  <conditionalFormatting sqref="AA35">
    <cfRule type="expression" dxfId="24" priority="32">
      <formula>#REF!="40≠41+42+43+44+45+46+47"</formula>
    </cfRule>
  </conditionalFormatting>
  <conditionalFormatting sqref="Z35">
    <cfRule type="expression" dxfId="23" priority="23">
      <formula>#REF!="40≠41+42+43+44+45+46+47"</formula>
    </cfRule>
  </conditionalFormatting>
  <conditionalFormatting sqref="Z11">
    <cfRule type="expression" dxfId="22" priority="24">
      <formula>#REF!="11≠12+13+14+15"</formula>
    </cfRule>
  </conditionalFormatting>
  <conditionalFormatting sqref="Z16 Z21">
    <cfRule type="expression" dxfId="21" priority="25">
      <formula>#REF!="16≠17+18+19+20"</formula>
    </cfRule>
  </conditionalFormatting>
  <conditionalFormatting sqref="Z26">
    <cfRule type="expression" dxfId="20" priority="26">
      <formula>#REF!="26≠27+28+29+30"</formula>
    </cfRule>
  </conditionalFormatting>
  <conditionalFormatting sqref="Z31">
    <cfRule type="expression" dxfId="19" priority="27">
      <formula>#REF!="36≠37+38+39"</formula>
    </cfRule>
  </conditionalFormatting>
  <conditionalFormatting sqref="F35">
    <cfRule type="expression" dxfId="18" priority="18">
      <formula>#REF!="40≠41+42+43+44+45+46+47"</formula>
    </cfRule>
  </conditionalFormatting>
  <conditionalFormatting sqref="E35">
    <cfRule type="expression" dxfId="17" priority="13">
      <formula>#REF!="40≠41+42+43+44+45+46+47"</formula>
    </cfRule>
  </conditionalFormatting>
  <conditionalFormatting sqref="E11">
    <cfRule type="expression" dxfId="16" priority="14">
      <formula>#REF!="11≠12+13+14+15"</formula>
    </cfRule>
  </conditionalFormatting>
  <conditionalFormatting sqref="E16 E21">
    <cfRule type="expression" dxfId="15" priority="15">
      <formula>#REF!="16≠17+18+19+20"</formula>
    </cfRule>
  </conditionalFormatting>
  <conditionalFormatting sqref="E26">
    <cfRule type="expression" dxfId="14" priority="16">
      <formula>#REF!="26≠27+28+29+30"</formula>
    </cfRule>
  </conditionalFormatting>
  <conditionalFormatting sqref="E31">
    <cfRule type="expression" dxfId="13" priority="17">
      <formula>#REF!="36≠37+38+39"</formula>
    </cfRule>
  </conditionalFormatting>
  <conditionalFormatting sqref="I35">
    <cfRule type="expression" dxfId="12" priority="11">
      <formula>#REF!="40≠41+42+43+44+45+46+47"</formula>
    </cfRule>
  </conditionalFormatting>
  <conditionalFormatting sqref="H35">
    <cfRule type="expression" dxfId="11" priority="2">
      <formula>#REF!="40≠41+42+43+44+45+46+47"</formula>
    </cfRule>
  </conditionalFormatting>
  <conditionalFormatting sqref="H11">
    <cfRule type="expression" dxfId="10" priority="3">
      <formula>#REF!="11≠12+13+14+15"</formula>
    </cfRule>
  </conditionalFormatting>
  <conditionalFormatting sqref="H16 H21">
    <cfRule type="expression" dxfId="9" priority="4">
      <formula>#REF!="16≠17+18+19+20"</formula>
    </cfRule>
  </conditionalFormatting>
  <conditionalFormatting sqref="H26">
    <cfRule type="expression" dxfId="8" priority="5">
      <formula>#REF!="26≠27+28+29+30"</formula>
    </cfRule>
  </conditionalFormatting>
  <conditionalFormatting sqref="H31">
    <cfRule type="expression" dxfId="7" priority="6">
      <formula>#REF!="36≠37+38+39"</formula>
    </cfRule>
  </conditionalFormatting>
  <conditionalFormatting sqref="AL11:AM11 L11 AI11:AJ42 X11 C11 R11 AG11 U11 AD11 O11 AA11 F11 I11">
    <cfRule type="expression" dxfId="6" priority="1158">
      <formula>#REF!="11≠12+13+14+15"</formula>
    </cfRule>
  </conditionalFormatting>
  <conditionalFormatting sqref="AL16:AM16 L16 X16 C16 R16 AG16 U16 AD16 O16 AA16 F16 I16 O13:O14">
    <cfRule type="expression" dxfId="5" priority="1160">
      <formula>#REF!="16≠17+18+19+20"</formula>
    </cfRule>
  </conditionalFormatting>
  <conditionalFormatting sqref="AL21:AM21 L21">
    <cfRule type="expression" dxfId="4" priority="1161">
      <formula>#REF!="21≠22+23+24+25"</formula>
    </cfRule>
  </conditionalFormatting>
  <conditionalFormatting sqref="AL26:AM26 K26:L26 X26 X21 C26 C21 R26 R21 AG26 AG21 U26 U21 AD26 AD21 O26 O21 AA26 AA21 F26 F21 I26 I21">
    <cfRule type="expression" dxfId="3" priority="1162">
      <formula>#REF!="26≠27+28+29+30"</formula>
    </cfRule>
  </conditionalFormatting>
  <conditionalFormatting sqref="AL31:AM31">
    <cfRule type="expression" dxfId="2" priority="1163">
      <formula>#REF!="36≠37+38+39"</formula>
    </cfRule>
  </conditionalFormatting>
  <conditionalFormatting sqref="AL35:AM35">
    <cfRule type="expression" dxfId="1" priority="1164">
      <formula>#REF!="40≠41+42+43+44+45+46+47"</formula>
    </cfRule>
  </conditionalFormatting>
  <conditionalFormatting sqref="L31 X31 C31 R31 AG31 U31 AD31 O31 AA31 F31 I31">
    <cfRule type="expression" dxfId="0" priority="1165">
      <formula>#REF!="36≠37+38+39"</formula>
    </cfRule>
  </conditionalFormatting>
  <hyperlinks>
    <hyperlink ref="B1" location="Innhold!A1" display="Tilbake" xr:uid="{00000000-0004-0000-2400-000000000000}"/>
  </hyperlinks>
  <pageMargins left="0.78740157480314965" right="0.78740157480314965" top="1.5748031496062993" bottom="0.98425196850393704" header="0.51181102362204722" footer="0.51181102362204722"/>
  <pageSetup paperSize="9" scale="45" fitToWidth="4" orientation="portrait" r:id="rId1"/>
  <headerFooter alignWithMargins="0"/>
  <colBreaks count="4" manualBreakCount="4">
    <brk id="16" min="1" max="48" man="1"/>
    <brk id="22" min="1" max="48" man="1"/>
    <brk id="28" min="1" max="48" man="1"/>
    <brk id="37" min="1" max="48"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BB59"/>
  <sheetViews>
    <sheetView showGridLines="0" zoomScale="60" zoomScaleNormal="60" workbookViewId="0">
      <pane xSplit="1" ySplit="6" topLeftCell="B7"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62" style="510" customWidth="1"/>
    <col min="2" max="37" width="11.7109375" style="510" customWidth="1"/>
    <col min="38" max="256" width="11.42578125" style="510"/>
    <col min="257" max="257" width="62" style="510" customWidth="1"/>
    <col min="258" max="293" width="11.7109375" style="510" customWidth="1"/>
    <col min="294" max="512" width="11.42578125" style="510"/>
    <col min="513" max="513" width="62" style="510" customWidth="1"/>
    <col min="514" max="549" width="11.7109375" style="510" customWidth="1"/>
    <col min="550" max="768" width="11.42578125" style="510"/>
    <col min="769" max="769" width="62" style="510" customWidth="1"/>
    <col min="770" max="805" width="11.7109375" style="510" customWidth="1"/>
    <col min="806" max="1024" width="11.42578125" style="510"/>
    <col min="1025" max="1025" width="62" style="510" customWidth="1"/>
    <col min="1026" max="1061" width="11.7109375" style="510" customWidth="1"/>
    <col min="1062" max="1280" width="11.42578125" style="510"/>
    <col min="1281" max="1281" width="62" style="510" customWidth="1"/>
    <col min="1282" max="1317" width="11.7109375" style="510" customWidth="1"/>
    <col min="1318" max="1536" width="11.42578125" style="510"/>
    <col min="1537" max="1537" width="62" style="510" customWidth="1"/>
    <col min="1538" max="1573" width="11.7109375" style="510" customWidth="1"/>
    <col min="1574" max="1792" width="11.42578125" style="510"/>
    <col min="1793" max="1793" width="62" style="510" customWidth="1"/>
    <col min="1794" max="1829" width="11.7109375" style="510" customWidth="1"/>
    <col min="1830" max="2048" width="11.42578125" style="510"/>
    <col min="2049" max="2049" width="62" style="510" customWidth="1"/>
    <col min="2050" max="2085" width="11.7109375" style="510" customWidth="1"/>
    <col min="2086" max="2304" width="11.42578125" style="510"/>
    <col min="2305" max="2305" width="62" style="510" customWidth="1"/>
    <col min="2306" max="2341" width="11.7109375" style="510" customWidth="1"/>
    <col min="2342" max="2560" width="11.42578125" style="510"/>
    <col min="2561" max="2561" width="62" style="510" customWidth="1"/>
    <col min="2562" max="2597" width="11.7109375" style="510" customWidth="1"/>
    <col min="2598" max="2816" width="11.42578125" style="510"/>
    <col min="2817" max="2817" width="62" style="510" customWidth="1"/>
    <col min="2818" max="2853" width="11.7109375" style="510" customWidth="1"/>
    <col min="2854" max="3072" width="11.42578125" style="510"/>
    <col min="3073" max="3073" width="62" style="510" customWidth="1"/>
    <col min="3074" max="3109" width="11.7109375" style="510" customWidth="1"/>
    <col min="3110" max="3328" width="11.42578125" style="510"/>
    <col min="3329" max="3329" width="62" style="510" customWidth="1"/>
    <col min="3330" max="3365" width="11.7109375" style="510" customWidth="1"/>
    <col min="3366" max="3584" width="11.42578125" style="510"/>
    <col min="3585" max="3585" width="62" style="510" customWidth="1"/>
    <col min="3586" max="3621" width="11.7109375" style="510" customWidth="1"/>
    <col min="3622" max="3840" width="11.42578125" style="510"/>
    <col min="3841" max="3841" width="62" style="510" customWidth="1"/>
    <col min="3842" max="3877" width="11.7109375" style="510" customWidth="1"/>
    <col min="3878" max="4096" width="11.42578125" style="510"/>
    <col min="4097" max="4097" width="62" style="510" customWidth="1"/>
    <col min="4098" max="4133" width="11.7109375" style="510" customWidth="1"/>
    <col min="4134" max="4352" width="11.42578125" style="510"/>
    <col min="4353" max="4353" width="62" style="510" customWidth="1"/>
    <col min="4354" max="4389" width="11.7109375" style="510" customWidth="1"/>
    <col min="4390" max="4608" width="11.42578125" style="510"/>
    <col min="4609" max="4609" width="62" style="510" customWidth="1"/>
    <col min="4610" max="4645" width="11.7109375" style="510" customWidth="1"/>
    <col min="4646" max="4864" width="11.42578125" style="510"/>
    <col min="4865" max="4865" width="62" style="510" customWidth="1"/>
    <col min="4866" max="4901" width="11.7109375" style="510" customWidth="1"/>
    <col min="4902" max="5120" width="11.42578125" style="510"/>
    <col min="5121" max="5121" width="62" style="510" customWidth="1"/>
    <col min="5122" max="5157" width="11.7109375" style="510" customWidth="1"/>
    <col min="5158" max="5376" width="11.42578125" style="510"/>
    <col min="5377" max="5377" width="62" style="510" customWidth="1"/>
    <col min="5378" max="5413" width="11.7109375" style="510" customWidth="1"/>
    <col min="5414" max="5632" width="11.42578125" style="510"/>
    <col min="5633" max="5633" width="62" style="510" customWidth="1"/>
    <col min="5634" max="5669" width="11.7109375" style="510" customWidth="1"/>
    <col min="5670" max="5888" width="11.42578125" style="510"/>
    <col min="5889" max="5889" width="62" style="510" customWidth="1"/>
    <col min="5890" max="5925" width="11.7109375" style="510" customWidth="1"/>
    <col min="5926" max="6144" width="11.42578125" style="510"/>
    <col min="6145" max="6145" width="62" style="510" customWidth="1"/>
    <col min="6146" max="6181" width="11.7109375" style="510" customWidth="1"/>
    <col min="6182" max="6400" width="11.42578125" style="510"/>
    <col min="6401" max="6401" width="62" style="510" customWidth="1"/>
    <col min="6402" max="6437" width="11.7109375" style="510" customWidth="1"/>
    <col min="6438" max="6656" width="11.42578125" style="510"/>
    <col min="6657" max="6657" width="62" style="510" customWidth="1"/>
    <col min="6658" max="6693" width="11.7109375" style="510" customWidth="1"/>
    <col min="6694" max="6912" width="11.42578125" style="510"/>
    <col min="6913" max="6913" width="62" style="510" customWidth="1"/>
    <col min="6914" max="6949" width="11.7109375" style="510" customWidth="1"/>
    <col min="6950" max="7168" width="11.42578125" style="510"/>
    <col min="7169" max="7169" width="62" style="510" customWidth="1"/>
    <col min="7170" max="7205" width="11.7109375" style="510" customWidth="1"/>
    <col min="7206" max="7424" width="11.42578125" style="510"/>
    <col min="7425" max="7425" width="62" style="510" customWidth="1"/>
    <col min="7426" max="7461" width="11.7109375" style="510" customWidth="1"/>
    <col min="7462" max="7680" width="11.42578125" style="510"/>
    <col min="7681" max="7681" width="62" style="510" customWidth="1"/>
    <col min="7682" max="7717" width="11.7109375" style="510" customWidth="1"/>
    <col min="7718" max="7936" width="11.42578125" style="510"/>
    <col min="7937" max="7937" width="62" style="510" customWidth="1"/>
    <col min="7938" max="7973" width="11.7109375" style="510" customWidth="1"/>
    <col min="7974" max="8192" width="11.42578125" style="510"/>
    <col min="8193" max="8193" width="62" style="510" customWidth="1"/>
    <col min="8194" max="8229" width="11.7109375" style="510" customWidth="1"/>
    <col min="8230" max="8448" width="11.42578125" style="510"/>
    <col min="8449" max="8449" width="62" style="510" customWidth="1"/>
    <col min="8450" max="8485" width="11.7109375" style="510" customWidth="1"/>
    <col min="8486" max="8704" width="11.42578125" style="510"/>
    <col min="8705" max="8705" width="62" style="510" customWidth="1"/>
    <col min="8706" max="8741" width="11.7109375" style="510" customWidth="1"/>
    <col min="8742" max="8960" width="11.42578125" style="510"/>
    <col min="8961" max="8961" width="62" style="510" customWidth="1"/>
    <col min="8962" max="8997" width="11.7109375" style="510" customWidth="1"/>
    <col min="8998" max="9216" width="11.42578125" style="510"/>
    <col min="9217" max="9217" width="62" style="510" customWidth="1"/>
    <col min="9218" max="9253" width="11.7109375" style="510" customWidth="1"/>
    <col min="9254" max="9472" width="11.42578125" style="510"/>
    <col min="9473" max="9473" width="62" style="510" customWidth="1"/>
    <col min="9474" max="9509" width="11.7109375" style="510" customWidth="1"/>
    <col min="9510" max="9728" width="11.42578125" style="510"/>
    <col min="9729" max="9729" width="62" style="510" customWidth="1"/>
    <col min="9730" max="9765" width="11.7109375" style="510" customWidth="1"/>
    <col min="9766" max="9984" width="11.42578125" style="510"/>
    <col min="9985" max="9985" width="62" style="510" customWidth="1"/>
    <col min="9986" max="10021" width="11.7109375" style="510" customWidth="1"/>
    <col min="10022" max="10240" width="11.42578125" style="510"/>
    <col min="10241" max="10241" width="62" style="510" customWidth="1"/>
    <col min="10242" max="10277" width="11.7109375" style="510" customWidth="1"/>
    <col min="10278" max="10496" width="11.42578125" style="510"/>
    <col min="10497" max="10497" width="62" style="510" customWidth="1"/>
    <col min="10498" max="10533" width="11.7109375" style="510" customWidth="1"/>
    <col min="10534" max="10752" width="11.42578125" style="510"/>
    <col min="10753" max="10753" width="62" style="510" customWidth="1"/>
    <col min="10754" max="10789" width="11.7109375" style="510" customWidth="1"/>
    <col min="10790" max="11008" width="11.42578125" style="510"/>
    <col min="11009" max="11009" width="62" style="510" customWidth="1"/>
    <col min="11010" max="11045" width="11.7109375" style="510" customWidth="1"/>
    <col min="11046" max="11264" width="11.42578125" style="510"/>
    <col min="11265" max="11265" width="62" style="510" customWidth="1"/>
    <col min="11266" max="11301" width="11.7109375" style="510" customWidth="1"/>
    <col min="11302" max="11520" width="11.42578125" style="510"/>
    <col min="11521" max="11521" width="62" style="510" customWidth="1"/>
    <col min="11522" max="11557" width="11.7109375" style="510" customWidth="1"/>
    <col min="11558" max="11776" width="11.42578125" style="510"/>
    <col min="11777" max="11777" width="62" style="510" customWidth="1"/>
    <col min="11778" max="11813" width="11.7109375" style="510" customWidth="1"/>
    <col min="11814" max="12032" width="11.42578125" style="510"/>
    <col min="12033" max="12033" width="62" style="510" customWidth="1"/>
    <col min="12034" max="12069" width="11.7109375" style="510" customWidth="1"/>
    <col min="12070" max="12288" width="11.42578125" style="510"/>
    <col min="12289" max="12289" width="62" style="510" customWidth="1"/>
    <col min="12290" max="12325" width="11.7109375" style="510" customWidth="1"/>
    <col min="12326" max="12544" width="11.42578125" style="510"/>
    <col min="12545" max="12545" width="62" style="510" customWidth="1"/>
    <col min="12546" max="12581" width="11.7109375" style="510" customWidth="1"/>
    <col min="12582" max="12800" width="11.42578125" style="510"/>
    <col min="12801" max="12801" width="62" style="510" customWidth="1"/>
    <col min="12802" max="12837" width="11.7109375" style="510" customWidth="1"/>
    <col min="12838" max="13056" width="11.42578125" style="510"/>
    <col min="13057" max="13057" width="62" style="510" customWidth="1"/>
    <col min="13058" max="13093" width="11.7109375" style="510" customWidth="1"/>
    <col min="13094" max="13312" width="11.42578125" style="510"/>
    <col min="13313" max="13313" width="62" style="510" customWidth="1"/>
    <col min="13314" max="13349" width="11.7109375" style="510" customWidth="1"/>
    <col min="13350" max="13568" width="11.42578125" style="510"/>
    <col min="13569" max="13569" width="62" style="510" customWidth="1"/>
    <col min="13570" max="13605" width="11.7109375" style="510" customWidth="1"/>
    <col min="13606" max="13824" width="11.42578125" style="510"/>
    <col min="13825" max="13825" width="62" style="510" customWidth="1"/>
    <col min="13826" max="13861" width="11.7109375" style="510" customWidth="1"/>
    <col min="13862" max="14080" width="11.42578125" style="510"/>
    <col min="14081" max="14081" width="62" style="510" customWidth="1"/>
    <col min="14082" max="14117" width="11.7109375" style="510" customWidth="1"/>
    <col min="14118" max="14336" width="11.42578125" style="510"/>
    <col min="14337" max="14337" width="62" style="510" customWidth="1"/>
    <col min="14338" max="14373" width="11.7109375" style="510" customWidth="1"/>
    <col min="14374" max="14592" width="11.42578125" style="510"/>
    <col min="14593" max="14593" width="62" style="510" customWidth="1"/>
    <col min="14594" max="14629" width="11.7109375" style="510" customWidth="1"/>
    <col min="14630" max="14848" width="11.42578125" style="510"/>
    <col min="14849" max="14849" width="62" style="510" customWidth="1"/>
    <col min="14850" max="14885" width="11.7109375" style="510" customWidth="1"/>
    <col min="14886" max="15104" width="11.42578125" style="510"/>
    <col min="15105" max="15105" width="62" style="510" customWidth="1"/>
    <col min="15106" max="15141" width="11.7109375" style="510" customWidth="1"/>
    <col min="15142" max="15360" width="11.42578125" style="510"/>
    <col min="15361" max="15361" width="62" style="510" customWidth="1"/>
    <col min="15362" max="15397" width="11.7109375" style="510" customWidth="1"/>
    <col min="15398" max="15616" width="11.42578125" style="510"/>
    <col min="15617" max="15617" width="62" style="510" customWidth="1"/>
    <col min="15618" max="15653" width="11.7109375" style="510" customWidth="1"/>
    <col min="15654" max="15872" width="11.42578125" style="510"/>
    <col min="15873" max="15873" width="62" style="510" customWidth="1"/>
    <col min="15874" max="15909" width="11.7109375" style="510" customWidth="1"/>
    <col min="15910" max="16128" width="11.42578125" style="510"/>
    <col min="16129" max="16129" width="62" style="510" customWidth="1"/>
    <col min="16130" max="16165" width="11.7109375" style="510" customWidth="1"/>
    <col min="16166" max="16384" width="11.42578125" style="510"/>
  </cols>
  <sheetData>
    <row r="1" spans="1:54" ht="20.25" customHeight="1" x14ac:dyDescent="0.3">
      <c r="A1" s="508" t="s">
        <v>170</v>
      </c>
      <c r="B1" s="474" t="s">
        <v>52</v>
      </c>
      <c r="AL1" s="771"/>
    </row>
    <row r="2" spans="1:54" ht="20.100000000000001" customHeight="1" x14ac:dyDescent="0.3">
      <c r="A2" s="508" t="s">
        <v>265</v>
      </c>
      <c r="C2" s="980"/>
      <c r="D2" s="980"/>
      <c r="H2" s="980"/>
      <c r="I2" s="700"/>
      <c r="AL2" s="771"/>
    </row>
    <row r="3" spans="1:54" ht="20.100000000000001" customHeight="1" x14ac:dyDescent="0.3">
      <c r="A3" s="772" t="s">
        <v>333</v>
      </c>
      <c r="AL3" s="773"/>
    </row>
    <row r="4" spans="1:54" ht="20.100000000000001" customHeight="1" x14ac:dyDescent="0.3">
      <c r="A4" s="514" t="s">
        <v>360</v>
      </c>
      <c r="B4" s="519"/>
      <c r="C4" s="518"/>
      <c r="D4" s="520"/>
      <c r="E4" s="519"/>
      <c r="F4" s="518"/>
      <c r="G4" s="520"/>
      <c r="H4" s="519"/>
      <c r="I4" s="518"/>
      <c r="J4" s="520"/>
      <c r="K4" s="518"/>
      <c r="L4" s="518"/>
      <c r="M4" s="520"/>
      <c r="N4" s="518"/>
      <c r="O4" s="518"/>
      <c r="P4" s="520"/>
      <c r="Q4" s="519"/>
      <c r="R4" s="518"/>
      <c r="S4" s="520"/>
      <c r="T4" s="519"/>
      <c r="U4" s="518"/>
      <c r="V4" s="520"/>
      <c r="W4" s="519"/>
      <c r="X4" s="518"/>
      <c r="Y4" s="520"/>
      <c r="Z4" s="705"/>
      <c r="AA4" s="706"/>
      <c r="AB4" s="707"/>
      <c r="AC4" s="519"/>
      <c r="AD4" s="518"/>
      <c r="AE4" s="520"/>
      <c r="AF4" s="519"/>
      <c r="AG4" s="518"/>
      <c r="AH4" s="520"/>
      <c r="AI4" s="519"/>
      <c r="AJ4" s="774"/>
      <c r="AK4" s="520"/>
      <c r="AL4" s="775"/>
      <c r="AM4" s="776"/>
      <c r="AN4" s="776"/>
      <c r="AO4" s="776"/>
      <c r="AP4" s="776"/>
      <c r="AQ4" s="776"/>
      <c r="AR4" s="776"/>
      <c r="AS4" s="776"/>
      <c r="AT4" s="776"/>
      <c r="AU4" s="776"/>
      <c r="AV4" s="776"/>
      <c r="AW4" s="776"/>
      <c r="AX4" s="776"/>
      <c r="AY4" s="776"/>
      <c r="AZ4" s="776"/>
      <c r="BA4" s="776"/>
      <c r="BB4" s="776"/>
    </row>
    <row r="5" spans="1:54" ht="20.100000000000001" customHeight="1" x14ac:dyDescent="0.3">
      <c r="A5" s="525"/>
      <c r="B5" s="1035" t="s">
        <v>173</v>
      </c>
      <c r="C5" s="1036"/>
      <c r="D5" s="1037"/>
      <c r="E5" s="1035" t="s">
        <v>174</v>
      </c>
      <c r="F5" s="1036"/>
      <c r="G5" s="1037"/>
      <c r="H5" s="1035" t="s">
        <v>174</v>
      </c>
      <c r="I5" s="1036"/>
      <c r="J5" s="1037"/>
      <c r="K5" s="1036" t="s">
        <v>487</v>
      </c>
      <c r="L5" s="1036"/>
      <c r="M5" s="1037"/>
      <c r="N5" s="1036" t="s">
        <v>175</v>
      </c>
      <c r="O5" s="1036"/>
      <c r="P5" s="1037"/>
      <c r="Q5" s="1035" t="s">
        <v>176</v>
      </c>
      <c r="R5" s="1036"/>
      <c r="S5" s="1037"/>
      <c r="T5" s="941" t="s">
        <v>177</v>
      </c>
      <c r="U5" s="942"/>
      <c r="V5" s="943"/>
      <c r="W5" s="885"/>
      <c r="X5" s="886"/>
      <c r="Y5" s="887"/>
      <c r="Z5" s="1035" t="s">
        <v>178</v>
      </c>
      <c r="AA5" s="1036"/>
      <c r="AB5" s="1037"/>
      <c r="AC5" s="1035"/>
      <c r="AD5" s="1036"/>
      <c r="AE5" s="1037"/>
      <c r="AF5" s="1035" t="s">
        <v>72</v>
      </c>
      <c r="AG5" s="1036"/>
      <c r="AH5" s="1037"/>
      <c r="AI5" s="1035" t="s">
        <v>283</v>
      </c>
      <c r="AJ5" s="1036"/>
      <c r="AK5" s="1037"/>
      <c r="AL5" s="579"/>
      <c r="AM5" s="777"/>
      <c r="AN5" s="1070"/>
      <c r="AO5" s="1070"/>
      <c r="AP5" s="1070"/>
      <c r="AQ5" s="1070"/>
      <c r="AR5" s="1070"/>
      <c r="AS5" s="1070"/>
      <c r="AT5" s="1070"/>
      <c r="AU5" s="1070"/>
      <c r="AV5" s="1070"/>
      <c r="AW5" s="1070"/>
      <c r="AX5" s="1070"/>
      <c r="AY5" s="1070"/>
      <c r="AZ5" s="1070"/>
      <c r="BA5" s="1070"/>
      <c r="BB5" s="1070"/>
    </row>
    <row r="6" spans="1:54" ht="20.100000000000001" customHeight="1" x14ac:dyDescent="0.3">
      <c r="A6" s="526"/>
      <c r="B6" s="1029" t="s">
        <v>179</v>
      </c>
      <c r="C6" s="1030"/>
      <c r="D6" s="1031"/>
      <c r="E6" s="1029" t="s">
        <v>498</v>
      </c>
      <c r="F6" s="1030"/>
      <c r="G6" s="1031"/>
      <c r="H6" s="1029" t="s">
        <v>180</v>
      </c>
      <c r="I6" s="1030"/>
      <c r="J6" s="1031"/>
      <c r="K6" s="1030" t="s">
        <v>180</v>
      </c>
      <c r="L6" s="1030"/>
      <c r="M6" s="1031"/>
      <c r="N6" s="1030" t="s">
        <v>180</v>
      </c>
      <c r="O6" s="1030"/>
      <c r="P6" s="1031"/>
      <c r="Q6" s="1029" t="s">
        <v>181</v>
      </c>
      <c r="R6" s="1030"/>
      <c r="S6" s="1031"/>
      <c r="T6" s="1029" t="s">
        <v>63</v>
      </c>
      <c r="U6" s="1030"/>
      <c r="V6" s="1031"/>
      <c r="W6" s="1029" t="s">
        <v>65</v>
      </c>
      <c r="X6" s="1030"/>
      <c r="Y6" s="1031"/>
      <c r="Z6" s="1029" t="s">
        <v>179</v>
      </c>
      <c r="AA6" s="1030"/>
      <c r="AB6" s="1031"/>
      <c r="AC6" s="1029" t="s">
        <v>67</v>
      </c>
      <c r="AD6" s="1030"/>
      <c r="AE6" s="1031"/>
      <c r="AF6" s="1029" t="s">
        <v>180</v>
      </c>
      <c r="AG6" s="1030"/>
      <c r="AH6" s="1031"/>
      <c r="AI6" s="1029" t="s">
        <v>284</v>
      </c>
      <c r="AJ6" s="1030"/>
      <c r="AK6" s="1031"/>
      <c r="AL6" s="579"/>
      <c r="AM6" s="777"/>
      <c r="AN6" s="1070"/>
      <c r="AO6" s="1070"/>
      <c r="AP6" s="1070"/>
      <c r="AQ6" s="1070"/>
      <c r="AR6" s="1070"/>
      <c r="AS6" s="1070"/>
      <c r="AT6" s="1070"/>
      <c r="AU6" s="1070"/>
      <c r="AV6" s="1070"/>
      <c r="AW6" s="1070"/>
      <c r="AX6" s="1070"/>
      <c r="AY6" s="1070"/>
      <c r="AZ6" s="1070"/>
      <c r="BA6" s="1070"/>
      <c r="BB6" s="1070"/>
    </row>
    <row r="7" spans="1:54" ht="20.100000000000001" customHeight="1" x14ac:dyDescent="0.3">
      <c r="A7" s="526"/>
      <c r="B7" s="712"/>
      <c r="C7" s="712"/>
      <c r="D7" s="527" t="s">
        <v>80</v>
      </c>
      <c r="E7" s="712"/>
      <c r="F7" s="712"/>
      <c r="G7" s="527" t="s">
        <v>80</v>
      </c>
      <c r="H7" s="712"/>
      <c r="I7" s="712"/>
      <c r="J7" s="527" t="s">
        <v>80</v>
      </c>
      <c r="K7" s="712"/>
      <c r="L7" s="712"/>
      <c r="M7" s="527" t="s">
        <v>80</v>
      </c>
      <c r="N7" s="712"/>
      <c r="O7" s="712"/>
      <c r="P7" s="527" t="s">
        <v>80</v>
      </c>
      <c r="Q7" s="712"/>
      <c r="R7" s="712"/>
      <c r="S7" s="527" t="s">
        <v>80</v>
      </c>
      <c r="T7" s="712"/>
      <c r="U7" s="712"/>
      <c r="V7" s="527" t="s">
        <v>80</v>
      </c>
      <c r="W7" s="712"/>
      <c r="X7" s="712"/>
      <c r="Y7" s="527" t="s">
        <v>80</v>
      </c>
      <c r="Z7" s="712"/>
      <c r="AA7" s="712"/>
      <c r="AB7" s="527" t="s">
        <v>80</v>
      </c>
      <c r="AC7" s="712"/>
      <c r="AD7" s="712"/>
      <c r="AE7" s="527" t="s">
        <v>80</v>
      </c>
      <c r="AF7" s="712"/>
      <c r="AG7" s="712"/>
      <c r="AH7" s="527" t="s">
        <v>80</v>
      </c>
      <c r="AI7" s="712"/>
      <c r="AJ7" s="712"/>
      <c r="AK7" s="527" t="s">
        <v>80</v>
      </c>
      <c r="AL7" s="579"/>
      <c r="AM7" s="777"/>
      <c r="AN7" s="777"/>
      <c r="AO7" s="777"/>
      <c r="AP7" s="777"/>
      <c r="AQ7" s="777"/>
      <c r="AR7" s="777"/>
      <c r="AS7" s="777"/>
      <c r="AT7" s="777"/>
      <c r="AU7" s="777"/>
      <c r="AV7" s="777"/>
      <c r="AW7" s="777"/>
      <c r="AX7" s="777"/>
      <c r="AY7" s="777"/>
      <c r="AZ7" s="777"/>
      <c r="BA7" s="777"/>
      <c r="BB7" s="777"/>
    </row>
    <row r="8" spans="1:54" ht="20.100000000000001" customHeight="1" x14ac:dyDescent="0.25">
      <c r="A8" s="778" t="s">
        <v>286</v>
      </c>
      <c r="B8" s="714">
        <v>2019</v>
      </c>
      <c r="C8" s="714">
        <v>2020</v>
      </c>
      <c r="D8" s="529" t="s">
        <v>82</v>
      </c>
      <c r="E8" s="714">
        <f>$B$8</f>
        <v>2019</v>
      </c>
      <c r="F8" s="714">
        <f>$C$8</f>
        <v>2020</v>
      </c>
      <c r="G8" s="529" t="s">
        <v>82</v>
      </c>
      <c r="H8" s="714">
        <f>$B$8</f>
        <v>2019</v>
      </c>
      <c r="I8" s="714">
        <f>$C$8</f>
        <v>2020</v>
      </c>
      <c r="J8" s="529" t="s">
        <v>82</v>
      </c>
      <c r="K8" s="714">
        <f>$B$8</f>
        <v>2019</v>
      </c>
      <c r="L8" s="714">
        <f>$C$8</f>
        <v>2020</v>
      </c>
      <c r="M8" s="529" t="s">
        <v>82</v>
      </c>
      <c r="N8" s="714">
        <f>$B$8</f>
        <v>2019</v>
      </c>
      <c r="O8" s="714">
        <f>$C$8</f>
        <v>2020</v>
      </c>
      <c r="P8" s="529" t="s">
        <v>82</v>
      </c>
      <c r="Q8" s="714">
        <f>$B$8</f>
        <v>2019</v>
      </c>
      <c r="R8" s="714">
        <f>$C$8</f>
        <v>2020</v>
      </c>
      <c r="S8" s="529" t="s">
        <v>82</v>
      </c>
      <c r="T8" s="714">
        <f>$B$8</f>
        <v>2019</v>
      </c>
      <c r="U8" s="714">
        <f>$C$8</f>
        <v>2020</v>
      </c>
      <c r="V8" s="529" t="s">
        <v>82</v>
      </c>
      <c r="W8" s="714">
        <f>$B$8</f>
        <v>2019</v>
      </c>
      <c r="X8" s="714">
        <f>$C$8</f>
        <v>2020</v>
      </c>
      <c r="Y8" s="529" t="s">
        <v>82</v>
      </c>
      <c r="Z8" s="714">
        <f>$B$8</f>
        <v>2019</v>
      </c>
      <c r="AA8" s="714">
        <f>$C$8</f>
        <v>2020</v>
      </c>
      <c r="AB8" s="529" t="s">
        <v>82</v>
      </c>
      <c r="AC8" s="714">
        <f>$B$8</f>
        <v>2019</v>
      </c>
      <c r="AD8" s="714">
        <f>$C$8</f>
        <v>2020</v>
      </c>
      <c r="AE8" s="529" t="s">
        <v>82</v>
      </c>
      <c r="AF8" s="714">
        <f>$B$8</f>
        <v>2019</v>
      </c>
      <c r="AG8" s="714">
        <f>$C$8</f>
        <v>2020</v>
      </c>
      <c r="AH8" s="529" t="s">
        <v>82</v>
      </c>
      <c r="AI8" s="714">
        <f>$B$8</f>
        <v>2019</v>
      </c>
      <c r="AJ8" s="714">
        <f>$C$8</f>
        <v>2020</v>
      </c>
      <c r="AK8" s="529" t="s">
        <v>82</v>
      </c>
      <c r="AL8" s="579"/>
      <c r="AM8" s="779"/>
      <c r="AN8" s="780"/>
      <c r="AO8" s="780"/>
      <c r="AP8" s="779"/>
      <c r="AQ8" s="780"/>
      <c r="AR8" s="780"/>
      <c r="AS8" s="779"/>
      <c r="AT8" s="780"/>
      <c r="AU8" s="780"/>
      <c r="AV8" s="779"/>
      <c r="AW8" s="780"/>
      <c r="AX8" s="780"/>
      <c r="AY8" s="779"/>
      <c r="AZ8" s="780"/>
      <c r="BA8" s="780"/>
      <c r="BB8" s="779"/>
    </row>
    <row r="9" spans="1:54" s="786" customFormat="1" ht="20.100000000000001" customHeight="1" x14ac:dyDescent="0.3">
      <c r="A9" s="781"/>
      <c r="B9" s="854"/>
      <c r="C9" s="878"/>
      <c r="D9" s="783"/>
      <c r="E9" s="929"/>
      <c r="F9" s="830"/>
      <c r="G9" s="783"/>
      <c r="H9" s="854"/>
      <c r="I9" s="878"/>
      <c r="J9" s="783"/>
      <c r="K9" s="835"/>
      <c r="L9" s="878"/>
      <c r="M9" s="783"/>
      <c r="N9" s="854"/>
      <c r="O9" s="878"/>
      <c r="P9" s="783"/>
      <c r="Q9" s="855"/>
      <c r="R9" s="830"/>
      <c r="S9" s="783"/>
      <c r="T9" s="878"/>
      <c r="U9" s="878"/>
      <c r="V9" s="783"/>
      <c r="W9" s="929"/>
      <c r="X9" s="830"/>
      <c r="Y9" s="783"/>
      <c r="Z9" s="854"/>
      <c r="AA9" s="878"/>
      <c r="AB9" s="783"/>
      <c r="AC9" s="854"/>
      <c r="AD9" s="878"/>
      <c r="AE9" s="784"/>
      <c r="AF9" s="854"/>
      <c r="AG9" s="878"/>
      <c r="AH9" s="783"/>
      <c r="AI9" s="782"/>
      <c r="AJ9" s="783"/>
      <c r="AK9" s="783"/>
      <c r="AL9" s="785"/>
      <c r="AM9" s="785"/>
    </row>
    <row r="10" spans="1:54" s="790" customFormat="1" ht="20.100000000000001" customHeight="1" x14ac:dyDescent="0.3">
      <c r="A10" s="534" t="s">
        <v>436</v>
      </c>
      <c r="B10" s="854"/>
      <c r="C10" s="878"/>
      <c r="D10" s="783"/>
      <c r="E10" s="855">
        <v>46.9</v>
      </c>
      <c r="F10" s="830">
        <v>49.8</v>
      </c>
      <c r="G10" s="783">
        <f>IF(E10=0, "    ---- ", IF(ABS(ROUND(100/E10*F10-100,1))&lt;999,ROUND(100/E10*F10-100,1),IF(ROUND(100/E10*F10-100,1)&gt;999,999,-999)))</f>
        <v>6.2</v>
      </c>
      <c r="H10" s="854">
        <v>24.11</v>
      </c>
      <c r="I10" s="878">
        <v>24.835785914597899</v>
      </c>
      <c r="J10" s="783"/>
      <c r="K10" s="835"/>
      <c r="L10" s="878">
        <v>44.35</v>
      </c>
      <c r="M10" s="783"/>
      <c r="N10" s="854">
        <v>46.2</v>
      </c>
      <c r="O10" s="878">
        <v>75.5</v>
      </c>
      <c r="P10" s="783"/>
      <c r="Q10" s="855">
        <v>18.88</v>
      </c>
      <c r="R10" s="830">
        <v>22.08</v>
      </c>
      <c r="S10" s="783"/>
      <c r="T10" s="878"/>
      <c r="U10" s="878">
        <v>22.43</v>
      </c>
      <c r="V10" s="783"/>
      <c r="W10" s="930">
        <v>33.700000000000003</v>
      </c>
      <c r="X10" s="878">
        <v>39.9</v>
      </c>
      <c r="Y10" s="783"/>
      <c r="Z10" s="939">
        <f>(1430+8119+1240+7241+16522+559)/(66898+1578)*100</f>
        <v>51.274899234768391</v>
      </c>
      <c r="AA10" s="834">
        <f>(1430+9052+1240+7886+17605+1223)/(66749+7077)*100</f>
        <v>52.062958849185925</v>
      </c>
      <c r="AB10" s="783"/>
      <c r="AC10" s="930">
        <v>38.354442555705653</v>
      </c>
      <c r="AD10" s="933">
        <f>('[3]Tabell 6'!AJ68+'[3]Tabell 6'!AJ71+'[3]Tabell 6'!AJ74+'[3]Tabell 6'!AJ75+'[3]Tabell 6'!AJ78+653.891)/('[3]Tabell 6'!AJ79)*100</f>
        <v>44.737942908782344</v>
      </c>
      <c r="AE10" s="783"/>
      <c r="AF10" s="930">
        <v>25.1</v>
      </c>
      <c r="AG10" s="933">
        <v>28.2</v>
      </c>
      <c r="AH10" s="783"/>
      <c r="AI10" s="782"/>
      <c r="AJ10" s="783"/>
      <c r="AK10" s="783"/>
      <c r="AL10" s="789"/>
      <c r="AM10" s="789"/>
    </row>
    <row r="11" spans="1:54" s="790" customFormat="1" ht="20.100000000000001" customHeight="1" x14ac:dyDescent="0.3">
      <c r="A11" s="534" t="s">
        <v>342</v>
      </c>
      <c r="B11" s="919">
        <v>42.593000000000004</v>
      </c>
      <c r="C11" s="935">
        <v>68.406000000000006</v>
      </c>
      <c r="D11" s="536">
        <f>IF(B11=0, "    ---- ", IF(ABS(ROUND(100/B11*C11-100,1))&lt;999,ROUND(100/B11*C11-100,1),IF(ROUND(100/B11*C11-100,1)&gt;999,999,-999)))</f>
        <v>60.6</v>
      </c>
      <c r="E11" s="857">
        <v>19</v>
      </c>
      <c r="F11" s="831">
        <v>0</v>
      </c>
      <c r="G11" s="536"/>
      <c r="H11" s="856">
        <v>5557.1989999999996</v>
      </c>
      <c r="I11" s="879">
        <v>2626.89</v>
      </c>
      <c r="J11" s="536">
        <f>IF(H11=0, "    ---- ", IF(ABS(ROUND(100/H11*I11-100,1))&lt;999,ROUND(100/H11*I11-100,1),IF(ROUND(100/H11*I11-100,1)&gt;999,999,-999)))</f>
        <v>-52.7</v>
      </c>
      <c r="K11" s="836"/>
      <c r="L11" s="879">
        <v>46</v>
      </c>
      <c r="M11" s="536"/>
      <c r="N11" s="856"/>
      <c r="O11" s="879"/>
      <c r="P11" s="536"/>
      <c r="Q11" s="857">
        <v>21.2</v>
      </c>
      <c r="R11" s="831">
        <v>1.6</v>
      </c>
      <c r="S11" s="536">
        <f>IF(Q11=0, "    ---- ", IF(ABS(ROUND(100/Q11*R11-100,1))&lt;999,ROUND(100/Q11*R11-100,1),IF(ROUND(100/Q11*R11-100,1)&gt;999,999,-999)))</f>
        <v>-92.5</v>
      </c>
      <c r="T11" s="879">
        <v>55761</v>
      </c>
      <c r="U11" s="879">
        <v>55137</v>
      </c>
      <c r="V11" s="536">
        <f>IF(T11=0, "    ---- ", IF(ABS(ROUND(100/T11*U11-100,1))&lt;999,ROUND(100/T11*U11-100,1),IF(ROUND(100/T11*U11-100,1)&gt;999,999,-999)))</f>
        <v>-1.1000000000000001</v>
      </c>
      <c r="W11" s="919">
        <v>1630</v>
      </c>
      <c r="X11" s="879">
        <v>2340</v>
      </c>
      <c r="Y11" s="536">
        <f>IF(W11=0, "    ---- ", IF(ABS(ROUND(100/W11*X11-100,1))&lt;999,ROUND(100/W11*X11-100,1),IF(ROUND(100/W11*X11-100,1)&gt;999,999,-999)))</f>
        <v>43.6</v>
      </c>
      <c r="Z11" s="856">
        <v>16522</v>
      </c>
      <c r="AA11" s="879">
        <v>17605</v>
      </c>
      <c r="AB11" s="536">
        <f>IF(Z11=0, "    ---- ", IF(ABS(ROUND(100/Z11*AA11-100,1))&lt;999,ROUND(100/Z11*AA11-100,1),IF(ROUND(100/Z11*AA11-100,1)&gt;999,999,-999)))</f>
        <v>6.6</v>
      </c>
      <c r="AC11" s="196">
        <v>2326.306</v>
      </c>
      <c r="AD11" s="920">
        <v>2806.3910000000001</v>
      </c>
      <c r="AE11" s="536">
        <f>IF(AC11=0, "    ---- ", IF(ABS(ROUND(100/AC11*AD11-100,1))&lt;999,ROUND(100/AC11*AD11-100,1),IF(ROUND(100/AC11*AD11-100,1)&gt;999,999,-999)))</f>
        <v>20.6</v>
      </c>
      <c r="AF11" s="919">
        <v>5500</v>
      </c>
      <c r="AG11" s="920">
        <v>7170</v>
      </c>
      <c r="AH11" s="536">
        <f>IF(AF11=0, "    ---- ", IF(ABS(ROUND(100/AF11*AG11-100,1))&lt;999,ROUND(100/AF11*AG11-100,1),IF(ROUND(100/AF11*AG11-100,1)&gt;999,999,-999)))</f>
        <v>30.4</v>
      </c>
      <c r="AI11" s="538">
        <f>B11+H11+K11+N11+Q11+T11+E11+W11+Z11+AC11+AF11</f>
        <v>87379.297999999995</v>
      </c>
      <c r="AJ11" s="538">
        <f>C11+I11+L11+O11+R11+U11+F11+X11+AA11+AD11+AG11</f>
        <v>87801.287000000011</v>
      </c>
      <c r="AK11" s="536">
        <f>IF(AI11=0, "    ---- ", IF(ABS(ROUND(100/AI11*AJ11-100,1))&lt;999,ROUND(100/AI11*AJ11-100,1),IF(ROUND(100/AI11*AJ11-100,1)&gt;999,999,-999)))</f>
        <v>0.5</v>
      </c>
      <c r="AL11" s="789"/>
      <c r="AM11" s="789"/>
    </row>
    <row r="12" spans="1:54" s="790" customFormat="1" ht="20.100000000000001" customHeight="1" x14ac:dyDescent="0.3">
      <c r="A12" s="727" t="s">
        <v>437</v>
      </c>
      <c r="B12" s="858"/>
      <c r="C12" s="880"/>
      <c r="D12" s="792"/>
      <c r="E12" s="860">
        <v>43</v>
      </c>
      <c r="F12" s="832">
        <v>132</v>
      </c>
      <c r="G12" s="792">
        <f>IF(E12=0, "    ---- ", IF(ABS(ROUND(100/E12*F12-100,1))&lt;999,ROUND(100/E12*F12-100,1),IF(ROUND(100/E12*F12-100,1)&gt;999,999,-999)))</f>
        <v>207</v>
      </c>
      <c r="H12" s="858">
        <v>5265.9759999999997</v>
      </c>
      <c r="I12" s="880">
        <v>7525.1779999999999</v>
      </c>
      <c r="J12" s="792">
        <f>IF(H12=0, "    ---- ", IF(ABS(ROUND(100/H12*I12-100,1))&lt;999,ROUND(100/H12*I12-100,1),IF(ROUND(100/H12*I12-100,1)&gt;999,999,-999)))</f>
        <v>42.9</v>
      </c>
      <c r="K12" s="837"/>
      <c r="L12" s="985">
        <v>1.9</v>
      </c>
      <c r="M12" s="792"/>
      <c r="N12" s="858"/>
      <c r="O12" s="880"/>
      <c r="P12" s="792"/>
      <c r="Q12" s="860"/>
      <c r="R12" s="832">
        <v>5.8760000000000003</v>
      </c>
      <c r="S12" s="792"/>
      <c r="T12" s="880"/>
      <c r="U12" s="880"/>
      <c r="V12" s="792" t="str">
        <f>IF(T12=0, "    ---- ", IF(ABS(ROUND(100/T12*U12-100,1))&lt;999,ROUND(100/T12*U12-100,1),IF(ROUND(100/T12*U12-100,1)&gt;999,999,-999)))</f>
        <v xml:space="preserve">    ---- </v>
      </c>
      <c r="W12" s="859">
        <v>1154</v>
      </c>
      <c r="X12" s="832">
        <v>2668</v>
      </c>
      <c r="Y12" s="792">
        <f>IF(W12=0, "    ---- ", IF(ABS(ROUND(100/W12*X12-100,1))&lt;999,ROUND(100/W12*X12-100,1),IF(ROUND(100/W12*X12-100,1)&gt;999,999,-999)))</f>
        <v>131.19999999999999</v>
      </c>
      <c r="Z12" s="858">
        <v>559</v>
      </c>
      <c r="AA12" s="880">
        <v>1223</v>
      </c>
      <c r="AB12" s="792">
        <f>IF(Z12=0, "    ---- ", IF(ABS(ROUND(100/Z12*AA12-100,1))&lt;999,ROUND(100/Z12*AA12-100,1),IF(ROUND(100/Z12*AA12-100,1)&gt;999,999,-999)))</f>
        <v>118.8</v>
      </c>
      <c r="AC12" s="923">
        <v>29.821999999999999</v>
      </c>
      <c r="AD12" s="924">
        <v>85.724999999999994</v>
      </c>
      <c r="AE12" s="792">
        <f>IF(AC12=0, "    ---- ", IF(ABS(ROUND(100/AC12*AD12-100,1))&lt;999,ROUND(100/AC12*AD12-100,1),IF(ROUND(100/AC12*AD12-100,1)&gt;999,999,-999)))</f>
        <v>187.5</v>
      </c>
      <c r="AF12" s="923">
        <v>4697</v>
      </c>
      <c r="AG12" s="924">
        <v>8832</v>
      </c>
      <c r="AH12" s="792">
        <f>IF(AF12=0, "    ---- ", IF(ABS(ROUND(100/AF12*AG12-100,1))&lt;999,ROUND(100/AF12*AG12-100,1),IF(ROUND(100/AF12*AG12-100,1)&gt;999,999,-999)))</f>
        <v>88</v>
      </c>
      <c r="AI12" s="791">
        <f>B12+H12+K12+N12+Q12+T12+E12+W12+Z12+AC12+AF12</f>
        <v>11748.797999999999</v>
      </c>
      <c r="AJ12" s="791">
        <f>C12+I12+L12+O12+R12+U12+F12+X12+AA12+AD12+AG12</f>
        <v>20473.679</v>
      </c>
      <c r="AK12" s="792">
        <f>IF(AI12=0, "    ---- ", IF(ABS(ROUND(100/AI12*AJ12-100,1))&lt;999,ROUND(100/AI12*AJ12-100,1),IF(ROUND(100/AI12*AJ12-100,1)&gt;999,999,-999)))</f>
        <v>74.3</v>
      </c>
      <c r="AL12" s="789"/>
      <c r="AM12" s="789"/>
    </row>
    <row r="13" spans="1:54" s="790" customFormat="1" ht="20.100000000000001" customHeight="1" x14ac:dyDescent="0.3">
      <c r="A13" s="552"/>
      <c r="B13" s="933"/>
      <c r="C13" s="933"/>
      <c r="D13" s="788"/>
      <c r="E13" s="931"/>
      <c r="F13" s="931"/>
      <c r="G13" s="788"/>
      <c r="H13" s="933"/>
      <c r="I13" s="933"/>
      <c r="J13" s="788"/>
      <c r="K13" s="793"/>
      <c r="L13" s="933"/>
      <c r="M13" s="788"/>
      <c r="N13" s="793"/>
      <c r="O13" s="788"/>
      <c r="P13" s="788"/>
      <c r="Q13" s="931"/>
      <c r="R13" s="931"/>
      <c r="S13" s="788"/>
      <c r="T13" s="933"/>
      <c r="U13" s="933"/>
      <c r="V13" s="788"/>
      <c r="W13" s="931"/>
      <c r="X13" s="931"/>
      <c r="Y13" s="788"/>
      <c r="Z13" s="933"/>
      <c r="AA13" s="933"/>
      <c r="AB13" s="788"/>
      <c r="AC13" s="933"/>
      <c r="AD13" s="933"/>
      <c r="AE13" s="788"/>
      <c r="AF13" s="933"/>
      <c r="AG13" s="933"/>
      <c r="AH13" s="788"/>
      <c r="AI13" s="788"/>
      <c r="AJ13" s="788"/>
      <c r="AK13" s="788"/>
      <c r="AL13" s="789"/>
      <c r="AM13" s="789"/>
    </row>
    <row r="14" spans="1:54" s="790" customFormat="1" ht="20.100000000000001" customHeight="1" x14ac:dyDescent="0.3">
      <c r="A14" s="825" t="s">
        <v>438</v>
      </c>
      <c r="B14" s="932"/>
      <c r="C14" s="932"/>
      <c r="D14" s="795"/>
      <c r="E14" s="932"/>
      <c r="F14" s="932"/>
      <c r="G14" s="795"/>
      <c r="H14" s="932"/>
      <c r="I14" s="932"/>
      <c r="J14" s="795"/>
      <c r="K14" s="796"/>
      <c r="L14" s="932"/>
      <c r="M14" s="795"/>
      <c r="N14" s="796"/>
      <c r="O14" s="795"/>
      <c r="P14" s="795"/>
      <c r="Q14" s="932"/>
      <c r="R14" s="932"/>
      <c r="S14" s="795"/>
      <c r="T14" s="932"/>
      <c r="U14" s="932"/>
      <c r="V14" s="795"/>
      <c r="W14" s="932"/>
      <c r="X14" s="932"/>
      <c r="Y14" s="795"/>
      <c r="Z14" s="932"/>
      <c r="AA14" s="932"/>
      <c r="AB14" s="795"/>
      <c r="AC14" s="932"/>
      <c r="AD14" s="932"/>
      <c r="AE14" s="795"/>
      <c r="AF14" s="932"/>
      <c r="AG14" s="932"/>
      <c r="AH14" s="795"/>
      <c r="AI14" s="722"/>
      <c r="AJ14" s="795"/>
      <c r="AK14" s="795"/>
      <c r="AL14" s="789"/>
      <c r="AM14" s="789"/>
    </row>
    <row r="15" spans="1:54" s="790" customFormat="1" ht="20.100000000000001" customHeight="1" x14ac:dyDescent="0.3">
      <c r="A15" s="825" t="s">
        <v>439</v>
      </c>
      <c r="B15" s="932"/>
      <c r="C15" s="932"/>
      <c r="D15" s="795"/>
      <c r="E15" s="932"/>
      <c r="F15" s="932"/>
      <c r="G15" s="795"/>
      <c r="H15" s="932"/>
      <c r="I15" s="932"/>
      <c r="J15" s="795"/>
      <c r="K15" s="796"/>
      <c r="L15" s="986"/>
      <c r="M15" s="795"/>
      <c r="N15" s="796"/>
      <c r="O15" s="795"/>
      <c r="P15" s="795"/>
      <c r="Q15" s="932"/>
      <c r="R15" s="932"/>
      <c r="S15" s="795"/>
      <c r="T15" s="932"/>
      <c r="U15" s="932"/>
      <c r="V15" s="795"/>
      <c r="W15" s="932"/>
      <c r="X15" s="932"/>
      <c r="Y15" s="795"/>
      <c r="Z15" s="932"/>
      <c r="AA15" s="932"/>
      <c r="AB15" s="795"/>
      <c r="AC15" s="932"/>
      <c r="AD15" s="932"/>
      <c r="AE15" s="795"/>
      <c r="AF15" s="932"/>
      <c r="AG15" s="932"/>
      <c r="AH15" s="795"/>
      <c r="AI15" s="722"/>
      <c r="AJ15" s="795"/>
      <c r="AK15" s="795"/>
      <c r="AL15" s="789"/>
      <c r="AM15" s="789"/>
    </row>
    <row r="16" spans="1:54" s="790" customFormat="1" ht="20.100000000000001" customHeight="1" x14ac:dyDescent="0.3">
      <c r="A16" s="826" t="s">
        <v>506</v>
      </c>
      <c r="B16" s="932"/>
      <c r="C16" s="932">
        <f>AVERAGE(C17:C21)</f>
        <v>2.35</v>
      </c>
      <c r="D16" s="795"/>
      <c r="E16" s="932"/>
      <c r="F16" s="932">
        <f>AVERAGE(F17:F21)</f>
        <v>5.0000000000000009</v>
      </c>
      <c r="G16" s="795"/>
      <c r="H16" s="932"/>
      <c r="I16" s="932">
        <f>AVERAGE(I17:I21)</f>
        <v>3.8303623000977125</v>
      </c>
      <c r="J16" s="795"/>
      <c r="K16" s="795"/>
      <c r="L16" s="932">
        <f>AVERAGE(L17:L21)</f>
        <v>1.59</v>
      </c>
      <c r="M16" s="795"/>
      <c r="N16" s="795"/>
      <c r="O16" s="795"/>
      <c r="P16" s="795"/>
      <c r="Q16" s="932"/>
      <c r="R16" s="932">
        <f>AVERAGE(R17:R21)</f>
        <v>4.0220000000000002</v>
      </c>
      <c r="S16" s="795"/>
      <c r="T16" s="932"/>
      <c r="U16" s="932">
        <f>AVERAGE(U17:U21)</f>
        <v>4.2421109069467136</v>
      </c>
      <c r="V16" s="795"/>
      <c r="W16" s="932"/>
      <c r="X16" s="932">
        <f>AVERAGE(X17:X21)</f>
        <v>4.2780000000000005</v>
      </c>
      <c r="Y16" s="795"/>
      <c r="Z16" s="932"/>
      <c r="AA16" s="932">
        <f>AVERAGE(AA17:AA21)</f>
        <v>5.8239999999999998</v>
      </c>
      <c r="AB16" s="795"/>
      <c r="AC16" s="932"/>
      <c r="AD16" s="932">
        <f>AVERAGE(AD17:AD21)</f>
        <v>5.2137052547757063</v>
      </c>
      <c r="AE16" s="795"/>
      <c r="AF16" s="932"/>
      <c r="AG16" s="932">
        <f>AVERAGE(AG17:AG21)</f>
        <v>4.5140000000000002</v>
      </c>
      <c r="AH16" s="795"/>
      <c r="AI16" s="722"/>
      <c r="AJ16" s="795"/>
      <c r="AK16" s="795"/>
      <c r="AL16" s="789"/>
      <c r="AM16" s="789"/>
    </row>
    <row r="17" spans="1:39" s="786" customFormat="1" ht="20.100000000000001" customHeight="1" x14ac:dyDescent="0.3">
      <c r="A17" s="827">
        <v>2020</v>
      </c>
      <c r="B17" s="932"/>
      <c r="C17" s="933">
        <v>2.39</v>
      </c>
      <c r="D17" s="788"/>
      <c r="E17" s="933"/>
      <c r="F17" s="933">
        <v>3.5</v>
      </c>
      <c r="G17" s="788"/>
      <c r="H17" s="933"/>
      <c r="I17" s="933">
        <v>2.9318115004885601</v>
      </c>
      <c r="J17" s="788"/>
      <c r="K17" s="793"/>
      <c r="L17" s="933">
        <v>1.59</v>
      </c>
      <c r="M17" s="788"/>
      <c r="N17" s="793"/>
      <c r="O17" s="788"/>
      <c r="P17" s="788"/>
      <c r="Q17" s="933"/>
      <c r="R17" s="933">
        <v>3.33</v>
      </c>
      <c r="S17" s="788"/>
      <c r="T17" s="933"/>
      <c r="U17" s="933">
        <v>4.815178754619609</v>
      </c>
      <c r="V17" s="788"/>
      <c r="W17" s="933"/>
      <c r="X17" s="933">
        <v>3.5</v>
      </c>
      <c r="Y17" s="788"/>
      <c r="Z17" s="933"/>
      <c r="AA17" s="933">
        <v>8.24</v>
      </c>
      <c r="AB17" s="788"/>
      <c r="AC17" s="933"/>
      <c r="AD17" s="933">
        <v>2.2770880867932601</v>
      </c>
      <c r="AE17" s="788"/>
      <c r="AF17" s="933"/>
      <c r="AG17" s="933">
        <v>4.76</v>
      </c>
      <c r="AH17" s="788"/>
      <c r="AI17" s="540"/>
      <c r="AJ17" s="788"/>
      <c r="AK17" s="788"/>
      <c r="AL17" s="785"/>
      <c r="AM17" s="785"/>
    </row>
    <row r="18" spans="1:39" s="786" customFormat="1" ht="20.100000000000001" customHeight="1" x14ac:dyDescent="0.3">
      <c r="A18" s="827">
        <v>2019</v>
      </c>
      <c r="B18" s="933"/>
      <c r="C18" s="933">
        <v>1.97</v>
      </c>
      <c r="D18" s="787"/>
      <c r="E18" s="933"/>
      <c r="F18" s="933">
        <v>3.4</v>
      </c>
      <c r="G18" s="787"/>
      <c r="H18" s="933"/>
      <c r="I18" s="933">
        <v>3.93</v>
      </c>
      <c r="J18" s="787"/>
      <c r="K18" s="797"/>
      <c r="L18" s="933"/>
      <c r="M18" s="787"/>
      <c r="N18" s="797"/>
      <c r="O18" s="787"/>
      <c r="P18" s="787"/>
      <c r="Q18" s="933"/>
      <c r="R18" s="933">
        <v>4.1399999999999997</v>
      </c>
      <c r="S18" s="787"/>
      <c r="T18" s="933"/>
      <c r="U18" s="933">
        <v>4.4943757801139572</v>
      </c>
      <c r="V18" s="787"/>
      <c r="W18" s="933"/>
      <c r="X18" s="933">
        <v>4.63</v>
      </c>
      <c r="Y18" s="787"/>
      <c r="Z18" s="933"/>
      <c r="AA18" s="933">
        <v>2.1</v>
      </c>
      <c r="AB18" s="787"/>
      <c r="AC18" s="933"/>
      <c r="AD18" s="933">
        <v>7.9659633792055002</v>
      </c>
      <c r="AE18" s="787"/>
      <c r="AF18" s="933"/>
      <c r="AG18" s="933">
        <v>3.78</v>
      </c>
      <c r="AH18" s="788"/>
      <c r="AI18" s="540"/>
      <c r="AJ18" s="788"/>
      <c r="AK18" s="788"/>
      <c r="AL18" s="785"/>
      <c r="AM18" s="785"/>
    </row>
    <row r="19" spans="1:39" s="790" customFormat="1" ht="20.100000000000001" customHeight="1" x14ac:dyDescent="0.3">
      <c r="A19" s="827">
        <v>2018</v>
      </c>
      <c r="B19" s="933"/>
      <c r="C19" s="933">
        <v>3.47</v>
      </c>
      <c r="D19" s="787"/>
      <c r="E19" s="933"/>
      <c r="F19" s="933">
        <v>4.5</v>
      </c>
      <c r="G19" s="787"/>
      <c r="H19" s="933"/>
      <c r="I19" s="933">
        <v>3.46</v>
      </c>
      <c r="J19" s="787"/>
      <c r="K19" s="797"/>
      <c r="L19" s="933"/>
      <c r="M19" s="787"/>
      <c r="N19" s="797"/>
      <c r="O19" s="787"/>
      <c r="P19" s="787"/>
      <c r="Q19" s="933"/>
      <c r="R19" s="933">
        <v>5.2</v>
      </c>
      <c r="S19" s="787"/>
      <c r="T19" s="933"/>
      <c r="U19" s="933">
        <v>3.5110000000000001</v>
      </c>
      <c r="V19" s="787"/>
      <c r="W19" s="933"/>
      <c r="X19" s="933">
        <v>4.83</v>
      </c>
      <c r="Y19" s="787"/>
      <c r="Z19" s="933"/>
      <c r="AA19" s="933">
        <v>4.5999999999999996</v>
      </c>
      <c r="AB19" s="787"/>
      <c r="AC19" s="933"/>
      <c r="AD19" s="933">
        <v>5.7548555647528596</v>
      </c>
      <c r="AE19" s="787"/>
      <c r="AF19" s="933"/>
      <c r="AG19" s="933">
        <v>3.21</v>
      </c>
      <c r="AH19" s="788"/>
      <c r="AI19" s="540"/>
      <c r="AJ19" s="788"/>
      <c r="AK19" s="788"/>
      <c r="AL19" s="789"/>
      <c r="AM19" s="789"/>
    </row>
    <row r="20" spans="1:39" s="790" customFormat="1" ht="20.100000000000001" customHeight="1" x14ac:dyDescent="0.3">
      <c r="A20" s="827">
        <v>2017</v>
      </c>
      <c r="B20" s="933"/>
      <c r="C20" s="933">
        <v>1.99</v>
      </c>
      <c r="D20" s="787"/>
      <c r="E20" s="933"/>
      <c r="F20" s="933">
        <v>8.3000000000000007</v>
      </c>
      <c r="G20" s="787"/>
      <c r="H20" s="933"/>
      <c r="I20" s="933">
        <v>4.57</v>
      </c>
      <c r="J20" s="787"/>
      <c r="K20" s="797"/>
      <c r="L20" s="933"/>
      <c r="M20" s="787"/>
      <c r="N20" s="797"/>
      <c r="O20" s="787"/>
      <c r="P20" s="787"/>
      <c r="Q20" s="933"/>
      <c r="R20" s="933">
        <v>3.68</v>
      </c>
      <c r="S20" s="787"/>
      <c r="T20" s="933"/>
      <c r="U20" s="933">
        <v>3.94</v>
      </c>
      <c r="V20" s="787"/>
      <c r="W20" s="933"/>
      <c r="X20" s="933">
        <v>4.28</v>
      </c>
      <c r="Y20" s="787"/>
      <c r="Z20" s="933"/>
      <c r="AA20" s="933">
        <v>7.9</v>
      </c>
      <c r="AB20" s="787"/>
      <c r="AC20" s="933"/>
      <c r="AD20" s="933">
        <v>6.0806192431269102</v>
      </c>
      <c r="AE20" s="787"/>
      <c r="AF20" s="933"/>
      <c r="AG20" s="933">
        <v>4.8099999999999996</v>
      </c>
      <c r="AH20" s="788"/>
      <c r="AI20" s="540"/>
      <c r="AJ20" s="788"/>
      <c r="AK20" s="788"/>
      <c r="AL20" s="789"/>
      <c r="AM20" s="789"/>
    </row>
    <row r="21" spans="1:39" s="790" customFormat="1" ht="20.100000000000001" customHeight="1" x14ac:dyDescent="0.3">
      <c r="A21" s="827">
        <v>2016</v>
      </c>
      <c r="B21" s="933"/>
      <c r="C21" s="933">
        <v>1.93</v>
      </c>
      <c r="D21" s="787"/>
      <c r="E21" s="933"/>
      <c r="F21" s="933">
        <v>5.3</v>
      </c>
      <c r="G21" s="787"/>
      <c r="H21" s="933"/>
      <c r="I21" s="933">
        <v>4.26</v>
      </c>
      <c r="J21" s="787"/>
      <c r="K21" s="797"/>
      <c r="L21" s="933"/>
      <c r="M21" s="787"/>
      <c r="N21" s="797"/>
      <c r="O21" s="787"/>
      <c r="P21" s="787"/>
      <c r="Q21" s="933"/>
      <c r="R21" s="933">
        <v>3.76</v>
      </c>
      <c r="S21" s="787"/>
      <c r="T21" s="933"/>
      <c r="U21" s="933">
        <v>4.45</v>
      </c>
      <c r="V21" s="787"/>
      <c r="W21" s="933"/>
      <c r="X21" s="933">
        <v>4.1500000000000004</v>
      </c>
      <c r="Y21" s="787"/>
      <c r="Z21" s="933"/>
      <c r="AA21" s="933">
        <v>6.28</v>
      </c>
      <c r="AB21" s="787"/>
      <c r="AC21" s="933"/>
      <c r="AD21" s="933">
        <v>3.99</v>
      </c>
      <c r="AE21" s="787"/>
      <c r="AF21" s="933"/>
      <c r="AG21" s="933">
        <v>6.01</v>
      </c>
      <c r="AH21" s="788"/>
      <c r="AI21" s="540"/>
      <c r="AJ21" s="788"/>
      <c r="AK21" s="788"/>
      <c r="AL21" s="789"/>
      <c r="AM21" s="789"/>
    </row>
    <row r="22" spans="1:39" s="790" customFormat="1" ht="20.100000000000001" customHeight="1" x14ac:dyDescent="0.3">
      <c r="A22" s="828" t="s">
        <v>440</v>
      </c>
      <c r="B22" s="933"/>
      <c r="C22" s="933"/>
      <c r="D22" s="788"/>
      <c r="E22" s="933"/>
      <c r="F22" s="933"/>
      <c r="G22" s="788"/>
      <c r="H22" s="933"/>
      <c r="I22" s="933"/>
      <c r="J22" s="788"/>
      <c r="K22" s="793"/>
      <c r="L22" s="933"/>
      <c r="M22" s="788"/>
      <c r="N22" s="793"/>
      <c r="O22" s="788"/>
      <c r="P22" s="788"/>
      <c r="Q22" s="933"/>
      <c r="R22" s="933"/>
      <c r="S22" s="788"/>
      <c r="T22" s="933"/>
      <c r="U22" s="933"/>
      <c r="V22" s="788"/>
      <c r="W22" s="933"/>
      <c r="X22" s="933"/>
      <c r="Y22" s="788"/>
      <c r="Z22" s="933"/>
      <c r="AA22" s="933"/>
      <c r="AB22" s="788"/>
      <c r="AC22" s="933"/>
      <c r="AD22" s="933"/>
      <c r="AE22" s="788"/>
      <c r="AF22" s="933"/>
      <c r="AG22" s="933"/>
      <c r="AH22" s="788"/>
      <c r="AI22" s="540"/>
      <c r="AJ22" s="788"/>
      <c r="AK22" s="788"/>
      <c r="AL22" s="789"/>
      <c r="AM22" s="789"/>
    </row>
    <row r="23" spans="1:39" s="790" customFormat="1" ht="20.100000000000001" customHeight="1" x14ac:dyDescent="0.3">
      <c r="A23" s="827">
        <v>2020</v>
      </c>
      <c r="B23" s="933"/>
      <c r="C23" s="933"/>
      <c r="D23" s="788"/>
      <c r="E23" s="933"/>
      <c r="F23" s="933"/>
      <c r="G23" s="788"/>
      <c r="H23" s="933"/>
      <c r="I23" s="933">
        <v>1.99175835002305</v>
      </c>
      <c r="J23" s="788"/>
      <c r="K23" s="793"/>
      <c r="L23" s="933"/>
      <c r="M23" s="788"/>
      <c r="N23" s="793"/>
      <c r="O23" s="788"/>
      <c r="P23" s="788"/>
      <c r="Q23" s="933"/>
      <c r="R23" s="933"/>
      <c r="S23" s="788"/>
      <c r="T23" s="933"/>
      <c r="U23" s="933"/>
      <c r="V23" s="788"/>
      <c r="W23" s="933"/>
      <c r="X23" s="933">
        <v>3.5</v>
      </c>
      <c r="Y23" s="788"/>
      <c r="Z23" s="933"/>
      <c r="AA23" s="933"/>
      <c r="AB23" s="788"/>
      <c r="AC23" s="933"/>
      <c r="AD23" s="933">
        <v>4.6721988481442498</v>
      </c>
      <c r="AE23" s="788"/>
      <c r="AF23" s="933"/>
      <c r="AG23" s="933"/>
      <c r="AH23" s="788"/>
      <c r="AI23" s="540"/>
      <c r="AJ23" s="788"/>
      <c r="AK23" s="788"/>
      <c r="AL23" s="789"/>
      <c r="AM23" s="789"/>
    </row>
    <row r="24" spans="1:39" s="790" customFormat="1" ht="20.100000000000001" customHeight="1" x14ac:dyDescent="0.3">
      <c r="A24" s="827">
        <v>2019</v>
      </c>
      <c r="B24" s="933"/>
      <c r="C24" s="933"/>
      <c r="D24" s="787"/>
      <c r="E24" s="933"/>
      <c r="F24" s="933"/>
      <c r="G24" s="787"/>
      <c r="H24" s="933"/>
      <c r="I24" s="933">
        <v>5.66</v>
      </c>
      <c r="J24" s="787"/>
      <c r="K24" s="797"/>
      <c r="L24" s="933"/>
      <c r="M24" s="787"/>
      <c r="N24" s="797"/>
      <c r="O24" s="787"/>
      <c r="P24" s="787"/>
      <c r="Q24" s="933"/>
      <c r="R24" s="933"/>
      <c r="S24" s="787"/>
      <c r="T24" s="933"/>
      <c r="U24" s="933"/>
      <c r="V24" s="787"/>
      <c r="W24" s="933"/>
      <c r="X24" s="933">
        <v>4.63</v>
      </c>
      <c r="Y24" s="787"/>
      <c r="Z24" s="933"/>
      <c r="AA24" s="933"/>
      <c r="AB24" s="787"/>
      <c r="AC24" s="933"/>
      <c r="AD24" s="933">
        <v>10.5600917124546</v>
      </c>
      <c r="AE24" s="787"/>
      <c r="AF24" s="933"/>
      <c r="AG24" s="933"/>
      <c r="AH24" s="788"/>
      <c r="AI24" s="540"/>
      <c r="AJ24" s="788"/>
      <c r="AK24" s="788"/>
      <c r="AL24" s="789"/>
      <c r="AM24" s="789"/>
    </row>
    <row r="25" spans="1:39" s="790" customFormat="1" ht="20.100000000000001" customHeight="1" x14ac:dyDescent="0.3">
      <c r="A25" s="827">
        <v>2018</v>
      </c>
      <c r="B25" s="933"/>
      <c r="C25" s="933"/>
      <c r="D25" s="787"/>
      <c r="E25" s="933"/>
      <c r="F25" s="933"/>
      <c r="G25" s="787"/>
      <c r="H25" s="933"/>
      <c r="I25" s="933">
        <v>3.61</v>
      </c>
      <c r="J25" s="787"/>
      <c r="K25" s="797"/>
      <c r="L25" s="933"/>
      <c r="M25" s="787"/>
      <c r="N25" s="797"/>
      <c r="O25" s="787"/>
      <c r="P25" s="787"/>
      <c r="Q25" s="933"/>
      <c r="R25" s="933"/>
      <c r="S25" s="787"/>
      <c r="T25" s="933"/>
      <c r="U25" s="933"/>
      <c r="V25" s="787"/>
      <c r="W25" s="933"/>
      <c r="X25" s="933">
        <v>4.83</v>
      </c>
      <c r="Y25" s="787"/>
      <c r="Z25" s="933"/>
      <c r="AA25" s="933"/>
      <c r="AB25" s="787"/>
      <c r="AC25" s="933"/>
      <c r="AD25" s="933">
        <v>5.4919117102760797</v>
      </c>
      <c r="AE25" s="787"/>
      <c r="AF25" s="933"/>
      <c r="AG25" s="933"/>
      <c r="AH25" s="788"/>
      <c r="AI25" s="540"/>
      <c r="AJ25" s="788"/>
      <c r="AK25" s="788"/>
      <c r="AL25" s="789"/>
      <c r="AM25" s="789"/>
    </row>
    <row r="26" spans="1:39" s="790" customFormat="1" ht="20.100000000000001" customHeight="1" x14ac:dyDescent="0.3">
      <c r="A26" s="827">
        <v>2017</v>
      </c>
      <c r="B26" s="933"/>
      <c r="C26" s="933"/>
      <c r="D26" s="787"/>
      <c r="E26" s="933"/>
      <c r="F26" s="933"/>
      <c r="G26" s="787"/>
      <c r="H26" s="933"/>
      <c r="I26" s="933">
        <v>5.0199999999999996</v>
      </c>
      <c r="J26" s="787"/>
      <c r="K26" s="797"/>
      <c r="L26" s="933"/>
      <c r="M26" s="787"/>
      <c r="N26" s="797"/>
      <c r="O26" s="787"/>
      <c r="P26" s="787"/>
      <c r="Q26" s="933"/>
      <c r="R26" s="933"/>
      <c r="S26" s="787"/>
      <c r="T26" s="933"/>
      <c r="U26" s="933"/>
      <c r="V26" s="787"/>
      <c r="W26" s="933"/>
      <c r="X26" s="933">
        <v>4.28</v>
      </c>
      <c r="Y26" s="787"/>
      <c r="Z26" s="933"/>
      <c r="AA26" s="933"/>
      <c r="AB26" s="787"/>
      <c r="AC26" s="933"/>
      <c r="AD26" s="933">
        <v>7.2430320850932501</v>
      </c>
      <c r="AE26" s="787"/>
      <c r="AF26" s="933"/>
      <c r="AG26" s="933"/>
      <c r="AH26" s="788"/>
      <c r="AI26" s="540"/>
      <c r="AJ26" s="788"/>
      <c r="AK26" s="788"/>
      <c r="AL26" s="789"/>
      <c r="AM26" s="789"/>
    </row>
    <row r="27" spans="1:39" s="790" customFormat="1" ht="20.100000000000001" customHeight="1" x14ac:dyDescent="0.3">
      <c r="A27" s="827">
        <v>2016</v>
      </c>
      <c r="B27" s="933"/>
      <c r="C27" s="933"/>
      <c r="D27" s="787"/>
      <c r="E27" s="933"/>
      <c r="F27" s="933"/>
      <c r="G27" s="787"/>
      <c r="H27" s="933"/>
      <c r="I27" s="933">
        <v>4.3499999999999996</v>
      </c>
      <c r="J27" s="787"/>
      <c r="K27" s="797"/>
      <c r="L27" s="933"/>
      <c r="M27" s="787"/>
      <c r="N27" s="797"/>
      <c r="O27" s="787"/>
      <c r="P27" s="787"/>
      <c r="Q27" s="933"/>
      <c r="R27" s="933"/>
      <c r="S27" s="787"/>
      <c r="T27" s="933"/>
      <c r="U27" s="933"/>
      <c r="V27" s="787"/>
      <c r="W27" s="933"/>
      <c r="X27" s="933">
        <v>4.1500000000000004</v>
      </c>
      <c r="Y27" s="787"/>
      <c r="Z27" s="933"/>
      <c r="AA27" s="933"/>
      <c r="AB27" s="787"/>
      <c r="AC27" s="933"/>
      <c r="AD27" s="933">
        <v>4.8582381483282404</v>
      </c>
      <c r="AE27" s="787"/>
      <c r="AF27" s="933"/>
      <c r="AG27" s="933"/>
      <c r="AH27" s="788"/>
      <c r="AI27" s="540"/>
      <c r="AJ27" s="788"/>
      <c r="AK27" s="788"/>
      <c r="AL27" s="789"/>
      <c r="AM27" s="789"/>
    </row>
    <row r="28" spans="1:39" s="790" customFormat="1" ht="20.100000000000001" customHeight="1" x14ac:dyDescent="0.3">
      <c r="A28" s="828" t="s">
        <v>441</v>
      </c>
      <c r="B28" s="933"/>
      <c r="C28" s="933"/>
      <c r="D28" s="788"/>
      <c r="E28" s="933"/>
      <c r="F28" s="933"/>
      <c r="G28" s="788"/>
      <c r="H28" s="933"/>
      <c r="I28" s="933"/>
      <c r="J28" s="788"/>
      <c r="K28" s="793"/>
      <c r="L28" s="933"/>
      <c r="M28" s="788"/>
      <c r="N28" s="793"/>
      <c r="O28" s="788"/>
      <c r="P28" s="788"/>
      <c r="Q28" s="933"/>
      <c r="R28" s="933"/>
      <c r="S28" s="788"/>
      <c r="T28" s="933"/>
      <c r="U28" s="933"/>
      <c r="V28" s="788"/>
      <c r="W28" s="933"/>
      <c r="X28" s="933"/>
      <c r="Y28" s="788"/>
      <c r="Z28" s="933"/>
      <c r="AA28" s="933"/>
      <c r="AB28" s="788"/>
      <c r="AC28" s="933"/>
      <c r="AD28" s="933"/>
      <c r="AE28" s="788"/>
      <c r="AF28" s="933"/>
      <c r="AG28" s="933"/>
      <c r="AH28" s="788"/>
      <c r="AI28" s="540"/>
      <c r="AJ28" s="788"/>
      <c r="AK28" s="788"/>
      <c r="AL28" s="789"/>
      <c r="AM28" s="789"/>
    </row>
    <row r="29" spans="1:39" s="790" customFormat="1" ht="20.100000000000001" customHeight="1" x14ac:dyDescent="0.3">
      <c r="A29" s="827">
        <v>2020</v>
      </c>
      <c r="B29" s="933"/>
      <c r="C29" s="933">
        <v>2.39</v>
      </c>
      <c r="D29" s="788"/>
      <c r="E29" s="933"/>
      <c r="F29" s="933">
        <v>3.5</v>
      </c>
      <c r="G29" s="788"/>
      <c r="H29" s="933"/>
      <c r="I29" s="933">
        <v>1.9570432727373399</v>
      </c>
      <c r="J29" s="788"/>
      <c r="K29" s="793"/>
      <c r="L29" s="987"/>
      <c r="M29" s="788"/>
      <c r="N29" s="793"/>
      <c r="O29" s="798"/>
      <c r="P29" s="788"/>
      <c r="Q29" s="933"/>
      <c r="R29" s="933">
        <v>3.48</v>
      </c>
      <c r="S29" s="788"/>
      <c r="T29" s="933"/>
      <c r="U29" s="933"/>
      <c r="V29" s="788"/>
      <c r="W29" s="933"/>
      <c r="X29" s="933">
        <v>3.5</v>
      </c>
      <c r="Y29" s="788"/>
      <c r="Z29" s="933"/>
      <c r="AA29" s="933"/>
      <c r="AB29" s="788"/>
      <c r="AC29" s="933"/>
      <c r="AD29" s="933">
        <v>1.8527955574985999</v>
      </c>
      <c r="AE29" s="788"/>
      <c r="AF29" s="933"/>
      <c r="AG29" s="933"/>
      <c r="AH29" s="788"/>
      <c r="AI29" s="540"/>
      <c r="AJ29" s="788"/>
      <c r="AK29" s="788"/>
      <c r="AL29" s="789"/>
      <c r="AM29" s="789"/>
    </row>
    <row r="30" spans="1:39" s="790" customFormat="1" ht="20.100000000000001" customHeight="1" x14ac:dyDescent="0.3">
      <c r="A30" s="827">
        <v>2019</v>
      </c>
      <c r="B30" s="933"/>
      <c r="C30" s="933">
        <v>1.97</v>
      </c>
      <c r="D30" s="787"/>
      <c r="E30" s="933"/>
      <c r="F30" s="933">
        <v>3.4</v>
      </c>
      <c r="G30" s="787"/>
      <c r="H30" s="933"/>
      <c r="I30" s="933">
        <v>4.7699999999999996</v>
      </c>
      <c r="J30" s="787"/>
      <c r="K30" s="797"/>
      <c r="L30" s="987"/>
      <c r="M30" s="787"/>
      <c r="N30" s="797"/>
      <c r="O30" s="799"/>
      <c r="P30" s="787"/>
      <c r="Q30" s="933"/>
      <c r="R30" s="933">
        <v>4.34</v>
      </c>
      <c r="S30" s="787"/>
      <c r="T30" s="933"/>
      <c r="U30" s="933"/>
      <c r="V30" s="787"/>
      <c r="W30" s="933"/>
      <c r="X30" s="933">
        <v>4.63</v>
      </c>
      <c r="Y30" s="787"/>
      <c r="Z30" s="933"/>
      <c r="AA30" s="933"/>
      <c r="AB30" s="787"/>
      <c r="AC30" s="933"/>
      <c r="AD30" s="933">
        <v>7.6999415752564602</v>
      </c>
      <c r="AE30" s="787"/>
      <c r="AF30" s="933"/>
      <c r="AG30" s="933"/>
      <c r="AH30" s="788"/>
      <c r="AI30" s="540"/>
      <c r="AJ30" s="788"/>
      <c r="AK30" s="788"/>
      <c r="AL30" s="789"/>
      <c r="AM30" s="789"/>
    </row>
    <row r="31" spans="1:39" s="790" customFormat="1" ht="20.100000000000001" customHeight="1" x14ac:dyDescent="0.3">
      <c r="A31" s="827">
        <v>2018</v>
      </c>
      <c r="B31" s="933"/>
      <c r="C31" s="933">
        <v>3.47</v>
      </c>
      <c r="D31" s="787"/>
      <c r="E31" s="933"/>
      <c r="F31" s="933">
        <v>4.5</v>
      </c>
      <c r="G31" s="787"/>
      <c r="H31" s="933"/>
      <c r="I31" s="933">
        <v>2.95</v>
      </c>
      <c r="J31" s="787"/>
      <c r="K31" s="797"/>
      <c r="L31" s="987"/>
      <c r="M31" s="787"/>
      <c r="N31" s="797"/>
      <c r="O31" s="799"/>
      <c r="P31" s="787"/>
      <c r="Q31" s="933"/>
      <c r="R31" s="933">
        <v>5.61</v>
      </c>
      <c r="S31" s="787"/>
      <c r="T31" s="933"/>
      <c r="U31" s="933"/>
      <c r="V31" s="787"/>
      <c r="W31" s="933"/>
      <c r="X31" s="933">
        <v>4.83</v>
      </c>
      <c r="Y31" s="787"/>
      <c r="Z31" s="933"/>
      <c r="AA31" s="933"/>
      <c r="AB31" s="787"/>
      <c r="AC31" s="933"/>
      <c r="AD31" s="933">
        <v>2.8899617646606801</v>
      </c>
      <c r="AE31" s="787"/>
      <c r="AF31" s="933"/>
      <c r="AG31" s="933"/>
      <c r="AH31" s="788"/>
      <c r="AI31" s="540"/>
      <c r="AJ31" s="788"/>
      <c r="AK31" s="788"/>
      <c r="AL31" s="789"/>
      <c r="AM31" s="789"/>
    </row>
    <row r="32" spans="1:39" s="790" customFormat="1" ht="20.100000000000001" customHeight="1" x14ac:dyDescent="0.3">
      <c r="A32" s="827">
        <v>2017</v>
      </c>
      <c r="B32" s="933"/>
      <c r="C32" s="933">
        <v>1.99</v>
      </c>
      <c r="D32" s="787"/>
      <c r="E32" s="933"/>
      <c r="F32" s="933">
        <v>8.3000000000000007</v>
      </c>
      <c r="G32" s="787"/>
      <c r="H32" s="933"/>
      <c r="I32" s="933">
        <v>4.74</v>
      </c>
      <c r="J32" s="787"/>
      <c r="K32" s="797"/>
      <c r="L32" s="987"/>
      <c r="M32" s="787"/>
      <c r="N32" s="797"/>
      <c r="O32" s="799"/>
      <c r="P32" s="787"/>
      <c r="Q32" s="933"/>
      <c r="R32" s="933">
        <v>3.75</v>
      </c>
      <c r="S32" s="787"/>
      <c r="T32" s="933"/>
      <c r="U32" s="933"/>
      <c r="V32" s="787"/>
      <c r="W32" s="933"/>
      <c r="X32" s="933">
        <v>4.28</v>
      </c>
      <c r="Y32" s="787"/>
      <c r="Z32" s="933"/>
      <c r="AA32" s="933"/>
      <c r="AB32" s="787"/>
      <c r="AC32" s="933"/>
      <c r="AD32" s="933">
        <v>5.7183720533544404</v>
      </c>
      <c r="AE32" s="787"/>
      <c r="AF32" s="933"/>
      <c r="AG32" s="933"/>
      <c r="AH32" s="788"/>
      <c r="AI32" s="540"/>
      <c r="AJ32" s="788"/>
      <c r="AK32" s="788"/>
      <c r="AL32" s="789"/>
      <c r="AM32" s="789"/>
    </row>
    <row r="33" spans="1:39" s="790" customFormat="1" ht="20.100000000000001" customHeight="1" x14ac:dyDescent="0.3">
      <c r="A33" s="827">
        <v>2016</v>
      </c>
      <c r="B33" s="933"/>
      <c r="C33" s="933">
        <v>1.93</v>
      </c>
      <c r="D33" s="787"/>
      <c r="E33" s="933"/>
      <c r="F33" s="933">
        <v>5.3</v>
      </c>
      <c r="G33" s="787"/>
      <c r="H33" s="933"/>
      <c r="I33" s="933">
        <v>3.54</v>
      </c>
      <c r="J33" s="787"/>
      <c r="K33" s="797"/>
      <c r="L33" s="987"/>
      <c r="M33" s="787"/>
      <c r="N33" s="797"/>
      <c r="O33" s="799"/>
      <c r="P33" s="787"/>
      <c r="Q33" s="933"/>
      <c r="R33" s="933">
        <v>4.08</v>
      </c>
      <c r="S33" s="787"/>
      <c r="T33" s="933"/>
      <c r="U33" s="933">
        <v>4.45</v>
      </c>
      <c r="V33" s="787"/>
      <c r="W33" s="933"/>
      <c r="X33" s="933">
        <v>4.1500000000000004</v>
      </c>
      <c r="Y33" s="787"/>
      <c r="Z33" s="933"/>
      <c r="AA33" s="933"/>
      <c r="AB33" s="787"/>
      <c r="AC33" s="933"/>
      <c r="AD33" s="933">
        <v>3.46</v>
      </c>
      <c r="AE33" s="787"/>
      <c r="AF33" s="933"/>
      <c r="AG33" s="933"/>
      <c r="AH33" s="788"/>
      <c r="AI33" s="540"/>
      <c r="AJ33" s="788"/>
      <c r="AK33" s="788"/>
      <c r="AL33" s="789"/>
      <c r="AM33" s="789"/>
    </row>
    <row r="34" spans="1:39" s="790" customFormat="1" ht="20.100000000000001" customHeight="1" x14ac:dyDescent="0.3">
      <c r="A34" s="825" t="s">
        <v>442</v>
      </c>
      <c r="B34" s="932"/>
      <c r="C34" s="932"/>
      <c r="D34" s="795"/>
      <c r="E34" s="932"/>
      <c r="F34" s="932"/>
      <c r="G34" s="795"/>
      <c r="H34" s="932"/>
      <c r="I34" s="932"/>
      <c r="J34" s="795"/>
      <c r="K34" s="796"/>
      <c r="L34" s="986"/>
      <c r="M34" s="795"/>
      <c r="N34" s="796"/>
      <c r="O34" s="795"/>
      <c r="P34" s="795"/>
      <c r="Q34" s="932"/>
      <c r="R34" s="932"/>
      <c r="S34" s="795"/>
      <c r="T34" s="932"/>
      <c r="U34" s="932"/>
      <c r="V34" s="795"/>
      <c r="W34" s="932"/>
      <c r="X34" s="932"/>
      <c r="Y34" s="795"/>
      <c r="Z34" s="932"/>
      <c r="AA34" s="932"/>
      <c r="AB34" s="795"/>
      <c r="AC34" s="932"/>
      <c r="AD34" s="932"/>
      <c r="AE34" s="795"/>
      <c r="AF34" s="932"/>
      <c r="AG34" s="932"/>
      <c r="AH34" s="795"/>
      <c r="AI34" s="722"/>
      <c r="AJ34" s="795"/>
      <c r="AK34" s="795"/>
      <c r="AL34" s="789"/>
      <c r="AM34" s="789"/>
    </row>
    <row r="35" spans="1:39" s="790" customFormat="1" ht="20.100000000000001" customHeight="1" x14ac:dyDescent="0.3">
      <c r="A35" s="826" t="s">
        <v>506</v>
      </c>
      <c r="B35" s="936"/>
      <c r="C35" s="932">
        <f>AVERAGE(C36:C40)</f>
        <v>3.6260000000000003</v>
      </c>
      <c r="D35" s="795"/>
      <c r="E35" s="932"/>
      <c r="F35" s="932">
        <f>AVERAGE(F36:F40)</f>
        <v>4.1859999999999999</v>
      </c>
      <c r="G35" s="795"/>
      <c r="H35" s="936"/>
      <c r="I35" s="932">
        <f>AVERAGE(I36:I40)</f>
        <v>3.7982381627391133</v>
      </c>
      <c r="J35" s="795"/>
      <c r="K35" s="795"/>
      <c r="L35" s="932">
        <f>AVERAGE(L36:L40)</f>
        <v>2.2799999999999998</v>
      </c>
      <c r="M35" s="795"/>
      <c r="N35" s="795"/>
      <c r="O35" s="795"/>
      <c r="P35" s="795"/>
      <c r="Q35" s="932"/>
      <c r="R35" s="932">
        <f>AVERAGE(R36:R40)</f>
        <v>4.05</v>
      </c>
      <c r="S35" s="795"/>
      <c r="T35" s="936"/>
      <c r="U35" s="932">
        <f>AVERAGE(U36:U40)</f>
        <v>5.2109025998557783</v>
      </c>
      <c r="V35" s="795"/>
      <c r="W35" s="932"/>
      <c r="X35" s="932">
        <f>AVERAGE(X36:X40)</f>
        <v>4.75</v>
      </c>
      <c r="Y35" s="795"/>
      <c r="Z35" s="936"/>
      <c r="AA35" s="932">
        <f>AVERAGE(AA36:AA40)</f>
        <v>6.944</v>
      </c>
      <c r="AB35" s="795"/>
      <c r="AC35" s="936"/>
      <c r="AD35" s="932">
        <f>AVERAGE(AD36:AD40)</f>
        <v>6.2698298420123821</v>
      </c>
      <c r="AE35" s="795"/>
      <c r="AF35" s="936"/>
      <c r="AG35" s="932">
        <f>AVERAGE(AG36:AG40)</f>
        <v>5.0979999999999999</v>
      </c>
      <c r="AH35" s="795"/>
      <c r="AI35" s="722"/>
      <c r="AJ35" s="795"/>
      <c r="AK35" s="795"/>
      <c r="AL35" s="789"/>
      <c r="AM35" s="789"/>
    </row>
    <row r="36" spans="1:39" s="786" customFormat="1" ht="20.100000000000001" customHeight="1" x14ac:dyDescent="0.3">
      <c r="A36" s="827">
        <v>2020</v>
      </c>
      <c r="B36" s="936"/>
      <c r="C36" s="931">
        <v>4.59</v>
      </c>
      <c r="D36" s="788"/>
      <c r="E36" s="933"/>
      <c r="F36" s="933">
        <v>2.4</v>
      </c>
      <c r="G36" s="788"/>
      <c r="H36" s="931"/>
      <c r="I36" s="931">
        <v>1.38119081369557</v>
      </c>
      <c r="J36" s="788"/>
      <c r="K36" s="798"/>
      <c r="L36" s="933">
        <v>2.2799999999999998</v>
      </c>
      <c r="M36" s="788"/>
      <c r="N36" s="798"/>
      <c r="O36" s="794"/>
      <c r="P36" s="788"/>
      <c r="Q36" s="933"/>
      <c r="R36" s="933">
        <v>3.04</v>
      </c>
      <c r="S36" s="788"/>
      <c r="T36" s="931"/>
      <c r="U36" s="931">
        <v>4.2251351311435315</v>
      </c>
      <c r="V36" s="788"/>
      <c r="W36" s="933"/>
      <c r="X36" s="933">
        <v>4.8</v>
      </c>
      <c r="Y36" s="788"/>
      <c r="Z36" s="931"/>
      <c r="AA36" s="931">
        <v>7.87</v>
      </c>
      <c r="AB36" s="788"/>
      <c r="AC36" s="931"/>
      <c r="AD36" s="931">
        <v>4.58146534626405</v>
      </c>
      <c r="AE36" s="788"/>
      <c r="AF36" s="931"/>
      <c r="AG36" s="931">
        <v>5.5</v>
      </c>
      <c r="AH36" s="788"/>
      <c r="AI36" s="540"/>
      <c r="AJ36" s="788"/>
      <c r="AK36" s="788"/>
      <c r="AL36" s="785"/>
      <c r="AM36" s="785"/>
    </row>
    <row r="37" spans="1:39" s="786" customFormat="1" ht="20.100000000000001" customHeight="1" x14ac:dyDescent="0.3">
      <c r="A37" s="827">
        <v>2019</v>
      </c>
      <c r="B37" s="931"/>
      <c r="C37" s="931">
        <v>4.62</v>
      </c>
      <c r="D37" s="787"/>
      <c r="E37" s="933"/>
      <c r="F37" s="933">
        <v>4.0999999999999996</v>
      </c>
      <c r="G37" s="787"/>
      <c r="H37" s="931"/>
      <c r="I37" s="931">
        <v>5.92</v>
      </c>
      <c r="J37" s="787"/>
      <c r="K37" s="799"/>
      <c r="L37" s="931"/>
      <c r="M37" s="787"/>
      <c r="N37" s="799"/>
      <c r="O37" s="800"/>
      <c r="P37" s="787"/>
      <c r="Q37" s="933"/>
      <c r="R37" s="933">
        <v>4.38</v>
      </c>
      <c r="S37" s="787"/>
      <c r="T37" s="931"/>
      <c r="U37" s="931">
        <v>8.5483778681353595</v>
      </c>
      <c r="V37" s="787"/>
      <c r="W37" s="933"/>
      <c r="X37" s="933">
        <v>5.81</v>
      </c>
      <c r="Y37" s="787"/>
      <c r="Z37" s="931"/>
      <c r="AA37" s="931">
        <v>10.3</v>
      </c>
      <c r="AB37" s="787"/>
      <c r="AC37" s="931"/>
      <c r="AD37" s="931">
        <v>11.5251573312757</v>
      </c>
      <c r="AE37" s="787"/>
      <c r="AF37" s="931"/>
      <c r="AG37" s="931">
        <v>4.8099999999999996</v>
      </c>
      <c r="AH37" s="788"/>
      <c r="AI37" s="540"/>
      <c r="AJ37" s="788"/>
      <c r="AK37" s="788"/>
      <c r="AL37" s="785"/>
      <c r="AM37" s="785"/>
    </row>
    <row r="38" spans="1:39" s="790" customFormat="1" ht="20.100000000000001" customHeight="1" x14ac:dyDescent="0.3">
      <c r="A38" s="827">
        <v>2018</v>
      </c>
      <c r="B38" s="931"/>
      <c r="C38" s="931">
        <v>0.59</v>
      </c>
      <c r="D38" s="787"/>
      <c r="E38" s="933"/>
      <c r="F38" s="933">
        <v>3</v>
      </c>
      <c r="G38" s="787"/>
      <c r="H38" s="931"/>
      <c r="I38" s="931">
        <v>2.5</v>
      </c>
      <c r="J38" s="787"/>
      <c r="K38" s="799"/>
      <c r="L38" s="931"/>
      <c r="M38" s="787"/>
      <c r="N38" s="799"/>
      <c r="O38" s="800"/>
      <c r="P38" s="787"/>
      <c r="Q38" s="933"/>
      <c r="R38" s="933">
        <v>3.95</v>
      </c>
      <c r="S38" s="787"/>
      <c r="T38" s="931"/>
      <c r="U38" s="931">
        <v>3.5110000000000001</v>
      </c>
      <c r="V38" s="787"/>
      <c r="W38" s="933"/>
      <c r="X38" s="933">
        <v>3.9</v>
      </c>
      <c r="Y38" s="787"/>
      <c r="Z38" s="931"/>
      <c r="AA38" s="931">
        <v>2</v>
      </c>
      <c r="AB38" s="787"/>
      <c r="AC38" s="931"/>
      <c r="AD38" s="931">
        <v>2.3197820675014702</v>
      </c>
      <c r="AE38" s="787"/>
      <c r="AF38" s="931"/>
      <c r="AG38" s="931">
        <v>4.34</v>
      </c>
      <c r="AH38" s="788"/>
      <c r="AI38" s="540"/>
      <c r="AJ38" s="788"/>
      <c r="AK38" s="788"/>
      <c r="AL38" s="789"/>
      <c r="AM38" s="789"/>
    </row>
    <row r="39" spans="1:39" s="790" customFormat="1" ht="20.100000000000001" customHeight="1" x14ac:dyDescent="0.3">
      <c r="A39" s="827">
        <v>2017</v>
      </c>
      <c r="B39" s="931"/>
      <c r="C39" s="931">
        <v>4.1500000000000004</v>
      </c>
      <c r="D39" s="787"/>
      <c r="E39" s="933"/>
      <c r="F39" s="933">
        <v>5.6</v>
      </c>
      <c r="G39" s="787"/>
      <c r="H39" s="931"/>
      <c r="I39" s="931">
        <v>4.92</v>
      </c>
      <c r="J39" s="787"/>
      <c r="K39" s="799"/>
      <c r="L39" s="931"/>
      <c r="M39" s="787"/>
      <c r="N39" s="799"/>
      <c r="O39" s="800"/>
      <c r="P39" s="787"/>
      <c r="Q39" s="933"/>
      <c r="R39" s="933">
        <v>4.22</v>
      </c>
      <c r="S39" s="787"/>
      <c r="T39" s="931"/>
      <c r="U39" s="931">
        <v>3.94</v>
      </c>
      <c r="V39" s="787"/>
      <c r="W39" s="933"/>
      <c r="X39" s="933">
        <v>4.82</v>
      </c>
      <c r="Y39" s="787"/>
      <c r="Z39" s="931"/>
      <c r="AA39" s="931">
        <v>9.1999999999999993</v>
      </c>
      <c r="AB39" s="787"/>
      <c r="AC39" s="931"/>
      <c r="AD39" s="931">
        <v>8.0327444650206896</v>
      </c>
      <c r="AE39" s="787"/>
      <c r="AF39" s="931"/>
      <c r="AG39" s="931">
        <v>6.25</v>
      </c>
      <c r="AH39" s="788"/>
      <c r="AI39" s="540"/>
      <c r="AJ39" s="788"/>
      <c r="AK39" s="788"/>
      <c r="AL39" s="789"/>
      <c r="AM39" s="789"/>
    </row>
    <row r="40" spans="1:39" s="790" customFormat="1" ht="20.100000000000001" customHeight="1" x14ac:dyDescent="0.3">
      <c r="A40" s="827">
        <v>2016</v>
      </c>
      <c r="B40" s="931"/>
      <c r="C40" s="931">
        <v>4.18</v>
      </c>
      <c r="D40" s="787"/>
      <c r="E40" s="933"/>
      <c r="F40" s="933">
        <v>5.83</v>
      </c>
      <c r="G40" s="787"/>
      <c r="H40" s="931"/>
      <c r="I40" s="931">
        <v>4.2699999999999996</v>
      </c>
      <c r="J40" s="787"/>
      <c r="K40" s="799"/>
      <c r="L40" s="931"/>
      <c r="M40" s="787"/>
      <c r="N40" s="799"/>
      <c r="O40" s="800"/>
      <c r="P40" s="787"/>
      <c r="Q40" s="933"/>
      <c r="R40" s="933">
        <v>4.66</v>
      </c>
      <c r="S40" s="787"/>
      <c r="T40" s="931"/>
      <c r="U40" s="931">
        <v>5.83</v>
      </c>
      <c r="V40" s="787"/>
      <c r="W40" s="933"/>
      <c r="X40" s="933">
        <v>4.42</v>
      </c>
      <c r="Y40" s="787"/>
      <c r="Z40" s="931"/>
      <c r="AA40" s="931">
        <v>5.35</v>
      </c>
      <c r="AB40" s="787"/>
      <c r="AC40" s="931"/>
      <c r="AD40" s="931">
        <v>4.8899999999999997</v>
      </c>
      <c r="AE40" s="787"/>
      <c r="AF40" s="931"/>
      <c r="AG40" s="931">
        <v>4.59</v>
      </c>
      <c r="AH40" s="788"/>
      <c r="AI40" s="540"/>
      <c r="AJ40" s="788"/>
      <c r="AK40" s="788"/>
      <c r="AL40" s="789"/>
      <c r="AM40" s="789"/>
    </row>
    <row r="41" spans="1:39" s="790" customFormat="1" ht="20.100000000000001" customHeight="1" x14ac:dyDescent="0.3">
      <c r="A41" s="828" t="s">
        <v>440</v>
      </c>
      <c r="B41" s="933"/>
      <c r="C41" s="933"/>
      <c r="D41" s="788"/>
      <c r="E41" s="933"/>
      <c r="F41" s="933"/>
      <c r="G41" s="788"/>
      <c r="H41" s="933"/>
      <c r="I41" s="933"/>
      <c r="J41" s="788"/>
      <c r="K41" s="793"/>
      <c r="L41" s="933"/>
      <c r="M41" s="788"/>
      <c r="N41" s="793"/>
      <c r="O41" s="788"/>
      <c r="P41" s="788"/>
      <c r="Q41" s="933"/>
      <c r="R41" s="933"/>
      <c r="S41" s="788"/>
      <c r="T41" s="933"/>
      <c r="U41" s="933"/>
      <c r="V41" s="788"/>
      <c r="W41" s="933"/>
      <c r="X41" s="933"/>
      <c r="Y41" s="788"/>
      <c r="Z41" s="933"/>
      <c r="AA41" s="933"/>
      <c r="AB41" s="788"/>
      <c r="AC41" s="933"/>
      <c r="AD41" s="933"/>
      <c r="AE41" s="788"/>
      <c r="AF41" s="933"/>
      <c r="AG41" s="933"/>
      <c r="AH41" s="788"/>
      <c r="AI41" s="540"/>
      <c r="AJ41" s="788"/>
      <c r="AK41" s="788"/>
      <c r="AL41" s="789"/>
      <c r="AM41" s="789"/>
    </row>
    <row r="42" spans="1:39" s="790" customFormat="1" ht="20.100000000000001" customHeight="1" x14ac:dyDescent="0.3">
      <c r="A42" s="827">
        <v>2020</v>
      </c>
      <c r="B42" s="933"/>
      <c r="C42" s="933"/>
      <c r="D42" s="788"/>
      <c r="E42" s="933"/>
      <c r="F42" s="933"/>
      <c r="G42" s="788"/>
      <c r="H42" s="933"/>
      <c r="I42" s="933">
        <v>1.54511464901146</v>
      </c>
      <c r="J42" s="788"/>
      <c r="K42" s="793"/>
      <c r="L42" s="933"/>
      <c r="M42" s="788"/>
      <c r="N42" s="793"/>
      <c r="O42" s="788"/>
      <c r="P42" s="788"/>
      <c r="Q42" s="933"/>
      <c r="R42" s="933"/>
      <c r="S42" s="788"/>
      <c r="T42" s="933"/>
      <c r="U42" s="933"/>
      <c r="V42" s="788"/>
      <c r="W42" s="933"/>
      <c r="X42" s="933">
        <v>4.8</v>
      </c>
      <c r="Y42" s="788"/>
      <c r="Z42" s="933"/>
      <c r="AA42" s="933"/>
      <c r="AB42" s="788"/>
      <c r="AC42" s="933"/>
      <c r="AD42" s="933">
        <v>4.6074355643218201</v>
      </c>
      <c r="AE42" s="788"/>
      <c r="AF42" s="933"/>
      <c r="AG42" s="933"/>
      <c r="AH42" s="788"/>
      <c r="AI42" s="540"/>
      <c r="AJ42" s="788"/>
      <c r="AK42" s="788"/>
      <c r="AL42" s="789"/>
      <c r="AM42" s="789"/>
    </row>
    <row r="43" spans="1:39" s="790" customFormat="1" ht="20.100000000000001" customHeight="1" x14ac:dyDescent="0.3">
      <c r="A43" s="827">
        <v>2019</v>
      </c>
      <c r="B43" s="933"/>
      <c r="C43" s="933"/>
      <c r="D43" s="787"/>
      <c r="E43" s="933"/>
      <c r="F43" s="933"/>
      <c r="G43" s="787"/>
      <c r="H43" s="933"/>
      <c r="I43" s="933">
        <v>6.56</v>
      </c>
      <c r="J43" s="787"/>
      <c r="K43" s="797"/>
      <c r="L43" s="933"/>
      <c r="M43" s="787"/>
      <c r="N43" s="797"/>
      <c r="O43" s="787"/>
      <c r="P43" s="787"/>
      <c r="Q43" s="933"/>
      <c r="R43" s="933"/>
      <c r="S43" s="787"/>
      <c r="T43" s="933"/>
      <c r="U43" s="933"/>
      <c r="V43" s="787"/>
      <c r="W43" s="933"/>
      <c r="X43" s="933">
        <v>5.81</v>
      </c>
      <c r="Y43" s="787"/>
      <c r="Z43" s="933"/>
      <c r="AA43" s="933"/>
      <c r="AB43" s="787"/>
      <c r="AC43" s="933"/>
      <c r="AD43" s="933">
        <v>14.544672445740501</v>
      </c>
      <c r="AE43" s="787"/>
      <c r="AF43" s="933"/>
      <c r="AG43" s="933"/>
      <c r="AH43" s="788"/>
      <c r="AI43" s="540"/>
      <c r="AJ43" s="788"/>
      <c r="AK43" s="788"/>
      <c r="AL43" s="789"/>
      <c r="AM43" s="789"/>
    </row>
    <row r="44" spans="1:39" s="790" customFormat="1" ht="20.100000000000001" customHeight="1" x14ac:dyDescent="0.3">
      <c r="A44" s="827">
        <v>2018</v>
      </c>
      <c r="B44" s="933"/>
      <c r="C44" s="933"/>
      <c r="D44" s="787"/>
      <c r="E44" s="933"/>
      <c r="F44" s="933"/>
      <c r="G44" s="787"/>
      <c r="H44" s="933"/>
      <c r="I44" s="933">
        <v>2.5299999999999998</v>
      </c>
      <c r="J44" s="787"/>
      <c r="K44" s="797"/>
      <c r="L44" s="933"/>
      <c r="M44" s="787"/>
      <c r="N44" s="797"/>
      <c r="O44" s="787"/>
      <c r="P44" s="787"/>
      <c r="Q44" s="933"/>
      <c r="R44" s="933"/>
      <c r="S44" s="787"/>
      <c r="T44" s="933"/>
      <c r="U44" s="933"/>
      <c r="V44" s="787"/>
      <c r="W44" s="933"/>
      <c r="X44" s="933">
        <v>3.9</v>
      </c>
      <c r="Y44" s="787"/>
      <c r="Z44" s="933"/>
      <c r="AA44" s="933"/>
      <c r="AB44" s="787"/>
      <c r="AC44" s="933"/>
      <c r="AD44" s="933">
        <v>2.1130300921210501</v>
      </c>
      <c r="AE44" s="787"/>
      <c r="AF44" s="933"/>
      <c r="AG44" s="933"/>
      <c r="AH44" s="788"/>
      <c r="AI44" s="540"/>
      <c r="AJ44" s="788"/>
      <c r="AK44" s="788"/>
      <c r="AL44" s="789"/>
      <c r="AM44" s="789"/>
    </row>
    <row r="45" spans="1:39" s="790" customFormat="1" ht="19.5" customHeight="1" x14ac:dyDescent="0.3">
      <c r="A45" s="827">
        <v>2017</v>
      </c>
      <c r="B45" s="933"/>
      <c r="C45" s="933"/>
      <c r="D45" s="787"/>
      <c r="E45" s="933"/>
      <c r="F45" s="933"/>
      <c r="G45" s="787"/>
      <c r="H45" s="933"/>
      <c r="I45" s="933">
        <v>5.69</v>
      </c>
      <c r="J45" s="787"/>
      <c r="K45" s="797"/>
      <c r="L45" s="933"/>
      <c r="M45" s="787"/>
      <c r="N45" s="797"/>
      <c r="O45" s="787"/>
      <c r="P45" s="787"/>
      <c r="Q45" s="933"/>
      <c r="R45" s="933"/>
      <c r="S45" s="787"/>
      <c r="T45" s="933"/>
      <c r="U45" s="933"/>
      <c r="V45" s="787"/>
      <c r="W45" s="933"/>
      <c r="X45" s="933">
        <v>4.82</v>
      </c>
      <c r="Y45" s="787"/>
      <c r="Z45" s="933"/>
      <c r="AA45" s="933"/>
      <c r="AB45" s="787"/>
      <c r="AC45" s="933"/>
      <c r="AD45" s="933">
        <v>8.5075958174620503</v>
      </c>
      <c r="AE45" s="787"/>
      <c r="AF45" s="933"/>
      <c r="AG45" s="933"/>
      <c r="AH45" s="788"/>
      <c r="AI45" s="540"/>
      <c r="AJ45" s="788"/>
      <c r="AK45" s="788"/>
      <c r="AL45" s="789"/>
      <c r="AM45" s="789"/>
    </row>
    <row r="46" spans="1:39" ht="19.5" customHeight="1" x14ac:dyDescent="0.3">
      <c r="A46" s="827">
        <v>2016</v>
      </c>
      <c r="B46" s="933"/>
      <c r="C46" s="933"/>
      <c r="D46" s="787"/>
      <c r="E46" s="933"/>
      <c r="F46" s="933"/>
      <c r="G46" s="787"/>
      <c r="H46" s="933"/>
      <c r="I46" s="933">
        <v>4.62</v>
      </c>
      <c r="J46" s="787"/>
      <c r="K46" s="797"/>
      <c r="L46" s="933"/>
      <c r="M46" s="787"/>
      <c r="N46" s="797"/>
      <c r="O46" s="787"/>
      <c r="P46" s="787"/>
      <c r="Q46" s="933"/>
      <c r="R46" s="933"/>
      <c r="S46" s="787"/>
      <c r="T46" s="933"/>
      <c r="U46" s="933"/>
      <c r="V46" s="787"/>
      <c r="W46" s="933"/>
      <c r="X46" s="933">
        <v>4.42</v>
      </c>
      <c r="Y46" s="787"/>
      <c r="Z46" s="933"/>
      <c r="AA46" s="933"/>
      <c r="AB46" s="787"/>
      <c r="AC46" s="933"/>
      <c r="AD46" s="933">
        <v>5.23</v>
      </c>
      <c r="AE46" s="787"/>
      <c r="AF46" s="933"/>
      <c r="AG46" s="933"/>
      <c r="AH46" s="788"/>
      <c r="AI46" s="540"/>
      <c r="AJ46" s="788"/>
      <c r="AK46" s="788"/>
      <c r="AM46" s="579"/>
    </row>
    <row r="47" spans="1:39" s="563" customFormat="1" ht="18.75" x14ac:dyDescent="0.3">
      <c r="A47" s="828" t="s">
        <v>441</v>
      </c>
      <c r="B47" s="933"/>
      <c r="C47" s="933"/>
      <c r="D47" s="788"/>
      <c r="E47" s="933"/>
      <c r="F47" s="933"/>
      <c r="G47" s="788"/>
      <c r="H47" s="933"/>
      <c r="I47" s="933"/>
      <c r="J47" s="788"/>
      <c r="K47" s="793"/>
      <c r="L47" s="933"/>
      <c r="M47" s="788"/>
      <c r="N47" s="793"/>
      <c r="O47" s="788"/>
      <c r="P47" s="788"/>
      <c r="Q47" s="933"/>
      <c r="R47" s="933"/>
      <c r="S47" s="788"/>
      <c r="T47" s="933"/>
      <c r="U47" s="933"/>
      <c r="V47" s="788"/>
      <c r="W47" s="933"/>
      <c r="X47" s="933"/>
      <c r="Y47" s="788"/>
      <c r="Z47" s="931"/>
      <c r="AA47" s="931"/>
      <c r="AB47" s="788"/>
      <c r="AC47" s="931"/>
      <c r="AD47" s="931"/>
      <c r="AE47" s="788"/>
      <c r="AF47" s="933"/>
      <c r="AG47" s="933"/>
      <c r="AH47" s="788"/>
      <c r="AI47" s="540"/>
      <c r="AJ47" s="788"/>
      <c r="AK47" s="788"/>
    </row>
    <row r="48" spans="1:39" s="563" customFormat="1" ht="18.75" x14ac:dyDescent="0.3">
      <c r="A48" s="827">
        <v>2020</v>
      </c>
      <c r="B48" s="933"/>
      <c r="C48" s="933">
        <v>4.59</v>
      </c>
      <c r="D48" s="788"/>
      <c r="E48" s="933"/>
      <c r="F48" s="933">
        <v>2.4</v>
      </c>
      <c r="G48" s="788"/>
      <c r="H48" s="933"/>
      <c r="I48" s="933">
        <v>-0.58810640830035998</v>
      </c>
      <c r="J48" s="788"/>
      <c r="K48" s="793"/>
      <c r="L48" s="933"/>
      <c r="M48" s="788"/>
      <c r="N48" s="793"/>
      <c r="O48" s="788"/>
      <c r="P48" s="788"/>
      <c r="Q48" s="933"/>
      <c r="R48" s="933">
        <v>2.99</v>
      </c>
      <c r="S48" s="788"/>
      <c r="T48" s="933"/>
      <c r="U48" s="933"/>
      <c r="V48" s="788"/>
      <c r="W48" s="933"/>
      <c r="X48" s="933">
        <v>4.8</v>
      </c>
      <c r="Y48" s="788"/>
      <c r="Z48" s="931"/>
      <c r="AA48" s="931"/>
      <c r="AB48" s="788"/>
      <c r="AC48" s="931"/>
      <c r="AD48" s="931">
        <v>4.6702930831617797</v>
      </c>
      <c r="AE48" s="788"/>
      <c r="AF48" s="933"/>
      <c r="AG48" s="933"/>
      <c r="AH48" s="788"/>
      <c r="AI48" s="540"/>
      <c r="AJ48" s="788"/>
      <c r="AK48" s="788"/>
    </row>
    <row r="49" spans="1:37" s="563" customFormat="1" ht="18.75" x14ac:dyDescent="0.3">
      <c r="A49" s="827">
        <v>2019</v>
      </c>
      <c r="B49" s="933"/>
      <c r="C49" s="933">
        <v>4.62</v>
      </c>
      <c r="D49" s="788"/>
      <c r="E49" s="933"/>
      <c r="F49" s="933">
        <v>4.0999999999999996</v>
      </c>
      <c r="G49" s="787"/>
      <c r="H49" s="933"/>
      <c r="I49" s="933">
        <v>6.94</v>
      </c>
      <c r="J49" s="787"/>
      <c r="K49" s="797"/>
      <c r="L49" s="933"/>
      <c r="M49" s="787"/>
      <c r="N49" s="797"/>
      <c r="O49" s="787"/>
      <c r="P49" s="787"/>
      <c r="Q49" s="933"/>
      <c r="R49" s="933">
        <v>4.72</v>
      </c>
      <c r="S49" s="787"/>
      <c r="T49" s="933"/>
      <c r="U49" s="933"/>
      <c r="V49" s="787"/>
      <c r="W49" s="933"/>
      <c r="X49" s="933">
        <v>5.81</v>
      </c>
      <c r="Y49" s="787"/>
      <c r="Z49" s="931"/>
      <c r="AA49" s="931"/>
      <c r="AB49" s="787"/>
      <c r="AC49" s="931"/>
      <c r="AD49" s="931">
        <v>12.781629706371699</v>
      </c>
      <c r="AE49" s="787"/>
      <c r="AF49" s="933"/>
      <c r="AG49" s="933"/>
      <c r="AH49" s="788"/>
      <c r="AI49" s="540"/>
      <c r="AJ49" s="788"/>
      <c r="AK49" s="788"/>
    </row>
    <row r="50" spans="1:37" s="563" customFormat="1" ht="18.75" x14ac:dyDescent="0.3">
      <c r="A50" s="827">
        <v>2018</v>
      </c>
      <c r="B50" s="933"/>
      <c r="C50" s="933">
        <v>0.59</v>
      </c>
      <c r="D50" s="788"/>
      <c r="E50" s="933"/>
      <c r="F50" s="933">
        <v>3</v>
      </c>
      <c r="G50" s="787"/>
      <c r="H50" s="933"/>
      <c r="I50" s="933">
        <v>1.55</v>
      </c>
      <c r="J50" s="787"/>
      <c r="K50" s="797"/>
      <c r="L50" s="933"/>
      <c r="M50" s="787"/>
      <c r="N50" s="797"/>
      <c r="O50" s="787"/>
      <c r="P50" s="787"/>
      <c r="Q50" s="933"/>
      <c r="R50" s="933">
        <v>4.3</v>
      </c>
      <c r="S50" s="787"/>
      <c r="T50" s="933"/>
      <c r="U50" s="933"/>
      <c r="V50" s="787"/>
      <c r="W50" s="933"/>
      <c r="X50" s="933">
        <v>3.9</v>
      </c>
      <c r="Y50" s="787"/>
      <c r="Z50" s="931"/>
      <c r="AA50" s="931"/>
      <c r="AB50" s="787"/>
      <c r="AC50" s="931"/>
      <c r="AD50" s="931">
        <v>1.37514717427514</v>
      </c>
      <c r="AE50" s="787"/>
      <c r="AF50" s="933"/>
      <c r="AG50" s="933"/>
      <c r="AH50" s="788"/>
      <c r="AI50" s="540"/>
      <c r="AJ50" s="788"/>
      <c r="AK50" s="788"/>
    </row>
    <row r="51" spans="1:37" s="563" customFormat="1" ht="18.75" x14ac:dyDescent="0.3">
      <c r="A51" s="827">
        <v>2017</v>
      </c>
      <c r="B51" s="933"/>
      <c r="C51" s="933">
        <v>4.1500000000000004</v>
      </c>
      <c r="D51" s="788"/>
      <c r="E51" s="933"/>
      <c r="F51" s="933">
        <v>5.6</v>
      </c>
      <c r="G51" s="787"/>
      <c r="H51" s="933"/>
      <c r="I51" s="933">
        <v>5.43</v>
      </c>
      <c r="J51" s="787"/>
      <c r="K51" s="797"/>
      <c r="L51" s="933"/>
      <c r="M51" s="787"/>
      <c r="N51" s="797"/>
      <c r="O51" s="787"/>
      <c r="P51" s="787"/>
      <c r="Q51" s="933"/>
      <c r="R51" s="933">
        <v>4.47</v>
      </c>
      <c r="S51" s="787"/>
      <c r="T51" s="933"/>
      <c r="U51" s="933"/>
      <c r="V51" s="787"/>
      <c r="W51" s="933"/>
      <c r="X51" s="933">
        <v>4.82</v>
      </c>
      <c r="Y51" s="787"/>
      <c r="Z51" s="931"/>
      <c r="AA51" s="931"/>
      <c r="AB51" s="787"/>
      <c r="AC51" s="931"/>
      <c r="AD51" s="931">
        <v>7.7392028099042101</v>
      </c>
      <c r="AE51" s="787"/>
      <c r="AF51" s="933"/>
      <c r="AG51" s="933"/>
      <c r="AH51" s="788"/>
      <c r="AI51" s="540"/>
      <c r="AJ51" s="788"/>
      <c r="AK51" s="788"/>
    </row>
    <row r="52" spans="1:37" s="563" customFormat="1" ht="18.75" x14ac:dyDescent="0.3">
      <c r="A52" s="827">
        <v>2016</v>
      </c>
      <c r="B52" s="934"/>
      <c r="C52" s="934">
        <v>4.18</v>
      </c>
      <c r="D52" s="801"/>
      <c r="E52" s="934"/>
      <c r="F52" s="934">
        <v>5.83</v>
      </c>
      <c r="G52" s="802"/>
      <c r="H52" s="934"/>
      <c r="I52" s="934">
        <v>4.3499999999999996</v>
      </c>
      <c r="J52" s="802"/>
      <c r="K52" s="803"/>
      <c r="L52" s="934"/>
      <c r="M52" s="802"/>
      <c r="N52" s="803"/>
      <c r="O52" s="802"/>
      <c r="P52" s="802"/>
      <c r="Q52" s="934"/>
      <c r="R52" s="934">
        <v>4.87</v>
      </c>
      <c r="S52" s="802"/>
      <c r="T52" s="934"/>
      <c r="U52" s="934">
        <v>5.83</v>
      </c>
      <c r="V52" s="802"/>
      <c r="W52" s="934"/>
      <c r="X52" s="934">
        <v>4.42</v>
      </c>
      <c r="Y52" s="802"/>
      <c r="Z52" s="940"/>
      <c r="AA52" s="940"/>
      <c r="AB52" s="802"/>
      <c r="AC52" s="940"/>
      <c r="AD52" s="940">
        <v>4.6399999999999997</v>
      </c>
      <c r="AE52" s="802"/>
      <c r="AF52" s="934"/>
      <c r="AG52" s="934"/>
      <c r="AH52" s="801"/>
      <c r="AI52" s="728"/>
      <c r="AJ52" s="801"/>
      <c r="AK52" s="801"/>
    </row>
    <row r="53" spans="1:37" s="563" customFormat="1" ht="18.75" x14ac:dyDescent="0.3">
      <c r="A53" s="829" t="s">
        <v>250</v>
      </c>
      <c r="E53" s="829"/>
      <c r="F53" s="829"/>
      <c r="H53" s="829"/>
      <c r="I53" s="829"/>
    </row>
    <row r="54" spans="1:37" s="563" customFormat="1" ht="18.75" x14ac:dyDescent="0.3"/>
    <row r="55" spans="1:37" s="563" customFormat="1" ht="18.75" x14ac:dyDescent="0.3"/>
    <row r="56" spans="1:37" s="563" customFormat="1" ht="18.75" x14ac:dyDescent="0.3"/>
    <row r="57" spans="1:37" s="563" customFormat="1" ht="18.75" x14ac:dyDescent="0.3"/>
    <row r="58" spans="1:37" s="563" customFormat="1" ht="18.75" x14ac:dyDescent="0.3"/>
    <row r="59" spans="1:37" s="563" customFormat="1" ht="18.75" x14ac:dyDescent="0.3"/>
  </sheetData>
  <protectedRanges>
    <protectedRange sqref="Z10" name="Område1_6_1_1"/>
  </protectedRanges>
  <mergeCells count="32">
    <mergeCell ref="B5:D5"/>
    <mergeCell ref="H5:J5"/>
    <mergeCell ref="N5:P5"/>
    <mergeCell ref="Q5:S5"/>
    <mergeCell ref="E5:G5"/>
    <mergeCell ref="K5:M5"/>
    <mergeCell ref="AT5:AV5"/>
    <mergeCell ref="AW5:AY5"/>
    <mergeCell ref="AZ5:BB5"/>
    <mergeCell ref="B6:D6"/>
    <mergeCell ref="H6:J6"/>
    <mergeCell ref="N6:P6"/>
    <mergeCell ref="Q6:S6"/>
    <mergeCell ref="T6:V6"/>
    <mergeCell ref="E6:G6"/>
    <mergeCell ref="W6:Y6"/>
    <mergeCell ref="AC5:AE5"/>
    <mergeCell ref="AF5:AH5"/>
    <mergeCell ref="AI5:AK5"/>
    <mergeCell ref="AN5:AP5"/>
    <mergeCell ref="AQ5:AS5"/>
    <mergeCell ref="Z5:AB5"/>
    <mergeCell ref="K6:M6"/>
    <mergeCell ref="AQ6:AS6"/>
    <mergeCell ref="AT6:AV6"/>
    <mergeCell ref="AW6:AY6"/>
    <mergeCell ref="AZ6:BB6"/>
    <mergeCell ref="Z6:AB6"/>
    <mergeCell ref="AC6:AE6"/>
    <mergeCell ref="AF6:AH6"/>
    <mergeCell ref="AI6:AK6"/>
    <mergeCell ref="AN6:AP6"/>
  </mergeCells>
  <hyperlinks>
    <hyperlink ref="B1" location="Innhold!A1" display="Tilbake" xr:uid="{00000000-0004-0000-2500-000000000000}"/>
  </hyperlinks>
  <pageMargins left="0.78740157480314965" right="0.78740157480314965" top="1.5748031496062993" bottom="0.98425196850393704" header="0.51181102362204722" footer="0.51181102362204722"/>
  <pageSetup paperSize="9" scale="45" fitToWidth="4" orientation="portrait" r:id="rId1"/>
  <headerFooter alignWithMargins="0"/>
  <colBreaks count="4" manualBreakCount="4">
    <brk id="16" min="1" max="72" man="1"/>
    <brk id="22" min="1" max="72" man="1"/>
    <brk id="28" min="1" max="72" man="1"/>
    <brk id="4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IF113"/>
  <sheetViews>
    <sheetView showGridLines="0" showZeros="0" zoomScale="80" zoomScaleNormal="80" workbookViewId="0">
      <pane xSplit="1" ySplit="7" topLeftCell="B47" activePane="bottomRight" state="frozen"/>
      <selection pane="topRight" activeCell="B1" sqref="B1"/>
      <selection pane="bottomLeft" activeCell="A8" sqref="A8"/>
      <selection pane="bottomRight" activeCell="A4" sqref="A4"/>
    </sheetView>
  </sheetViews>
  <sheetFormatPr baseColWidth="10" defaultColWidth="11.42578125" defaultRowHeight="12.75" x14ac:dyDescent="0.2"/>
  <cols>
    <col min="1" max="1" width="49" style="87" customWidth="1"/>
    <col min="2" max="3" width="15.7109375" style="87" customWidth="1"/>
    <col min="4" max="4" width="8.7109375" style="87" customWidth="1"/>
    <col min="5" max="5" width="9" style="87" bestFit="1" customWidth="1"/>
    <col min="6" max="6" width="4.7109375" style="87" customWidth="1"/>
    <col min="7" max="7" width="18.42578125" style="87" customWidth="1"/>
    <col min="8" max="8" width="17.7109375" style="87" customWidth="1"/>
    <col min="9" max="9" width="8.7109375" style="87" customWidth="1"/>
    <col min="10" max="10" width="9" style="87" bestFit="1" customWidth="1"/>
    <col min="11" max="11" width="13.42578125" style="87" hidden="1" customWidth="1"/>
    <col min="12" max="12" width="14.7109375" style="188" hidden="1" customWidth="1"/>
    <col min="13" max="13" width="13.7109375" style="188" hidden="1" customWidth="1"/>
    <col min="14" max="15" width="15.7109375" style="188" hidden="1" customWidth="1"/>
    <col min="16" max="16" width="11.42578125" style="87" hidden="1" customWidth="1"/>
    <col min="17" max="19" width="11.42578125" style="87" customWidth="1"/>
    <col min="20" max="16384" width="11.42578125" style="87"/>
  </cols>
  <sheetData>
    <row r="1" spans="1:16" ht="20.25" x14ac:dyDescent="0.3">
      <c r="A1" s="80" t="s">
        <v>76</v>
      </c>
      <c r="B1" s="73" t="s">
        <v>52</v>
      </c>
      <c r="C1" s="74"/>
      <c r="D1" s="74"/>
      <c r="E1" s="74"/>
      <c r="F1" s="74"/>
      <c r="G1" s="74"/>
      <c r="H1" s="74"/>
      <c r="I1" s="74"/>
      <c r="J1" s="74"/>
      <c r="K1" s="74"/>
    </row>
    <row r="2" spans="1:16" ht="20.25" x14ac:dyDescent="0.3">
      <c r="A2" s="80" t="s">
        <v>77</v>
      </c>
      <c r="B2" s="74"/>
      <c r="C2" s="74"/>
      <c r="D2" s="74"/>
      <c r="E2" s="74"/>
      <c r="F2" s="74"/>
      <c r="G2" s="74"/>
      <c r="H2" s="74"/>
      <c r="I2" s="74"/>
      <c r="J2" s="74"/>
      <c r="K2" s="74"/>
    </row>
    <row r="3" spans="1:16" ht="18.75" x14ac:dyDescent="0.3">
      <c r="A3" s="1003" t="s">
        <v>78</v>
      </c>
      <c r="B3" s="1003"/>
      <c r="C3" s="74"/>
      <c r="D3" s="74"/>
      <c r="E3" s="74"/>
      <c r="F3" s="74"/>
      <c r="G3" s="74"/>
      <c r="H3" s="74"/>
      <c r="I3" s="74"/>
      <c r="J3" s="74"/>
      <c r="K3" s="74"/>
    </row>
    <row r="4" spans="1:16" ht="18.75" x14ac:dyDescent="0.3">
      <c r="A4" s="82" t="s">
        <v>360</v>
      </c>
      <c r="B4" s="83"/>
      <c r="C4" s="84"/>
      <c r="D4" s="84"/>
      <c r="E4" s="85"/>
      <c r="F4" s="86"/>
      <c r="G4" s="83"/>
      <c r="H4" s="84"/>
      <c r="I4" s="84"/>
      <c r="J4" s="85"/>
      <c r="K4" s="112"/>
      <c r="L4" s="211"/>
      <c r="M4" s="212"/>
      <c r="N4" s="213"/>
      <c r="O4" s="212"/>
    </row>
    <row r="5" spans="1:16" ht="22.5" x14ac:dyDescent="0.3">
      <c r="A5" s="88"/>
      <c r="B5" s="1004" t="s">
        <v>79</v>
      </c>
      <c r="C5" s="1005"/>
      <c r="D5" s="1005"/>
      <c r="E5" s="1006"/>
      <c r="F5" s="90"/>
      <c r="G5" s="1004" t="s">
        <v>474</v>
      </c>
      <c r="H5" s="1005"/>
      <c r="I5" s="1005"/>
      <c r="J5" s="1006"/>
      <c r="K5" s="89"/>
      <c r="L5" s="1007" t="s">
        <v>134</v>
      </c>
      <c r="M5" s="1002"/>
      <c r="N5" s="1001" t="s">
        <v>135</v>
      </c>
      <c r="O5" s="1002"/>
    </row>
    <row r="6" spans="1:16" ht="18.75" x14ac:dyDescent="0.3">
      <c r="A6" s="91"/>
      <c r="B6" s="92"/>
      <c r="C6" s="93"/>
      <c r="D6" s="93" t="s">
        <v>80</v>
      </c>
      <c r="E6" s="94" t="s">
        <v>29</v>
      </c>
      <c r="F6" s="95"/>
      <c r="G6" s="92"/>
      <c r="H6" s="93"/>
      <c r="I6" s="93" t="s">
        <v>80</v>
      </c>
      <c r="J6" s="94" t="s">
        <v>29</v>
      </c>
      <c r="K6" s="100"/>
      <c r="L6" s="214"/>
      <c r="M6" s="215"/>
      <c r="N6" s="216"/>
      <c r="O6" s="215"/>
    </row>
    <row r="7" spans="1:16" ht="15.75" x14ac:dyDescent="0.25">
      <c r="A7" s="96" t="s">
        <v>81</v>
      </c>
      <c r="B7" s="97">
        <v>2019</v>
      </c>
      <c r="C7" s="97">
        <v>2020</v>
      </c>
      <c r="D7" s="98" t="s">
        <v>82</v>
      </c>
      <c r="E7" s="99" t="s">
        <v>30</v>
      </c>
      <c r="F7" s="95"/>
      <c r="G7" s="97">
        <v>2019</v>
      </c>
      <c r="H7" s="97">
        <v>2020</v>
      </c>
      <c r="I7" s="98" t="s">
        <v>82</v>
      </c>
      <c r="J7" s="99" t="s">
        <v>30</v>
      </c>
      <c r="K7" s="100"/>
      <c r="L7" s="217">
        <v>2015</v>
      </c>
      <c r="M7" s="218">
        <v>2016</v>
      </c>
      <c r="N7" s="219">
        <v>2015</v>
      </c>
      <c r="O7" s="218">
        <v>2016</v>
      </c>
      <c r="P7" s="87" t="s">
        <v>138</v>
      </c>
    </row>
    <row r="8" spans="1:16" ht="18.75" x14ac:dyDescent="0.3">
      <c r="A8" s="101" t="s">
        <v>0</v>
      </c>
      <c r="B8" s="129"/>
      <c r="C8" s="103"/>
      <c r="D8" s="104"/>
      <c r="E8" s="410"/>
      <c r="F8" s="176"/>
      <c r="G8" s="129"/>
      <c r="H8" s="129"/>
      <c r="I8" s="103"/>
      <c r="J8" s="410"/>
      <c r="K8" s="139"/>
      <c r="L8" s="220" t="s">
        <v>0</v>
      </c>
      <c r="M8" s="221"/>
      <c r="N8" s="222"/>
      <c r="O8" s="221"/>
      <c r="P8" s="87" t="s">
        <v>146</v>
      </c>
    </row>
    <row r="9" spans="1:16" ht="18.75" x14ac:dyDescent="0.3">
      <c r="A9" s="193" t="s">
        <v>83</v>
      </c>
      <c r="B9" s="176">
        <f>'Danica Pensjonsforsikring'!B7+'Danica Pensjonsforsikring'!B22+'Danica Pensjonsforsikring'!B36+'Danica Pensjonsforsikring'!B47+'Danica Pensjonsforsikring'!B66+'Danica Pensjonsforsikring'!B134</f>
        <v>421442.94600000005</v>
      </c>
      <c r="C9" s="176">
        <f>'Danica Pensjonsforsikring'!C7+'Danica Pensjonsforsikring'!C22+'Danica Pensjonsforsikring'!C36+'Danica Pensjonsforsikring'!C47+'Danica Pensjonsforsikring'!C66+'Danica Pensjonsforsikring'!C134</f>
        <v>430556.18900000001</v>
      </c>
      <c r="D9" s="104">
        <f t="shared" ref="D9:D31" si="0">IF(B9=0, "    ---- ", IF(ABS(ROUND(100/B9*C9-100,1))&lt;999,ROUND(100/B9*C9-100,1),IF(ROUND(100/B9*C9-100,1)&gt;999,999,-999)))</f>
        <v>2.2000000000000002</v>
      </c>
      <c r="E9" s="410">
        <f t="shared" ref="E9:E30" si="1">100/C$32*C9</f>
        <v>0.75294783858646053</v>
      </c>
      <c r="F9" s="103"/>
      <c r="G9" s="176">
        <f>'Danica Pensjonsforsikring'!B10+'Danica Pensjonsforsikring'!B29+'Danica Pensjonsforsikring'!B37+'Danica Pensjonsforsikring'!B87+'Danica Pensjonsforsikring'!B135</f>
        <v>1179127.2880000002</v>
      </c>
      <c r="H9" s="176">
        <f>'Danica Pensjonsforsikring'!C10+'Danica Pensjonsforsikring'!C29+'Danica Pensjonsforsikring'!C37+'Danica Pensjonsforsikring'!C87+'Danica Pensjonsforsikring'!C135</f>
        <v>1320149.652</v>
      </c>
      <c r="I9" s="104">
        <f t="shared" ref="I9:I28" si="2">IF(G9=0, "    ---- ", IF(ABS(ROUND(100/G9*H9-100,1))&lt;999,ROUND(100/G9*H9-100,1),IF(ROUND(100/G9*H9-100,1)&gt;999,999,-999)))</f>
        <v>12</v>
      </c>
      <c r="J9" s="410">
        <f t="shared" ref="J9:J14" si="3">100/H$32*H9</f>
        <v>0.12145117886081436</v>
      </c>
      <c r="K9" s="207" t="s">
        <v>142</v>
      </c>
      <c r="L9" s="223" t="e">
        <f ca="1">INDIRECT("'" &amp;#REF! &amp; "'!" &amp; $P$7)</f>
        <v>#REF!</v>
      </c>
      <c r="M9" s="221" t="e">
        <f ca="1">INDIRECT("'" &amp;#REF! &amp; "'!" &amp; $P$8)</f>
        <v>#REF!</v>
      </c>
      <c r="N9" s="223" t="e">
        <f ca="1">INDIRECT("'" &amp;#REF! &amp; "'!" &amp; $P$9)</f>
        <v>#REF!</v>
      </c>
      <c r="O9" s="221" t="e">
        <f ca="1">INDIRECT("'" &amp;#REF! &amp; "'!" &amp; $P$11)</f>
        <v>#REF!</v>
      </c>
      <c r="P9" s="87" t="s">
        <v>150</v>
      </c>
    </row>
    <row r="10" spans="1:16" ht="18.75" x14ac:dyDescent="0.3">
      <c r="A10" s="108" t="s">
        <v>494</v>
      </c>
      <c r="B10" s="176">
        <f>'DNB Bedriftspensjon'!B7+'DNB Bedriftspensjon'!B22+'DNB Bedriftspensjon'!B36+'DNB Bedriftspensjon'!B47+'DNB Bedriftspensjon'!B66+'DNB Bedriftspensjon'!B134</f>
        <v>96824</v>
      </c>
      <c r="C10" s="176">
        <f>'DNB Bedriftspensjon'!C7+'DNB Bedriftspensjon'!C22+'DNB Bedriftspensjon'!C36+'DNB Bedriftspensjon'!C47+'DNB Bedriftspensjon'!C66+'DNB Bedriftspensjon'!C134</f>
        <v>98726</v>
      </c>
      <c r="D10" s="104">
        <f>IF(B10=0, "    ---- ", IF(ABS(ROUND(100/B10*C10-100,1))&lt;999,ROUND(100/B10*C10-100,1),IF(ROUND(100/B10*C10-100,1)&gt;999,999,-999)))</f>
        <v>2</v>
      </c>
      <c r="E10" s="410">
        <f t="shared" si="1"/>
        <v>0.17265000529881339</v>
      </c>
      <c r="F10" s="103"/>
      <c r="G10" s="176">
        <f>'DNB Bedriftspensjon'!B10+'DNB Bedriftspensjon'!B29+'DNB Bedriftspensjon'!B37+'DNB Bedriftspensjon'!B87+'DNB Bedriftspensjon'!B135</f>
        <v>1723587</v>
      </c>
      <c r="H10" s="176">
        <f>'DNB Bedriftspensjon'!C10+'DNB Bedriftspensjon'!C29+'DNB Bedriftspensjon'!C37+'DNB Bedriftspensjon'!C87+'DNB Bedriftspensjon'!C135</f>
        <v>1799572</v>
      </c>
      <c r="I10" s="104">
        <f t="shared" si="2"/>
        <v>4.4000000000000004</v>
      </c>
      <c r="J10" s="410">
        <f t="shared" si="3"/>
        <v>0.16555709461711346</v>
      </c>
      <c r="K10" s="139"/>
      <c r="L10" s="223">
        <f ca="1">INDIRECT("'" &amp; $A21 &amp; "'!" &amp; $P$7)</f>
        <v>0</v>
      </c>
      <c r="M10" s="221">
        <f ca="1">INDIRECT("'" &amp; $A21 &amp; "'!" &amp; $P$8)</f>
        <v>0</v>
      </c>
      <c r="N10" s="223">
        <f ca="1">INDIRECT("'" &amp; $A21 &amp; "'!" &amp; $P$9)</f>
        <v>0</v>
      </c>
      <c r="O10" s="221">
        <f ca="1">INDIRECT("'" &amp; $A21 &amp; "'!" &amp; $P$11)</f>
        <v>0</v>
      </c>
    </row>
    <row r="11" spans="1:16" ht="18.75" x14ac:dyDescent="0.3">
      <c r="A11" s="193" t="s">
        <v>84</v>
      </c>
      <c r="B11" s="176">
        <f>'DNB Livsforsikring'!B7+'DNB Livsforsikring'!B22+'DNB Livsforsikring'!B36+'DNB Livsforsikring'!B47+'DNB Livsforsikring'!B66+'DNB Livsforsikring'!B134</f>
        <v>4578461</v>
      </c>
      <c r="C11" s="176">
        <f>'DNB Livsforsikring'!C7+'DNB Livsforsikring'!C22+'DNB Livsforsikring'!C36+'DNB Livsforsikring'!C47+'DNB Livsforsikring'!C66+'DNB Livsforsikring'!C134</f>
        <v>3463853.92227</v>
      </c>
      <c r="D11" s="104">
        <f t="shared" si="0"/>
        <v>-24.3</v>
      </c>
      <c r="E11" s="410">
        <f t="shared" si="1"/>
        <v>6.0575167436564943</v>
      </c>
      <c r="F11" s="103"/>
      <c r="G11" s="176">
        <f>'DNB Livsforsikring'!B10+'DNB Livsforsikring'!B29+'DNB Livsforsikring'!B37+'DNB Livsforsikring'!B87+'DNB Livsforsikring'!B135</f>
        <v>198525277</v>
      </c>
      <c r="H11" s="176">
        <f>'DNB Livsforsikring'!C10+'DNB Livsforsikring'!C29+'DNB Livsforsikring'!C37+'DNB Livsforsikring'!C87+'DNB Livsforsikring'!C135</f>
        <v>193584584.22384</v>
      </c>
      <c r="I11" s="104">
        <f t="shared" si="2"/>
        <v>-2.5</v>
      </c>
      <c r="J11" s="410">
        <f t="shared" si="3"/>
        <v>17.809402083807065</v>
      </c>
      <c r="K11" s="208" t="s">
        <v>143</v>
      </c>
      <c r="L11" s="223">
        <f ca="1">INDIRECT("'" &amp; $A9 &amp; "'!" &amp; $P$7)</f>
        <v>0</v>
      </c>
      <c r="M11" s="221">
        <f ca="1">INDIRECT("'" &amp; $A9 &amp; "'!" &amp; $P$8)</f>
        <v>0</v>
      </c>
      <c r="N11" s="223">
        <f ca="1">INDIRECT("'" &amp; $A9 &amp; "'!" &amp; $P$9)</f>
        <v>0</v>
      </c>
      <c r="O11" s="221">
        <f ca="1">INDIRECT("'" &amp; $A9 &amp; "'!" &amp; $P$11)</f>
        <v>0</v>
      </c>
      <c r="P11" s="87" t="s">
        <v>155</v>
      </c>
    </row>
    <row r="12" spans="1:16" ht="18.75" x14ac:dyDescent="0.3">
      <c r="A12" s="193" t="s">
        <v>85</v>
      </c>
      <c r="B12" s="176">
        <f>'Eika Forsikring AS'!B7+'Eika Forsikring AS'!B22+'Eika Forsikring AS'!B36+'Eika Forsikring AS'!B47+'Eika Forsikring AS'!B66+'Eika Forsikring AS'!B134</f>
        <v>323640</v>
      </c>
      <c r="C12" s="176">
        <f>'Eika Forsikring AS'!C7+'Eika Forsikring AS'!C22+'Eika Forsikring AS'!C36+'Eika Forsikring AS'!C47+'Eika Forsikring AS'!C66+'Eika Forsikring AS'!C134</f>
        <v>335372</v>
      </c>
      <c r="D12" s="104">
        <f t="shared" si="0"/>
        <v>3.6</v>
      </c>
      <c r="E12" s="410">
        <f t="shared" si="1"/>
        <v>0.58649167977101924</v>
      </c>
      <c r="F12" s="103"/>
      <c r="G12" s="176">
        <f>'Eika Forsikring AS'!B10+'Eika Forsikring AS'!B29+'Eika Forsikring AS'!B37+'Eika Forsikring AS'!B87+'Eika Forsikring AS'!B135</f>
        <v>503320</v>
      </c>
      <c r="H12" s="176">
        <f>'Eika Forsikring AS'!C10+'Eika Forsikring AS'!C29+'Eika Forsikring AS'!C37+'Eika Forsikring AS'!C87+'Eika Forsikring AS'!C135</f>
        <v>543598</v>
      </c>
      <c r="I12" s="104">
        <f t="shared" si="2"/>
        <v>8</v>
      </c>
      <c r="J12" s="410">
        <f t="shared" si="3"/>
        <v>5.0009949876789396E-2</v>
      </c>
      <c r="K12" s="87" t="s">
        <v>136</v>
      </c>
      <c r="L12" s="223">
        <f ca="1">INDIRECT("'" &amp; $A11 &amp; "'!" &amp; $P$7)</f>
        <v>0</v>
      </c>
      <c r="M12" s="221">
        <f ca="1">INDIRECT("'" &amp; $A11 &amp; "'!" &amp; $P$8)</f>
        <v>0</v>
      </c>
      <c r="N12" s="223">
        <f ca="1">INDIRECT("'" &amp; $A11 &amp; "'!" &amp; $P$9)</f>
        <v>0</v>
      </c>
      <c r="O12" s="221">
        <f ca="1">INDIRECT("'" &amp; $A11 &amp; "'!" &amp; $P$11)</f>
        <v>0</v>
      </c>
    </row>
    <row r="13" spans="1:16" ht="18.75" x14ac:dyDescent="0.3">
      <c r="A13" s="108" t="s">
        <v>485</v>
      </c>
      <c r="B13" s="176">
        <f>'Fremtind Livsforsikring'!B7+'Fremtind Livsforsikring'!B22+'Fremtind Livsforsikring'!B36+'Fremtind Livsforsikring'!B47+'Fremtind Livsforsikring'!B66+'Fremtind Livsforsikring'!B134</f>
        <v>0</v>
      </c>
      <c r="C13" s="176">
        <f>'Fremtind Livsforsikring'!C7+'Fremtind Livsforsikring'!C22+'Fremtind Livsforsikring'!C36+'Fremtind Livsforsikring'!C47+'Fremtind Livsforsikring'!C66+'Fremtind Livsforsikring'!C134</f>
        <v>2912282.94184</v>
      </c>
      <c r="D13" s="104" t="str">
        <f t="shared" si="0"/>
        <v xml:space="preserve">    ---- </v>
      </c>
      <c r="E13" s="410">
        <f t="shared" si="1"/>
        <v>5.0929407181524606</v>
      </c>
      <c r="F13" s="103"/>
      <c r="G13" s="176">
        <f>'Fremtind Livsforsikring'!B10+'Fremtind Livsforsikring'!B29+'Fremtind Livsforsikring'!B37+'Fremtind Livsforsikring'!B87+'Fremtind Livsforsikring'!B135</f>
        <v>0</v>
      </c>
      <c r="H13" s="176">
        <f>'Fremtind Livsforsikring'!C10+'Fremtind Livsforsikring'!C29+'Fremtind Livsforsikring'!C37+'Fremtind Livsforsikring'!C87+'Fremtind Livsforsikring'!C135</f>
        <v>3822716.1325900001</v>
      </c>
      <c r="I13" s="104" t="str">
        <f t="shared" si="2"/>
        <v xml:space="preserve">    ---- </v>
      </c>
      <c r="J13" s="410">
        <f t="shared" si="3"/>
        <v>0.35168238695510307</v>
      </c>
      <c r="K13" s="87" t="s">
        <v>144</v>
      </c>
      <c r="L13" s="223">
        <f ca="1">INDIRECT("'" &amp; $A12 &amp; "'!" &amp; $P$7)</f>
        <v>0</v>
      </c>
      <c r="M13" s="221">
        <f ca="1">INDIRECT("'" &amp; $A12 &amp; "'!" &amp; $P$8)</f>
        <v>0</v>
      </c>
      <c r="N13" s="223">
        <f ca="1">INDIRECT("'" &amp; $A12 &amp; "'!" &amp; $P$9)</f>
        <v>0</v>
      </c>
      <c r="O13" s="221">
        <f ca="1">INDIRECT("'" &amp; $A12 &amp; "'!" &amp; $P$11)</f>
        <v>0</v>
      </c>
    </row>
    <row r="14" spans="1:16" ht="18.75" x14ac:dyDescent="0.3">
      <c r="A14" s="193" t="s">
        <v>86</v>
      </c>
      <c r="B14" s="177">
        <f>'Frende Livsforsikring'!B7+'Frende Livsforsikring'!B22+'Frende Livsforsikring'!B36+'Frende Livsforsikring'!B47+'Frende Livsforsikring'!B66+'Frende Livsforsikring'!B134</f>
        <v>490047</v>
      </c>
      <c r="C14" s="177">
        <f>'Frende Livsforsikring'!C7+'Frende Livsforsikring'!C22+'Frende Livsforsikring'!C36+'Frende Livsforsikring'!C47+'Frende Livsforsikring'!C66+'Frende Livsforsikring'!C134</f>
        <v>496774</v>
      </c>
      <c r="D14" s="104">
        <f t="shared" si="0"/>
        <v>1.4</v>
      </c>
      <c r="E14" s="410">
        <f t="shared" si="1"/>
        <v>0.86874818925422614</v>
      </c>
      <c r="F14" s="103"/>
      <c r="G14" s="176">
        <f>'Frende Livsforsikring'!B10+'Frende Livsforsikring'!B29+'Frende Livsforsikring'!B37+'Frende Livsforsikring'!B87+'Frende Livsforsikring'!B135</f>
        <v>848727</v>
      </c>
      <c r="H14" s="176">
        <f>'Frende Livsforsikring'!C10+'Frende Livsforsikring'!C29+'Frende Livsforsikring'!C37+'Frende Livsforsikring'!C87+'Frende Livsforsikring'!C135</f>
        <v>790605</v>
      </c>
      <c r="I14" s="104">
        <f t="shared" si="2"/>
        <v>-6.8</v>
      </c>
      <c r="J14" s="410">
        <f t="shared" si="3"/>
        <v>7.2734109438112496E-2</v>
      </c>
      <c r="L14" s="223"/>
      <c r="M14" s="221"/>
      <c r="N14" s="223"/>
      <c r="O14" s="221"/>
    </row>
    <row r="15" spans="1:16" ht="18.75" x14ac:dyDescent="0.3">
      <c r="A15" s="193" t="s">
        <v>87</v>
      </c>
      <c r="B15" s="176">
        <f>'Frende Skadeforsikring'!B7+'Frende Skadeforsikring'!B22+'Frende Skadeforsikring'!B36+'Frende Skadeforsikring'!B47+'Frende Skadeforsikring'!B66+'Frende Skadeforsikring'!B134</f>
        <v>8197</v>
      </c>
      <c r="C15" s="176">
        <f>'Frende Skadeforsikring'!C7+'Frende Skadeforsikring'!C22+'Frende Skadeforsikring'!C36+'Frende Skadeforsikring'!C47+'Frende Skadeforsikring'!C66+'Frende Skadeforsikring'!C134</f>
        <v>6351.5640000000003</v>
      </c>
      <c r="D15" s="104">
        <f t="shared" si="0"/>
        <v>-22.5</v>
      </c>
      <c r="E15" s="410">
        <f t="shared" si="1"/>
        <v>1.1107484940702069E-2</v>
      </c>
      <c r="F15" s="103"/>
      <c r="G15" s="176">
        <f>'Frende Skadeforsikring'!B10+'Frende Skadeforsikring'!B29+'Frende Skadeforsikring'!B37+'Frende Skadeforsikring'!B87+'Frende Skadeforsikring'!B135</f>
        <v>0</v>
      </c>
      <c r="H15" s="176">
        <f>'Frende Skadeforsikring'!C10+'Frende Skadeforsikring'!C29+'Frende Skadeforsikring'!C37+'Frende Skadeforsikring'!C87+'Frende Skadeforsikring'!C135</f>
        <v>0</v>
      </c>
      <c r="I15" s="104"/>
      <c r="J15" s="410">
        <f t="shared" ref="J15:J31" si="4">100/H$32*H15</f>
        <v>0</v>
      </c>
      <c r="K15" s="87" t="s">
        <v>137</v>
      </c>
      <c r="L15" s="223">
        <f t="shared" ref="L15:L31" ca="1" si="5">INDIRECT("'" &amp; $A14 &amp; "'!" &amp; $P$7)</f>
        <v>0</v>
      </c>
      <c r="M15" s="221">
        <f t="shared" ref="M15:M31" ca="1" si="6">INDIRECT("'" &amp; $A14 &amp; "'!" &amp; $P$8)</f>
        <v>0</v>
      </c>
      <c r="N15" s="223">
        <f t="shared" ref="N15:N31" ca="1" si="7">INDIRECT("'" &amp; $A14 &amp; "'!" &amp; $P$9)</f>
        <v>0</v>
      </c>
      <c r="O15" s="221">
        <f t="shared" ref="O15:O31" ca="1" si="8">INDIRECT("'" &amp; $A14 &amp; "'!" &amp; $P$11)</f>
        <v>0</v>
      </c>
    </row>
    <row r="16" spans="1:16" ht="18.75" x14ac:dyDescent="0.3">
      <c r="A16" s="193" t="s">
        <v>88</v>
      </c>
      <c r="B16" s="176">
        <f>'Gjensidige Forsikring'!B7+'Gjensidige Forsikring'!B22+'Gjensidige Forsikring'!B36+'Gjensidige Forsikring'!B47+'Gjensidige Forsikring'!B66+'Gjensidige Forsikring'!B134</f>
        <v>1559670</v>
      </c>
      <c r="C16" s="176">
        <f>'Gjensidige Forsikring'!C7+'Gjensidige Forsikring'!C22+'Gjensidige Forsikring'!C36+'Gjensidige Forsikring'!C47+'Gjensidige Forsikring'!C66+'Gjensidige Forsikring'!C134</f>
        <v>1666418</v>
      </c>
      <c r="D16" s="104">
        <f t="shared" si="0"/>
        <v>6.8</v>
      </c>
      <c r="E16" s="410">
        <f t="shared" si="1"/>
        <v>2.9141976432757128</v>
      </c>
      <c r="F16" s="103"/>
      <c r="G16" s="176">
        <f>'Gjensidige Forsikring'!B10+'Gjensidige Forsikring'!B29+'Gjensidige Forsikring'!B37+'Gjensidige Forsikring'!B87+'Gjensidige Forsikring'!B135</f>
        <v>1122791</v>
      </c>
      <c r="H16" s="176">
        <f>'Gjensidige Forsikring'!C10+'Gjensidige Forsikring'!C29+'Gjensidige Forsikring'!C37+'Gjensidige Forsikring'!C87+'Gjensidige Forsikring'!C135</f>
        <v>1127127</v>
      </c>
      <c r="I16" s="104">
        <f t="shared" si="2"/>
        <v>0.4</v>
      </c>
      <c r="J16" s="410">
        <f t="shared" si="4"/>
        <v>0.10369347343951965</v>
      </c>
      <c r="K16" s="87" t="s">
        <v>145</v>
      </c>
      <c r="L16" s="223">
        <f t="shared" ca="1" si="5"/>
        <v>0</v>
      </c>
      <c r="M16" s="221">
        <f t="shared" ca="1" si="6"/>
        <v>0</v>
      </c>
      <c r="N16" s="223">
        <f t="shared" ca="1" si="7"/>
        <v>0</v>
      </c>
      <c r="O16" s="221">
        <f t="shared" ca="1" si="8"/>
        <v>0</v>
      </c>
    </row>
    <row r="17" spans="1:21" ht="18.75" x14ac:dyDescent="0.3">
      <c r="A17" s="193" t="s">
        <v>89</v>
      </c>
      <c r="B17" s="176">
        <f>'Gjensidige Pensjon'!B7+'Gjensidige Pensjon'!B22+'Gjensidige Pensjon'!B36+'Gjensidige Pensjon'!B47+'Gjensidige Pensjon'!B66+'Gjensidige Pensjon'!B134</f>
        <v>648034</v>
      </c>
      <c r="C17" s="176">
        <f>'Gjensidige Pensjon'!C7+'Gjensidige Pensjon'!C22+'Gjensidige Pensjon'!C36+'Gjensidige Pensjon'!C47+'Gjensidige Pensjon'!C66+'Gjensidige Pensjon'!C134</f>
        <v>662338</v>
      </c>
      <c r="D17" s="104">
        <f t="shared" si="0"/>
        <v>2.2000000000000002</v>
      </c>
      <c r="E17" s="410">
        <f t="shared" si="1"/>
        <v>1.1582831190325291</v>
      </c>
      <c r="F17" s="103"/>
      <c r="G17" s="176">
        <f>'Gjensidige Pensjon'!B10+'Gjensidige Pensjon'!B29+'Gjensidige Pensjon'!B37+'Gjensidige Pensjon'!B87+'Gjensidige Pensjon'!B135</f>
        <v>7183029</v>
      </c>
      <c r="H17" s="176">
        <f>'Gjensidige Pensjon'!C10+'Gjensidige Pensjon'!C29+'Gjensidige Pensjon'!C37+'Gjensidige Pensjon'!C87+'Gjensidige Pensjon'!C135</f>
        <v>7662525</v>
      </c>
      <c r="I17" s="104">
        <f t="shared" si="2"/>
        <v>6.7</v>
      </c>
      <c r="J17" s="410">
        <f t="shared" si="4"/>
        <v>0.70493727199078304</v>
      </c>
      <c r="K17" s="87" t="s">
        <v>138</v>
      </c>
      <c r="L17" s="223">
        <f t="shared" ca="1" si="5"/>
        <v>0</v>
      </c>
      <c r="M17" s="221">
        <f t="shared" ca="1" si="6"/>
        <v>0</v>
      </c>
      <c r="N17" s="223">
        <f t="shared" ca="1" si="7"/>
        <v>0</v>
      </c>
      <c r="O17" s="221">
        <f t="shared" ca="1" si="8"/>
        <v>0</v>
      </c>
    </row>
    <row r="18" spans="1:21" ht="18.75" x14ac:dyDescent="0.3">
      <c r="A18" s="193" t="s">
        <v>90</v>
      </c>
      <c r="B18" s="176">
        <f>'Handelsbanken Liv'!B7+'Handelsbanken Liv'!B22+'Handelsbanken Liv'!B36+'Handelsbanken Liv'!B47+'Handelsbanken Liv'!B66+'Handelsbanken Liv'!B134</f>
        <v>35020.773110000002</v>
      </c>
      <c r="C18" s="176">
        <f>'Handelsbanken Liv'!C7+'Handelsbanken Liv'!C22+'Handelsbanken Liv'!C36+'Handelsbanken Liv'!C47+'Handelsbanken Liv'!C66+'Handelsbanken Liv'!C134</f>
        <v>34452.757850000002</v>
      </c>
      <c r="D18" s="104">
        <f t="shared" si="0"/>
        <v>-1.6</v>
      </c>
      <c r="E18" s="410">
        <f t="shared" si="1"/>
        <v>6.0250276779786838E-2</v>
      </c>
      <c r="F18" s="103"/>
      <c r="G18" s="176">
        <f>'Handelsbanken Liv'!B10+'Handelsbanken Liv'!B29+'Handelsbanken Liv'!B37+'Handelsbanken Liv'!B87+'Handelsbanken Liv'!B135</f>
        <v>27038.08164</v>
      </c>
      <c r="H18" s="176">
        <f>'Handelsbanken Liv'!C10+'Handelsbanken Liv'!C29+'Handelsbanken Liv'!C37+'Handelsbanken Liv'!C87+'Handelsbanken Liv'!C135</f>
        <v>22414.323470655629</v>
      </c>
      <c r="I18" s="104">
        <f t="shared" si="2"/>
        <v>-17.100000000000001</v>
      </c>
      <c r="J18" s="410">
        <f t="shared" si="4"/>
        <v>2.0620737995534055E-3</v>
      </c>
      <c r="K18" s="87" t="s">
        <v>146</v>
      </c>
      <c r="L18" s="223">
        <f t="shared" ca="1" si="5"/>
        <v>0</v>
      </c>
      <c r="M18" s="221">
        <f t="shared" ca="1" si="6"/>
        <v>0</v>
      </c>
      <c r="N18" s="223">
        <f t="shared" ca="1" si="7"/>
        <v>0</v>
      </c>
      <c r="O18" s="221">
        <f t="shared" ca="1" si="8"/>
        <v>0</v>
      </c>
    </row>
    <row r="19" spans="1:21" ht="18.75" x14ac:dyDescent="0.3">
      <c r="A19" s="193" t="s">
        <v>91</v>
      </c>
      <c r="B19" s="176">
        <f>'If Skadeforsikring NUF'!B7+'If Skadeforsikring NUF'!B22+'If Skadeforsikring NUF'!B36+'If Skadeforsikring NUF'!B47+'If Skadeforsikring NUF'!B66+'If Skadeforsikring NUF'!B134</f>
        <v>472830.55865999998</v>
      </c>
      <c r="C19" s="176">
        <f>'If Skadeforsikring NUF'!C7+'If Skadeforsikring NUF'!C22+'If Skadeforsikring NUF'!C36+'If Skadeforsikring NUF'!C47+'If Skadeforsikring NUF'!C66+'If Skadeforsikring NUF'!C134</f>
        <v>508488.73802438495</v>
      </c>
      <c r="D19" s="104">
        <f t="shared" si="0"/>
        <v>7.5</v>
      </c>
      <c r="E19" s="410">
        <f t="shared" si="1"/>
        <v>0.88923468300444664</v>
      </c>
      <c r="F19" s="103"/>
      <c r="G19" s="176">
        <f>'If Skadeforsikring NUF'!B10+'If Skadeforsikring NUF'!B29+'If Skadeforsikring NUF'!B37+'If Skadeforsikring NUF'!B87+'If Skadeforsikring NUF'!B135</f>
        <v>512717.34090000001</v>
      </c>
      <c r="H19" s="176">
        <f>'If Skadeforsikring NUF'!C10+'If Skadeforsikring NUF'!C29+'If Skadeforsikring NUF'!C37+'If Skadeforsikring NUF'!C87+'If Skadeforsikring NUF'!C135</f>
        <v>513146.81849719601</v>
      </c>
      <c r="I19" s="104">
        <f t="shared" si="2"/>
        <v>0.1</v>
      </c>
      <c r="J19" s="410">
        <f t="shared" si="4"/>
        <v>4.7208500900442457E-2</v>
      </c>
      <c r="K19" s="139"/>
      <c r="L19" s="223">
        <f t="shared" ca="1" si="5"/>
        <v>0</v>
      </c>
      <c r="M19" s="221">
        <f t="shared" ca="1" si="6"/>
        <v>0</v>
      </c>
      <c r="N19" s="223">
        <f t="shared" ca="1" si="7"/>
        <v>0</v>
      </c>
      <c r="O19" s="221">
        <f t="shared" ca="1" si="8"/>
        <v>0</v>
      </c>
    </row>
    <row r="20" spans="1:21" ht="18.75" x14ac:dyDescent="0.3">
      <c r="A20" s="193" t="s">
        <v>490</v>
      </c>
      <c r="B20" s="176">
        <f>Insr!B7+Insr!B22+Insr!B36+Insr!B47+Insr!B66+Insr!B134</f>
        <v>17501.08816890161</v>
      </c>
      <c r="C20" s="176">
        <f>Insr!C7+Insr!C22+Insr!C36+Insr!C47+Insr!C66+Insr!C134</f>
        <v>14663</v>
      </c>
      <c r="D20" s="104">
        <f t="shared" si="0"/>
        <v>-16.2</v>
      </c>
      <c r="E20" s="410">
        <f t="shared" si="1"/>
        <v>2.5642353865207756E-2</v>
      </c>
      <c r="F20" s="103"/>
      <c r="G20" s="176">
        <f>Insr!B10+Insr!B29+Insr!B37+Insr!B87+Insr!B135</f>
        <v>6599.8879075415198</v>
      </c>
      <c r="H20" s="176">
        <f>Insr!C10+Insr!C29+Insr!C37+Insr!C87+Insr!C135</f>
        <v>2056</v>
      </c>
      <c r="I20" s="104">
        <f t="shared" si="2"/>
        <v>-68.8</v>
      </c>
      <c r="J20" s="410">
        <f t="shared" si="4"/>
        <v>1.8914796770164532E-4</v>
      </c>
      <c r="K20" s="139"/>
      <c r="L20" s="223">
        <f t="shared" ca="1" si="5"/>
        <v>0</v>
      </c>
      <c r="M20" s="221">
        <f t="shared" ca="1" si="6"/>
        <v>0</v>
      </c>
      <c r="N20" s="223">
        <f t="shared" ca="1" si="7"/>
        <v>0</v>
      </c>
      <c r="O20" s="221">
        <f t="shared" ca="1" si="8"/>
        <v>0</v>
      </c>
    </row>
    <row r="21" spans="1:21" ht="18.75" x14ac:dyDescent="0.3">
      <c r="A21" s="193" t="s">
        <v>63</v>
      </c>
      <c r="B21" s="176">
        <f>KLP!B7+KLP!B22+KLP!B36+KLP!B47+KLP!B66+KLP!B134</f>
        <v>40071235.120510004</v>
      </c>
      <c r="C21" s="176">
        <f>KLP!C7+KLP!C22+KLP!C36+KLP!C47+KLP!C66+KLP!C134</f>
        <v>34177241.879859999</v>
      </c>
      <c r="D21" s="104">
        <f t="shared" si="0"/>
        <v>-14.7</v>
      </c>
      <c r="E21" s="410">
        <f t="shared" si="1"/>
        <v>59.768460098217851</v>
      </c>
      <c r="F21" s="103"/>
      <c r="G21" s="176">
        <f>KLP!B10+KLP!B29+KLP!B37+KLP!B87+KLP!B135</f>
        <v>507748922.5025</v>
      </c>
      <c r="H21" s="176">
        <f>KLP!C10+KLP!C29+KLP!C37+KLP!C87+KLP!C135</f>
        <v>537548840.24074996</v>
      </c>
      <c r="I21" s="104">
        <f t="shared" si="2"/>
        <v>5.9</v>
      </c>
      <c r="J21" s="410">
        <f t="shared" si="4"/>
        <v>49.453439042759861</v>
      </c>
      <c r="K21" s="139"/>
      <c r="L21" s="223">
        <f t="shared" ca="1" si="5"/>
        <v>0</v>
      </c>
      <c r="M21" s="221">
        <f t="shared" ca="1" si="6"/>
        <v>0</v>
      </c>
      <c r="N21" s="223">
        <f t="shared" ca="1" si="7"/>
        <v>0</v>
      </c>
      <c r="O21" s="221">
        <f t="shared" ca="1" si="8"/>
        <v>0</v>
      </c>
    </row>
    <row r="22" spans="1:21" ht="18.75" x14ac:dyDescent="0.3">
      <c r="A22" s="108" t="s">
        <v>92</v>
      </c>
      <c r="B22" s="176">
        <f>'KLP Skadeforsikring AS'!B7+'KLP Skadeforsikring AS'!B22+'KLP Skadeforsikring AS'!B36+'KLP Skadeforsikring AS'!B47+'KLP Skadeforsikring AS'!B66+'KLP Skadeforsikring AS'!B134</f>
        <v>175357</v>
      </c>
      <c r="C22" s="176">
        <f>'KLP Skadeforsikring AS'!C7+'KLP Skadeforsikring AS'!C22+'KLP Skadeforsikring AS'!C36+'KLP Skadeforsikring AS'!C47+'KLP Skadeforsikring AS'!C66+'KLP Skadeforsikring AS'!C134</f>
        <v>194718</v>
      </c>
      <c r="D22" s="104">
        <f t="shared" si="0"/>
        <v>11</v>
      </c>
      <c r="E22" s="410">
        <f t="shared" si="1"/>
        <v>0.34051884743405331</v>
      </c>
      <c r="F22" s="103"/>
      <c r="G22" s="176">
        <f>'KLP Skadeforsikring AS'!B10+'KLP Skadeforsikring AS'!B29+'KLP Skadeforsikring AS'!B37+'KLP Skadeforsikring AS'!B87+'KLP Skadeforsikring AS'!B135</f>
        <v>40612</v>
      </c>
      <c r="H22" s="176">
        <f>'KLP Skadeforsikring AS'!C10+'KLP Skadeforsikring AS'!C29+'KLP Skadeforsikring AS'!C37+'KLP Skadeforsikring AS'!C87+'KLP Skadeforsikring AS'!C135</f>
        <v>52996</v>
      </c>
      <c r="I22" s="104">
        <f t="shared" si="2"/>
        <v>30.5</v>
      </c>
      <c r="J22" s="410">
        <f t="shared" si="4"/>
        <v>4.8755280624106986E-3</v>
      </c>
      <c r="K22" s="139"/>
      <c r="L22" s="223">
        <f ca="1">INDIRECT("'" &amp; $A10 &amp; "'!" &amp; $P$7)</f>
        <v>0</v>
      </c>
      <c r="M22" s="221">
        <f ca="1">INDIRECT("'" &amp; $A10 &amp; "'!" &amp; $P$8)</f>
        <v>0</v>
      </c>
      <c r="N22" s="223">
        <f ca="1">INDIRECT("'" &amp; $A10 &amp; "'!" &amp; $P$9)</f>
        <v>0</v>
      </c>
      <c r="O22" s="221">
        <f ca="1">INDIRECT("'" &amp; $A10 &amp; "'!" &amp; $P$11)</f>
        <v>0</v>
      </c>
    </row>
    <row r="23" spans="1:21" ht="18.75" x14ac:dyDescent="0.3">
      <c r="A23" s="108" t="s">
        <v>491</v>
      </c>
      <c r="B23" s="176">
        <f>'Landkreditt Forsikring'!B7+'Landkreditt Forsikring'!B22+'Landkreditt Forsikring'!B36+'Landkreditt Forsikring'!B47+'Landkreditt Forsikring'!B66+'Landkreditt Forsikring'!B134</f>
        <v>83630</v>
      </c>
      <c r="C23" s="176">
        <f>'Landkreditt Forsikring'!C7+'Landkreditt Forsikring'!C22+'Landkreditt Forsikring'!C36+'Landkreditt Forsikring'!C47+'Landkreditt Forsikring'!C66+'Landkreditt Forsikring'!C134</f>
        <v>98068</v>
      </c>
      <c r="D23" s="104">
        <f t="shared" si="0"/>
        <v>17.3</v>
      </c>
      <c r="E23" s="410">
        <f t="shared" si="1"/>
        <v>0.17149930838526864</v>
      </c>
      <c r="F23" s="103"/>
      <c r="G23" s="176">
        <f>'Landkreditt Forsikring'!B10+'Landkreditt Forsikring'!B29+'Landkreditt Forsikring'!B37+'Landkreditt Forsikring'!B87+'Landkreditt Forsikring'!B135</f>
        <v>0</v>
      </c>
      <c r="H23" s="176">
        <f>'Landkreditt Forsikring'!C10+'Landkreditt Forsikring'!C29+'Landkreditt Forsikring'!C37+'Landkreditt Forsikring'!C87+'Landkreditt Forsikring'!C135</f>
        <v>0</v>
      </c>
      <c r="I23" s="104"/>
      <c r="J23" s="410">
        <f t="shared" si="4"/>
        <v>0</v>
      </c>
      <c r="K23" s="139"/>
      <c r="L23" s="223">
        <f t="shared" ca="1" si="5"/>
        <v>0</v>
      </c>
      <c r="M23" s="221">
        <f t="shared" ca="1" si="6"/>
        <v>0</v>
      </c>
      <c r="N23" s="223">
        <f t="shared" ca="1" si="7"/>
        <v>0</v>
      </c>
      <c r="O23" s="221">
        <f t="shared" ca="1" si="8"/>
        <v>0</v>
      </c>
    </row>
    <row r="24" spans="1:21" ht="18.75" x14ac:dyDescent="0.3">
      <c r="A24" s="108" t="s">
        <v>65</v>
      </c>
      <c r="B24" s="176">
        <f>'Nordea Liv'!B7+'Nordea Liv'!B22+'Nordea Liv'!B36+'Nordea Liv'!B47+'Nordea Liv'!B66+'Nordea Liv'!B134</f>
        <v>1547946.082636805</v>
      </c>
      <c r="C24" s="176">
        <f>'Nordea Liv'!C7+'Nordea Liv'!C22+'Nordea Liv'!C36+'Nordea Liv'!C47+'Nordea Liv'!C66+'Nordea Liv'!C134</f>
        <v>1464010.08</v>
      </c>
      <c r="D24" s="104">
        <f t="shared" si="0"/>
        <v>-5.4</v>
      </c>
      <c r="E24" s="410">
        <f t="shared" si="1"/>
        <v>2.5602308213592795</v>
      </c>
      <c r="F24" s="103"/>
      <c r="G24" s="177">
        <f>'Nordea Liv'!B10+'Nordea Liv'!B29+'Nordea Liv'!B37+'Nordea Liv'!B87+'Nordea Liv'!B135</f>
        <v>51672210.116469145</v>
      </c>
      <c r="H24" s="177">
        <f>'Nordea Liv'!C10+'Nordea Liv'!C29+'Nordea Liv'!C37+'Nordea Liv'!C87+'Nordea Liv'!C135</f>
        <v>53026780</v>
      </c>
      <c r="I24" s="104">
        <f t="shared" si="2"/>
        <v>2.6</v>
      </c>
      <c r="J24" s="410">
        <f t="shared" si="4"/>
        <v>4.878359762043897</v>
      </c>
      <c r="K24" s="139"/>
      <c r="L24" s="223">
        <f t="shared" ca="1" si="5"/>
        <v>0</v>
      </c>
      <c r="M24" s="221">
        <f t="shared" ca="1" si="6"/>
        <v>0</v>
      </c>
      <c r="N24" s="223">
        <f t="shared" ca="1" si="7"/>
        <v>0</v>
      </c>
      <c r="O24" s="221">
        <f t="shared" ca="1" si="8"/>
        <v>0</v>
      </c>
    </row>
    <row r="25" spans="1:21" ht="18.75" x14ac:dyDescent="0.3">
      <c r="A25" s="108" t="s">
        <v>93</v>
      </c>
      <c r="B25" s="176">
        <f>'Oslo Pensjonsforsikring'!B7+'Oslo Pensjonsforsikring'!B22+'Oslo Pensjonsforsikring'!B36+'Oslo Pensjonsforsikring'!B47+'Oslo Pensjonsforsikring'!B66+'Oslo Pensjonsforsikring'!B134</f>
        <v>5181000</v>
      </c>
      <c r="C25" s="176">
        <f>'Oslo Pensjonsforsikring'!C7+'Oslo Pensjonsforsikring'!C22+'Oslo Pensjonsforsikring'!C36+'Oslo Pensjonsforsikring'!C47+'Oslo Pensjonsforsikring'!C66+'Oslo Pensjonsforsikring'!C134</f>
        <v>4017000</v>
      </c>
      <c r="D25" s="104">
        <f t="shared" si="0"/>
        <v>-22.5</v>
      </c>
      <c r="E25" s="410">
        <f t="shared" si="1"/>
        <v>7.0248472670353648</v>
      </c>
      <c r="F25" s="103"/>
      <c r="G25" s="176">
        <f>'Oslo Pensjonsforsikring'!B10+'Oslo Pensjonsforsikring'!B29+'Oslo Pensjonsforsikring'!B37+'Oslo Pensjonsforsikring'!B87+'Oslo Pensjonsforsikring'!B135</f>
        <v>76067254.04129</v>
      </c>
      <c r="H25" s="176">
        <f>'Oslo Pensjonsforsikring'!C10+'Oslo Pensjonsforsikring'!C29+'Oslo Pensjonsforsikring'!C37+'Oslo Pensjonsforsikring'!C87+'Oslo Pensjonsforsikring'!C135</f>
        <v>82047000</v>
      </c>
      <c r="I25" s="104">
        <f t="shared" si="2"/>
        <v>7.9</v>
      </c>
      <c r="J25" s="410">
        <f t="shared" si="4"/>
        <v>7.5481630865840925</v>
      </c>
      <c r="K25" s="139"/>
      <c r="L25" s="223">
        <f t="shared" ca="1" si="5"/>
        <v>0</v>
      </c>
      <c r="M25" s="221">
        <f t="shared" ca="1" si="6"/>
        <v>0</v>
      </c>
      <c r="N25" s="223">
        <f t="shared" ca="1" si="7"/>
        <v>0</v>
      </c>
      <c r="O25" s="221">
        <f t="shared" ca="1" si="8"/>
        <v>0</v>
      </c>
    </row>
    <row r="26" spans="1:21" ht="18.75" x14ac:dyDescent="0.3">
      <c r="A26" s="108" t="s">
        <v>443</v>
      </c>
      <c r="B26" s="176">
        <f>'Protector Forsikring'!B7+'Protector Forsikring'!B22+'Protector Forsikring'!B36+'Protector Forsikring'!B47+'Protector Forsikring'!B66+'Protector Forsikring'!B134</f>
        <v>312787.17492590938</v>
      </c>
      <c r="C26" s="176">
        <f>'Protector Forsikring'!C7+'Protector Forsikring'!C22+'Protector Forsikring'!C36+'Protector Forsikring'!C47+'Protector Forsikring'!C66+'Protector Forsikring'!C134</f>
        <v>307752.03923018795</v>
      </c>
      <c r="D26" s="104">
        <f t="shared" si="0"/>
        <v>-1.6</v>
      </c>
      <c r="E26" s="410">
        <f t="shared" si="1"/>
        <v>0.53819045847915015</v>
      </c>
      <c r="F26" s="103"/>
      <c r="G26" s="176">
        <f>'Protector Forsikring'!B10+'Protector Forsikring'!B29+'Protector Forsikring'!B37+'Protector Forsikring'!B87+'Protector Forsikring'!B135</f>
        <v>0</v>
      </c>
      <c r="H26" s="176">
        <f>'Protector Forsikring'!C10+'Protector Forsikring'!C29+'Protector Forsikring'!C37+'Protector Forsikring'!C87+'Protector Forsikring'!C135</f>
        <v>4585.8069906000001</v>
      </c>
      <c r="I26" s="104" t="str">
        <f t="shared" si="2"/>
        <v xml:space="preserve">    ---- </v>
      </c>
      <c r="J26" s="410">
        <f t="shared" si="4"/>
        <v>4.2188524929182301E-4</v>
      </c>
      <c r="K26" s="139"/>
      <c r="L26" s="223">
        <f t="shared" ca="1" si="5"/>
        <v>0</v>
      </c>
      <c r="M26" s="221">
        <f t="shared" ca="1" si="6"/>
        <v>0</v>
      </c>
      <c r="N26" s="223">
        <f t="shared" ca="1" si="7"/>
        <v>0</v>
      </c>
      <c r="O26" s="221">
        <f t="shared" ca="1" si="8"/>
        <v>0</v>
      </c>
    </row>
    <row r="27" spans="1:21" ht="18.75" x14ac:dyDescent="0.3">
      <c r="A27" s="193" t="s">
        <v>67</v>
      </c>
      <c r="B27" s="176">
        <f>'Sparebank 1'!B7+'Sparebank 1'!B22+'Sparebank 1'!B36+'Sparebank 1'!B47+'Sparebank 1'!B66+'Sparebank 1'!B134</f>
        <v>2988164.1674600001</v>
      </c>
      <c r="C27" s="176">
        <f>'Sparebank 1'!C7+'Sparebank 1'!C22+'Sparebank 1'!C36+'Sparebank 1'!C47+'Sparebank 1'!C66+'Sparebank 1'!C134</f>
        <v>735170.28865</v>
      </c>
      <c r="D27" s="104">
        <f t="shared" si="0"/>
        <v>-75.400000000000006</v>
      </c>
      <c r="E27" s="410">
        <f t="shared" si="1"/>
        <v>1.2856507326434037</v>
      </c>
      <c r="F27" s="103"/>
      <c r="G27" s="176">
        <f>'Sparebank 1'!B10+'Sparebank 1'!B29+'Sparebank 1'!B37+'Sparebank 1'!B87+'Sparebank 1'!B135</f>
        <v>21982930.468389999</v>
      </c>
      <c r="H27" s="176">
        <f>'Sparebank 1'!C10+'Sparebank 1'!C29+'Sparebank 1'!C37+'Sparebank 1'!C87+'Sparebank 1'!C135</f>
        <v>19298850.99636</v>
      </c>
      <c r="I27" s="104">
        <f t="shared" si="2"/>
        <v>-12.2</v>
      </c>
      <c r="J27" s="410">
        <f t="shared" si="4"/>
        <v>1.7754564420906456</v>
      </c>
      <c r="K27" s="139"/>
      <c r="L27" s="223">
        <f t="shared" ca="1" si="5"/>
        <v>0</v>
      </c>
      <c r="M27" s="221">
        <f t="shared" ca="1" si="6"/>
        <v>0</v>
      </c>
      <c r="N27" s="223">
        <f t="shared" ca="1" si="7"/>
        <v>0</v>
      </c>
      <c r="O27" s="221">
        <f t="shared" ca="1" si="8"/>
        <v>0</v>
      </c>
    </row>
    <row r="28" spans="1:21" ht="18.75" x14ac:dyDescent="0.3">
      <c r="A28" s="108" t="s">
        <v>94</v>
      </c>
      <c r="B28" s="176">
        <f>'Storebrand Livsforsikring'!B7+'Storebrand Livsforsikring'!B22+'Storebrand Livsforsikring'!B36+'Storebrand Livsforsikring'!B47+'Storebrand Livsforsikring'!B66+'Storebrand Livsforsikring'!B134</f>
        <v>5485806.5</v>
      </c>
      <c r="C28" s="176">
        <f>'Storebrand Livsforsikring'!C7+'Storebrand Livsforsikring'!C22+'Storebrand Livsforsikring'!C36+'Storebrand Livsforsikring'!C47+'Storebrand Livsforsikring'!C66+'Storebrand Livsforsikring'!C134</f>
        <v>4956525.3760000002</v>
      </c>
      <c r="D28" s="104">
        <f t="shared" si="0"/>
        <v>-9.6</v>
      </c>
      <c r="E28" s="410">
        <f t="shared" si="1"/>
        <v>8.6678699879474816</v>
      </c>
      <c r="F28" s="103"/>
      <c r="G28" s="176">
        <f>'Storebrand Livsforsikring'!B10+'Storebrand Livsforsikring'!B29+'Storebrand Livsforsikring'!B37+'Storebrand Livsforsikring'!B87+'Storebrand Livsforsikring'!B135</f>
        <v>181279490.90799999</v>
      </c>
      <c r="H28" s="176">
        <f>'Storebrand Livsforsikring'!C10+'Storebrand Livsforsikring'!C29+'Storebrand Livsforsikring'!C37+'Storebrand Livsforsikring'!C87+'Storebrand Livsforsikring'!C135</f>
        <v>183812146.52500001</v>
      </c>
      <c r="I28" s="104">
        <f t="shared" si="2"/>
        <v>1.4</v>
      </c>
      <c r="J28" s="410">
        <f t="shared" si="4"/>
        <v>16.910356981556809</v>
      </c>
      <c r="K28" s="139"/>
      <c r="L28" s="223">
        <f t="shared" ca="1" si="5"/>
        <v>0</v>
      </c>
      <c r="M28" s="221">
        <f t="shared" ca="1" si="6"/>
        <v>0</v>
      </c>
      <c r="N28" s="223">
        <f t="shared" ca="1" si="7"/>
        <v>0</v>
      </c>
      <c r="O28" s="221">
        <f t="shared" ca="1" si="8"/>
        <v>0</v>
      </c>
    </row>
    <row r="29" spans="1:21" ht="18.75" x14ac:dyDescent="0.3">
      <c r="A29" s="108" t="s">
        <v>95</v>
      </c>
      <c r="B29" s="176">
        <f>'Telenor Forsikring'!B7+'Telenor Forsikring'!B22+'Telenor Forsikring'!B36+'Telenor Forsikring'!B47+'Telenor Forsikring'!B66+'Telenor Forsikring'!B134</f>
        <v>1989</v>
      </c>
      <c r="C29" s="176">
        <f>'Telenor Forsikring'!C7+'Telenor Forsikring'!C22+'Telenor Forsikring'!C36+'Telenor Forsikring'!C47+'Telenor Forsikring'!C66+'Telenor Forsikring'!C134</f>
        <v>1726</v>
      </c>
      <c r="D29" s="104">
        <f t="shared" si="0"/>
        <v>-13.2</v>
      </c>
      <c r="E29" s="410">
        <f t="shared" si="1"/>
        <v>3.0183934236751404E-3</v>
      </c>
      <c r="F29" s="103"/>
      <c r="G29" s="176">
        <f>'Telenor Forsikring'!B10+'Telenor Forsikring'!B29+'Telenor Forsikring'!B37+'Telenor Forsikring'!B87+'Telenor Forsikring'!B135</f>
        <v>0</v>
      </c>
      <c r="H29" s="176">
        <f>'Telenor Forsikring'!C10+'Telenor Forsikring'!C29+'Telenor Forsikring'!C37+'Telenor Forsikring'!C87+'Telenor Forsikring'!C135</f>
        <v>0</v>
      </c>
      <c r="I29" s="104"/>
      <c r="J29" s="410">
        <f t="shared" si="4"/>
        <v>0</v>
      </c>
      <c r="K29" s="139"/>
      <c r="L29" s="223">
        <f t="shared" ca="1" si="5"/>
        <v>0</v>
      </c>
      <c r="M29" s="221">
        <f t="shared" ca="1" si="6"/>
        <v>0</v>
      </c>
      <c r="N29" s="223">
        <f t="shared" ca="1" si="7"/>
        <v>0</v>
      </c>
      <c r="O29" s="221">
        <f t="shared" ca="1" si="8"/>
        <v>0</v>
      </c>
      <c r="R29" s="884"/>
    </row>
    <row r="30" spans="1:21" ht="18.75" x14ac:dyDescent="0.3">
      <c r="A30" s="108" t="s">
        <v>96</v>
      </c>
      <c r="B30" s="176">
        <f>'Tryg Forsikring'!B7+'Tryg Forsikring'!B22+'Tryg Forsikring'!B36+'Tryg Forsikring'!B47+'Tryg Forsikring'!B66+'Tryg Forsikring'!B134</f>
        <v>601419.67099999997</v>
      </c>
      <c r="C30" s="176">
        <f>'Tryg Forsikring'!C7+'Tryg Forsikring'!C22+'Tryg Forsikring'!C36+'Tryg Forsikring'!C47+'Tryg Forsikring'!C66+'Tryg Forsikring'!C134</f>
        <v>598971.11495999992</v>
      </c>
      <c r="D30" s="104">
        <f t="shared" si="0"/>
        <v>-0.4</v>
      </c>
      <c r="E30" s="410">
        <f t="shared" si="1"/>
        <v>1.047468409250655</v>
      </c>
      <c r="F30" s="103"/>
      <c r="G30" s="981"/>
      <c r="I30" s="104"/>
      <c r="J30" s="410">
        <f t="shared" si="4"/>
        <v>0</v>
      </c>
      <c r="K30" s="207"/>
      <c r="L30" s="223">
        <f t="shared" ca="1" si="5"/>
        <v>0</v>
      </c>
      <c r="M30" s="221">
        <f t="shared" ca="1" si="6"/>
        <v>0</v>
      </c>
      <c r="N30" s="223">
        <f t="shared" ca="1" si="7"/>
        <v>0</v>
      </c>
      <c r="O30" s="221">
        <f t="shared" ca="1" si="8"/>
        <v>0</v>
      </c>
    </row>
    <row r="31" spans="1:21" ht="18.75" x14ac:dyDescent="0.3">
      <c r="A31" s="193" t="s">
        <v>495</v>
      </c>
      <c r="B31" s="176">
        <f>'WaterCircle F'!B7+'WaterCircle F'!B22+'WaterCircle F'!B36+'WaterCircle F'!B47+'WaterCircle F'!B66+'WaterCircle F'!B136</f>
        <v>0</v>
      </c>
      <c r="C31" s="176">
        <f>'WaterCircle F'!C7+'WaterCircle F'!C22+'WaterCircle F'!C36+'WaterCircle F'!C47+'WaterCircle F'!C66+'WaterCircle F'!C134</f>
        <v>1278</v>
      </c>
      <c r="D31" s="104" t="str">
        <f t="shared" si="0"/>
        <v xml:space="preserve">    ---- </v>
      </c>
      <c r="E31" s="410">
        <f t="shared" ref="E31" si="9">100/C$32*C31</f>
        <v>2.2349402059425433E-3</v>
      </c>
      <c r="F31" s="193"/>
      <c r="G31" s="103">
        <f>'WaterCircle F'!B10+'WaterCircle F'!B29+'WaterCircle F'!B37+'WaterCircle F'!B87+'WaterCircle F'!B135</f>
        <v>0</v>
      </c>
      <c r="H31" s="103">
        <f>'WaterCircle F'!C10+'WaterCircle F'!C29+'WaterCircle F'!C37+'WaterCircle F'!C87+'WaterCircle F'!C135</f>
        <v>0</v>
      </c>
      <c r="I31" s="104"/>
      <c r="J31" s="410">
        <f t="shared" si="4"/>
        <v>0</v>
      </c>
      <c r="K31" s="207"/>
      <c r="L31" s="223">
        <f t="shared" ca="1" si="5"/>
        <v>0</v>
      </c>
      <c r="M31" s="221">
        <f t="shared" ca="1" si="6"/>
        <v>0</v>
      </c>
      <c r="N31" s="223">
        <f t="shared" ca="1" si="7"/>
        <v>0</v>
      </c>
      <c r="O31" s="221">
        <f t="shared" ca="1" si="8"/>
        <v>0</v>
      </c>
    </row>
    <row r="32" spans="1:21" s="111" customFormat="1" ht="18.75" x14ac:dyDescent="0.3">
      <c r="A32" s="137" t="s">
        <v>97</v>
      </c>
      <c r="B32" s="178">
        <f>SUM(B9:B31)</f>
        <v>65101003.082471617</v>
      </c>
      <c r="C32" s="242">
        <f>SUM(C9:C31)</f>
        <v>57182737.891684577</v>
      </c>
      <c r="D32" s="104">
        <f t="shared" ref="D32" si="10">IF(B32=0, "    ---- ", IF(ABS(ROUND(100/B32*C32-100,1))&lt;999,ROUND(100/B32*C32-100,1),IF(ROUND(100/B32*C32-100,1)&gt;999,999,-999)))</f>
        <v>-12.2</v>
      </c>
      <c r="E32" s="411">
        <f>SUM(E9:E30)</f>
        <v>99.997765059794048</v>
      </c>
      <c r="F32" s="109"/>
      <c r="G32" s="178">
        <f>SUM(G9:G31)</f>
        <v>1050423633.6350967</v>
      </c>
      <c r="H32" s="178">
        <f>SUM(H9:H31)</f>
        <v>1086979693.7194984</v>
      </c>
      <c r="I32" s="104">
        <f t="shared" ref="I32" si="11">IF(G32=0, "    ---- ", IF(ABS(ROUND(100/G32*H32-100,1))&lt;999,ROUND(100/G32*H32-100,1),IF(ROUND(100/G32*H32-100,1)&gt;999,999,-999)))</f>
        <v>3.5</v>
      </c>
      <c r="J32" s="411">
        <f>SUM(J9:J31)</f>
        <v>100.00000000000003</v>
      </c>
      <c r="K32" s="209"/>
      <c r="L32" s="223" t="e">
        <f ca="1">SUM(L9:L31)</f>
        <v>#REF!</v>
      </c>
      <c r="M32" s="221" t="e">
        <f ca="1">SUM(M9:M31)</f>
        <v>#REF!</v>
      </c>
      <c r="N32" s="223" t="e">
        <f ca="1">SUM(N9:N31)</f>
        <v>#REF!</v>
      </c>
      <c r="O32" s="221" t="e">
        <f ca="1">SUM(O9:O31)</f>
        <v>#REF!</v>
      </c>
      <c r="U32" s="205"/>
    </row>
    <row r="33" spans="1:20" ht="18.75" x14ac:dyDescent="0.3">
      <c r="A33" s="86"/>
      <c r="B33" s="176"/>
      <c r="C33" s="139"/>
      <c r="D33" s="104"/>
      <c r="E33" s="410"/>
      <c r="F33" s="103"/>
      <c r="G33" s="176"/>
      <c r="H33" s="103"/>
      <c r="I33" s="104"/>
      <c r="J33" s="410"/>
      <c r="K33" s="207"/>
      <c r="L33" s="220" t="s">
        <v>1</v>
      </c>
      <c r="M33" s="221"/>
      <c r="N33" s="223"/>
      <c r="O33" s="221"/>
    </row>
    <row r="34" spans="1:20" ht="18.75" x14ac:dyDescent="0.3">
      <c r="A34" s="101" t="s">
        <v>1</v>
      </c>
      <c r="B34" s="176"/>
      <c r="C34" s="139"/>
      <c r="D34" s="104"/>
      <c r="E34" s="410"/>
      <c r="F34" s="103"/>
      <c r="G34" s="176"/>
      <c r="H34" s="103"/>
      <c r="I34" s="104"/>
      <c r="J34" s="410"/>
      <c r="K34" s="207"/>
      <c r="L34" s="224">
        <v>2015</v>
      </c>
      <c r="M34" s="225">
        <v>2016</v>
      </c>
      <c r="N34" s="224">
        <v>2015</v>
      </c>
      <c r="O34" s="225">
        <v>2016</v>
      </c>
      <c r="P34" s="87" t="s">
        <v>151</v>
      </c>
    </row>
    <row r="35" spans="1:20" ht="18.75" x14ac:dyDescent="0.3">
      <c r="A35" s="107" t="s">
        <v>83</v>
      </c>
      <c r="B35" s="130">
        <f>'Danica Pensjonsforsikring'!F7+'Danica Pensjonsforsikring'!F22+'Danica Pensjonsforsikring'!F66+'Danica Pensjonsforsikring'!F134</f>
        <v>1996554.923</v>
      </c>
      <c r="C35" s="130">
        <f>'Danica Pensjonsforsikring'!G7+'Danica Pensjonsforsikring'!G22+'Danica Pensjonsforsikring'!G66+'Danica Pensjonsforsikring'!G134</f>
        <v>2098292.548</v>
      </c>
      <c r="D35" s="104">
        <f t="shared" ref="D35:D45" si="12">IF(B35=0, "    ---- ", IF(ABS(ROUND(100/B35*C35-100,1))&lt;999,ROUND(100/B35*C35-100,1),IF(ROUND(100/B35*C35-100,1)&gt;999,999,-999)))</f>
        <v>5.0999999999999996</v>
      </c>
      <c r="E35" s="410">
        <f t="shared" ref="E35:E44" si="13">100/C$45*C35</f>
        <v>4.4763704780128259</v>
      </c>
      <c r="F35" s="103"/>
      <c r="G35" s="176">
        <f>'Danica Pensjonsforsikring'!F10+'Danica Pensjonsforsikring'!F29+'Danica Pensjonsforsikring'!F87+'Danica Pensjonsforsikring'!F135</f>
        <v>20732864.511</v>
      </c>
      <c r="H35" s="176">
        <f>'Danica Pensjonsforsikring'!G10+'Danica Pensjonsforsikring'!G29+'Danica Pensjonsforsikring'!G87+'Danica Pensjonsforsikring'!G135</f>
        <v>24084123.675000001</v>
      </c>
      <c r="I35" s="104">
        <f t="shared" ref="I35:I45" si="14">IF(G35=0, "    ---- ", IF(ABS(ROUND(100/G35*H35-100,1))&lt;999,ROUND(100/G35*H35-100,1),IF(ROUND(100/G35*H35-100,1)&gt;999,999,-999)))</f>
        <v>16.2</v>
      </c>
      <c r="J35" s="410">
        <f t="shared" ref="J35:J44" si="15">100/H$45*H35</f>
        <v>5.2351431889761821</v>
      </c>
      <c r="K35" s="207" t="s">
        <v>139</v>
      </c>
      <c r="L35" s="223">
        <f t="shared" ref="L35:L44" ca="1" si="16">INDIRECT("'" &amp; $A35 &amp; "'!" &amp; $P$34)</f>
        <v>0</v>
      </c>
      <c r="M35" s="221">
        <f t="shared" ref="M35:M44" ca="1" si="17">INDIRECT("'" &amp; $A35 &amp; "'!" &amp; $P$35)</f>
        <v>0</v>
      </c>
      <c r="N35" s="223">
        <f t="shared" ref="N35:N44" ca="1" si="18">INDIRECT("'" &amp; $A35 &amp; "'!" &amp; $P$37)</f>
        <v>0</v>
      </c>
      <c r="O35" s="221">
        <f ca="1">INDIRECT("'"&amp;$A35&amp;"'!"&amp;$P$38)</f>
        <v>0</v>
      </c>
      <c r="P35" s="87" t="s">
        <v>153</v>
      </c>
    </row>
    <row r="36" spans="1:20" ht="18.75" x14ac:dyDescent="0.3">
      <c r="A36" s="107" t="s">
        <v>494</v>
      </c>
      <c r="B36" s="130">
        <f>'DNB Bedriftspensjon'!F7+'DNB Bedriftspensjon'!F22+'DNB Bedriftspensjon'!F66+'DNB Bedriftspensjon'!F134</f>
        <v>542528</v>
      </c>
      <c r="C36" s="130">
        <f>'DNB Bedriftspensjon'!G7+'DNB Bedriftspensjon'!G22+'DNB Bedriftspensjon'!G66+'DNB Bedriftspensjon'!G134</f>
        <v>601762</v>
      </c>
      <c r="D36" s="104">
        <f>IF(B36=0, "    ---- ", IF(ABS(ROUND(100/B36*C36-100,1))&lt;999,ROUND(100/B36*C36-100,1),IF(ROUND(100/B36*C36-100,1)&gt;999,999,-999)))</f>
        <v>10.9</v>
      </c>
      <c r="E36" s="410">
        <f t="shared" si="13"/>
        <v>1.2837626736831713</v>
      </c>
      <c r="F36" s="103"/>
      <c r="G36" s="176">
        <f>'DNB Bedriftspensjon'!F10+'DNB Bedriftspensjon'!F29+'DNB Bedriftspensjon'!F87+'DNB Bedriftspensjon'!F135</f>
        <v>4891857</v>
      </c>
      <c r="H36" s="176">
        <f>'DNB Bedriftspensjon'!G10+'DNB Bedriftspensjon'!G29+'DNB Bedriftspensjon'!G87+'DNB Bedriftspensjon'!G135</f>
        <v>5959168</v>
      </c>
      <c r="I36" s="104">
        <f>IF(G36=0, "    ---- ", IF(ABS(ROUND(100/G36*H36-100,1))&lt;999,ROUND(100/G36*H36-100,1),IF(ROUND(100/G36*H36-100,1)&gt;999,999,-999)))</f>
        <v>21.8</v>
      </c>
      <c r="J36" s="410">
        <f t="shared" si="15"/>
        <v>1.2953387130937333</v>
      </c>
      <c r="K36" s="87" t="s">
        <v>149</v>
      </c>
      <c r="L36" s="223">
        <f ca="1">INDIRECT("'" &amp; $A36 &amp; "'!" &amp; $P$34)</f>
        <v>0</v>
      </c>
      <c r="M36" s="221">
        <f ca="1">INDIRECT("'" &amp; $A36 &amp; "'!" &amp; $P$35)</f>
        <v>0</v>
      </c>
      <c r="N36" s="223">
        <f t="shared" ca="1" si="18"/>
        <v>0</v>
      </c>
      <c r="O36" s="221">
        <f ca="1">INDIRECT("'"&amp;$A36&amp;"'!"&amp;$P$38)</f>
        <v>0</v>
      </c>
    </row>
    <row r="37" spans="1:20" ht="18.75" x14ac:dyDescent="0.3">
      <c r="A37" s="86" t="s">
        <v>84</v>
      </c>
      <c r="B37" s="130">
        <f>'DNB Livsforsikring'!F7+'DNB Livsforsikring'!F22+'DNB Livsforsikring'!F66+'DNB Livsforsikring'!F134</f>
        <v>9947581.5</v>
      </c>
      <c r="C37" s="130">
        <f>'DNB Livsforsikring'!G7+'DNB Livsforsikring'!G22+'DNB Livsforsikring'!G66+'DNB Livsforsikring'!G134</f>
        <v>10110496</v>
      </c>
      <c r="D37" s="104">
        <f t="shared" si="12"/>
        <v>1.6</v>
      </c>
      <c r="E37" s="410">
        <f t="shared" si="13"/>
        <v>21.569120976769902</v>
      </c>
      <c r="F37" s="103"/>
      <c r="G37" s="176">
        <f>'DNB Livsforsikring'!F10+'DNB Livsforsikring'!F29+'DNB Livsforsikring'!F87+'DNB Livsforsikring'!F135</f>
        <v>98943003.869000003</v>
      </c>
      <c r="H37" s="176">
        <f>'DNB Livsforsikring'!G10+'DNB Livsforsikring'!G29+'DNB Livsforsikring'!G87+'DNB Livsforsikring'!G135</f>
        <v>110860381.59099999</v>
      </c>
      <c r="I37" s="104">
        <f t="shared" si="14"/>
        <v>12</v>
      </c>
      <c r="J37" s="410">
        <f t="shared" si="15"/>
        <v>24.097616315426272</v>
      </c>
      <c r="K37" s="87" t="s">
        <v>147</v>
      </c>
      <c r="L37" s="223">
        <f t="shared" ca="1" si="16"/>
        <v>0</v>
      </c>
      <c r="M37" s="221">
        <f t="shared" ca="1" si="17"/>
        <v>0</v>
      </c>
      <c r="N37" s="223">
        <f t="shared" ca="1" si="18"/>
        <v>0</v>
      </c>
      <c r="O37" s="221">
        <f ca="1">INDIRECT("'"&amp;$A37&amp;"'!"&amp;$P$38)</f>
        <v>0</v>
      </c>
      <c r="P37" s="87" t="s">
        <v>152</v>
      </c>
    </row>
    <row r="38" spans="1:20" ht="18.75" x14ac:dyDescent="0.3">
      <c r="A38" s="107" t="s">
        <v>86</v>
      </c>
      <c r="B38" s="130">
        <f>'Frende Livsforsikring'!F7+'Frende Livsforsikring'!F22+'Frende Livsforsikring'!F66+'Frende Livsforsikring'!F134</f>
        <v>423019</v>
      </c>
      <c r="C38" s="130">
        <f>'Frende Livsforsikring'!G7+'Frende Livsforsikring'!G22+'Frende Livsforsikring'!G66+'Frende Livsforsikring'!G134</f>
        <v>366321.7</v>
      </c>
      <c r="D38" s="104">
        <f t="shared" si="12"/>
        <v>-13.4</v>
      </c>
      <c r="E38" s="410">
        <f t="shared" si="13"/>
        <v>0.78148857026559437</v>
      </c>
      <c r="F38" s="103"/>
      <c r="G38" s="176">
        <f>'Frende Livsforsikring'!F10+'Frende Livsforsikring'!F29+'Frende Livsforsikring'!F87+'Frende Livsforsikring'!F135</f>
        <v>4266127</v>
      </c>
      <c r="H38" s="176">
        <f>'Frende Livsforsikring'!G10+'Frende Livsforsikring'!G29+'Frende Livsforsikring'!G87+'Frende Livsforsikring'!G135</f>
        <v>0</v>
      </c>
      <c r="I38" s="104">
        <f t="shared" si="14"/>
        <v>-100</v>
      </c>
      <c r="J38" s="410">
        <f t="shared" si="15"/>
        <v>0</v>
      </c>
      <c r="K38" s="87" t="s">
        <v>140</v>
      </c>
      <c r="L38" s="223">
        <f t="shared" ca="1" si="16"/>
        <v>0</v>
      </c>
      <c r="M38" s="221">
        <f t="shared" ca="1" si="17"/>
        <v>0</v>
      </c>
      <c r="N38" s="223">
        <f t="shared" ca="1" si="18"/>
        <v>0</v>
      </c>
      <c r="O38" s="221">
        <f t="shared" ref="O38:O44" ca="1" si="19">INDIRECT("'"&amp;$A38&amp;"'!"&amp;$P$38)</f>
        <v>0</v>
      </c>
      <c r="P38" s="87" t="s">
        <v>154</v>
      </c>
    </row>
    <row r="39" spans="1:20" ht="18.75" x14ac:dyDescent="0.3">
      <c r="A39" s="107" t="s">
        <v>89</v>
      </c>
      <c r="B39" s="130">
        <f>'Gjensidige Pensjon'!F7+'Gjensidige Pensjon'!F22+'Gjensidige Pensjon'!F66+'Gjensidige Pensjon'!F134</f>
        <v>3290851</v>
      </c>
      <c r="C39" s="130">
        <f>'Gjensidige Pensjon'!G7+'Gjensidige Pensjon'!G22+'Gjensidige Pensjon'!G66+'Gjensidige Pensjon'!G134</f>
        <v>3251091</v>
      </c>
      <c r="D39" s="104">
        <f t="shared" si="12"/>
        <v>-1.2</v>
      </c>
      <c r="E39" s="410">
        <f t="shared" si="13"/>
        <v>6.9356810076862532</v>
      </c>
      <c r="F39" s="103"/>
      <c r="G39" s="176">
        <f>'Gjensidige Pensjon'!F10+'Gjensidige Pensjon'!F29+'Gjensidige Pensjon'!F87+'Gjensidige Pensjon'!F135</f>
        <v>30130866</v>
      </c>
      <c r="H39" s="176">
        <f>'Gjensidige Pensjon'!G10+'Gjensidige Pensjon'!G29+'Gjensidige Pensjon'!G87+'Gjensidige Pensjon'!G135</f>
        <v>34697528</v>
      </c>
      <c r="I39" s="104">
        <f t="shared" si="14"/>
        <v>15.2</v>
      </c>
      <c r="J39" s="410">
        <f t="shared" si="15"/>
        <v>7.5421688509291531</v>
      </c>
      <c r="K39" s="87" t="s">
        <v>148</v>
      </c>
      <c r="L39" s="223">
        <f t="shared" ca="1" si="16"/>
        <v>0</v>
      </c>
      <c r="M39" s="221">
        <f t="shared" ca="1" si="17"/>
        <v>0</v>
      </c>
      <c r="N39" s="223">
        <f t="shared" ca="1" si="18"/>
        <v>0</v>
      </c>
      <c r="O39" s="221">
        <f t="shared" ca="1" si="19"/>
        <v>0</v>
      </c>
    </row>
    <row r="40" spans="1:20" ht="18.75" x14ac:dyDescent="0.3">
      <c r="A40" s="107" t="s">
        <v>63</v>
      </c>
      <c r="B40" s="130">
        <f>KLP!F7+KLP!F22+KLP!F66+KLP!F134</f>
        <v>152808.77100000001</v>
      </c>
      <c r="C40" s="130">
        <f>KLP!G7+KLP!G22+KLP!G66+KLP!G134</f>
        <v>74308.707999999999</v>
      </c>
      <c r="D40" s="104">
        <f t="shared" si="12"/>
        <v>-51.4</v>
      </c>
      <c r="E40" s="410">
        <f t="shared" si="13"/>
        <v>0.15852570561122514</v>
      </c>
      <c r="F40" s="103"/>
      <c r="G40" s="176">
        <f>KLP!F10+KLP!F29+KLP!F87+KLP!F135</f>
        <v>2703759.0266499999</v>
      </c>
      <c r="H40" s="176">
        <f>KLP!G10+KLP!G29+KLP!G87+KLP!G135</f>
        <v>2013752.24184</v>
      </c>
      <c r="I40" s="104">
        <f t="shared" si="14"/>
        <v>-25.5</v>
      </c>
      <c r="J40" s="410">
        <f t="shared" si="15"/>
        <v>0.43772742057861874</v>
      </c>
      <c r="K40" s="87" t="s">
        <v>141</v>
      </c>
      <c r="L40" s="223">
        <f t="shared" ca="1" si="16"/>
        <v>0</v>
      </c>
      <c r="M40" s="221">
        <f t="shared" ca="1" si="17"/>
        <v>0</v>
      </c>
      <c r="N40" s="223">
        <f t="shared" ca="1" si="18"/>
        <v>0</v>
      </c>
      <c r="O40" s="221">
        <f t="shared" ca="1" si="19"/>
        <v>0</v>
      </c>
    </row>
    <row r="41" spans="1:20" ht="18.75" x14ac:dyDescent="0.3">
      <c r="A41" s="107" t="s">
        <v>65</v>
      </c>
      <c r="B41" s="130">
        <f>'Nordea Liv'!F7+'Nordea Liv'!F22+'Nordea Liv'!F66+'Nordea Liv'!F134</f>
        <v>12142064.528580001</v>
      </c>
      <c r="C41" s="130">
        <f>'Nordea Liv'!G7+'Nordea Liv'!G22+'Nordea Liv'!G66+'Nordea Liv'!G134</f>
        <v>12668233</v>
      </c>
      <c r="D41" s="104">
        <f t="shared" si="12"/>
        <v>4.3</v>
      </c>
      <c r="E41" s="410">
        <f t="shared" si="13"/>
        <v>27.025642474801305</v>
      </c>
      <c r="F41" s="103"/>
      <c r="G41" s="176">
        <f>'Nordea Liv'!F10+'Nordea Liv'!F29+'Nordea Liv'!F87+'Nordea Liv'!F135</f>
        <v>77977130</v>
      </c>
      <c r="H41" s="176">
        <f>'Nordea Liv'!G10+'Nordea Liv'!G29+'Nordea Liv'!G87+'Nordea Liv'!G135</f>
        <v>98862690</v>
      </c>
      <c r="I41" s="104">
        <f t="shared" si="14"/>
        <v>26.8</v>
      </c>
      <c r="J41" s="410">
        <f t="shared" si="15"/>
        <v>21.489689439462808</v>
      </c>
      <c r="K41" s="207"/>
      <c r="L41" s="223">
        <f t="shared" ca="1" si="16"/>
        <v>0</v>
      </c>
      <c r="M41" s="221">
        <f t="shared" ca="1" si="17"/>
        <v>0</v>
      </c>
      <c r="N41" s="223">
        <f t="shared" ca="1" si="18"/>
        <v>0</v>
      </c>
      <c r="O41" s="221">
        <f t="shared" ca="1" si="19"/>
        <v>0</v>
      </c>
    </row>
    <row r="42" spans="1:20" ht="18.75" x14ac:dyDescent="0.3">
      <c r="A42" s="107" t="s">
        <v>71</v>
      </c>
      <c r="B42" s="130">
        <f>'SHB Liv'!F7+'SHB Liv'!F22+'SHB Liv'!F66+'SHB Liv'!F134</f>
        <v>145834.70800000001</v>
      </c>
      <c r="C42" s="130">
        <f>'SHB Liv'!G7+'SHB Liv'!G22+'SHB Liv'!G66+'SHB Liv'!G134</f>
        <v>146915.30192</v>
      </c>
      <c r="D42" s="104">
        <f t="shared" si="12"/>
        <v>0.7</v>
      </c>
      <c r="E42" s="410">
        <f t="shared" si="13"/>
        <v>0.31342022393868263</v>
      </c>
      <c r="F42" s="103"/>
      <c r="G42" s="176">
        <f>'SHB Liv'!F10+'SHB Liv'!F29+'SHB Liv'!F87+'SHB Liv'!F135</f>
        <v>2541186</v>
      </c>
      <c r="H42" s="176">
        <f>'SHB Liv'!G10+'SHB Liv'!G29+'SHB Liv'!G87+'SHB Liv'!G135</f>
        <v>2931716.44123</v>
      </c>
      <c r="I42" s="104">
        <f t="shared" si="14"/>
        <v>15.4</v>
      </c>
      <c r="J42" s="410">
        <f t="shared" si="15"/>
        <v>0.63726443056121396</v>
      </c>
      <c r="K42" s="207"/>
      <c r="L42" s="223">
        <f t="shared" ca="1" si="16"/>
        <v>0</v>
      </c>
      <c r="M42" s="221">
        <f t="shared" ca="1" si="17"/>
        <v>0</v>
      </c>
      <c r="N42" s="223">
        <f t="shared" ca="1" si="18"/>
        <v>0</v>
      </c>
      <c r="O42" s="221">
        <f t="shared" ca="1" si="19"/>
        <v>0</v>
      </c>
    </row>
    <row r="43" spans="1:20" ht="18.75" x14ac:dyDescent="0.3">
      <c r="A43" s="86" t="s">
        <v>67</v>
      </c>
      <c r="B43" s="130">
        <f>'Sparebank 1'!F7+'Sparebank 1'!F22+'Sparebank 1'!F66+'Sparebank 1'!F134</f>
        <v>4457595.7985100001</v>
      </c>
      <c r="C43" s="130">
        <f>'Sparebank 1'!G7+'Sparebank 1'!G22+'Sparebank 1'!G66+'Sparebank 1'!G134</f>
        <v>4778935.5708499998</v>
      </c>
      <c r="D43" s="104">
        <f t="shared" si="12"/>
        <v>7.2</v>
      </c>
      <c r="E43" s="410">
        <f t="shared" si="13"/>
        <v>10.19509225539999</v>
      </c>
      <c r="F43" s="103"/>
      <c r="G43" s="176">
        <f>'Sparebank 1'!F10+'Sparebank 1'!F29+'Sparebank 1'!F87+'Sparebank 1'!F135</f>
        <v>35920709.854330003</v>
      </c>
      <c r="H43" s="176">
        <f>'Sparebank 1'!G10+'Sparebank 1'!G29+'Sparebank 1'!G87+'Sparebank 1'!G135</f>
        <v>43584932.280090004</v>
      </c>
      <c r="I43" s="104">
        <f t="shared" si="14"/>
        <v>21.3</v>
      </c>
      <c r="J43" s="410">
        <f t="shared" si="15"/>
        <v>9.4740155152479844</v>
      </c>
      <c r="K43" s="139"/>
      <c r="L43" s="223">
        <f t="shared" ca="1" si="16"/>
        <v>0</v>
      </c>
      <c r="M43" s="221">
        <f t="shared" ca="1" si="17"/>
        <v>0</v>
      </c>
      <c r="N43" s="223">
        <f t="shared" ca="1" si="18"/>
        <v>0</v>
      </c>
      <c r="O43" s="221">
        <f t="shared" ca="1" si="19"/>
        <v>0</v>
      </c>
    </row>
    <row r="44" spans="1:20" ht="18.75" x14ac:dyDescent="0.3">
      <c r="A44" s="86" t="s">
        <v>94</v>
      </c>
      <c r="B44" s="130">
        <f>'Storebrand Livsforsikring'!F7+'Storebrand Livsforsikring'!F22+'Storebrand Livsforsikring'!F66+'Storebrand Livsforsikring'!F134</f>
        <v>11112376.757999998</v>
      </c>
      <c r="C44" s="130">
        <f>'Storebrand Livsforsikring'!G7+'Storebrand Livsforsikring'!G22+'Storebrand Livsforsikring'!G66+'Storebrand Livsforsikring'!G134</f>
        <v>12778507.596999999</v>
      </c>
      <c r="D44" s="104">
        <f t="shared" si="12"/>
        <v>15</v>
      </c>
      <c r="E44" s="410">
        <f t="shared" si="13"/>
        <v>27.260895633831041</v>
      </c>
      <c r="F44" s="103"/>
      <c r="G44" s="176">
        <f>'Storebrand Livsforsikring'!F10+'Storebrand Livsforsikring'!F29+'Storebrand Livsforsikring'!F87+'Storebrand Livsforsikring'!F135</f>
        <v>114501651.811</v>
      </c>
      <c r="H44" s="176">
        <f>'Storebrand Livsforsikring'!G10+'Storebrand Livsforsikring'!G29+'Storebrand Livsforsikring'!G87+'Storebrand Livsforsikring'!G135</f>
        <v>137052793.507</v>
      </c>
      <c r="I44" s="104">
        <f t="shared" si="14"/>
        <v>19.7</v>
      </c>
      <c r="J44" s="410">
        <f t="shared" si="15"/>
        <v>29.79103612572402</v>
      </c>
      <c r="K44" s="139"/>
      <c r="L44" s="223">
        <f t="shared" ca="1" si="16"/>
        <v>0</v>
      </c>
      <c r="M44" s="221">
        <f t="shared" ca="1" si="17"/>
        <v>0</v>
      </c>
      <c r="N44" s="223">
        <f t="shared" ca="1" si="18"/>
        <v>0</v>
      </c>
      <c r="O44" s="221">
        <f t="shared" ca="1" si="19"/>
        <v>0</v>
      </c>
    </row>
    <row r="45" spans="1:20" s="111" customFormat="1" ht="18.75" x14ac:dyDescent="0.3">
      <c r="A45" s="101" t="s">
        <v>98</v>
      </c>
      <c r="B45" s="242">
        <f>SUM(B35:B44)</f>
        <v>44211214.987089999</v>
      </c>
      <c r="C45" s="242">
        <f>SUM(C35:C44)</f>
        <v>46874863.42577</v>
      </c>
      <c r="D45" s="104">
        <f t="shared" si="12"/>
        <v>6</v>
      </c>
      <c r="E45" s="411">
        <f>SUM(E35:E44)</f>
        <v>100</v>
      </c>
      <c r="F45" s="109"/>
      <c r="G45" s="178">
        <f>SUM(G35:G44)</f>
        <v>392609155.07198</v>
      </c>
      <c r="H45" s="178">
        <f>SUM(H35:H44)</f>
        <v>460047085.73616004</v>
      </c>
      <c r="I45" s="104">
        <f t="shared" si="14"/>
        <v>17.2</v>
      </c>
      <c r="J45" s="411">
        <f>SUM(J35:J44)</f>
        <v>99.999999999999986</v>
      </c>
      <c r="K45" s="139"/>
      <c r="L45" s="223">
        <f ca="1">SUM(L35:L44)</f>
        <v>0</v>
      </c>
      <c r="M45" s="221">
        <f ca="1">SUM(M35:M44)</f>
        <v>0</v>
      </c>
      <c r="N45" s="223">
        <f ca="1">SUM(N35:N44)</f>
        <v>0</v>
      </c>
      <c r="O45" s="221">
        <f ca="1">SUM(O35:O44)</f>
        <v>0</v>
      </c>
    </row>
    <row r="46" spans="1:20" ht="18.75" x14ac:dyDescent="0.3">
      <c r="A46" s="101"/>
      <c r="B46" s="130"/>
      <c r="C46" s="109"/>
      <c r="D46" s="110"/>
      <c r="E46" s="410"/>
      <c r="F46" s="109"/>
      <c r="G46" s="178"/>
      <c r="H46" s="109"/>
      <c r="I46" s="110"/>
      <c r="J46" s="411"/>
      <c r="K46" s="139"/>
      <c r="L46" s="220" t="s">
        <v>99</v>
      </c>
      <c r="M46" s="226"/>
      <c r="N46" s="227"/>
      <c r="O46" s="226"/>
    </row>
    <row r="47" spans="1:20" ht="18.75" x14ac:dyDescent="0.3">
      <c r="A47" s="86"/>
      <c r="B47" s="130"/>
      <c r="C47" s="103"/>
      <c r="D47" s="104"/>
      <c r="E47" s="410"/>
      <c r="F47" s="103"/>
      <c r="G47" s="176"/>
      <c r="H47" s="103"/>
      <c r="I47" s="104"/>
      <c r="J47" s="410"/>
      <c r="K47" s="139"/>
      <c r="L47" s="224">
        <v>2015</v>
      </c>
      <c r="M47" s="225">
        <v>2016</v>
      </c>
      <c r="N47" s="224">
        <v>2015</v>
      </c>
      <c r="O47" s="225">
        <v>2016</v>
      </c>
    </row>
    <row r="48" spans="1:20" ht="18.75" x14ac:dyDescent="0.3">
      <c r="A48" s="101" t="s">
        <v>99</v>
      </c>
      <c r="B48" s="130"/>
      <c r="C48" s="103"/>
      <c r="D48" s="104"/>
      <c r="E48" s="410"/>
      <c r="F48" s="103"/>
      <c r="G48" s="176"/>
      <c r="H48" s="103"/>
      <c r="I48" s="104"/>
      <c r="J48" s="410"/>
      <c r="K48" s="139"/>
      <c r="L48" s="223"/>
      <c r="M48" s="221"/>
      <c r="N48" s="223"/>
      <c r="O48" s="221"/>
      <c r="P48" s="207"/>
      <c r="Q48" s="207"/>
      <c r="R48" s="207"/>
      <c r="S48" s="182"/>
      <c r="T48" s="139"/>
    </row>
    <row r="49" spans="1:23" ht="18.75" x14ac:dyDescent="0.3">
      <c r="A49" s="86"/>
      <c r="B49" s="130"/>
      <c r="C49" s="180"/>
      <c r="D49" s="104"/>
      <c r="E49" s="410"/>
      <c r="F49" s="103"/>
      <c r="G49" s="176"/>
      <c r="H49" s="176"/>
      <c r="I49" s="104"/>
      <c r="J49" s="410"/>
      <c r="K49" s="139"/>
      <c r="L49" s="223" t="e">
        <f ca="1">L9</f>
        <v>#REF!</v>
      </c>
      <c r="M49" s="228" t="e">
        <f ca="1">M9</f>
        <v>#REF!</v>
      </c>
      <c r="N49" s="223" t="e">
        <f ca="1">N9</f>
        <v>#REF!</v>
      </c>
      <c r="O49" s="228" t="e">
        <f ca="1">O9</f>
        <v>#REF!</v>
      </c>
      <c r="P49" s="207"/>
      <c r="Q49" s="207"/>
      <c r="R49" s="207"/>
      <c r="S49" s="182"/>
      <c r="T49" s="139"/>
    </row>
    <row r="50" spans="1:23" ht="18.75" x14ac:dyDescent="0.3">
      <c r="A50" s="107" t="s">
        <v>83</v>
      </c>
      <c r="B50" s="130">
        <f>B9+B35</f>
        <v>2417997.8689999999</v>
      </c>
      <c r="C50" s="103">
        <f>C9+C35</f>
        <v>2528848.7369999997</v>
      </c>
      <c r="D50" s="104">
        <f t="shared" ref="D50:D73" si="20">IF(B50=0, "    ---- ", IF(ABS(ROUND(100/B50*C50-100,1))&lt;999,ROUND(100/B50*C50-100,1),IF(ROUND(100/B50*C50-100,1)&gt;999,999,-999)))</f>
        <v>4.5999999999999996</v>
      </c>
      <c r="E50" s="410">
        <f t="shared" ref="E50:E72" si="21">100/C$74*C50</f>
        <v>2.4302393145553047</v>
      </c>
      <c r="F50" s="103"/>
      <c r="G50" s="176">
        <f>G9+G35</f>
        <v>21911991.798999999</v>
      </c>
      <c r="H50" s="176">
        <f>H9+H35</f>
        <v>25404273.327</v>
      </c>
      <c r="I50" s="104">
        <f t="shared" ref="I50:I72" si="22">IF(G50=0, "    ---- ", IF(ABS(ROUND(100/G50*H50-100,1))&lt;999,ROUND(100/G50*H50-100,1),IF(ROUND(100/G50*H50-100,1)&gt;999,999,-999)))</f>
        <v>15.9</v>
      </c>
      <c r="J50" s="410">
        <f t="shared" ref="J50:J72" si="23">100/H$74*H50</f>
        <v>1.6421353310987172</v>
      </c>
      <c r="K50" s="139"/>
      <c r="L50" s="223">
        <f ca="1">L11+L35</f>
        <v>0</v>
      </c>
      <c r="M50" s="221">
        <f ca="1">M11+M35</f>
        <v>0</v>
      </c>
      <c r="N50" s="223">
        <f ca="1">N11+N35</f>
        <v>0</v>
      </c>
      <c r="O50" s="221">
        <f ca="1">O11+O35</f>
        <v>0</v>
      </c>
      <c r="P50" s="207"/>
      <c r="Q50" s="207"/>
      <c r="R50" s="207"/>
      <c r="S50" s="182"/>
      <c r="T50" s="139"/>
    </row>
    <row r="51" spans="1:23" ht="18.75" x14ac:dyDescent="0.3">
      <c r="A51" s="86" t="s">
        <v>494</v>
      </c>
      <c r="B51" s="103">
        <f>B10+B36</f>
        <v>639352</v>
      </c>
      <c r="C51" s="103">
        <f>+C10+C36</f>
        <v>700488</v>
      </c>
      <c r="D51" s="104">
        <f>IF(B51=0, "    ---- ", IF(ABS(ROUND(100/B51*C51-100,1))&lt;999,ROUND(100/B51*C51-100,1),IF(ROUND(100/B51*C51-100,1)&gt;999,999,-999)))</f>
        <v>9.6</v>
      </c>
      <c r="E51" s="410">
        <f t="shared" si="21"/>
        <v>0.67317331086941035</v>
      </c>
      <c r="F51" s="103"/>
      <c r="G51" s="176">
        <f>G10+G36</f>
        <v>6615444</v>
      </c>
      <c r="H51" s="176">
        <f>H10+H36</f>
        <v>7758740</v>
      </c>
      <c r="I51" s="104">
        <f>IF(G51=0, "    ---- ", IF(ABS(ROUND(100/G51*H51-100,1))&lt;999,ROUND(100/G51*H51-100,1),IF(ROUND(100/G51*H51-100,1)&gt;999,999,-999)))</f>
        <v>17.3</v>
      </c>
      <c r="J51" s="410">
        <f t="shared" si="23"/>
        <v>0.50152590136351827</v>
      </c>
      <c r="K51" s="139"/>
      <c r="L51" s="223">
        <f ca="1">L22+L36</f>
        <v>0</v>
      </c>
      <c r="M51" s="221">
        <f ca="1">+M22+M36</f>
        <v>0</v>
      </c>
      <c r="N51" s="223">
        <f ca="1">N22+N36</f>
        <v>0</v>
      </c>
      <c r="O51" s="221">
        <f ca="1">O22+O36</f>
        <v>0</v>
      </c>
      <c r="P51" s="207"/>
      <c r="Q51" s="207"/>
      <c r="R51" s="207"/>
      <c r="S51" s="182"/>
      <c r="T51" s="139"/>
    </row>
    <row r="52" spans="1:23" ht="18.75" x14ac:dyDescent="0.3">
      <c r="A52" s="86" t="s">
        <v>84</v>
      </c>
      <c r="B52" s="130">
        <f>B11+B37</f>
        <v>14526042.5</v>
      </c>
      <c r="C52" s="103">
        <f>+C11+C37</f>
        <v>13574349.92227</v>
      </c>
      <c r="D52" s="104">
        <f t="shared" si="20"/>
        <v>-6.6</v>
      </c>
      <c r="E52" s="410">
        <f t="shared" si="21"/>
        <v>13.045034433244279</v>
      </c>
      <c r="F52" s="103"/>
      <c r="G52" s="176">
        <f>+G11+G37</f>
        <v>297468280.86900002</v>
      </c>
      <c r="H52" s="176">
        <f>+H11+H37</f>
        <v>304444965.81483996</v>
      </c>
      <c r="I52" s="104">
        <f t="shared" si="22"/>
        <v>2.2999999999999998</v>
      </c>
      <c r="J52" s="410">
        <f t="shared" si="23"/>
        <v>19.679359779535481</v>
      </c>
      <c r="K52" s="139"/>
      <c r="L52" s="223">
        <f ca="1">L12+L37</f>
        <v>0</v>
      </c>
      <c r="M52" s="221">
        <f ca="1">+M12+M37</f>
        <v>0</v>
      </c>
      <c r="N52" s="223">
        <f ca="1">+N12+N37</f>
        <v>0</v>
      </c>
      <c r="O52" s="221">
        <f ca="1">+O12+O37</f>
        <v>0</v>
      </c>
      <c r="P52" s="207"/>
      <c r="Q52" s="207"/>
      <c r="R52" s="207"/>
      <c r="S52" s="182"/>
      <c r="T52" s="139"/>
      <c r="W52" s="208"/>
    </row>
    <row r="53" spans="1:23" ht="18.75" x14ac:dyDescent="0.3">
      <c r="A53" s="86" t="s">
        <v>85</v>
      </c>
      <c r="B53" s="130">
        <f>B12</f>
        <v>323640</v>
      </c>
      <c r="C53" s="103">
        <f>C12</f>
        <v>335372</v>
      </c>
      <c r="D53" s="104">
        <f t="shared" si="20"/>
        <v>3.6</v>
      </c>
      <c r="E53" s="410">
        <f t="shared" si="21"/>
        <v>0.3222945712316212</v>
      </c>
      <c r="F53" s="103"/>
      <c r="G53" s="176">
        <f>G12</f>
        <v>503320</v>
      </c>
      <c r="H53" s="176">
        <f>H12</f>
        <v>543598</v>
      </c>
      <c r="I53" s="104">
        <f t="shared" si="22"/>
        <v>8</v>
      </c>
      <c r="J53" s="410">
        <f t="shared" si="23"/>
        <v>3.5138241122837706E-2</v>
      </c>
      <c r="K53" s="139"/>
      <c r="L53" s="223">
        <f ca="1">L13</f>
        <v>0</v>
      </c>
      <c r="M53" s="221">
        <f ca="1">M13</f>
        <v>0</v>
      </c>
      <c r="N53" s="223">
        <f ca="1">N13</f>
        <v>0</v>
      </c>
      <c r="O53" s="221">
        <f ca="1">+O13+O38</f>
        <v>0</v>
      </c>
      <c r="P53" s="207"/>
      <c r="Q53" s="207"/>
      <c r="R53" s="207"/>
      <c r="S53" s="182"/>
      <c r="T53" s="139"/>
      <c r="W53" s="208"/>
    </row>
    <row r="54" spans="1:23" ht="18.75" x14ac:dyDescent="0.3">
      <c r="A54" s="107" t="s">
        <v>485</v>
      </c>
      <c r="B54" s="130">
        <f>B13</f>
        <v>0</v>
      </c>
      <c r="C54" s="130">
        <f>C13</f>
        <v>2912282.94184</v>
      </c>
      <c r="D54" s="104" t="str">
        <f t="shared" ref="D54" si="24">IF(B54=0, "    ---- ", IF(ABS(ROUND(100/B54*C54-100,1))&lt;999,ROUND(100/B54*C54-100,1),IF(ROUND(100/B54*C54-100,1)&gt;999,999,-999)))</f>
        <v xml:space="preserve">    ---- </v>
      </c>
      <c r="E54" s="410">
        <f t="shared" si="21"/>
        <v>2.7987219626131199</v>
      </c>
      <c r="F54" s="103"/>
      <c r="G54" s="176">
        <f>G13</f>
        <v>0</v>
      </c>
      <c r="H54" s="176">
        <f>H13</f>
        <v>3822716.1325900001</v>
      </c>
      <c r="I54" s="104" t="str">
        <f t="shared" ref="I54" si="25">IF(G54=0, "    ---- ", IF(ABS(ROUND(100/G54*H54-100,1))&lt;999,ROUND(100/G54*H54-100,1),IF(ROUND(100/G54*H54-100,1)&gt;999,999,-999)))</f>
        <v xml:space="preserve">    ---- </v>
      </c>
      <c r="J54" s="410">
        <f t="shared" si="23"/>
        <v>0.24710083777186276</v>
      </c>
      <c r="K54" s="139"/>
      <c r="L54" s="223"/>
      <c r="M54" s="221"/>
      <c r="N54" s="223"/>
      <c r="O54" s="221"/>
      <c r="P54" s="207"/>
      <c r="Q54" s="207"/>
      <c r="R54" s="207"/>
      <c r="S54" s="182"/>
      <c r="T54" s="139"/>
    </row>
    <row r="55" spans="1:23" ht="18.75" x14ac:dyDescent="0.3">
      <c r="A55" s="107" t="s">
        <v>86</v>
      </c>
      <c r="B55" s="130">
        <f>B14+B38</f>
        <v>913066</v>
      </c>
      <c r="C55" s="105">
        <f>C14+C38</f>
        <v>863095.7</v>
      </c>
      <c r="D55" s="106">
        <f t="shared" si="20"/>
        <v>-5.5</v>
      </c>
      <c r="E55" s="412">
        <f t="shared" si="21"/>
        <v>0.82944031870089319</v>
      </c>
      <c r="F55" s="105"/>
      <c r="G55" s="177">
        <f>G14+G38</f>
        <v>5114854</v>
      </c>
      <c r="H55" s="177">
        <f>H14+H38</f>
        <v>790605</v>
      </c>
      <c r="I55" s="104">
        <f t="shared" si="22"/>
        <v>-84.5</v>
      </c>
      <c r="J55" s="410">
        <f t="shared" si="23"/>
        <v>5.1104803775806944E-2</v>
      </c>
      <c r="K55" s="139"/>
      <c r="L55" s="223">
        <f ca="1">L15+L38</f>
        <v>0</v>
      </c>
      <c r="M55" s="221">
        <f ca="1">M15+M38</f>
        <v>0</v>
      </c>
      <c r="N55" s="223">
        <f ca="1">N15+N38</f>
        <v>0</v>
      </c>
      <c r="O55" s="221">
        <f ca="1">O15+O38</f>
        <v>0</v>
      </c>
      <c r="P55" s="210"/>
      <c r="Q55" s="210"/>
      <c r="R55" s="210"/>
      <c r="S55" s="182"/>
      <c r="T55" s="139"/>
    </row>
    <row r="56" spans="1:23" ht="18.75" x14ac:dyDescent="0.3">
      <c r="A56" s="107" t="s">
        <v>87</v>
      </c>
      <c r="B56" s="130">
        <f>B15</f>
        <v>8197</v>
      </c>
      <c r="C56" s="105">
        <f>C15</f>
        <v>6351.5640000000003</v>
      </c>
      <c r="D56" s="106">
        <f t="shared" si="20"/>
        <v>-22.5</v>
      </c>
      <c r="E56" s="412">
        <f t="shared" si="21"/>
        <v>6.1038923822805749E-3</v>
      </c>
      <c r="F56" s="105"/>
      <c r="G56" s="177">
        <f>G15</f>
        <v>0</v>
      </c>
      <c r="H56" s="177">
        <f>H15</f>
        <v>0</v>
      </c>
      <c r="I56" s="104" t="str">
        <f t="shared" si="22"/>
        <v xml:space="preserve">    ---- </v>
      </c>
      <c r="J56" s="410">
        <f t="shared" si="23"/>
        <v>0</v>
      </c>
      <c r="K56" s="139"/>
      <c r="L56" s="223">
        <f ca="1">L16</f>
        <v>0</v>
      </c>
      <c r="M56" s="221">
        <f ca="1">M16</f>
        <v>0</v>
      </c>
      <c r="N56" s="223">
        <f ca="1">N16</f>
        <v>0</v>
      </c>
      <c r="O56" s="221">
        <f ca="1">O16</f>
        <v>0</v>
      </c>
      <c r="P56" s="210"/>
      <c r="Q56" s="210"/>
      <c r="R56" s="210"/>
      <c r="S56" s="182"/>
      <c r="T56" s="139"/>
    </row>
    <row r="57" spans="1:23" ht="18.75" x14ac:dyDescent="0.3">
      <c r="A57" s="86" t="s">
        <v>88</v>
      </c>
      <c r="B57" s="103">
        <f>B16</f>
        <v>1559670</v>
      </c>
      <c r="C57" s="103">
        <f>+C16</f>
        <v>1666418</v>
      </c>
      <c r="D57" s="104">
        <f t="shared" si="20"/>
        <v>6.8</v>
      </c>
      <c r="E57" s="410">
        <f t="shared" si="21"/>
        <v>1.6014380294200343</v>
      </c>
      <c r="F57" s="103"/>
      <c r="G57" s="176">
        <f>+G16</f>
        <v>1122791</v>
      </c>
      <c r="H57" s="176">
        <f>+H16</f>
        <v>1127127</v>
      </c>
      <c r="I57" s="104">
        <f t="shared" si="22"/>
        <v>0.4</v>
      </c>
      <c r="J57" s="410">
        <f t="shared" si="23"/>
        <v>7.2857626963419103E-2</v>
      </c>
      <c r="K57" s="139"/>
      <c r="L57" s="223">
        <f ca="1">L17</f>
        <v>0</v>
      </c>
      <c r="M57" s="221">
        <f ca="1">+M17</f>
        <v>0</v>
      </c>
      <c r="N57" s="223">
        <f ca="1">+N17</f>
        <v>0</v>
      </c>
      <c r="O57" s="221">
        <f ca="1">+O17</f>
        <v>0</v>
      </c>
      <c r="P57" s="207"/>
      <c r="Q57" s="207"/>
      <c r="R57" s="207"/>
      <c r="S57" s="182"/>
      <c r="T57" s="139"/>
    </row>
    <row r="58" spans="1:23" ht="18.75" x14ac:dyDescent="0.3">
      <c r="A58" s="86" t="s">
        <v>89</v>
      </c>
      <c r="B58" s="103">
        <f>B17+B39</f>
        <v>3938885</v>
      </c>
      <c r="C58" s="103">
        <f>C17+C39</f>
        <v>3913429</v>
      </c>
      <c r="D58" s="104">
        <f t="shared" si="20"/>
        <v>-0.6</v>
      </c>
      <c r="E58" s="410">
        <f t="shared" si="21"/>
        <v>3.7608295313872122</v>
      </c>
      <c r="F58" s="103"/>
      <c r="G58" s="176">
        <f>G17+G39</f>
        <v>37313895</v>
      </c>
      <c r="H58" s="176">
        <f>H17+H39</f>
        <v>42360053</v>
      </c>
      <c r="I58" s="104">
        <f t="shared" si="22"/>
        <v>13.5</v>
      </c>
      <c r="J58" s="410">
        <f t="shared" si="23"/>
        <v>2.7381590003829754</v>
      </c>
      <c r="K58" s="139"/>
      <c r="L58" s="223">
        <f ca="1">L18+L39</f>
        <v>0</v>
      </c>
      <c r="M58" s="221">
        <f ca="1">M18+M39</f>
        <v>0</v>
      </c>
      <c r="N58" s="223">
        <f ca="1">N18+N39</f>
        <v>0</v>
      </c>
      <c r="O58" s="221">
        <f ca="1">O18+O39</f>
        <v>0</v>
      </c>
      <c r="P58" s="207"/>
      <c r="Q58" s="207"/>
      <c r="R58" s="207"/>
      <c r="S58" s="182"/>
      <c r="T58" s="139"/>
    </row>
    <row r="59" spans="1:23" ht="18.75" x14ac:dyDescent="0.3">
      <c r="A59" s="86" t="s">
        <v>90</v>
      </c>
      <c r="B59" s="103">
        <f>B18</f>
        <v>35020.773110000002</v>
      </c>
      <c r="C59" s="103">
        <f>+C18</f>
        <v>34452.757850000002</v>
      </c>
      <c r="D59" s="104">
        <f t="shared" si="20"/>
        <v>-1.6</v>
      </c>
      <c r="E59" s="410">
        <f t="shared" si="21"/>
        <v>3.3109313893266649E-2</v>
      </c>
      <c r="F59" s="103"/>
      <c r="G59" s="176">
        <f>+G18</f>
        <v>27038.08164</v>
      </c>
      <c r="H59" s="176">
        <f>+H18</f>
        <v>22414.323470655629</v>
      </c>
      <c r="I59" s="104">
        <f t="shared" si="22"/>
        <v>-17.100000000000001</v>
      </c>
      <c r="J59" s="410">
        <f t="shared" si="23"/>
        <v>1.4488646071493603E-3</v>
      </c>
      <c r="K59" s="139"/>
      <c r="L59" s="223">
        <f ca="1">L19</f>
        <v>0</v>
      </c>
      <c r="M59" s="221">
        <f t="shared" ref="M59:O60" ca="1" si="26">+M19</f>
        <v>0</v>
      </c>
      <c r="N59" s="223">
        <f t="shared" ca="1" si="26"/>
        <v>0</v>
      </c>
      <c r="O59" s="221">
        <f t="shared" ca="1" si="26"/>
        <v>0</v>
      </c>
      <c r="P59" s="207"/>
      <c r="Q59" s="207"/>
      <c r="R59" s="207"/>
      <c r="S59" s="182"/>
      <c r="T59" s="139"/>
    </row>
    <row r="60" spans="1:23" ht="18.75" x14ac:dyDescent="0.3">
      <c r="A60" s="86" t="s">
        <v>91</v>
      </c>
      <c r="B60" s="103">
        <f>B19</f>
        <v>472830.55865999998</v>
      </c>
      <c r="C60" s="103">
        <f>+C19</f>
        <v>508488.73802438495</v>
      </c>
      <c r="D60" s="104">
        <f t="shared" si="20"/>
        <v>7.5</v>
      </c>
      <c r="E60" s="410">
        <f t="shared" si="21"/>
        <v>0.48866082975823055</v>
      </c>
      <c r="F60" s="103"/>
      <c r="G60" s="176">
        <f>+G19</f>
        <v>512717.34090000001</v>
      </c>
      <c r="H60" s="176">
        <f>+H19</f>
        <v>513146.81849719601</v>
      </c>
      <c r="I60" s="104">
        <f t="shared" si="22"/>
        <v>0.1</v>
      </c>
      <c r="J60" s="410">
        <f t="shared" si="23"/>
        <v>3.3169873030753444E-2</v>
      </c>
      <c r="K60" s="139"/>
      <c r="L60" s="223">
        <f ca="1">L20</f>
        <v>0</v>
      </c>
      <c r="M60" s="221">
        <f t="shared" ca="1" si="26"/>
        <v>0</v>
      </c>
      <c r="N60" s="223">
        <f t="shared" ca="1" si="26"/>
        <v>0</v>
      </c>
      <c r="O60" s="221">
        <f t="shared" ca="1" si="26"/>
        <v>0</v>
      </c>
      <c r="P60" s="207"/>
      <c r="Q60" s="207"/>
      <c r="R60" s="207"/>
      <c r="S60" s="182"/>
      <c r="T60" s="139"/>
    </row>
    <row r="61" spans="1:23" ht="18.75" x14ac:dyDescent="0.3">
      <c r="A61" s="86" t="s">
        <v>490</v>
      </c>
      <c r="B61" s="103">
        <f>B20</f>
        <v>17501.08816890161</v>
      </c>
      <c r="C61" s="103">
        <f>C20</f>
        <v>14663</v>
      </c>
      <c r="D61" s="104">
        <f>IF(B61=0, "    ---- ", IF(ABS(ROUND(100/B61*C61-100,1))&lt;999,ROUND(100/B61*C61-100,1),IF(ROUND(100/B61*C61-100,1)&gt;999,999,-999)))</f>
        <v>-16.2</v>
      </c>
      <c r="E61" s="410">
        <f t="shared" si="21"/>
        <v>1.4091233907330551E-2</v>
      </c>
      <c r="F61" s="103"/>
      <c r="G61" s="176">
        <f>G20</f>
        <v>6599.8879075415198</v>
      </c>
      <c r="H61" s="176">
        <f>H20</f>
        <v>2056</v>
      </c>
      <c r="I61" s="104">
        <f>IF(G61=0, "    ---- ", IF(ABS(ROUND(100/G61*H61-100,1))&lt;999,ROUND(100/G61*H61-100,1),IF(ROUND(100/G61*H61-100,1)&gt;999,999,-999)))</f>
        <v>-68.8</v>
      </c>
      <c r="J61" s="410">
        <f t="shared" si="23"/>
        <v>1.3290009114925796E-4</v>
      </c>
      <c r="K61" s="139"/>
      <c r="L61" s="223">
        <f ca="1">L21</f>
        <v>0</v>
      </c>
      <c r="M61" s="221">
        <f ca="1">M21</f>
        <v>0</v>
      </c>
      <c r="N61" s="223">
        <f ca="1">N21</f>
        <v>0</v>
      </c>
      <c r="O61" s="221">
        <f ca="1">O21</f>
        <v>0</v>
      </c>
      <c r="P61" s="207"/>
      <c r="Q61" s="207"/>
      <c r="R61" s="207"/>
      <c r="S61" s="182"/>
      <c r="T61" s="139"/>
    </row>
    <row r="62" spans="1:23" ht="18.75" x14ac:dyDescent="0.3">
      <c r="A62" s="86" t="s">
        <v>63</v>
      </c>
      <c r="B62" s="105">
        <f>B21+B40</f>
        <v>40224043.891510002</v>
      </c>
      <c r="C62" s="105">
        <f>C21+C40</f>
        <v>34251550.587859996</v>
      </c>
      <c r="D62" s="106">
        <f t="shared" si="20"/>
        <v>-14.8</v>
      </c>
      <c r="E62" s="412">
        <f t="shared" si="21"/>
        <v>32.915952466909943</v>
      </c>
      <c r="F62" s="105"/>
      <c r="G62" s="177">
        <f>G21+G40</f>
        <v>510452681.52915001</v>
      </c>
      <c r="H62" s="177">
        <f>H21+H40</f>
        <v>539562592.48258996</v>
      </c>
      <c r="I62" s="104">
        <f t="shared" si="22"/>
        <v>5.7</v>
      </c>
      <c r="J62" s="410">
        <f t="shared" si="23"/>
        <v>34.877391887969907</v>
      </c>
      <c r="K62" s="139"/>
      <c r="L62" s="223">
        <f ca="1">L10+L40</f>
        <v>0</v>
      </c>
      <c r="M62" s="221">
        <f ca="1">M10+M40</f>
        <v>0</v>
      </c>
      <c r="N62" s="223">
        <f ca="1">N10+N40</f>
        <v>0</v>
      </c>
      <c r="O62" s="221">
        <f ca="1">O10+O40</f>
        <v>0</v>
      </c>
      <c r="P62" s="210"/>
      <c r="Q62" s="210"/>
      <c r="R62" s="210"/>
      <c r="S62" s="182"/>
      <c r="T62" s="139"/>
    </row>
    <row r="63" spans="1:23" ht="18.75" x14ac:dyDescent="0.3">
      <c r="A63" s="86" t="s">
        <v>92</v>
      </c>
      <c r="B63" s="103">
        <f>B22</f>
        <v>175357</v>
      </c>
      <c r="C63" s="103">
        <f>C22</f>
        <v>194718</v>
      </c>
      <c r="D63" s="104">
        <f t="shared" si="20"/>
        <v>11</v>
      </c>
      <c r="E63" s="410">
        <f t="shared" si="21"/>
        <v>0.18712520520818321</v>
      </c>
      <c r="F63" s="103"/>
      <c r="G63" s="176">
        <f>G22</f>
        <v>40612</v>
      </c>
      <c r="H63" s="176">
        <f>H22</f>
        <v>52996</v>
      </c>
      <c r="I63" s="104">
        <f t="shared" si="22"/>
        <v>30.5</v>
      </c>
      <c r="J63" s="410">
        <f t="shared" si="23"/>
        <v>3.4256679136897249E-3</v>
      </c>
      <c r="K63" s="139"/>
      <c r="L63" s="223">
        <f t="shared" ref="L63:O64" ca="1" si="27">L23</f>
        <v>0</v>
      </c>
      <c r="M63" s="221">
        <f t="shared" ca="1" si="27"/>
        <v>0</v>
      </c>
      <c r="N63" s="223">
        <f t="shared" ca="1" si="27"/>
        <v>0</v>
      </c>
      <c r="O63" s="221">
        <f t="shared" ca="1" si="27"/>
        <v>0</v>
      </c>
      <c r="P63" s="207"/>
      <c r="Q63" s="207"/>
      <c r="R63" s="207"/>
      <c r="S63" s="182"/>
      <c r="T63" s="139"/>
    </row>
    <row r="64" spans="1:23" ht="18.75" x14ac:dyDescent="0.3">
      <c r="A64" s="108" t="s">
        <v>491</v>
      </c>
      <c r="B64" s="103">
        <f>B23</f>
        <v>83630</v>
      </c>
      <c r="C64" s="103">
        <f>C23</f>
        <v>98068</v>
      </c>
      <c r="D64" s="104">
        <f t="shared" si="20"/>
        <v>17.3</v>
      </c>
      <c r="E64" s="410">
        <f t="shared" si="21"/>
        <v>9.4243955999733509E-2</v>
      </c>
      <c r="F64" s="103"/>
      <c r="G64" s="176">
        <f>G23</f>
        <v>0</v>
      </c>
      <c r="H64" s="176">
        <f>H23</f>
        <v>0</v>
      </c>
      <c r="I64" s="104" t="str">
        <f t="shared" si="22"/>
        <v xml:space="preserve">    ---- </v>
      </c>
      <c r="J64" s="410">
        <f t="shared" si="23"/>
        <v>0</v>
      </c>
      <c r="K64" s="139"/>
      <c r="L64" s="223">
        <f t="shared" ca="1" si="27"/>
        <v>0</v>
      </c>
      <c r="M64" s="221">
        <f t="shared" ca="1" si="27"/>
        <v>0</v>
      </c>
      <c r="N64" s="223">
        <f t="shared" ca="1" si="27"/>
        <v>0</v>
      </c>
      <c r="O64" s="221">
        <f t="shared" ca="1" si="27"/>
        <v>0</v>
      </c>
      <c r="P64" s="207"/>
      <c r="Q64" s="207"/>
      <c r="R64" s="207"/>
      <c r="S64" s="182"/>
      <c r="T64" s="139"/>
    </row>
    <row r="65" spans="1:240" ht="18.75" x14ac:dyDescent="0.3">
      <c r="A65" s="107" t="s">
        <v>65</v>
      </c>
      <c r="B65" s="103">
        <f>B24+B41</f>
        <v>13690010.611216806</v>
      </c>
      <c r="C65" s="103">
        <f>+C24+C41</f>
        <v>14132243.08</v>
      </c>
      <c r="D65" s="104">
        <f t="shared" si="20"/>
        <v>3.2</v>
      </c>
      <c r="E65" s="410">
        <f t="shared" si="21"/>
        <v>13.581173216635992</v>
      </c>
      <c r="F65" s="103"/>
      <c r="G65" s="176">
        <f>+G24+G41</f>
        <v>129649340.11646914</v>
      </c>
      <c r="H65" s="176">
        <f>+H24+H41</f>
        <v>151889470</v>
      </c>
      <c r="I65" s="104">
        <f t="shared" si="22"/>
        <v>17.2</v>
      </c>
      <c r="J65" s="410">
        <f t="shared" si="23"/>
        <v>9.8181538947531521</v>
      </c>
      <c r="K65" s="139"/>
      <c r="L65" s="223">
        <f ca="1">L25+L41</f>
        <v>0</v>
      </c>
      <c r="M65" s="221">
        <f ca="1">+M25+M41</f>
        <v>0</v>
      </c>
      <c r="N65" s="223">
        <f ca="1">+N25+N41</f>
        <v>0</v>
      </c>
      <c r="O65" s="221">
        <f ca="1">+O25+O41</f>
        <v>0</v>
      </c>
      <c r="P65" s="207"/>
      <c r="Q65" s="207"/>
      <c r="R65" s="207"/>
      <c r="S65" s="182"/>
      <c r="T65" s="139"/>
    </row>
    <row r="66" spans="1:240" ht="18.75" customHeight="1" x14ac:dyDescent="0.3">
      <c r="A66" s="107" t="s">
        <v>93</v>
      </c>
      <c r="B66" s="103">
        <f>B25</f>
        <v>5181000</v>
      </c>
      <c r="C66" s="103">
        <f>C25</f>
        <v>4017000</v>
      </c>
      <c r="D66" s="104">
        <f t="shared" si="20"/>
        <v>-22.5</v>
      </c>
      <c r="E66" s="410">
        <f t="shared" si="21"/>
        <v>3.8603619045043187</v>
      </c>
      <c r="F66" s="103"/>
      <c r="G66" s="176">
        <f>G25</f>
        <v>76067254.04129</v>
      </c>
      <c r="H66" s="176">
        <f>H25</f>
        <v>82047000</v>
      </c>
      <c r="I66" s="104">
        <f t="shared" si="22"/>
        <v>7.9</v>
      </c>
      <c r="J66" s="410">
        <f t="shared" si="23"/>
        <v>5.3035281023945364</v>
      </c>
      <c r="K66" s="139"/>
      <c r="L66" s="223">
        <f ca="1">L26</f>
        <v>0</v>
      </c>
      <c r="M66" s="221">
        <f ca="1">M26</f>
        <v>0</v>
      </c>
      <c r="N66" s="223">
        <f ca="1">N26</f>
        <v>0</v>
      </c>
      <c r="O66" s="221">
        <f ca="1">O26</f>
        <v>0</v>
      </c>
      <c r="P66" s="207"/>
      <c r="Q66" s="207"/>
      <c r="R66" s="207"/>
      <c r="S66" s="182"/>
      <c r="T66" s="139"/>
    </row>
    <row r="67" spans="1:240" ht="18.75" customHeight="1" x14ac:dyDescent="0.3">
      <c r="A67" s="107" t="s">
        <v>443</v>
      </c>
      <c r="B67" s="103">
        <f>B26</f>
        <v>312787.17492590938</v>
      </c>
      <c r="C67" s="103">
        <f>C26</f>
        <v>307752.03923018795</v>
      </c>
      <c r="D67" s="104">
        <f t="shared" ref="D67" si="28">IF(B67=0, "    ---- ", IF(ABS(ROUND(100/B67*C67-100,1))&lt;999,ROUND(100/B67*C67-100,1),IF(ROUND(100/B67*C67-100,1)&gt;999,999,-999)))</f>
        <v>-1.6</v>
      </c>
      <c r="E67" s="410">
        <f t="shared" si="21"/>
        <v>0.29575161769423353</v>
      </c>
      <c r="F67" s="103"/>
      <c r="G67" s="176">
        <f>G26</f>
        <v>0</v>
      </c>
      <c r="H67" s="176">
        <f>H26</f>
        <v>4585.8069906000001</v>
      </c>
      <c r="I67" s="104" t="str">
        <f t="shared" ref="I67" si="29">IF(G67=0, "    ---- ", IF(ABS(ROUND(100/G67*H67-100,1))&lt;999,ROUND(100/G67*H67-100,1),IF(ROUND(100/G67*H67-100,1)&gt;999,999,-999)))</f>
        <v xml:space="preserve">    ---- </v>
      </c>
      <c r="J67" s="410">
        <f t="shared" si="23"/>
        <v>2.9642712404846512E-4</v>
      </c>
      <c r="K67" s="139"/>
      <c r="L67" s="223"/>
      <c r="M67" s="221"/>
      <c r="N67" s="223"/>
      <c r="O67" s="221"/>
      <c r="P67" s="207"/>
      <c r="Q67" s="207"/>
      <c r="R67" s="207"/>
      <c r="S67" s="182"/>
      <c r="T67" s="139"/>
    </row>
    <row r="68" spans="1:240" ht="18.75" customHeight="1" x14ac:dyDescent="0.3">
      <c r="A68" s="107" t="s">
        <v>71</v>
      </c>
      <c r="B68" s="103">
        <f>B42</f>
        <v>145834.70800000001</v>
      </c>
      <c r="C68" s="103">
        <f>C42</f>
        <v>146915.30192</v>
      </c>
      <c r="D68" s="104">
        <f t="shared" si="20"/>
        <v>0.7</v>
      </c>
      <c r="E68" s="410">
        <f t="shared" si="21"/>
        <v>0.14118651598723381</v>
      </c>
      <c r="F68" s="103"/>
      <c r="G68" s="176">
        <f>G42</f>
        <v>2541186</v>
      </c>
      <c r="H68" s="176">
        <f>H42</f>
        <v>2931716.44123</v>
      </c>
      <c r="I68" s="104">
        <f t="shared" si="22"/>
        <v>15.4</v>
      </c>
      <c r="J68" s="410">
        <f t="shared" si="23"/>
        <v>0.18950650888290133</v>
      </c>
      <c r="K68" s="139"/>
      <c r="L68" s="223">
        <f ca="1">L42</f>
        <v>0</v>
      </c>
      <c r="M68" s="221">
        <f ca="1">M42</f>
        <v>0</v>
      </c>
      <c r="N68" s="223">
        <f ca="1">N42</f>
        <v>0</v>
      </c>
      <c r="O68" s="221">
        <f ca="1">O42</f>
        <v>0</v>
      </c>
      <c r="P68" s="207"/>
      <c r="Q68" s="207"/>
      <c r="R68" s="207"/>
      <c r="S68" s="182"/>
      <c r="T68" s="139"/>
    </row>
    <row r="69" spans="1:240" ht="18.75" customHeight="1" x14ac:dyDescent="0.3">
      <c r="A69" s="86" t="s">
        <v>67</v>
      </c>
      <c r="B69" s="103">
        <f>B27+B43</f>
        <v>7445759.9659700003</v>
      </c>
      <c r="C69" s="103">
        <f>+C27+C43</f>
        <v>5514105.8595000003</v>
      </c>
      <c r="D69" s="104">
        <f t="shared" si="20"/>
        <v>-25.9</v>
      </c>
      <c r="E69" s="410">
        <f t="shared" si="21"/>
        <v>5.2990899172063344</v>
      </c>
      <c r="F69" s="103"/>
      <c r="G69" s="176">
        <f>+G27+G43</f>
        <v>57903640.322720006</v>
      </c>
      <c r="H69" s="176">
        <f>+H27+H43</f>
        <v>62883783.276450008</v>
      </c>
      <c r="I69" s="104">
        <f t="shared" si="22"/>
        <v>8.6</v>
      </c>
      <c r="J69" s="410">
        <f t="shared" si="23"/>
        <v>4.0648154325147807</v>
      </c>
      <c r="K69" s="139"/>
      <c r="L69" s="223">
        <f ca="1">L28+L43</f>
        <v>0</v>
      </c>
      <c r="M69" s="221">
        <f t="shared" ref="M69:O70" ca="1" si="30">+M28+M43</f>
        <v>0</v>
      </c>
      <c r="N69" s="223">
        <f t="shared" ca="1" si="30"/>
        <v>0</v>
      </c>
      <c r="O69" s="221">
        <f t="shared" ca="1" si="30"/>
        <v>0</v>
      </c>
      <c r="P69" s="207"/>
      <c r="Q69" s="207"/>
      <c r="R69" s="207"/>
      <c r="S69" s="182"/>
      <c r="T69" s="139"/>
    </row>
    <row r="70" spans="1:240" ht="18.75" customHeight="1" x14ac:dyDescent="0.3">
      <c r="A70" s="107" t="s">
        <v>94</v>
      </c>
      <c r="B70" s="103">
        <f>B44+B28</f>
        <v>16598183.257999998</v>
      </c>
      <c r="C70" s="103">
        <f>+C28+C44</f>
        <v>17735032.972999997</v>
      </c>
      <c r="D70" s="104">
        <f t="shared" si="20"/>
        <v>6.8</v>
      </c>
      <c r="E70" s="410">
        <f t="shared" si="21"/>
        <v>17.043476640303002</v>
      </c>
      <c r="F70" s="103"/>
      <c r="G70" s="176">
        <f>+G28+G44</f>
        <v>295781142.71899998</v>
      </c>
      <c r="H70" s="176">
        <f>+H28+H44</f>
        <v>320864940.03200001</v>
      </c>
      <c r="I70" s="104">
        <f t="shared" si="22"/>
        <v>8.5</v>
      </c>
      <c r="J70" s="410">
        <f t="shared" si="23"/>
        <v>20.7407489187033</v>
      </c>
      <c r="K70" s="139"/>
      <c r="L70" s="223">
        <f ca="1">L44+L29</f>
        <v>0</v>
      </c>
      <c r="M70" s="221">
        <f t="shared" ca="1" si="30"/>
        <v>0</v>
      </c>
      <c r="N70" s="223">
        <f t="shared" ca="1" si="30"/>
        <v>0</v>
      </c>
      <c r="O70" s="221">
        <f t="shared" ca="1" si="30"/>
        <v>0</v>
      </c>
      <c r="P70" s="207"/>
      <c r="Q70" s="207"/>
      <c r="R70" s="207"/>
      <c r="S70" s="182"/>
      <c r="T70" s="139"/>
    </row>
    <row r="71" spans="1:240" ht="18.75" customHeight="1" x14ac:dyDescent="0.3">
      <c r="A71" s="107" t="s">
        <v>95</v>
      </c>
      <c r="B71" s="103">
        <f>B29</f>
        <v>1989</v>
      </c>
      <c r="C71" s="103">
        <f>+C29</f>
        <v>1726</v>
      </c>
      <c r="D71" s="104">
        <f t="shared" si="20"/>
        <v>-13.2</v>
      </c>
      <c r="E71" s="410">
        <f t="shared" si="21"/>
        <v>1.6586967008151491E-3</v>
      </c>
      <c r="F71" s="103"/>
      <c r="G71" s="176">
        <f t="shared" ref="G71:H73" si="31">+G29</f>
        <v>0</v>
      </c>
      <c r="H71" s="176">
        <f t="shared" si="31"/>
        <v>0</v>
      </c>
      <c r="I71" s="104" t="str">
        <f t="shared" si="22"/>
        <v xml:space="preserve">    ---- </v>
      </c>
      <c r="J71" s="410">
        <f t="shared" si="23"/>
        <v>0</v>
      </c>
      <c r="K71" s="139"/>
      <c r="L71" s="223">
        <f ca="1">L30</f>
        <v>0</v>
      </c>
      <c r="M71" s="221">
        <f t="shared" ref="M71:O72" ca="1" si="32">+M30</f>
        <v>0</v>
      </c>
      <c r="N71" s="223">
        <f t="shared" ca="1" si="32"/>
        <v>0</v>
      </c>
      <c r="O71" s="221">
        <f t="shared" ca="1" si="32"/>
        <v>0</v>
      </c>
      <c r="P71" s="207"/>
      <c r="Q71" s="207"/>
      <c r="R71" s="207"/>
      <c r="S71" s="182"/>
      <c r="T71" s="139"/>
    </row>
    <row r="72" spans="1:240" ht="18.75" customHeight="1" x14ac:dyDescent="0.3">
      <c r="A72" s="107" t="s">
        <v>96</v>
      </c>
      <c r="B72" s="103">
        <f>B30</f>
        <v>601419.67099999997</v>
      </c>
      <c r="C72" s="103">
        <f>+C30</f>
        <v>598971.11495999992</v>
      </c>
      <c r="D72" s="104">
        <f t="shared" si="20"/>
        <v>-0.4</v>
      </c>
      <c r="E72" s="410">
        <f t="shared" si="21"/>
        <v>0.57561495496391846</v>
      </c>
      <c r="F72" s="103"/>
      <c r="G72" s="176">
        <f t="shared" si="31"/>
        <v>0</v>
      </c>
      <c r="H72" s="176">
        <f t="shared" si="31"/>
        <v>0</v>
      </c>
      <c r="I72" s="104" t="str">
        <f t="shared" si="22"/>
        <v xml:space="preserve">    ---- </v>
      </c>
      <c r="J72" s="410">
        <f t="shared" si="23"/>
        <v>0</v>
      </c>
      <c r="K72" s="139"/>
      <c r="L72" s="223">
        <f ca="1">L31</f>
        <v>0</v>
      </c>
      <c r="M72" s="221">
        <f t="shared" ca="1" si="32"/>
        <v>0</v>
      </c>
      <c r="N72" s="223">
        <f t="shared" ca="1" si="32"/>
        <v>0</v>
      </c>
      <c r="O72" s="221">
        <f t="shared" ca="1" si="32"/>
        <v>0</v>
      </c>
      <c r="P72" s="207"/>
      <c r="Q72" s="207"/>
      <c r="R72" s="207"/>
      <c r="S72" s="182"/>
      <c r="T72" s="139"/>
    </row>
    <row r="73" spans="1:240" ht="18.75" x14ac:dyDescent="0.3">
      <c r="A73" s="193" t="s">
        <v>495</v>
      </c>
      <c r="B73" s="103">
        <f t="shared" ref="B73:C73" si="33">B31</f>
        <v>0</v>
      </c>
      <c r="C73" s="103">
        <f t="shared" si="33"/>
        <v>1278</v>
      </c>
      <c r="D73" s="104" t="str">
        <f t="shared" si="20"/>
        <v xml:space="preserve">    ---- </v>
      </c>
      <c r="E73" s="410">
        <f t="shared" ref="E73" si="34">100/C$32*C73</f>
        <v>2.2349402059425433E-3</v>
      </c>
      <c r="F73" s="193"/>
      <c r="G73" s="176">
        <f t="shared" si="31"/>
        <v>0</v>
      </c>
      <c r="H73" s="176">
        <f t="shared" si="31"/>
        <v>0</v>
      </c>
      <c r="I73" s="193"/>
      <c r="J73" s="410">
        <f t="shared" ref="J73" si="35">100/H$32*H73</f>
        <v>0</v>
      </c>
      <c r="K73" s="207"/>
      <c r="L73" s="223">
        <f t="shared" ref="L73" ca="1" si="36">INDIRECT("'" &amp; $A72 &amp; "'!" &amp; $P$7)</f>
        <v>0</v>
      </c>
      <c r="M73" s="221">
        <f t="shared" ref="M73" ca="1" si="37">INDIRECT("'" &amp; $A72 &amp; "'!" &amp; $P$8)</f>
        <v>0</v>
      </c>
      <c r="N73" s="223">
        <f t="shared" ref="N73" ca="1" si="38">INDIRECT("'" &amp; $A72 &amp; "'!" &amp; $P$9)</f>
        <v>0</v>
      </c>
      <c r="O73" s="221">
        <f t="shared" ref="O73" ca="1" si="39">INDIRECT("'" &amp; $A72 &amp; "'!" &amp; $P$11)</f>
        <v>0</v>
      </c>
    </row>
    <row r="74" spans="1:240" s="111" customFormat="1" ht="18.75" customHeight="1" x14ac:dyDescent="0.3">
      <c r="A74" s="113" t="s">
        <v>2</v>
      </c>
      <c r="B74" s="114">
        <f>SUM(B49:B73)</f>
        <v>109312218.06956162</v>
      </c>
      <c r="C74" s="114">
        <f>SUM(C49:C73)</f>
        <v>104057601.31745456</v>
      </c>
      <c r="D74" s="115">
        <f>IF(B74=0, "    ---- ", IF(ABS(ROUND(100/B74*C74-100,1))&lt;999,ROUND(100/B74*C74-100,1),IF(ROUND(100/B74*C74-100,1)&gt;999,999,-999)))</f>
        <v>-4.8</v>
      </c>
      <c r="E74" s="413">
        <f>SUM(E49:E72)</f>
        <v>99.998771834076678</v>
      </c>
      <c r="F74" s="109"/>
      <c r="G74" s="181">
        <f>SUM(G49:G73)</f>
        <v>1443032788.707077</v>
      </c>
      <c r="H74" s="181">
        <f>SUM(H49:H73)</f>
        <v>1547026779.4556584</v>
      </c>
      <c r="I74" s="115">
        <f>IF(G74=0, "    ---- ", IF(ABS(ROUND(100/G74*H74-100,1))&lt;999,ROUND(100/G74*H74-100,1),IF(ROUND(100/G74*H74-100,1)&gt;999,999,-999)))</f>
        <v>7.2</v>
      </c>
      <c r="J74" s="413">
        <f>SUM(J49:J72)</f>
        <v>99.999999999999972</v>
      </c>
      <c r="K74" s="179"/>
      <c r="L74" s="229" t="e">
        <f ca="1">SUM(L49:L72)</f>
        <v>#REF!</v>
      </c>
      <c r="M74" s="230" t="e">
        <f ca="1">SUM(M49:M72)</f>
        <v>#REF!</v>
      </c>
      <c r="N74" s="229" t="e">
        <f ca="1">SUM(N49:N72)</f>
        <v>#REF!</v>
      </c>
      <c r="O74" s="230" t="e">
        <f ca="1">SUM(O49:O72)</f>
        <v>#REF!</v>
      </c>
      <c r="P74" s="209"/>
      <c r="Q74" s="209"/>
      <c r="R74" s="209"/>
      <c r="S74" s="138"/>
      <c r="T74" s="179"/>
    </row>
    <row r="75" spans="1:240" ht="18.75" customHeight="1" x14ac:dyDescent="0.3">
      <c r="A75" s="112" t="s">
        <v>100</v>
      </c>
      <c r="B75" s="112"/>
      <c r="C75" s="112"/>
      <c r="D75" s="112"/>
      <c r="E75" s="112"/>
      <c r="F75" s="112"/>
      <c r="G75" s="112"/>
      <c r="H75" s="112"/>
      <c r="I75" s="112"/>
      <c r="J75" s="112"/>
      <c r="K75" s="112"/>
      <c r="L75" s="186"/>
      <c r="M75" s="186"/>
      <c r="N75" s="186"/>
      <c r="O75" s="186"/>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E75" s="112"/>
      <c r="CF75" s="112"/>
      <c r="CG75" s="112"/>
      <c r="CH75" s="112"/>
      <c r="CI75" s="112"/>
      <c r="CJ75" s="112"/>
      <c r="CK75" s="112"/>
      <c r="CL75" s="112"/>
      <c r="CM75" s="112"/>
      <c r="CN75" s="112"/>
      <c r="CO75" s="112"/>
      <c r="CP75" s="112"/>
      <c r="CQ75" s="112"/>
      <c r="CR75" s="112"/>
      <c r="CS75" s="112"/>
      <c r="CT75" s="112"/>
      <c r="CU75" s="112"/>
      <c r="CV75" s="112"/>
      <c r="CW75" s="112"/>
      <c r="CX75" s="112"/>
      <c r="CY75" s="112"/>
      <c r="CZ75" s="112"/>
      <c r="DA75" s="112"/>
      <c r="DB75" s="112"/>
      <c r="DC75" s="112"/>
      <c r="DD75" s="112"/>
      <c r="DE75" s="112"/>
      <c r="DF75" s="112"/>
      <c r="DG75" s="112"/>
      <c r="DH75" s="112"/>
      <c r="DI75" s="112"/>
      <c r="DJ75" s="112"/>
      <c r="DK75" s="112"/>
      <c r="DL75" s="112"/>
      <c r="DM75" s="112"/>
      <c r="DN75" s="112"/>
      <c r="DO75" s="112"/>
      <c r="DP75" s="112"/>
      <c r="DQ75" s="112"/>
      <c r="DR75" s="112"/>
      <c r="DS75" s="112"/>
      <c r="DT75" s="112"/>
      <c r="DU75" s="112"/>
      <c r="DV75" s="112"/>
      <c r="DW75" s="112"/>
      <c r="DX75" s="112"/>
      <c r="DY75" s="112"/>
      <c r="DZ75" s="112"/>
      <c r="EA75" s="112"/>
      <c r="EB75" s="112"/>
      <c r="EC75" s="112"/>
      <c r="ED75" s="112"/>
      <c r="EE75" s="112"/>
      <c r="EF75" s="112"/>
      <c r="EG75" s="112"/>
      <c r="EH75" s="112"/>
      <c r="EI75" s="112"/>
      <c r="EJ75" s="112"/>
      <c r="EK75" s="112"/>
      <c r="EL75" s="112"/>
      <c r="EM75" s="112"/>
      <c r="EN75" s="112"/>
      <c r="EO75" s="112"/>
      <c r="EP75" s="112"/>
      <c r="EQ75" s="112"/>
      <c r="ER75" s="112"/>
      <c r="ES75" s="112"/>
      <c r="ET75" s="112"/>
      <c r="EU75" s="112"/>
      <c r="EV75" s="112"/>
      <c r="EW75" s="112"/>
      <c r="EX75" s="112"/>
      <c r="EY75" s="112"/>
      <c r="EZ75" s="112"/>
      <c r="FA75" s="112"/>
      <c r="FB75" s="112"/>
      <c r="FC75" s="112"/>
      <c r="FD75" s="112"/>
      <c r="FE75" s="112"/>
      <c r="FF75" s="112"/>
      <c r="FG75" s="112"/>
      <c r="FH75" s="112"/>
      <c r="FI75" s="112"/>
      <c r="FJ75" s="112"/>
      <c r="FK75" s="112"/>
      <c r="FL75" s="112"/>
      <c r="FM75" s="112"/>
      <c r="FN75" s="112"/>
      <c r="FO75" s="112"/>
      <c r="FP75" s="112"/>
      <c r="FQ75" s="112"/>
      <c r="FR75" s="112"/>
      <c r="FS75" s="112"/>
      <c r="FT75" s="112"/>
      <c r="FU75" s="112"/>
      <c r="FV75" s="112"/>
      <c r="FW75" s="112"/>
      <c r="FX75" s="112"/>
      <c r="FY75" s="112"/>
      <c r="FZ75" s="112"/>
      <c r="GA75" s="112"/>
      <c r="GB75" s="112"/>
      <c r="GC75" s="112"/>
      <c r="GD75" s="112"/>
      <c r="GE75" s="112"/>
      <c r="GF75" s="112"/>
      <c r="GG75" s="112"/>
      <c r="GH75" s="112"/>
      <c r="GI75" s="112"/>
      <c r="GJ75" s="112"/>
      <c r="GK75" s="112"/>
      <c r="GL75" s="112"/>
      <c r="GM75" s="112"/>
      <c r="GN75" s="112"/>
      <c r="GO75" s="112"/>
      <c r="GP75" s="112"/>
      <c r="GQ75" s="112"/>
      <c r="GR75" s="112"/>
      <c r="GS75" s="112"/>
      <c r="GT75" s="112"/>
      <c r="GU75" s="112"/>
      <c r="GV75" s="112"/>
      <c r="GW75" s="112"/>
      <c r="GX75" s="112"/>
      <c r="GY75" s="112"/>
      <c r="GZ75" s="112"/>
      <c r="HA75" s="112"/>
      <c r="HB75" s="112"/>
      <c r="HC75" s="112"/>
      <c r="HD75" s="112"/>
      <c r="HE75" s="112"/>
      <c r="HF75" s="112"/>
      <c r="HG75" s="112"/>
      <c r="HH75" s="112"/>
      <c r="HI75" s="112"/>
      <c r="HJ75" s="112"/>
      <c r="HK75" s="112"/>
      <c r="HL75" s="112"/>
      <c r="HM75" s="112"/>
      <c r="HN75" s="112"/>
      <c r="HO75" s="112"/>
      <c r="HP75" s="112"/>
      <c r="HQ75" s="112"/>
      <c r="HR75" s="112"/>
      <c r="HS75" s="112"/>
      <c r="HT75" s="112"/>
      <c r="HU75" s="112"/>
      <c r="HV75" s="112"/>
      <c r="HW75" s="112"/>
      <c r="HX75" s="112"/>
      <c r="HY75" s="112"/>
      <c r="HZ75" s="112"/>
      <c r="IA75" s="112"/>
      <c r="IB75" s="112"/>
      <c r="IC75" s="112"/>
      <c r="ID75" s="112"/>
      <c r="IE75" s="112"/>
      <c r="IF75" s="112"/>
    </row>
    <row r="76" spans="1:240" ht="18.75" customHeight="1" x14ac:dyDescent="0.3">
      <c r="A76" s="74"/>
      <c r="B76" s="74"/>
      <c r="C76" s="74"/>
      <c r="D76" s="74"/>
      <c r="E76" s="74"/>
      <c r="F76" s="74"/>
      <c r="G76" s="74"/>
      <c r="H76" s="74"/>
      <c r="I76" s="74"/>
      <c r="J76" s="74"/>
      <c r="K76" s="74"/>
    </row>
    <row r="77" spans="1:240" ht="18.75" customHeight="1" x14ac:dyDescent="0.3">
      <c r="A77" s="74"/>
      <c r="B77" s="74"/>
      <c r="C77" s="74"/>
      <c r="D77" s="74"/>
      <c r="E77" s="74"/>
      <c r="F77" s="74"/>
      <c r="G77" s="74"/>
      <c r="H77" s="74"/>
      <c r="I77" s="74"/>
      <c r="J77" s="74"/>
      <c r="K77" s="74"/>
    </row>
    <row r="78" spans="1:240" ht="18.75" customHeight="1" x14ac:dyDescent="0.3">
      <c r="A78" s="74"/>
      <c r="B78" s="77"/>
      <c r="C78" s="77"/>
      <c r="D78" s="74"/>
      <c r="E78" s="74"/>
      <c r="F78" s="74"/>
      <c r="G78" s="77"/>
      <c r="H78" s="77"/>
      <c r="I78" s="74"/>
      <c r="J78" s="74"/>
      <c r="K78" s="74"/>
    </row>
    <row r="79" spans="1:240" ht="18.75" customHeight="1" x14ac:dyDescent="0.3">
      <c r="A79" s="74"/>
      <c r="B79" s="74"/>
      <c r="C79" s="74"/>
      <c r="D79" s="74"/>
      <c r="E79" s="74"/>
      <c r="F79" s="74"/>
      <c r="G79" s="74"/>
      <c r="H79" s="74"/>
      <c r="I79" s="74"/>
      <c r="J79" s="74"/>
      <c r="K79" s="74"/>
    </row>
    <row r="80" spans="1:240" ht="18.75" customHeight="1" x14ac:dyDescent="0.3">
      <c r="A80" s="74"/>
      <c r="B80" s="74"/>
      <c r="C80" s="74"/>
      <c r="D80" s="74"/>
      <c r="E80" s="74"/>
      <c r="F80" s="74"/>
      <c r="G80" s="74"/>
      <c r="H80" s="74"/>
      <c r="I80" s="74"/>
      <c r="J80" s="74"/>
      <c r="K80" s="74"/>
    </row>
    <row r="81" spans="1:11" ht="18.75" customHeight="1" x14ac:dyDescent="0.3">
      <c r="A81" s="74"/>
      <c r="B81" s="74"/>
      <c r="C81" s="74"/>
      <c r="D81" s="74"/>
      <c r="E81" s="74"/>
      <c r="F81" s="74"/>
      <c r="G81" s="74"/>
      <c r="H81" s="74"/>
      <c r="I81" s="74"/>
      <c r="J81" s="74"/>
      <c r="K81" s="74"/>
    </row>
    <row r="82" spans="1:11" ht="18.75" customHeight="1" x14ac:dyDescent="0.3">
      <c r="A82" s="74"/>
      <c r="B82" s="74"/>
      <c r="C82" s="74"/>
      <c r="D82" s="74"/>
      <c r="E82" s="74"/>
      <c r="F82" s="74"/>
      <c r="G82" s="74"/>
      <c r="H82" s="74"/>
      <c r="I82" s="74"/>
      <c r="J82" s="74"/>
      <c r="K82" s="74"/>
    </row>
    <row r="83" spans="1:11" ht="18.75" x14ac:dyDescent="0.3">
      <c r="A83" s="74"/>
      <c r="B83" s="74"/>
      <c r="C83" s="74"/>
      <c r="D83" s="74"/>
      <c r="E83" s="74"/>
      <c r="F83" s="74"/>
      <c r="G83" s="74"/>
      <c r="H83" s="74"/>
      <c r="I83" s="74"/>
      <c r="J83" s="74"/>
      <c r="K83" s="74"/>
    </row>
    <row r="84" spans="1:11" ht="18.75" x14ac:dyDescent="0.3">
      <c r="A84" s="74"/>
      <c r="B84" s="74"/>
      <c r="C84" s="74"/>
      <c r="D84" s="74"/>
      <c r="E84" s="74"/>
      <c r="F84" s="74"/>
      <c r="G84" s="74"/>
      <c r="H84" s="74"/>
      <c r="I84" s="74"/>
      <c r="J84" s="74"/>
      <c r="K84" s="74"/>
    </row>
    <row r="85" spans="1:11" ht="18.75" x14ac:dyDescent="0.3">
      <c r="A85" s="74"/>
      <c r="B85" s="74"/>
      <c r="C85" s="74"/>
      <c r="D85" s="74"/>
      <c r="E85" s="74"/>
      <c r="F85" s="74"/>
      <c r="G85" s="74"/>
      <c r="H85" s="74"/>
      <c r="I85" s="74"/>
      <c r="J85" s="74"/>
      <c r="K85" s="74"/>
    </row>
    <row r="86" spans="1:11" ht="18.75" x14ac:dyDescent="0.3">
      <c r="A86" s="74"/>
      <c r="B86" s="74"/>
      <c r="C86" s="74"/>
      <c r="D86" s="74"/>
      <c r="E86" s="74"/>
      <c r="F86" s="74"/>
      <c r="G86" s="74"/>
      <c r="H86" s="74"/>
      <c r="I86" s="74"/>
      <c r="J86" s="74"/>
      <c r="K86" s="74"/>
    </row>
    <row r="87" spans="1:11" ht="18.75" x14ac:dyDescent="0.3">
      <c r="A87" s="74"/>
      <c r="B87" s="74"/>
      <c r="C87" s="74"/>
      <c r="D87" s="74"/>
      <c r="E87" s="74"/>
      <c r="F87" s="74"/>
      <c r="G87" s="74"/>
      <c r="H87" s="74"/>
      <c r="I87" s="74"/>
      <c r="J87" s="74"/>
      <c r="K87" s="74"/>
    </row>
    <row r="88" spans="1:11" ht="18.75" x14ac:dyDescent="0.3">
      <c r="A88" s="74"/>
      <c r="B88" s="74"/>
      <c r="C88" s="74"/>
      <c r="D88" s="74"/>
      <c r="E88" s="74"/>
      <c r="F88" s="74"/>
      <c r="G88" s="74"/>
      <c r="H88" s="74"/>
      <c r="I88" s="74"/>
      <c r="J88" s="74"/>
      <c r="K88" s="74"/>
    </row>
    <row r="89" spans="1:11" ht="18.75" x14ac:dyDescent="0.3">
      <c r="A89" s="74"/>
      <c r="B89" s="74"/>
      <c r="C89" s="74"/>
      <c r="D89" s="74"/>
      <c r="E89" s="74"/>
      <c r="F89" s="74"/>
      <c r="G89" s="74"/>
      <c r="H89" s="74"/>
      <c r="I89" s="74"/>
      <c r="J89" s="74"/>
      <c r="K89" s="74"/>
    </row>
    <row r="90" spans="1:11" ht="18.75" x14ac:dyDescent="0.3">
      <c r="A90" s="74"/>
      <c r="B90" s="74"/>
      <c r="C90" s="74"/>
      <c r="D90" s="74"/>
      <c r="E90" s="74"/>
      <c r="F90" s="74"/>
      <c r="G90" s="74"/>
      <c r="H90" s="74"/>
      <c r="I90" s="74"/>
      <c r="J90" s="74"/>
      <c r="K90" s="74"/>
    </row>
    <row r="91" spans="1:11" ht="18.75" x14ac:dyDescent="0.3">
      <c r="A91" s="74"/>
      <c r="B91" s="74"/>
      <c r="C91" s="74"/>
      <c r="D91" s="74"/>
      <c r="E91" s="74"/>
      <c r="F91" s="74"/>
      <c r="G91" s="74"/>
      <c r="H91" s="74"/>
      <c r="I91" s="74"/>
      <c r="J91" s="74"/>
      <c r="K91" s="74"/>
    </row>
    <row r="92" spans="1:11" ht="18.75" x14ac:dyDescent="0.3">
      <c r="A92" s="74"/>
      <c r="B92" s="74"/>
      <c r="C92" s="74"/>
      <c r="D92" s="74"/>
      <c r="E92" s="74"/>
      <c r="F92" s="74"/>
      <c r="G92" s="74"/>
      <c r="H92" s="74"/>
      <c r="I92" s="74"/>
      <c r="J92" s="74"/>
      <c r="K92" s="74"/>
    </row>
    <row r="93" spans="1:11" ht="18.75" x14ac:dyDescent="0.3">
      <c r="A93" s="74"/>
      <c r="B93" s="74"/>
      <c r="C93" s="74"/>
      <c r="D93" s="74"/>
      <c r="E93" s="74"/>
      <c r="F93" s="74"/>
      <c r="G93" s="74"/>
      <c r="H93" s="74"/>
      <c r="I93" s="74"/>
      <c r="J93" s="74"/>
      <c r="K93" s="74"/>
    </row>
    <row r="94" spans="1:11" ht="18.75" x14ac:dyDescent="0.3">
      <c r="A94" s="74"/>
      <c r="B94" s="74"/>
      <c r="C94" s="74"/>
      <c r="D94" s="74"/>
      <c r="E94" s="74"/>
      <c r="F94" s="74"/>
      <c r="G94" s="74"/>
      <c r="H94" s="74"/>
      <c r="I94" s="74"/>
      <c r="J94" s="74"/>
      <c r="K94" s="74"/>
    </row>
    <row r="95" spans="1:11" ht="18.75" x14ac:dyDescent="0.3">
      <c r="A95" s="74"/>
      <c r="B95" s="74"/>
      <c r="C95" s="74"/>
      <c r="D95" s="74"/>
      <c r="E95" s="74"/>
      <c r="F95" s="74"/>
      <c r="G95" s="74"/>
      <c r="H95" s="74"/>
      <c r="I95" s="74"/>
      <c r="J95" s="74"/>
      <c r="K95" s="74"/>
    </row>
    <row r="96" spans="1:11" ht="18.75" x14ac:dyDescent="0.3">
      <c r="A96" s="74"/>
      <c r="B96" s="74"/>
      <c r="C96" s="74"/>
      <c r="D96" s="74"/>
      <c r="E96" s="74"/>
      <c r="F96" s="74"/>
      <c r="G96" s="74"/>
      <c r="H96" s="74"/>
      <c r="I96" s="74"/>
      <c r="J96" s="74"/>
      <c r="K96" s="74"/>
    </row>
    <row r="97" spans="1:11" ht="18.75" x14ac:dyDescent="0.3">
      <c r="A97" s="74"/>
      <c r="B97" s="74"/>
      <c r="C97" s="74"/>
      <c r="D97" s="74"/>
      <c r="E97" s="74"/>
      <c r="F97" s="74"/>
      <c r="G97" s="74"/>
      <c r="H97" s="74"/>
      <c r="I97" s="74"/>
      <c r="J97" s="74"/>
      <c r="K97" s="74"/>
    </row>
    <row r="98" spans="1:11" ht="18.75" x14ac:dyDescent="0.3">
      <c r="A98" s="74"/>
      <c r="B98" s="74"/>
      <c r="C98" s="74"/>
      <c r="D98" s="74"/>
      <c r="E98" s="74"/>
      <c r="F98" s="74"/>
      <c r="G98" s="74"/>
      <c r="H98" s="74"/>
      <c r="I98" s="74"/>
      <c r="J98" s="74"/>
      <c r="K98" s="74"/>
    </row>
    <row r="99" spans="1:11" ht="18.75" x14ac:dyDescent="0.3">
      <c r="A99" s="74"/>
      <c r="B99" s="74"/>
      <c r="C99" s="74"/>
      <c r="D99" s="74"/>
      <c r="E99" s="74"/>
      <c r="F99" s="74"/>
      <c r="G99" s="74"/>
      <c r="H99" s="74"/>
      <c r="I99" s="74"/>
      <c r="J99" s="74"/>
      <c r="K99" s="74"/>
    </row>
    <row r="100" spans="1:11" ht="18.75" x14ac:dyDescent="0.3">
      <c r="A100" s="112"/>
      <c r="B100" s="112"/>
      <c r="C100" s="112"/>
      <c r="D100" s="112"/>
      <c r="E100" s="112"/>
      <c r="F100" s="112"/>
      <c r="G100" s="112"/>
      <c r="H100" s="112"/>
      <c r="I100" s="112"/>
      <c r="J100" s="112"/>
      <c r="K100" s="112"/>
    </row>
    <row r="101" spans="1:11" ht="18.75" x14ac:dyDescent="0.3">
      <c r="A101" s="116"/>
      <c r="B101" s="117"/>
      <c r="C101" s="117"/>
      <c r="D101" s="117"/>
      <c r="E101" s="74"/>
      <c r="F101" s="74"/>
      <c r="G101" s="74"/>
      <c r="H101" s="74"/>
      <c r="I101" s="74"/>
      <c r="J101" s="75"/>
      <c r="K101" s="75"/>
    </row>
    <row r="102" spans="1:11" ht="18.75" x14ac:dyDescent="0.3">
      <c r="A102" s="74"/>
      <c r="B102" s="74"/>
      <c r="C102" s="74"/>
      <c r="D102" s="74"/>
      <c r="E102" s="74"/>
      <c r="F102" s="74"/>
      <c r="G102" s="74"/>
      <c r="H102" s="74"/>
      <c r="I102" s="74"/>
      <c r="J102" s="74"/>
      <c r="K102" s="74"/>
    </row>
    <row r="103" spans="1:11" ht="18.75" x14ac:dyDescent="0.3">
      <c r="A103" s="74"/>
      <c r="B103" s="74"/>
      <c r="C103" s="74"/>
      <c r="D103" s="74"/>
      <c r="E103" s="74"/>
      <c r="F103" s="74"/>
      <c r="G103" s="74"/>
      <c r="H103" s="74"/>
      <c r="I103" s="74"/>
      <c r="J103" s="74"/>
      <c r="K103" s="74"/>
    </row>
    <row r="104" spans="1:11" ht="18.75" x14ac:dyDescent="0.3">
      <c r="A104" s="74"/>
      <c r="B104" s="74"/>
      <c r="C104" s="74"/>
      <c r="D104" s="74"/>
      <c r="E104" s="74"/>
      <c r="F104" s="74"/>
      <c r="G104" s="74"/>
      <c r="H104" s="74"/>
      <c r="I104" s="74"/>
      <c r="J104" s="74"/>
      <c r="K104" s="74"/>
    </row>
    <row r="105" spans="1:11" ht="18.75" x14ac:dyDescent="0.3">
      <c r="A105" s="74"/>
      <c r="B105" s="74"/>
      <c r="C105" s="74"/>
      <c r="D105" s="74"/>
      <c r="E105" s="74"/>
      <c r="F105" s="74"/>
      <c r="G105" s="74"/>
      <c r="H105" s="74"/>
      <c r="I105" s="74"/>
      <c r="J105" s="74"/>
      <c r="K105" s="74"/>
    </row>
    <row r="106" spans="1:11" ht="18.75" x14ac:dyDescent="0.3">
      <c r="A106" s="74"/>
      <c r="B106" s="74"/>
      <c r="C106" s="74"/>
      <c r="D106" s="74"/>
      <c r="E106" s="74"/>
      <c r="F106" s="74"/>
      <c r="G106" s="74"/>
      <c r="H106" s="74"/>
      <c r="I106" s="74"/>
      <c r="J106" s="74"/>
      <c r="K106" s="74"/>
    </row>
    <row r="107" spans="1:11" ht="18.75" x14ac:dyDescent="0.3">
      <c r="A107" s="74"/>
      <c r="B107" s="74"/>
      <c r="C107" s="74"/>
      <c r="D107" s="74"/>
      <c r="E107" s="74"/>
      <c r="F107" s="74"/>
      <c r="G107" s="74"/>
      <c r="H107" s="74"/>
      <c r="I107" s="74"/>
      <c r="J107" s="74"/>
      <c r="K107" s="74"/>
    </row>
    <row r="108" spans="1:11" ht="18.75" x14ac:dyDescent="0.3">
      <c r="A108" s="74"/>
      <c r="B108" s="74"/>
      <c r="C108" s="74"/>
      <c r="D108" s="74"/>
      <c r="E108" s="74"/>
      <c r="F108" s="74"/>
      <c r="G108" s="74"/>
      <c r="H108" s="74"/>
      <c r="I108" s="74"/>
      <c r="J108" s="74"/>
      <c r="K108" s="74"/>
    </row>
    <row r="109" spans="1:11" ht="18.75" x14ac:dyDescent="0.3">
      <c r="A109" s="74"/>
      <c r="B109" s="74"/>
      <c r="C109" s="74"/>
      <c r="D109" s="74"/>
      <c r="E109" s="74"/>
      <c r="F109" s="74"/>
      <c r="G109" s="74"/>
      <c r="H109" s="74"/>
      <c r="I109" s="74"/>
      <c r="J109" s="74"/>
      <c r="K109" s="74"/>
    </row>
    <row r="110" spans="1:11" ht="18.75" x14ac:dyDescent="0.3">
      <c r="A110" s="74"/>
      <c r="B110" s="74"/>
      <c r="C110" s="74"/>
      <c r="D110" s="74"/>
      <c r="E110" s="74"/>
      <c r="F110" s="74"/>
      <c r="G110" s="74"/>
      <c r="H110" s="74"/>
      <c r="I110" s="74"/>
      <c r="J110" s="74"/>
      <c r="K110" s="74"/>
    </row>
    <row r="111" spans="1:11" ht="18.75" x14ac:dyDescent="0.3">
      <c r="A111" s="74"/>
      <c r="B111" s="74"/>
      <c r="C111" s="74"/>
      <c r="D111" s="74"/>
      <c r="E111" s="74"/>
      <c r="F111" s="74"/>
      <c r="G111" s="74"/>
      <c r="H111" s="74"/>
      <c r="I111" s="74"/>
      <c r="J111" s="74"/>
      <c r="K111" s="74"/>
    </row>
    <row r="112" spans="1:11" ht="18.75" x14ac:dyDescent="0.3">
      <c r="A112" s="74"/>
      <c r="B112" s="74"/>
      <c r="C112" s="74"/>
      <c r="D112" s="74"/>
      <c r="E112" s="74"/>
      <c r="F112" s="74"/>
      <c r="G112" s="74"/>
      <c r="H112" s="74"/>
      <c r="I112" s="74"/>
      <c r="J112" s="74"/>
      <c r="K112" s="74"/>
    </row>
    <row r="113" spans="1:11" ht="18.75" x14ac:dyDescent="0.3">
      <c r="A113" s="74"/>
      <c r="B113" s="74"/>
      <c r="C113" s="74"/>
      <c r="D113" s="74"/>
      <c r="E113" s="74"/>
      <c r="F113" s="74"/>
      <c r="G113" s="74"/>
      <c r="H113" s="74"/>
      <c r="I113" s="74"/>
      <c r="J113" s="74"/>
      <c r="K113" s="74"/>
    </row>
  </sheetData>
  <mergeCells count="5">
    <mergeCell ref="N5:O5"/>
    <mergeCell ref="A3:B3"/>
    <mergeCell ref="B5:E5"/>
    <mergeCell ref="G5:J5"/>
    <mergeCell ref="L5:M5"/>
  </mergeCells>
  <hyperlinks>
    <hyperlink ref="B1" location="Innhold!A1" display="Tilbake" xr:uid="{00000000-0004-0000-0300-000000000000}"/>
  </hyperlinks>
  <pageMargins left="0.70866141732283472" right="0.70866141732283472" top="0.78740157480314965" bottom="0.78740157480314965" header="0.31496062992125984" footer="0.31496062992125984"/>
  <pageSetup paperSize="9" scale="3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9"/>
  <dimension ref="A2:Q65"/>
  <sheetViews>
    <sheetView showGridLines="0" topLeftCell="B1" zoomScale="90" zoomScaleNormal="90" workbookViewId="0">
      <selection activeCell="C1" sqref="C1"/>
    </sheetView>
  </sheetViews>
  <sheetFormatPr baseColWidth="10" defaultColWidth="11.42578125" defaultRowHeight="12.75" x14ac:dyDescent="0.2"/>
  <cols>
    <col min="1" max="1" width="66.28515625" style="1" customWidth="1"/>
    <col min="2" max="2" width="4.28515625" style="50" customWidth="1"/>
    <col min="3" max="3" width="105.28515625" style="1" customWidth="1"/>
    <col min="4" max="8" width="12.7109375" style="1" customWidth="1"/>
    <col min="9" max="257" width="11.42578125" style="1"/>
    <col min="258" max="258" width="2.7109375" style="1" customWidth="1"/>
    <col min="259" max="259" width="176.7109375" style="1" customWidth="1"/>
    <col min="260" max="260" width="11.42578125" style="1"/>
    <col min="261" max="261" width="176.7109375" style="1" customWidth="1"/>
    <col min="262" max="262" width="11.42578125" style="1"/>
    <col min="263" max="263" width="88.7109375" style="1" customWidth="1"/>
    <col min="264" max="513" width="11.42578125" style="1"/>
    <col min="514" max="514" width="2.7109375" style="1" customWidth="1"/>
    <col min="515" max="515" width="176.7109375" style="1" customWidth="1"/>
    <col min="516" max="516" width="11.42578125" style="1"/>
    <col min="517" max="517" width="176.7109375" style="1" customWidth="1"/>
    <col min="518" max="518" width="11.42578125" style="1"/>
    <col min="519" max="519" width="88.7109375" style="1" customWidth="1"/>
    <col min="520" max="769" width="11.42578125" style="1"/>
    <col min="770" max="770" width="2.7109375" style="1" customWidth="1"/>
    <col min="771" max="771" width="176.7109375" style="1" customWidth="1"/>
    <col min="772" max="772" width="11.42578125" style="1"/>
    <col min="773" max="773" width="176.7109375" style="1" customWidth="1"/>
    <col min="774" max="774" width="11.42578125" style="1"/>
    <col min="775" max="775" width="88.7109375" style="1" customWidth="1"/>
    <col min="776" max="1025" width="11.42578125" style="1"/>
    <col min="1026" max="1026" width="2.7109375" style="1" customWidth="1"/>
    <col min="1027" max="1027" width="176.7109375" style="1" customWidth="1"/>
    <col min="1028" max="1028" width="11.42578125" style="1"/>
    <col min="1029" max="1029" width="176.7109375" style="1" customWidth="1"/>
    <col min="1030" max="1030" width="11.42578125" style="1"/>
    <col min="1031" max="1031" width="88.7109375" style="1" customWidth="1"/>
    <col min="1032" max="1281" width="11.42578125" style="1"/>
    <col min="1282" max="1282" width="2.7109375" style="1" customWidth="1"/>
    <col min="1283" max="1283" width="176.7109375" style="1" customWidth="1"/>
    <col min="1284" max="1284" width="11.42578125" style="1"/>
    <col min="1285" max="1285" width="176.7109375" style="1" customWidth="1"/>
    <col min="1286" max="1286" width="11.42578125" style="1"/>
    <col min="1287" max="1287" width="88.7109375" style="1" customWidth="1"/>
    <col min="1288" max="1537" width="11.42578125" style="1"/>
    <col min="1538" max="1538" width="2.7109375" style="1" customWidth="1"/>
    <col min="1539" max="1539" width="176.7109375" style="1" customWidth="1"/>
    <col min="1540" max="1540" width="11.42578125" style="1"/>
    <col min="1541" max="1541" width="176.7109375" style="1" customWidth="1"/>
    <col min="1542" max="1542" width="11.42578125" style="1"/>
    <col min="1543" max="1543" width="88.7109375" style="1" customWidth="1"/>
    <col min="1544" max="1793" width="11.42578125" style="1"/>
    <col min="1794" max="1794" width="2.7109375" style="1" customWidth="1"/>
    <col min="1795" max="1795" width="176.7109375" style="1" customWidth="1"/>
    <col min="1796" max="1796" width="11.42578125" style="1"/>
    <col min="1797" max="1797" width="176.7109375" style="1" customWidth="1"/>
    <col min="1798" max="1798" width="11.42578125" style="1"/>
    <col min="1799" max="1799" width="88.7109375" style="1" customWidth="1"/>
    <col min="1800" max="2049" width="11.42578125" style="1"/>
    <col min="2050" max="2050" width="2.7109375" style="1" customWidth="1"/>
    <col min="2051" max="2051" width="176.7109375" style="1" customWidth="1"/>
    <col min="2052" max="2052" width="11.42578125" style="1"/>
    <col min="2053" max="2053" width="176.7109375" style="1" customWidth="1"/>
    <col min="2054" max="2054" width="11.42578125" style="1"/>
    <col min="2055" max="2055" width="88.7109375" style="1" customWidth="1"/>
    <col min="2056" max="2305" width="11.42578125" style="1"/>
    <col min="2306" max="2306" width="2.7109375" style="1" customWidth="1"/>
    <col min="2307" max="2307" width="176.7109375" style="1" customWidth="1"/>
    <col min="2308" max="2308" width="11.42578125" style="1"/>
    <col min="2309" max="2309" width="176.7109375" style="1" customWidth="1"/>
    <col min="2310" max="2310" width="11.42578125" style="1"/>
    <col min="2311" max="2311" width="88.7109375" style="1" customWidth="1"/>
    <col min="2312" max="2561" width="11.42578125" style="1"/>
    <col min="2562" max="2562" width="2.7109375" style="1" customWidth="1"/>
    <col min="2563" max="2563" width="176.7109375" style="1" customWidth="1"/>
    <col min="2564" max="2564" width="11.42578125" style="1"/>
    <col min="2565" max="2565" width="176.7109375" style="1" customWidth="1"/>
    <col min="2566" max="2566" width="11.42578125" style="1"/>
    <col min="2567" max="2567" width="88.7109375" style="1" customWidth="1"/>
    <col min="2568" max="2817" width="11.42578125" style="1"/>
    <col min="2818" max="2818" width="2.7109375" style="1" customWidth="1"/>
    <col min="2819" max="2819" width="176.7109375" style="1" customWidth="1"/>
    <col min="2820" max="2820" width="11.42578125" style="1"/>
    <col min="2821" max="2821" width="176.7109375" style="1" customWidth="1"/>
    <col min="2822" max="2822" width="11.42578125" style="1"/>
    <col min="2823" max="2823" width="88.7109375" style="1" customWidth="1"/>
    <col min="2824" max="3073" width="11.42578125" style="1"/>
    <col min="3074" max="3074" width="2.7109375" style="1" customWidth="1"/>
    <col min="3075" max="3075" width="176.7109375" style="1" customWidth="1"/>
    <col min="3076" max="3076" width="11.42578125" style="1"/>
    <col min="3077" max="3077" width="176.7109375" style="1" customWidth="1"/>
    <col min="3078" max="3078" width="11.42578125" style="1"/>
    <col min="3079" max="3079" width="88.7109375" style="1" customWidth="1"/>
    <col min="3080" max="3329" width="11.42578125" style="1"/>
    <col min="3330" max="3330" width="2.7109375" style="1" customWidth="1"/>
    <col min="3331" max="3331" width="176.7109375" style="1" customWidth="1"/>
    <col min="3332" max="3332" width="11.42578125" style="1"/>
    <col min="3333" max="3333" width="176.7109375" style="1" customWidth="1"/>
    <col min="3334" max="3334" width="11.42578125" style="1"/>
    <col min="3335" max="3335" width="88.7109375" style="1" customWidth="1"/>
    <col min="3336" max="3585" width="11.42578125" style="1"/>
    <col min="3586" max="3586" width="2.7109375" style="1" customWidth="1"/>
    <col min="3587" max="3587" width="176.7109375" style="1" customWidth="1"/>
    <col min="3588" max="3588" width="11.42578125" style="1"/>
    <col min="3589" max="3589" width="176.7109375" style="1" customWidth="1"/>
    <col min="3590" max="3590" width="11.42578125" style="1"/>
    <col min="3591" max="3591" width="88.7109375" style="1" customWidth="1"/>
    <col min="3592" max="3841" width="11.42578125" style="1"/>
    <col min="3842" max="3842" width="2.7109375" style="1" customWidth="1"/>
    <col min="3843" max="3843" width="176.7109375" style="1" customWidth="1"/>
    <col min="3844" max="3844" width="11.42578125" style="1"/>
    <col min="3845" max="3845" width="176.7109375" style="1" customWidth="1"/>
    <col min="3846" max="3846" width="11.42578125" style="1"/>
    <col min="3847" max="3847" width="88.7109375" style="1" customWidth="1"/>
    <col min="3848" max="4097" width="11.42578125" style="1"/>
    <col min="4098" max="4098" width="2.7109375" style="1" customWidth="1"/>
    <col min="4099" max="4099" width="176.7109375" style="1" customWidth="1"/>
    <col min="4100" max="4100" width="11.42578125" style="1"/>
    <col min="4101" max="4101" width="176.7109375" style="1" customWidth="1"/>
    <col min="4102" max="4102" width="11.42578125" style="1"/>
    <col min="4103" max="4103" width="88.7109375" style="1" customWidth="1"/>
    <col min="4104" max="4353" width="11.42578125" style="1"/>
    <col min="4354" max="4354" width="2.7109375" style="1" customWidth="1"/>
    <col min="4355" max="4355" width="176.7109375" style="1" customWidth="1"/>
    <col min="4356" max="4356" width="11.42578125" style="1"/>
    <col min="4357" max="4357" width="176.7109375" style="1" customWidth="1"/>
    <col min="4358" max="4358" width="11.42578125" style="1"/>
    <col min="4359" max="4359" width="88.7109375" style="1" customWidth="1"/>
    <col min="4360" max="4609" width="11.42578125" style="1"/>
    <col min="4610" max="4610" width="2.7109375" style="1" customWidth="1"/>
    <col min="4611" max="4611" width="176.7109375" style="1" customWidth="1"/>
    <col min="4612" max="4612" width="11.42578125" style="1"/>
    <col min="4613" max="4613" width="176.7109375" style="1" customWidth="1"/>
    <col min="4614" max="4614" width="11.42578125" style="1"/>
    <col min="4615" max="4615" width="88.7109375" style="1" customWidth="1"/>
    <col min="4616" max="4865" width="11.42578125" style="1"/>
    <col min="4866" max="4866" width="2.7109375" style="1" customWidth="1"/>
    <col min="4867" max="4867" width="176.7109375" style="1" customWidth="1"/>
    <col min="4868" max="4868" width="11.42578125" style="1"/>
    <col min="4869" max="4869" width="176.7109375" style="1" customWidth="1"/>
    <col min="4870" max="4870" width="11.42578125" style="1"/>
    <col min="4871" max="4871" width="88.7109375" style="1" customWidth="1"/>
    <col min="4872" max="5121" width="11.42578125" style="1"/>
    <col min="5122" max="5122" width="2.7109375" style="1" customWidth="1"/>
    <col min="5123" max="5123" width="176.7109375" style="1" customWidth="1"/>
    <col min="5124" max="5124" width="11.42578125" style="1"/>
    <col min="5125" max="5125" width="176.7109375" style="1" customWidth="1"/>
    <col min="5126" max="5126" width="11.42578125" style="1"/>
    <col min="5127" max="5127" width="88.7109375" style="1" customWidth="1"/>
    <col min="5128" max="5377" width="11.42578125" style="1"/>
    <col min="5378" max="5378" width="2.7109375" style="1" customWidth="1"/>
    <col min="5379" max="5379" width="176.7109375" style="1" customWidth="1"/>
    <col min="5380" max="5380" width="11.42578125" style="1"/>
    <col min="5381" max="5381" width="176.7109375" style="1" customWidth="1"/>
    <col min="5382" max="5382" width="11.42578125" style="1"/>
    <col min="5383" max="5383" width="88.7109375" style="1" customWidth="1"/>
    <col min="5384" max="5633" width="11.42578125" style="1"/>
    <col min="5634" max="5634" width="2.7109375" style="1" customWidth="1"/>
    <col min="5635" max="5635" width="176.7109375" style="1" customWidth="1"/>
    <col min="5636" max="5636" width="11.42578125" style="1"/>
    <col min="5637" max="5637" width="176.7109375" style="1" customWidth="1"/>
    <col min="5638" max="5638" width="11.42578125" style="1"/>
    <col min="5639" max="5639" width="88.7109375" style="1" customWidth="1"/>
    <col min="5640" max="5889" width="11.42578125" style="1"/>
    <col min="5890" max="5890" width="2.7109375" style="1" customWidth="1"/>
    <col min="5891" max="5891" width="176.7109375" style="1" customWidth="1"/>
    <col min="5892" max="5892" width="11.42578125" style="1"/>
    <col min="5893" max="5893" width="176.7109375" style="1" customWidth="1"/>
    <col min="5894" max="5894" width="11.42578125" style="1"/>
    <col min="5895" max="5895" width="88.7109375" style="1" customWidth="1"/>
    <col min="5896" max="6145" width="11.42578125" style="1"/>
    <col min="6146" max="6146" width="2.7109375" style="1" customWidth="1"/>
    <col min="6147" max="6147" width="176.7109375" style="1" customWidth="1"/>
    <col min="6148" max="6148" width="11.42578125" style="1"/>
    <col min="6149" max="6149" width="176.7109375" style="1" customWidth="1"/>
    <col min="6150" max="6150" width="11.42578125" style="1"/>
    <col min="6151" max="6151" width="88.7109375" style="1" customWidth="1"/>
    <col min="6152" max="6401" width="11.42578125" style="1"/>
    <col min="6402" max="6402" width="2.7109375" style="1" customWidth="1"/>
    <col min="6403" max="6403" width="176.7109375" style="1" customWidth="1"/>
    <col min="6404" max="6404" width="11.42578125" style="1"/>
    <col min="6405" max="6405" width="176.7109375" style="1" customWidth="1"/>
    <col min="6406" max="6406" width="11.42578125" style="1"/>
    <col min="6407" max="6407" width="88.7109375" style="1" customWidth="1"/>
    <col min="6408" max="6657" width="11.42578125" style="1"/>
    <col min="6658" max="6658" width="2.7109375" style="1" customWidth="1"/>
    <col min="6659" max="6659" width="176.7109375" style="1" customWidth="1"/>
    <col min="6660" max="6660" width="11.42578125" style="1"/>
    <col min="6661" max="6661" width="176.7109375" style="1" customWidth="1"/>
    <col min="6662" max="6662" width="11.42578125" style="1"/>
    <col min="6663" max="6663" width="88.7109375" style="1" customWidth="1"/>
    <col min="6664" max="6913" width="11.42578125" style="1"/>
    <col min="6914" max="6914" width="2.7109375" style="1" customWidth="1"/>
    <col min="6915" max="6915" width="176.7109375" style="1" customWidth="1"/>
    <col min="6916" max="6916" width="11.42578125" style="1"/>
    <col min="6917" max="6917" width="176.7109375" style="1" customWidth="1"/>
    <col min="6918" max="6918" width="11.42578125" style="1"/>
    <col min="6919" max="6919" width="88.7109375" style="1" customWidth="1"/>
    <col min="6920" max="7169" width="11.42578125" style="1"/>
    <col min="7170" max="7170" width="2.7109375" style="1" customWidth="1"/>
    <col min="7171" max="7171" width="176.7109375" style="1" customWidth="1"/>
    <col min="7172" max="7172" width="11.42578125" style="1"/>
    <col min="7173" max="7173" width="176.7109375" style="1" customWidth="1"/>
    <col min="7174" max="7174" width="11.42578125" style="1"/>
    <col min="7175" max="7175" width="88.7109375" style="1" customWidth="1"/>
    <col min="7176" max="7425" width="11.42578125" style="1"/>
    <col min="7426" max="7426" width="2.7109375" style="1" customWidth="1"/>
    <col min="7427" max="7427" width="176.7109375" style="1" customWidth="1"/>
    <col min="7428" max="7428" width="11.42578125" style="1"/>
    <col min="7429" max="7429" width="176.7109375" style="1" customWidth="1"/>
    <col min="7430" max="7430" width="11.42578125" style="1"/>
    <col min="7431" max="7431" width="88.7109375" style="1" customWidth="1"/>
    <col min="7432" max="7681" width="11.42578125" style="1"/>
    <col min="7682" max="7682" width="2.7109375" style="1" customWidth="1"/>
    <col min="7683" max="7683" width="176.7109375" style="1" customWidth="1"/>
    <col min="7684" max="7684" width="11.42578125" style="1"/>
    <col min="7685" max="7685" width="176.7109375" style="1" customWidth="1"/>
    <col min="7686" max="7686" width="11.42578125" style="1"/>
    <col min="7687" max="7687" width="88.7109375" style="1" customWidth="1"/>
    <col min="7688" max="7937" width="11.42578125" style="1"/>
    <col min="7938" max="7938" width="2.7109375" style="1" customWidth="1"/>
    <col min="7939" max="7939" width="176.7109375" style="1" customWidth="1"/>
    <col min="7940" max="7940" width="11.42578125" style="1"/>
    <col min="7941" max="7941" width="176.7109375" style="1" customWidth="1"/>
    <col min="7942" max="7942" width="11.42578125" style="1"/>
    <col min="7943" max="7943" width="88.7109375" style="1" customWidth="1"/>
    <col min="7944" max="8193" width="11.42578125" style="1"/>
    <col min="8194" max="8194" width="2.7109375" style="1" customWidth="1"/>
    <col min="8195" max="8195" width="176.7109375" style="1" customWidth="1"/>
    <col min="8196" max="8196" width="11.42578125" style="1"/>
    <col min="8197" max="8197" width="176.7109375" style="1" customWidth="1"/>
    <col min="8198" max="8198" width="11.42578125" style="1"/>
    <col min="8199" max="8199" width="88.7109375" style="1" customWidth="1"/>
    <col min="8200" max="8449" width="11.42578125" style="1"/>
    <col min="8450" max="8450" width="2.7109375" style="1" customWidth="1"/>
    <col min="8451" max="8451" width="176.7109375" style="1" customWidth="1"/>
    <col min="8452" max="8452" width="11.42578125" style="1"/>
    <col min="8453" max="8453" width="176.7109375" style="1" customWidth="1"/>
    <col min="8454" max="8454" width="11.42578125" style="1"/>
    <col min="8455" max="8455" width="88.7109375" style="1" customWidth="1"/>
    <col min="8456" max="8705" width="11.42578125" style="1"/>
    <col min="8706" max="8706" width="2.7109375" style="1" customWidth="1"/>
    <col min="8707" max="8707" width="176.7109375" style="1" customWidth="1"/>
    <col min="8708" max="8708" width="11.42578125" style="1"/>
    <col min="8709" max="8709" width="176.7109375" style="1" customWidth="1"/>
    <col min="8710" max="8710" width="11.42578125" style="1"/>
    <col min="8711" max="8711" width="88.7109375" style="1" customWidth="1"/>
    <col min="8712" max="8961" width="11.42578125" style="1"/>
    <col min="8962" max="8962" width="2.7109375" style="1" customWidth="1"/>
    <col min="8963" max="8963" width="176.7109375" style="1" customWidth="1"/>
    <col min="8964" max="8964" width="11.42578125" style="1"/>
    <col min="8965" max="8965" width="176.7109375" style="1" customWidth="1"/>
    <col min="8966" max="8966" width="11.42578125" style="1"/>
    <col min="8967" max="8967" width="88.7109375" style="1" customWidth="1"/>
    <col min="8968" max="9217" width="11.42578125" style="1"/>
    <col min="9218" max="9218" width="2.7109375" style="1" customWidth="1"/>
    <col min="9219" max="9219" width="176.7109375" style="1" customWidth="1"/>
    <col min="9220" max="9220" width="11.42578125" style="1"/>
    <col min="9221" max="9221" width="176.7109375" style="1" customWidth="1"/>
    <col min="9222" max="9222" width="11.42578125" style="1"/>
    <col min="9223" max="9223" width="88.7109375" style="1" customWidth="1"/>
    <col min="9224" max="9473" width="11.42578125" style="1"/>
    <col min="9474" max="9474" width="2.7109375" style="1" customWidth="1"/>
    <col min="9475" max="9475" width="176.7109375" style="1" customWidth="1"/>
    <col min="9476" max="9476" width="11.42578125" style="1"/>
    <col min="9477" max="9477" width="176.7109375" style="1" customWidth="1"/>
    <col min="9478" max="9478" width="11.42578125" style="1"/>
    <col min="9479" max="9479" width="88.7109375" style="1" customWidth="1"/>
    <col min="9480" max="9729" width="11.42578125" style="1"/>
    <col min="9730" max="9730" width="2.7109375" style="1" customWidth="1"/>
    <col min="9731" max="9731" width="176.7109375" style="1" customWidth="1"/>
    <col min="9732" max="9732" width="11.42578125" style="1"/>
    <col min="9733" max="9733" width="176.7109375" style="1" customWidth="1"/>
    <col min="9734" max="9734" width="11.42578125" style="1"/>
    <col min="9735" max="9735" width="88.7109375" style="1" customWidth="1"/>
    <col min="9736" max="9985" width="11.42578125" style="1"/>
    <col min="9986" max="9986" width="2.7109375" style="1" customWidth="1"/>
    <col min="9987" max="9987" width="176.7109375" style="1" customWidth="1"/>
    <col min="9988" max="9988" width="11.42578125" style="1"/>
    <col min="9989" max="9989" width="176.7109375" style="1" customWidth="1"/>
    <col min="9990" max="9990" width="11.42578125" style="1"/>
    <col min="9991" max="9991" width="88.7109375" style="1" customWidth="1"/>
    <col min="9992" max="10241" width="11.42578125" style="1"/>
    <col min="10242" max="10242" width="2.7109375" style="1" customWidth="1"/>
    <col min="10243" max="10243" width="176.7109375" style="1" customWidth="1"/>
    <col min="10244" max="10244" width="11.42578125" style="1"/>
    <col min="10245" max="10245" width="176.7109375" style="1" customWidth="1"/>
    <col min="10246" max="10246" width="11.42578125" style="1"/>
    <col min="10247" max="10247" width="88.7109375" style="1" customWidth="1"/>
    <col min="10248" max="10497" width="11.42578125" style="1"/>
    <col min="10498" max="10498" width="2.7109375" style="1" customWidth="1"/>
    <col min="10499" max="10499" width="176.7109375" style="1" customWidth="1"/>
    <col min="10500" max="10500" width="11.42578125" style="1"/>
    <col min="10501" max="10501" width="176.7109375" style="1" customWidth="1"/>
    <col min="10502" max="10502" width="11.42578125" style="1"/>
    <col min="10503" max="10503" width="88.7109375" style="1" customWidth="1"/>
    <col min="10504" max="10753" width="11.42578125" style="1"/>
    <col min="10754" max="10754" width="2.7109375" style="1" customWidth="1"/>
    <col min="10755" max="10755" width="176.7109375" style="1" customWidth="1"/>
    <col min="10756" max="10756" width="11.42578125" style="1"/>
    <col min="10757" max="10757" width="176.7109375" style="1" customWidth="1"/>
    <col min="10758" max="10758" width="11.42578125" style="1"/>
    <col min="10759" max="10759" width="88.7109375" style="1" customWidth="1"/>
    <col min="10760" max="11009" width="11.42578125" style="1"/>
    <col min="11010" max="11010" width="2.7109375" style="1" customWidth="1"/>
    <col min="11011" max="11011" width="176.7109375" style="1" customWidth="1"/>
    <col min="11012" max="11012" width="11.42578125" style="1"/>
    <col min="11013" max="11013" width="176.7109375" style="1" customWidth="1"/>
    <col min="11014" max="11014" width="11.42578125" style="1"/>
    <col min="11015" max="11015" width="88.7109375" style="1" customWidth="1"/>
    <col min="11016" max="11265" width="11.42578125" style="1"/>
    <col min="11266" max="11266" width="2.7109375" style="1" customWidth="1"/>
    <col min="11267" max="11267" width="176.7109375" style="1" customWidth="1"/>
    <col min="11268" max="11268" width="11.42578125" style="1"/>
    <col min="11269" max="11269" width="176.7109375" style="1" customWidth="1"/>
    <col min="11270" max="11270" width="11.42578125" style="1"/>
    <col min="11271" max="11271" width="88.7109375" style="1" customWidth="1"/>
    <col min="11272" max="11521" width="11.42578125" style="1"/>
    <col min="11522" max="11522" width="2.7109375" style="1" customWidth="1"/>
    <col min="11523" max="11523" width="176.7109375" style="1" customWidth="1"/>
    <col min="11524" max="11524" width="11.42578125" style="1"/>
    <col min="11525" max="11525" width="176.7109375" style="1" customWidth="1"/>
    <col min="11526" max="11526" width="11.42578125" style="1"/>
    <col min="11527" max="11527" width="88.7109375" style="1" customWidth="1"/>
    <col min="11528" max="11777" width="11.42578125" style="1"/>
    <col min="11778" max="11778" width="2.7109375" style="1" customWidth="1"/>
    <col min="11779" max="11779" width="176.7109375" style="1" customWidth="1"/>
    <col min="11780" max="11780" width="11.42578125" style="1"/>
    <col min="11781" max="11781" width="176.7109375" style="1" customWidth="1"/>
    <col min="11782" max="11782" width="11.42578125" style="1"/>
    <col min="11783" max="11783" width="88.7109375" style="1" customWidth="1"/>
    <col min="11784" max="12033" width="11.42578125" style="1"/>
    <col min="12034" max="12034" width="2.7109375" style="1" customWidth="1"/>
    <col min="12035" max="12035" width="176.7109375" style="1" customWidth="1"/>
    <col min="12036" max="12036" width="11.42578125" style="1"/>
    <col min="12037" max="12037" width="176.7109375" style="1" customWidth="1"/>
    <col min="12038" max="12038" width="11.42578125" style="1"/>
    <col min="12039" max="12039" width="88.7109375" style="1" customWidth="1"/>
    <col min="12040" max="12289" width="11.42578125" style="1"/>
    <col min="12290" max="12290" width="2.7109375" style="1" customWidth="1"/>
    <col min="12291" max="12291" width="176.7109375" style="1" customWidth="1"/>
    <col min="12292" max="12292" width="11.42578125" style="1"/>
    <col min="12293" max="12293" width="176.7109375" style="1" customWidth="1"/>
    <col min="12294" max="12294" width="11.42578125" style="1"/>
    <col min="12295" max="12295" width="88.7109375" style="1" customWidth="1"/>
    <col min="12296" max="12545" width="11.42578125" style="1"/>
    <col min="12546" max="12546" width="2.7109375" style="1" customWidth="1"/>
    <col min="12547" max="12547" width="176.7109375" style="1" customWidth="1"/>
    <col min="12548" max="12548" width="11.42578125" style="1"/>
    <col min="12549" max="12549" width="176.7109375" style="1" customWidth="1"/>
    <col min="12550" max="12550" width="11.42578125" style="1"/>
    <col min="12551" max="12551" width="88.7109375" style="1" customWidth="1"/>
    <col min="12552" max="12801" width="11.42578125" style="1"/>
    <col min="12802" max="12802" width="2.7109375" style="1" customWidth="1"/>
    <col min="12803" max="12803" width="176.7109375" style="1" customWidth="1"/>
    <col min="12804" max="12804" width="11.42578125" style="1"/>
    <col min="12805" max="12805" width="176.7109375" style="1" customWidth="1"/>
    <col min="12806" max="12806" width="11.42578125" style="1"/>
    <col min="12807" max="12807" width="88.7109375" style="1" customWidth="1"/>
    <col min="12808" max="13057" width="11.42578125" style="1"/>
    <col min="13058" max="13058" width="2.7109375" style="1" customWidth="1"/>
    <col min="13059" max="13059" width="176.7109375" style="1" customWidth="1"/>
    <col min="13060" max="13060" width="11.42578125" style="1"/>
    <col min="13061" max="13061" width="176.7109375" style="1" customWidth="1"/>
    <col min="13062" max="13062" width="11.42578125" style="1"/>
    <col min="13063" max="13063" width="88.7109375" style="1" customWidth="1"/>
    <col min="13064" max="13313" width="11.42578125" style="1"/>
    <col min="13314" max="13314" width="2.7109375" style="1" customWidth="1"/>
    <col min="13315" max="13315" width="176.7109375" style="1" customWidth="1"/>
    <col min="13316" max="13316" width="11.42578125" style="1"/>
    <col min="13317" max="13317" width="176.7109375" style="1" customWidth="1"/>
    <col min="13318" max="13318" width="11.42578125" style="1"/>
    <col min="13319" max="13319" width="88.7109375" style="1" customWidth="1"/>
    <col min="13320" max="13569" width="11.42578125" style="1"/>
    <col min="13570" max="13570" width="2.7109375" style="1" customWidth="1"/>
    <col min="13571" max="13571" width="176.7109375" style="1" customWidth="1"/>
    <col min="13572" max="13572" width="11.42578125" style="1"/>
    <col min="13573" max="13573" width="176.7109375" style="1" customWidth="1"/>
    <col min="13574" max="13574" width="11.42578125" style="1"/>
    <col min="13575" max="13575" width="88.7109375" style="1" customWidth="1"/>
    <col min="13576" max="13825" width="11.42578125" style="1"/>
    <col min="13826" max="13826" width="2.7109375" style="1" customWidth="1"/>
    <col min="13827" max="13827" width="176.7109375" style="1" customWidth="1"/>
    <col min="13828" max="13828" width="11.42578125" style="1"/>
    <col min="13829" max="13829" width="176.7109375" style="1" customWidth="1"/>
    <col min="13830" max="13830" width="11.42578125" style="1"/>
    <col min="13831" max="13831" width="88.7109375" style="1" customWidth="1"/>
    <col min="13832" max="14081" width="11.42578125" style="1"/>
    <col min="14082" max="14082" width="2.7109375" style="1" customWidth="1"/>
    <col min="14083" max="14083" width="176.7109375" style="1" customWidth="1"/>
    <col min="14084" max="14084" width="11.42578125" style="1"/>
    <col min="14085" max="14085" width="176.7109375" style="1" customWidth="1"/>
    <col min="14086" max="14086" width="11.42578125" style="1"/>
    <col min="14087" max="14087" width="88.7109375" style="1" customWidth="1"/>
    <col min="14088" max="14337" width="11.42578125" style="1"/>
    <col min="14338" max="14338" width="2.7109375" style="1" customWidth="1"/>
    <col min="14339" max="14339" width="176.7109375" style="1" customWidth="1"/>
    <col min="14340" max="14340" width="11.42578125" style="1"/>
    <col min="14341" max="14341" width="176.7109375" style="1" customWidth="1"/>
    <col min="14342" max="14342" width="11.42578125" style="1"/>
    <col min="14343" max="14343" width="88.7109375" style="1" customWidth="1"/>
    <col min="14344" max="14593" width="11.42578125" style="1"/>
    <col min="14594" max="14594" width="2.7109375" style="1" customWidth="1"/>
    <col min="14595" max="14595" width="176.7109375" style="1" customWidth="1"/>
    <col min="14596" max="14596" width="11.42578125" style="1"/>
    <col min="14597" max="14597" width="176.7109375" style="1" customWidth="1"/>
    <col min="14598" max="14598" width="11.42578125" style="1"/>
    <col min="14599" max="14599" width="88.7109375" style="1" customWidth="1"/>
    <col min="14600" max="14849" width="11.42578125" style="1"/>
    <col min="14850" max="14850" width="2.7109375" style="1" customWidth="1"/>
    <col min="14851" max="14851" width="176.7109375" style="1" customWidth="1"/>
    <col min="14852" max="14852" width="11.42578125" style="1"/>
    <col min="14853" max="14853" width="176.7109375" style="1" customWidth="1"/>
    <col min="14854" max="14854" width="11.42578125" style="1"/>
    <col min="14855" max="14855" width="88.7109375" style="1" customWidth="1"/>
    <col min="14856" max="15105" width="11.42578125" style="1"/>
    <col min="15106" max="15106" width="2.7109375" style="1" customWidth="1"/>
    <col min="15107" max="15107" width="176.7109375" style="1" customWidth="1"/>
    <col min="15108" max="15108" width="11.42578125" style="1"/>
    <col min="15109" max="15109" width="176.7109375" style="1" customWidth="1"/>
    <col min="15110" max="15110" width="11.42578125" style="1"/>
    <col min="15111" max="15111" width="88.7109375" style="1" customWidth="1"/>
    <col min="15112" max="15361" width="11.42578125" style="1"/>
    <col min="15362" max="15362" width="2.7109375" style="1" customWidth="1"/>
    <col min="15363" max="15363" width="176.7109375" style="1" customWidth="1"/>
    <col min="15364" max="15364" width="11.42578125" style="1"/>
    <col min="15365" max="15365" width="176.7109375" style="1" customWidth="1"/>
    <col min="15366" max="15366" width="11.42578125" style="1"/>
    <col min="15367" max="15367" width="88.7109375" style="1" customWidth="1"/>
    <col min="15368" max="15617" width="11.42578125" style="1"/>
    <col min="15618" max="15618" width="2.7109375" style="1" customWidth="1"/>
    <col min="15619" max="15619" width="176.7109375" style="1" customWidth="1"/>
    <col min="15620" max="15620" width="11.42578125" style="1"/>
    <col min="15621" max="15621" width="176.7109375" style="1" customWidth="1"/>
    <col min="15622" max="15622" width="11.42578125" style="1"/>
    <col min="15623" max="15623" width="88.7109375" style="1" customWidth="1"/>
    <col min="15624" max="15873" width="11.42578125" style="1"/>
    <col min="15874" max="15874" width="2.7109375" style="1" customWidth="1"/>
    <col min="15875" max="15875" width="176.7109375" style="1" customWidth="1"/>
    <col min="15876" max="15876" width="11.42578125" style="1"/>
    <col min="15877" max="15877" width="176.7109375" style="1" customWidth="1"/>
    <col min="15878" max="15878" width="11.42578125" style="1"/>
    <col min="15879" max="15879" width="88.7109375" style="1" customWidth="1"/>
    <col min="15880" max="16129" width="11.42578125" style="1"/>
    <col min="16130" max="16130" width="2.7109375" style="1" customWidth="1"/>
    <col min="16131" max="16131" width="176.7109375" style="1" customWidth="1"/>
    <col min="16132" max="16132" width="11.42578125" style="1"/>
    <col min="16133" max="16133" width="176.7109375" style="1" customWidth="1"/>
    <col min="16134" max="16134" width="11.42578125" style="1"/>
    <col min="16135" max="16135" width="88.7109375" style="1" customWidth="1"/>
    <col min="16136" max="16384" width="11.42578125" style="1"/>
  </cols>
  <sheetData>
    <row r="2" spans="1:17" x14ac:dyDescent="0.2">
      <c r="C2" s="332"/>
      <c r="D2" s="332"/>
      <c r="E2" s="332"/>
    </row>
    <row r="3" spans="1:17" x14ac:dyDescent="0.2">
      <c r="A3" s="43" t="s">
        <v>51</v>
      </c>
    </row>
    <row r="4" spans="1:17" x14ac:dyDescent="0.2">
      <c r="C4" s="332"/>
      <c r="D4" s="332"/>
      <c r="E4" s="332"/>
      <c r="F4" s="332"/>
      <c r="G4" s="332"/>
      <c r="H4" s="332"/>
      <c r="I4" s="332"/>
      <c r="J4" s="332"/>
      <c r="K4" s="332"/>
    </row>
    <row r="6" spans="1:17" ht="15.75" x14ac:dyDescent="0.25">
      <c r="C6" s="339" t="s">
        <v>16</v>
      </c>
      <c r="D6" s="3"/>
      <c r="E6" s="339"/>
    </row>
    <row r="7" spans="1:17" ht="18.75" customHeight="1" x14ac:dyDescent="0.2">
      <c r="C7" s="3"/>
      <c r="D7" s="3"/>
      <c r="E7" s="50"/>
    </row>
    <row r="8" spans="1:17" ht="15.75" x14ac:dyDescent="0.25">
      <c r="B8" s="333">
        <v>1</v>
      </c>
      <c r="C8" s="334" t="s">
        <v>347</v>
      </c>
      <c r="E8" s="343"/>
    </row>
    <row r="9" spans="1:17" ht="31.5" x14ac:dyDescent="0.2">
      <c r="B9" s="333">
        <v>2</v>
      </c>
      <c r="C9" s="336" t="s">
        <v>273</v>
      </c>
      <c r="E9" s="8"/>
      <c r="Q9" s="3"/>
    </row>
    <row r="10" spans="1:17" ht="47.25" x14ac:dyDescent="0.2">
      <c r="B10" s="333">
        <v>3</v>
      </c>
      <c r="C10" s="334" t="s">
        <v>274</v>
      </c>
      <c r="E10" s="8"/>
    </row>
    <row r="11" spans="1:17" ht="47.25" x14ac:dyDescent="0.2">
      <c r="B11" s="333">
        <v>4</v>
      </c>
      <c r="C11" s="336" t="s">
        <v>275</v>
      </c>
      <c r="E11" s="8"/>
    </row>
    <row r="12" spans="1:17" ht="31.5" x14ac:dyDescent="0.2">
      <c r="B12" s="333">
        <v>5</v>
      </c>
      <c r="C12" s="334" t="s">
        <v>21</v>
      </c>
      <c r="E12" s="3"/>
    </row>
    <row r="13" spans="1:17" ht="15.75" x14ac:dyDescent="0.2">
      <c r="B13" s="333">
        <v>6</v>
      </c>
      <c r="C13" s="334" t="s">
        <v>348</v>
      </c>
      <c r="E13" s="3"/>
    </row>
    <row r="14" spans="1:17" ht="15.75" x14ac:dyDescent="0.2">
      <c r="B14" s="333">
        <v>7</v>
      </c>
      <c r="C14" s="334" t="s">
        <v>17</v>
      </c>
    </row>
    <row r="15" spans="1:17" ht="18.75" customHeight="1" x14ac:dyDescent="0.2">
      <c r="B15" s="333">
        <v>8</v>
      </c>
      <c r="C15" s="334" t="s">
        <v>18</v>
      </c>
    </row>
    <row r="16" spans="1:17" ht="18.75" customHeight="1" x14ac:dyDescent="0.2">
      <c r="B16" s="333">
        <v>9</v>
      </c>
      <c r="C16" s="334" t="s">
        <v>22</v>
      </c>
    </row>
    <row r="17" spans="2:9" ht="63" x14ac:dyDescent="0.25">
      <c r="B17" s="333">
        <v>10</v>
      </c>
      <c r="C17" s="334" t="s">
        <v>357</v>
      </c>
      <c r="E17" s="339"/>
    </row>
    <row r="18" spans="2:9" ht="15.75" x14ac:dyDescent="0.2">
      <c r="B18" s="333">
        <v>11</v>
      </c>
      <c r="C18" s="334" t="s">
        <v>19</v>
      </c>
      <c r="E18" s="8"/>
    </row>
    <row r="19" spans="2:9" ht="15.75" x14ac:dyDescent="0.2">
      <c r="B19" s="333">
        <v>12</v>
      </c>
      <c r="C19" s="334" t="s">
        <v>277</v>
      </c>
      <c r="E19" s="8"/>
    </row>
    <row r="20" spans="2:9" ht="15.75" x14ac:dyDescent="0.2">
      <c r="B20" s="333">
        <v>13</v>
      </c>
      <c r="C20" s="334" t="s">
        <v>20</v>
      </c>
      <c r="E20" s="3"/>
    </row>
    <row r="21" spans="2:9" ht="47.25" x14ac:dyDescent="0.2">
      <c r="B21" s="333">
        <v>14</v>
      </c>
      <c r="C21" s="334" t="s">
        <v>278</v>
      </c>
      <c r="E21" s="344"/>
    </row>
    <row r="22" spans="2:9" ht="31.5" x14ac:dyDescent="0.2">
      <c r="B22" s="333">
        <v>15</v>
      </c>
      <c r="C22" s="336" t="s">
        <v>336</v>
      </c>
      <c r="E22" s="3"/>
    </row>
    <row r="23" spans="2:9" ht="15.75" x14ac:dyDescent="0.25">
      <c r="B23" s="333">
        <v>16</v>
      </c>
      <c r="C23" s="338" t="s">
        <v>276</v>
      </c>
      <c r="D23" s="337"/>
      <c r="E23" s="332"/>
      <c r="F23" s="337"/>
      <c r="G23" s="2"/>
      <c r="H23" s="2"/>
      <c r="I23" s="2"/>
    </row>
    <row r="24" spans="2:9" ht="18.75" customHeight="1" x14ac:dyDescent="0.25">
      <c r="B24" s="335">
        <v>17</v>
      </c>
      <c r="C24" s="338" t="s">
        <v>279</v>
      </c>
    </row>
    <row r="25" spans="2:9" ht="18.75" customHeight="1" x14ac:dyDescent="0.25">
      <c r="B25" s="335"/>
      <c r="C25" s="341"/>
    </row>
    <row r="26" spans="2:9" ht="18.75" customHeight="1" x14ac:dyDescent="0.25">
      <c r="B26" s="335"/>
      <c r="C26" s="355"/>
    </row>
    <row r="27" spans="2:9" ht="18.75" customHeight="1" x14ac:dyDescent="0.2">
      <c r="C27" s="341"/>
    </row>
    <row r="28" spans="2:9" ht="18.75" customHeight="1" x14ac:dyDescent="0.2">
      <c r="C28" s="341"/>
    </row>
    <row r="29" spans="2:9" ht="18.75" customHeight="1" x14ac:dyDescent="0.2">
      <c r="C29" s="341"/>
    </row>
    <row r="31" spans="2:9" ht="18.75" customHeight="1" x14ac:dyDescent="0.2"/>
    <row r="32" spans="2:9" ht="18.75" customHeight="1" x14ac:dyDescent="0.2"/>
    <row r="33" spans="1:14" ht="18.75" customHeight="1" x14ac:dyDescent="0.2"/>
    <row r="34" spans="1:14" ht="18.75" customHeight="1" x14ac:dyDescent="0.2"/>
    <row r="35" spans="1:14" ht="18.75" customHeight="1" x14ac:dyDescent="0.2"/>
    <row r="36" spans="1:14" ht="18.75" customHeight="1" x14ac:dyDescent="0.2"/>
    <row r="37" spans="1:14" ht="18.75" customHeight="1" x14ac:dyDescent="0.2">
      <c r="D37" s="3"/>
      <c r="E37" s="3"/>
      <c r="F37" s="3"/>
      <c r="G37" s="3"/>
      <c r="H37" s="3"/>
      <c r="I37" s="3"/>
      <c r="J37" s="3"/>
      <c r="K37" s="3"/>
      <c r="L37" s="3"/>
      <c r="M37" s="3"/>
      <c r="N37" s="3"/>
    </row>
    <row r="38" spans="1:14" ht="18.75" customHeight="1" x14ac:dyDescent="0.2">
      <c r="D38" s="3"/>
      <c r="E38" s="3"/>
      <c r="F38" s="3"/>
      <c r="G38" s="3"/>
      <c r="H38" s="3"/>
      <c r="I38" s="3"/>
      <c r="J38" s="3"/>
      <c r="K38" s="3"/>
      <c r="L38" s="3"/>
      <c r="M38" s="3"/>
      <c r="N38" s="3"/>
    </row>
    <row r="39" spans="1:14" ht="18.75" customHeight="1" x14ac:dyDescent="0.2">
      <c r="A39" s="4"/>
      <c r="D39" s="3"/>
      <c r="E39" s="3"/>
      <c r="F39" s="3"/>
      <c r="G39" s="3"/>
      <c r="H39" s="3"/>
      <c r="I39" s="3"/>
      <c r="J39" s="3"/>
      <c r="K39" s="3"/>
      <c r="L39" s="3"/>
      <c r="M39" s="3"/>
      <c r="N39" s="3"/>
    </row>
    <row r="40" spans="1:14" ht="18.75" customHeight="1" x14ac:dyDescent="0.2">
      <c r="A40" s="4"/>
      <c r="B40" s="8"/>
      <c r="D40" s="3"/>
      <c r="E40" s="3"/>
      <c r="F40" s="3"/>
      <c r="G40" s="3"/>
      <c r="H40" s="3"/>
      <c r="I40" s="3"/>
      <c r="J40" s="3"/>
      <c r="K40" s="3"/>
      <c r="L40" s="3"/>
      <c r="M40" s="3"/>
      <c r="N40" s="3"/>
    </row>
    <row r="41" spans="1:14" ht="18.75" customHeight="1" x14ac:dyDescent="0.2">
      <c r="A41" s="4"/>
      <c r="B41" s="8"/>
      <c r="D41" s="3"/>
      <c r="E41" s="3"/>
      <c r="F41" s="3"/>
      <c r="G41" s="3"/>
      <c r="H41" s="3"/>
      <c r="I41" s="3"/>
      <c r="J41" s="3"/>
      <c r="K41" s="3"/>
      <c r="L41" s="3"/>
      <c r="M41" s="3"/>
      <c r="N41" s="3"/>
    </row>
    <row r="42" spans="1:14" ht="18.75" customHeight="1" x14ac:dyDescent="0.2">
      <c r="A42" s="4"/>
      <c r="B42" s="8"/>
      <c r="C42" s="4"/>
      <c r="D42" s="3"/>
      <c r="E42" s="3"/>
      <c r="F42" s="3"/>
      <c r="G42" s="3"/>
      <c r="H42" s="3"/>
      <c r="I42" s="3"/>
      <c r="J42" s="3"/>
      <c r="K42" s="3"/>
      <c r="L42" s="3"/>
      <c r="M42" s="3"/>
      <c r="N42" s="3"/>
    </row>
    <row r="43" spans="1:14" ht="18.75" customHeight="1" x14ac:dyDescent="0.2">
      <c r="A43" s="4"/>
      <c r="B43" s="342"/>
      <c r="D43" s="3"/>
      <c r="E43" s="3"/>
      <c r="F43" s="3"/>
      <c r="G43" s="3"/>
      <c r="H43" s="3"/>
      <c r="I43" s="3"/>
      <c r="J43" s="3"/>
      <c r="K43" s="3"/>
      <c r="L43" s="3"/>
      <c r="M43" s="3"/>
      <c r="N43" s="3"/>
    </row>
    <row r="44" spans="1:14" ht="18.75" customHeight="1" x14ac:dyDescent="0.2">
      <c r="B44" s="8"/>
      <c r="D44" s="3"/>
      <c r="E44" s="3"/>
      <c r="F44" s="3"/>
      <c r="G44" s="3"/>
      <c r="H44" s="3"/>
      <c r="I44" s="3"/>
      <c r="J44" s="3"/>
      <c r="K44" s="3"/>
      <c r="L44" s="3"/>
      <c r="M44" s="3"/>
      <c r="N44" s="3"/>
    </row>
    <row r="45" spans="1:14" ht="18.75" customHeight="1" x14ac:dyDescent="0.2">
      <c r="B45" s="8"/>
      <c r="D45" s="3"/>
      <c r="E45" s="3"/>
      <c r="F45" s="3"/>
      <c r="G45" s="3"/>
      <c r="H45" s="3"/>
      <c r="I45" s="3"/>
      <c r="J45" s="3"/>
      <c r="K45" s="3"/>
      <c r="L45" s="3"/>
      <c r="M45" s="3"/>
      <c r="N45" s="3"/>
    </row>
    <row r="46" spans="1:14" ht="18.75" customHeight="1" x14ac:dyDescent="0.2">
      <c r="D46" s="3"/>
      <c r="E46" s="3"/>
      <c r="F46" s="3"/>
      <c r="G46" s="3"/>
      <c r="H46" s="3"/>
      <c r="I46" s="3"/>
      <c r="J46" s="3"/>
      <c r="K46" s="3"/>
      <c r="L46" s="3"/>
      <c r="M46" s="3"/>
      <c r="N46" s="3"/>
    </row>
    <row r="47" spans="1:14" ht="18.75" customHeight="1" x14ac:dyDescent="0.2">
      <c r="D47" s="3"/>
      <c r="E47" s="3"/>
      <c r="F47" s="3"/>
      <c r="G47" s="3"/>
      <c r="H47" s="3"/>
      <c r="I47" s="3"/>
      <c r="J47" s="3"/>
      <c r="K47" s="3"/>
      <c r="L47" s="3"/>
      <c r="M47" s="3"/>
      <c r="N47" s="3"/>
    </row>
    <row r="48" spans="1:14" ht="18.75" customHeight="1" x14ac:dyDescent="0.2">
      <c r="D48" s="3"/>
      <c r="E48" s="3"/>
      <c r="F48" s="3"/>
      <c r="G48" s="3"/>
      <c r="H48" s="3"/>
      <c r="I48" s="3"/>
      <c r="J48" s="3"/>
      <c r="K48" s="3"/>
      <c r="L48" s="3"/>
      <c r="M48" s="3"/>
      <c r="N48" s="3"/>
    </row>
    <row r="49" spans="4:14" ht="18.75" customHeight="1" x14ac:dyDescent="0.2">
      <c r="D49" s="3"/>
      <c r="E49" s="3"/>
      <c r="F49" s="3"/>
      <c r="G49" s="3"/>
      <c r="H49" s="3"/>
      <c r="I49" s="3"/>
      <c r="J49" s="3"/>
      <c r="K49" s="3"/>
      <c r="L49" s="3"/>
      <c r="M49" s="3"/>
      <c r="N49" s="3"/>
    </row>
    <row r="50" spans="4:14" ht="18.75" customHeight="1" x14ac:dyDescent="0.2">
      <c r="D50" s="332"/>
      <c r="E50" s="332"/>
      <c r="F50" s="332"/>
      <c r="G50" s="332"/>
      <c r="H50" s="332"/>
      <c r="I50" s="332"/>
      <c r="J50" s="332"/>
      <c r="K50" s="332"/>
      <c r="L50" s="332"/>
      <c r="M50" s="332"/>
      <c r="N50" s="332"/>
    </row>
    <row r="51" spans="4:14" ht="18.75" customHeight="1" x14ac:dyDescent="0.2"/>
    <row r="52" spans="4:14" ht="18.75" customHeight="1" x14ac:dyDescent="0.2"/>
    <row r="53" spans="4:14" ht="18.75" customHeight="1" x14ac:dyDescent="0.2"/>
    <row r="54" spans="4:14" ht="18.75" customHeight="1" x14ac:dyDescent="0.2"/>
    <row r="55" spans="4:14" ht="18.75" customHeight="1" x14ac:dyDescent="0.2"/>
    <row r="56" spans="4:14" ht="18.75" customHeight="1" x14ac:dyDescent="0.2"/>
    <row r="57" spans="4:14" ht="18.75" customHeight="1" x14ac:dyDescent="0.2"/>
    <row r="58" spans="4:14" ht="18.75" customHeight="1" x14ac:dyDescent="0.2"/>
    <row r="59" spans="4:14" ht="18.75" customHeight="1" x14ac:dyDescent="0.2"/>
    <row r="60" spans="4:14" ht="18.75" customHeight="1" x14ac:dyDescent="0.2"/>
    <row r="61" spans="4:14" ht="18.75" customHeight="1" x14ac:dyDescent="0.2"/>
    <row r="62" spans="4:14" ht="18.75" customHeight="1" x14ac:dyDescent="0.2"/>
    <row r="63" spans="4:14" ht="18.75" customHeight="1" x14ac:dyDescent="0.2"/>
    <row r="64" spans="4:14" ht="18.75" customHeight="1" x14ac:dyDescent="0.2"/>
    <row r="65" ht="18.75" customHeight="1" x14ac:dyDescent="0.2"/>
  </sheetData>
  <sortState xmlns:xlrd2="http://schemas.microsoft.com/office/spreadsheetml/2017/richdata2" ref="B5:E41">
    <sortCondition ref="B5:B41"/>
  </sortState>
  <pageMargins left="0.78740157480314965" right="0.78740157480314965" top="0.98425196850393704" bottom="0.98425196850393704" header="0.51181102362204722" footer="0.51181102362204722"/>
  <pageSetup paperSize="9" scale="65" fitToWidth="3" orientation="portrait" r:id="rId1"/>
  <headerFooter alignWithMargins="0"/>
  <colBreaks count="2" manualBreakCount="2">
    <brk id="1" max="42" man="1"/>
    <brk id="3" min="4" max="5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W115"/>
  <sheetViews>
    <sheetView showGridLines="0" showZeros="0" zoomScale="80" zoomScaleNormal="80" workbookViewId="0">
      <pane xSplit="1" ySplit="7" topLeftCell="B8" activePane="bottomRight" state="frozen"/>
      <selection pane="topRight" activeCell="B1" sqref="B1"/>
      <selection pane="bottomLeft" activeCell="A8" sqref="A8"/>
      <selection pane="bottomRight" activeCell="A4" sqref="A4"/>
    </sheetView>
  </sheetViews>
  <sheetFormatPr baseColWidth="10" defaultColWidth="11.42578125" defaultRowHeight="18" x14ac:dyDescent="0.25"/>
  <cols>
    <col min="1" max="1" width="51" style="81" customWidth="1"/>
    <col min="2" max="3" width="17.85546875" style="81" bestFit="1" customWidth="1"/>
    <col min="4" max="4" width="9.28515625" style="81" bestFit="1" customWidth="1"/>
    <col min="5" max="5" width="4.7109375" style="81" customWidth="1"/>
    <col min="6" max="7" width="16.7109375" style="81" customWidth="1"/>
    <col min="8" max="8" width="9.28515625" style="81" bestFit="1" customWidth="1"/>
    <col min="9" max="9" width="4.7109375" style="81" customWidth="1"/>
    <col min="10" max="10" width="18.7109375" style="81" customWidth="1"/>
    <col min="11" max="11" width="18" style="81" bestFit="1" customWidth="1"/>
    <col min="12" max="12" width="9.28515625" style="81" bestFit="1" customWidth="1"/>
    <col min="13" max="13" width="11.42578125" style="81"/>
    <col min="14" max="15" width="17.28515625" style="81" bestFit="1" customWidth="1"/>
    <col min="16" max="16384" width="11.42578125" style="81"/>
  </cols>
  <sheetData>
    <row r="1" spans="1:13" ht="20.25" x14ac:dyDescent="0.3">
      <c r="A1" s="80" t="s">
        <v>76</v>
      </c>
      <c r="B1" s="73" t="s">
        <v>52</v>
      </c>
      <c r="C1" s="74"/>
      <c r="D1" s="74"/>
      <c r="E1" s="74"/>
      <c r="F1" s="74"/>
      <c r="G1" s="74"/>
      <c r="H1" s="74"/>
      <c r="I1" s="74"/>
      <c r="J1" s="74"/>
      <c r="K1" s="74"/>
      <c r="L1" s="74"/>
      <c r="M1" s="74"/>
    </row>
    <row r="2" spans="1:13" ht="20.25" x14ac:dyDescent="0.3">
      <c r="A2" s="80" t="s">
        <v>101</v>
      </c>
      <c r="B2" s="73"/>
      <c r="C2" s="74"/>
      <c r="D2" s="74"/>
      <c r="E2" s="74"/>
      <c r="F2" s="74"/>
      <c r="G2" s="74"/>
      <c r="H2" s="74"/>
      <c r="I2" s="74"/>
      <c r="J2" s="74"/>
      <c r="K2" s="74"/>
      <c r="L2" s="74"/>
      <c r="M2" s="74"/>
    </row>
    <row r="3" spans="1:13" ht="18.75" x14ac:dyDescent="0.3">
      <c r="A3" s="75" t="s">
        <v>102</v>
      </c>
      <c r="B3" s="74"/>
      <c r="C3" s="74"/>
      <c r="D3" s="74"/>
      <c r="E3" s="74"/>
      <c r="F3" s="74"/>
      <c r="G3" s="74"/>
      <c r="H3" s="74"/>
      <c r="I3" s="74"/>
      <c r="J3" s="74"/>
      <c r="K3" s="74"/>
      <c r="L3" s="74"/>
      <c r="M3" s="74"/>
    </row>
    <row r="4" spans="1:13" ht="18.75" x14ac:dyDescent="0.3">
      <c r="A4" s="82" t="s">
        <v>360</v>
      </c>
      <c r="B4" s="102"/>
      <c r="C4" s="118"/>
      <c r="D4" s="119"/>
      <c r="E4" s="112"/>
      <c r="F4" s="83"/>
      <c r="G4" s="84"/>
      <c r="H4" s="85"/>
      <c r="I4" s="112"/>
      <c r="J4" s="83"/>
      <c r="K4" s="84"/>
      <c r="L4" s="85"/>
      <c r="M4" s="74"/>
    </row>
    <row r="5" spans="1:13" ht="18.75" x14ac:dyDescent="0.3">
      <c r="A5" s="120"/>
      <c r="B5" s="1004" t="s">
        <v>0</v>
      </c>
      <c r="C5" s="1005"/>
      <c r="D5" s="1006"/>
      <c r="E5" s="89"/>
      <c r="F5" s="1004" t="s">
        <v>1</v>
      </c>
      <c r="G5" s="1005"/>
      <c r="H5" s="1006"/>
      <c r="I5" s="121"/>
      <c r="J5" s="1004" t="s">
        <v>103</v>
      </c>
      <c r="K5" s="1005"/>
      <c r="L5" s="1006"/>
      <c r="M5" s="74"/>
    </row>
    <row r="6" spans="1:13" ht="18.75" x14ac:dyDescent="0.3">
      <c r="A6" s="122"/>
      <c r="B6" s="123"/>
      <c r="C6" s="124"/>
      <c r="D6" s="94" t="s">
        <v>104</v>
      </c>
      <c r="E6" s="100"/>
      <c r="F6" s="123"/>
      <c r="G6" s="124"/>
      <c r="H6" s="94" t="s">
        <v>104</v>
      </c>
      <c r="I6" s="125"/>
      <c r="J6" s="123"/>
      <c r="K6" s="124"/>
      <c r="L6" s="94" t="s">
        <v>104</v>
      </c>
      <c r="M6" s="74"/>
    </row>
    <row r="7" spans="1:13" ht="18.75" x14ac:dyDescent="0.3">
      <c r="A7" s="126" t="s">
        <v>105</v>
      </c>
      <c r="B7" s="127">
        <v>2019</v>
      </c>
      <c r="C7" s="185">
        <v>2020</v>
      </c>
      <c r="D7" s="99" t="s">
        <v>82</v>
      </c>
      <c r="E7" s="100"/>
      <c r="F7" s="97">
        <v>2019</v>
      </c>
      <c r="G7" s="127">
        <v>2020</v>
      </c>
      <c r="H7" s="99" t="s">
        <v>82</v>
      </c>
      <c r="I7" s="128"/>
      <c r="J7" s="184">
        <v>2019</v>
      </c>
      <c r="K7" s="185">
        <v>2020</v>
      </c>
      <c r="L7" s="99" t="s">
        <v>82</v>
      </c>
      <c r="M7" s="74"/>
    </row>
    <row r="8" spans="1:13" ht="22.5" x14ac:dyDescent="0.3">
      <c r="A8" s="192" t="s">
        <v>106</v>
      </c>
      <c r="B8" s="232"/>
      <c r="C8" s="201"/>
      <c r="D8" s="201"/>
      <c r="E8" s="182"/>
      <c r="F8" s="201"/>
      <c r="G8" s="201"/>
      <c r="H8" s="201"/>
      <c r="I8" s="202"/>
      <c r="J8" s="201"/>
      <c r="K8" s="201"/>
      <c r="L8" s="201"/>
      <c r="M8" s="74"/>
    </row>
    <row r="9" spans="1:13" ht="18.75" x14ac:dyDescent="0.3">
      <c r="A9" s="193" t="s">
        <v>107</v>
      </c>
      <c r="B9" s="104">
        <f>'Skjema total MA'!B7</f>
        <v>4702224.3708596798</v>
      </c>
      <c r="C9" s="104">
        <f>'Skjema total MA'!C7</f>
        <v>4754287.8764549326</v>
      </c>
      <c r="D9" s="233">
        <f>IF(B9=0, "    ---- ", IF(ABS(ROUND(100/B9*C9-100,1))&lt;999,ROUND(100/B9*C9-100,1),IF(ROUND(100/B9*C9-100,1)&gt;999,999,-999)))</f>
        <v>1.1000000000000001</v>
      </c>
      <c r="E9" s="182"/>
      <c r="F9" s="196">
        <f>'Skjema total MA'!E7</f>
        <v>10447209.588509999</v>
      </c>
      <c r="G9" s="196">
        <f>'Skjema total MA'!F7</f>
        <v>10300600.243620001</v>
      </c>
      <c r="H9" s="233">
        <f>IF(F9=0, "    ---- ", IF(ABS(ROUND(100/F9*G9-100,1))&lt;999,ROUND(100/F9*G9-100,1),IF(ROUND(100/F9*G9-100,1)&gt;999,999,-999)))</f>
        <v>-1.4</v>
      </c>
      <c r="I9" s="182"/>
      <c r="J9" s="196">
        <f t="shared" ref="J9:K60" si="0">SUM(B9+F9)</f>
        <v>15149433.959369678</v>
      </c>
      <c r="K9" s="196">
        <f t="shared" si="0"/>
        <v>15054888.120074933</v>
      </c>
      <c r="L9" s="231">
        <f>IF(J9=0, "    ---- ", IF(ABS(ROUND(100/J9*K9-100,1))&lt;999,ROUND(100/J9*K9-100,1),IF(ROUND(100/J9*K9-100,1)&gt;999,999,-999)))</f>
        <v>-0.6</v>
      </c>
      <c r="M9" s="74"/>
    </row>
    <row r="10" spans="1:13" ht="18.75" x14ac:dyDescent="0.3">
      <c r="A10" s="193" t="s">
        <v>108</v>
      </c>
      <c r="B10" s="104">
        <f>'Skjema total MA'!B22</f>
        <v>1788692.4403534168</v>
      </c>
      <c r="C10" s="104">
        <f>'Skjema total MA'!C22</f>
        <v>1774136.4186500001</v>
      </c>
      <c r="D10" s="233">
        <f t="shared" ref="D10:D17" si="1">IF(B10=0, "    ---- ", IF(ABS(ROUND(100/B10*C10-100,1))&lt;999,ROUND(100/B10*C10-100,1),IF(ROUND(100/B10*C10-100,1)&gt;999,999,-999)))</f>
        <v>-0.8</v>
      </c>
      <c r="E10" s="182"/>
      <c r="F10" s="196">
        <f>'Skjema total MA'!E22</f>
        <v>1321585.56541</v>
      </c>
      <c r="G10" s="196">
        <f>'Skjema total MA'!F22</f>
        <v>1487806.4715799999</v>
      </c>
      <c r="H10" s="233">
        <f t="shared" ref="H10:H57" si="2">IF(F10=0, "    ---- ", IF(ABS(ROUND(100/F10*G10-100,1))&lt;999,ROUND(100/F10*G10-100,1),IF(ROUND(100/F10*G10-100,1)&gt;999,999,-999)))</f>
        <v>12.6</v>
      </c>
      <c r="I10" s="182"/>
      <c r="J10" s="196">
        <f t="shared" si="0"/>
        <v>3110278.0057634171</v>
      </c>
      <c r="K10" s="196">
        <f t="shared" si="0"/>
        <v>3261942.89023</v>
      </c>
      <c r="L10" s="231">
        <f t="shared" ref="L10:L60" si="3">IF(J10=0, "    ---- ", IF(ABS(ROUND(100/J10*K10-100,1))&lt;999,ROUND(100/J10*K10-100,1),IF(ROUND(100/J10*K10-100,1)&gt;999,999,-999)))</f>
        <v>4.9000000000000004</v>
      </c>
      <c r="M10" s="74"/>
    </row>
    <row r="11" spans="1:13" ht="18.75" x14ac:dyDescent="0.3">
      <c r="A11" s="193" t="s">
        <v>109</v>
      </c>
      <c r="B11" s="104">
        <f>'Skjema total MA'!B47</f>
        <v>4328043.2384185186</v>
      </c>
      <c r="C11" s="104">
        <f>'Skjema total MA'!C47</f>
        <v>4777075.9113196395</v>
      </c>
      <c r="D11" s="233">
        <f t="shared" si="1"/>
        <v>10.4</v>
      </c>
      <c r="E11" s="182"/>
      <c r="F11" s="196"/>
      <c r="G11" s="196"/>
      <c r="H11" s="233"/>
      <c r="I11" s="182"/>
      <c r="J11" s="196">
        <f t="shared" si="0"/>
        <v>4328043.2384185186</v>
      </c>
      <c r="K11" s="196">
        <f t="shared" si="0"/>
        <v>4777075.9113196395</v>
      </c>
      <c r="L11" s="231">
        <f t="shared" si="3"/>
        <v>10.4</v>
      </c>
      <c r="M11" s="74"/>
    </row>
    <row r="12" spans="1:13" ht="18.75" x14ac:dyDescent="0.3">
      <c r="A12" s="193" t="s">
        <v>110</v>
      </c>
      <c r="B12" s="104">
        <f>'Skjema total MA'!B66</f>
        <v>8808966.7867200002</v>
      </c>
      <c r="C12" s="104">
        <f>'Skjema total MA'!C66</f>
        <v>7426995.2183599994</v>
      </c>
      <c r="D12" s="233">
        <f t="shared" si="1"/>
        <v>-15.7</v>
      </c>
      <c r="E12" s="182"/>
      <c r="F12" s="196">
        <f>'Skjema total MA'!E66</f>
        <v>32289611.062169999</v>
      </c>
      <c r="G12" s="196">
        <f>'Skjema total MA'!F66</f>
        <v>35012148.002570003</v>
      </c>
      <c r="H12" s="233">
        <f t="shared" si="2"/>
        <v>8.4</v>
      </c>
      <c r="I12" s="182"/>
      <c r="J12" s="196">
        <f t="shared" si="0"/>
        <v>41098577.848889999</v>
      </c>
      <c r="K12" s="196">
        <f t="shared" si="0"/>
        <v>42439143.220930003</v>
      </c>
      <c r="L12" s="231">
        <f t="shared" si="3"/>
        <v>3.3</v>
      </c>
      <c r="M12" s="74"/>
    </row>
    <row r="13" spans="1:13" ht="18.75" x14ac:dyDescent="0.3">
      <c r="A13" s="193" t="s">
        <v>111</v>
      </c>
      <c r="B13" s="104">
        <f>'Skjema total MA'!B68</f>
        <v>146003.35967999999</v>
      </c>
      <c r="C13" s="104">
        <f>'Skjema total MA'!C68</f>
        <v>123280.45339000001</v>
      </c>
      <c r="D13" s="233">
        <f t="shared" si="1"/>
        <v>-15.6</v>
      </c>
      <c r="E13" s="182"/>
      <c r="F13" s="196">
        <f>'Skjema total MA'!E68</f>
        <v>31851980.505620003</v>
      </c>
      <c r="G13" s="196">
        <f>'Skjema total MA'!F68</f>
        <v>33633161.564300001</v>
      </c>
      <c r="H13" s="233">
        <f t="shared" si="2"/>
        <v>5.6</v>
      </c>
      <c r="I13" s="182"/>
      <c r="J13" s="196">
        <f t="shared" si="0"/>
        <v>31997983.865300003</v>
      </c>
      <c r="K13" s="196">
        <f t="shared" si="0"/>
        <v>33756442.017690003</v>
      </c>
      <c r="L13" s="231">
        <f t="shared" si="3"/>
        <v>5.5</v>
      </c>
      <c r="M13" s="74"/>
    </row>
    <row r="14" spans="1:13" s="133" customFormat="1" ht="18.75" x14ac:dyDescent="0.3">
      <c r="A14" s="194" t="s">
        <v>112</v>
      </c>
      <c r="B14" s="131">
        <f>'Skjema total MA'!B75</f>
        <v>390399.33177000005</v>
      </c>
      <c r="C14" s="131">
        <f>'Skjema total MA'!C75</f>
        <v>451485.31695000001</v>
      </c>
      <c r="D14" s="233">
        <f t="shared" si="1"/>
        <v>15.6</v>
      </c>
      <c r="E14" s="183"/>
      <c r="F14" s="197">
        <f>'Skjema total MA'!E75</f>
        <v>437630.55654999998</v>
      </c>
      <c r="G14" s="197">
        <f>'Skjema total MA'!F75</f>
        <v>1378986.4382699998</v>
      </c>
      <c r="H14" s="233">
        <f t="shared" si="2"/>
        <v>215.1</v>
      </c>
      <c r="I14" s="183"/>
      <c r="J14" s="196">
        <f t="shared" si="0"/>
        <v>828029.88832000003</v>
      </c>
      <c r="K14" s="196">
        <f t="shared" si="0"/>
        <v>1830471.7552199997</v>
      </c>
      <c r="L14" s="231">
        <f t="shared" si="3"/>
        <v>121.1</v>
      </c>
      <c r="M14" s="132"/>
    </row>
    <row r="15" spans="1:13" ht="22.5" x14ac:dyDescent="0.3">
      <c r="A15" s="193" t="s">
        <v>349</v>
      </c>
      <c r="B15" s="104">
        <f>'Skjema total MA'!B134</f>
        <v>45460871.025120005</v>
      </c>
      <c r="C15" s="104">
        <f>'Skjema total MA'!C134</f>
        <v>38438729.1369</v>
      </c>
      <c r="D15" s="233">
        <f t="shared" si="1"/>
        <v>-15.4</v>
      </c>
      <c r="E15" s="182"/>
      <c r="F15" s="196">
        <f>'Skjema total MA'!E134</f>
        <v>152808.77100000001</v>
      </c>
      <c r="G15" s="196">
        <f>'Skjema total MA'!F134</f>
        <v>74308.707999999999</v>
      </c>
      <c r="H15" s="233">
        <f t="shared" si="2"/>
        <v>-51.4</v>
      </c>
      <c r="I15" s="182"/>
      <c r="J15" s="196">
        <f t="shared" si="0"/>
        <v>45613679.796120003</v>
      </c>
      <c r="K15" s="196">
        <f t="shared" si="0"/>
        <v>38513037.844899997</v>
      </c>
      <c r="L15" s="231">
        <f t="shared" si="3"/>
        <v>-15.6</v>
      </c>
      <c r="M15" s="74"/>
    </row>
    <row r="16" spans="1:13" ht="18.75" x14ac:dyDescent="0.3">
      <c r="A16" s="193" t="s">
        <v>113</v>
      </c>
      <c r="B16" s="104">
        <f>'Skjema total MA'!B36</f>
        <v>12205.221</v>
      </c>
      <c r="C16" s="104">
        <f>'Skjema total MA'!C36</f>
        <v>11513.33</v>
      </c>
      <c r="D16" s="233">
        <f t="shared" si="1"/>
        <v>-5.7</v>
      </c>
      <c r="E16" s="182"/>
      <c r="F16" s="196">
        <f>'Skjema total MA'!E36</f>
        <v>0</v>
      </c>
      <c r="G16" s="196">
        <f>'Skjema total MA'!F36</f>
        <v>0</v>
      </c>
      <c r="H16" s="233"/>
      <c r="I16" s="182"/>
      <c r="J16" s="196">
        <f t="shared" si="0"/>
        <v>12205.221</v>
      </c>
      <c r="K16" s="196">
        <f t="shared" si="0"/>
        <v>11513.33</v>
      </c>
      <c r="L16" s="231">
        <f t="shared" si="3"/>
        <v>-5.7</v>
      </c>
      <c r="M16" s="74"/>
    </row>
    <row r="17" spans="1:23" s="135" customFormat="1" ht="18.75" customHeight="1" x14ac:dyDescent="0.3">
      <c r="A17" s="137" t="s">
        <v>114</v>
      </c>
      <c r="B17" s="110">
        <f>'Tabel 1.1'!B32</f>
        <v>65101003.082471617</v>
      </c>
      <c r="C17" s="198">
        <f>'Tabel 1.1'!C32</f>
        <v>57182737.891684577</v>
      </c>
      <c r="D17" s="994">
        <f t="shared" si="1"/>
        <v>-12.2</v>
      </c>
      <c r="E17" s="138"/>
      <c r="F17" s="198">
        <f>'Tabel 1.1'!B45</f>
        <v>44211214.987089999</v>
      </c>
      <c r="G17" s="198">
        <f>'Tabel 1.1'!C45</f>
        <v>46874863.42577</v>
      </c>
      <c r="H17" s="994">
        <f t="shared" si="2"/>
        <v>6</v>
      </c>
      <c r="I17" s="138"/>
      <c r="J17" s="198">
        <f t="shared" si="0"/>
        <v>109312218.06956162</v>
      </c>
      <c r="K17" s="198">
        <f t="shared" si="0"/>
        <v>104057601.31745458</v>
      </c>
      <c r="L17" s="993">
        <f t="shared" si="3"/>
        <v>-4.8</v>
      </c>
      <c r="M17" s="75"/>
      <c r="N17" s="134"/>
      <c r="O17" s="134"/>
      <c r="Q17" s="136"/>
      <c r="R17" s="136"/>
      <c r="S17" s="136"/>
      <c r="T17" s="136"/>
      <c r="U17" s="136"/>
      <c r="V17" s="136"/>
      <c r="W17" s="136"/>
    </row>
    <row r="18" spans="1:23" ht="18.75" customHeight="1" x14ac:dyDescent="0.3">
      <c r="A18" s="137"/>
      <c r="B18" s="104"/>
      <c r="C18" s="196"/>
      <c r="D18" s="196"/>
      <c r="E18" s="182"/>
      <c r="F18" s="196"/>
      <c r="G18" s="196"/>
      <c r="H18" s="233"/>
      <c r="I18" s="182"/>
      <c r="J18" s="196"/>
      <c r="K18" s="196"/>
      <c r="L18" s="231"/>
      <c r="M18" s="74"/>
    </row>
    <row r="19" spans="1:23" ht="18.75" customHeight="1" x14ac:dyDescent="0.3">
      <c r="A19" s="192" t="s">
        <v>350</v>
      </c>
      <c r="B19" s="200"/>
      <c r="C19" s="203"/>
      <c r="D19" s="196"/>
      <c r="E19" s="182"/>
      <c r="F19" s="203"/>
      <c r="G19" s="203"/>
      <c r="H19" s="233"/>
      <c r="I19" s="182"/>
      <c r="J19" s="196"/>
      <c r="K19" s="196"/>
      <c r="L19" s="231"/>
      <c r="M19" s="74"/>
    </row>
    <row r="20" spans="1:23" ht="18.75" customHeight="1" x14ac:dyDescent="0.3">
      <c r="A20" s="193" t="s">
        <v>107</v>
      </c>
      <c r="B20" s="104">
        <f>'Skjema total MA'!B10</f>
        <v>21140855.829446681</v>
      </c>
      <c r="C20" s="104">
        <f>'Skjema total MA'!C10</f>
        <v>19728456.856805526</v>
      </c>
      <c r="D20" s="233">
        <f>IF(B20=0, "    ---- ", IF(ABS(ROUND(100/B20*C20-100,1))&lt;999,ROUND(100/B20*C20-100,1),IF(ROUND(100/B20*C20-100,1)&gt;999,999,-999)))</f>
        <v>-6.7</v>
      </c>
      <c r="E20" s="182"/>
      <c r="F20" s="196">
        <f>'Skjema total MA'!E10</f>
        <v>52977621.870609999</v>
      </c>
      <c r="G20" s="196">
        <f>'Skjema total MA'!F10</f>
        <v>60691386.425099999</v>
      </c>
      <c r="H20" s="233">
        <f t="shared" si="2"/>
        <v>14.6</v>
      </c>
      <c r="I20" s="182"/>
      <c r="J20" s="196">
        <f t="shared" si="0"/>
        <v>74118477.700056672</v>
      </c>
      <c r="K20" s="196">
        <f t="shared" si="0"/>
        <v>80419843.281905532</v>
      </c>
      <c r="L20" s="231">
        <f t="shared" si="3"/>
        <v>8.5</v>
      </c>
      <c r="M20" s="74"/>
    </row>
    <row r="21" spans="1:23" ht="18.75" customHeight="1" x14ac:dyDescent="0.3">
      <c r="A21" s="193" t="s">
        <v>108</v>
      </c>
      <c r="B21" s="104">
        <f>'Skjema total MA'!B29</f>
        <v>46977062.425480001</v>
      </c>
      <c r="C21" s="104">
        <f>'Skjema total MA'!C29</f>
        <v>45749749.547602929</v>
      </c>
      <c r="D21" s="233">
        <f t="shared" ref="D21:D27" si="4">IF(B21=0, "    ---- ", IF(ABS(ROUND(100/B21*C21-100,1))&lt;999,ROUND(100/B21*C21-100,1),IF(ROUND(100/B21*C21-100,1)&gt;999,999,-999)))</f>
        <v>-2.6</v>
      </c>
      <c r="E21" s="182"/>
      <c r="F21" s="196">
        <f>'Skjema total MA'!E29</f>
        <v>22338327.633749999</v>
      </c>
      <c r="G21" s="196">
        <f>'Skjema total MA'!F29</f>
        <v>24538391.578740001</v>
      </c>
      <c r="H21" s="233">
        <f t="shared" si="2"/>
        <v>9.8000000000000007</v>
      </c>
      <c r="I21" s="182"/>
      <c r="J21" s="196">
        <f t="shared" si="0"/>
        <v>69315390.05923</v>
      </c>
      <c r="K21" s="196">
        <f t="shared" si="0"/>
        <v>70288141.126342922</v>
      </c>
      <c r="L21" s="231">
        <f t="shared" si="3"/>
        <v>1.4</v>
      </c>
      <c r="M21" s="74"/>
    </row>
    <row r="22" spans="1:23" ht="18.75" x14ac:dyDescent="0.3">
      <c r="A22" s="193" t="s">
        <v>110</v>
      </c>
      <c r="B22" s="104">
        <f>'Skjema total MA'!B87</f>
        <v>392024870.93138003</v>
      </c>
      <c r="C22" s="104">
        <f>'Skjema total MA'!C87</f>
        <v>395207470.63050002</v>
      </c>
      <c r="D22" s="233">
        <f t="shared" si="4"/>
        <v>0.8</v>
      </c>
      <c r="E22" s="182"/>
      <c r="F22" s="196">
        <f>'Skjema total MA'!E87</f>
        <v>314589446.54096997</v>
      </c>
      <c r="G22" s="196">
        <f>'Skjema total MA'!F87</f>
        <v>372803555.49048001</v>
      </c>
      <c r="H22" s="233">
        <f t="shared" si="2"/>
        <v>18.5</v>
      </c>
      <c r="I22" s="182"/>
      <c r="J22" s="196">
        <f t="shared" si="0"/>
        <v>706614317.47235</v>
      </c>
      <c r="K22" s="196">
        <f t="shared" si="0"/>
        <v>768011026.12098002</v>
      </c>
      <c r="L22" s="231">
        <f t="shared" si="3"/>
        <v>8.6999999999999993</v>
      </c>
      <c r="M22" s="74"/>
    </row>
    <row r="23" spans="1:23" ht="22.5" x14ac:dyDescent="0.3">
      <c r="A23" s="193" t="s">
        <v>115</v>
      </c>
      <c r="B23" s="104">
        <f>'Skjema total MA'!B89</f>
        <v>2983522.41585</v>
      </c>
      <c r="C23" s="104">
        <f>'Skjema total MA'!C89</f>
        <v>3052182.9967</v>
      </c>
      <c r="D23" s="233">
        <f t="shared" si="4"/>
        <v>2.2999999999999998</v>
      </c>
      <c r="E23" s="182"/>
      <c r="F23" s="196">
        <f>'Skjema total MA'!E89</f>
        <v>313011680.88800001</v>
      </c>
      <c r="G23" s="196">
        <f>'Skjema total MA'!F89</f>
        <v>369671484.44926</v>
      </c>
      <c r="H23" s="233">
        <f t="shared" si="2"/>
        <v>18.100000000000001</v>
      </c>
      <c r="I23" s="182"/>
      <c r="J23" s="196">
        <f t="shared" si="0"/>
        <v>315995203.30385</v>
      </c>
      <c r="K23" s="196">
        <f t="shared" si="0"/>
        <v>372723667.44595999</v>
      </c>
      <c r="L23" s="231">
        <f t="shared" si="3"/>
        <v>18</v>
      </c>
      <c r="M23" s="74"/>
    </row>
    <row r="24" spans="1:23" ht="18.75" x14ac:dyDescent="0.3">
      <c r="A24" s="194" t="s">
        <v>112</v>
      </c>
      <c r="B24" s="104">
        <f>'Skjema total MA'!B96</f>
        <v>1401970.99077</v>
      </c>
      <c r="C24" s="104">
        <f>'Skjema total MA'!C96</f>
        <v>1999308.8924400001</v>
      </c>
      <c r="D24" s="233">
        <f t="shared" si="4"/>
        <v>42.6</v>
      </c>
      <c r="E24" s="182"/>
      <c r="F24" s="196">
        <f>'Skjema total MA'!E96</f>
        <v>1577765.6529700002</v>
      </c>
      <c r="G24" s="196">
        <f>'Skjema total MA'!F96</f>
        <v>3132071.04122</v>
      </c>
      <c r="H24" s="233">
        <f t="shared" si="2"/>
        <v>98.5</v>
      </c>
      <c r="I24" s="182"/>
      <c r="J24" s="196">
        <f t="shared" si="0"/>
        <v>2979736.6437400002</v>
      </c>
      <c r="K24" s="196">
        <f t="shared" si="0"/>
        <v>5131379.9336600006</v>
      </c>
      <c r="L24" s="231">
        <f t="shared" si="3"/>
        <v>72.2</v>
      </c>
      <c r="M24" s="74"/>
    </row>
    <row r="25" spans="1:23" ht="22.5" x14ac:dyDescent="0.3">
      <c r="A25" s="193" t="s">
        <v>349</v>
      </c>
      <c r="B25" s="104">
        <f>'Skjema total MA'!B135</f>
        <v>586695944.14879</v>
      </c>
      <c r="C25" s="104">
        <f>'Skjema total MA'!C135</f>
        <v>622962989.91374993</v>
      </c>
      <c r="D25" s="233">
        <f t="shared" si="4"/>
        <v>6.2</v>
      </c>
      <c r="E25" s="182"/>
      <c r="F25" s="196">
        <f>'Skjema total MA'!E135</f>
        <v>2703759.0266499999</v>
      </c>
      <c r="G25" s="196">
        <f>'Skjema total MA'!F135</f>
        <v>2013752.24184</v>
      </c>
      <c r="H25" s="233">
        <f t="shared" si="2"/>
        <v>-25.5</v>
      </c>
      <c r="I25" s="182"/>
      <c r="J25" s="196">
        <f t="shared" si="0"/>
        <v>589399703.17543995</v>
      </c>
      <c r="K25" s="196">
        <f t="shared" si="0"/>
        <v>624976742.15558994</v>
      </c>
      <c r="L25" s="231">
        <f t="shared" si="3"/>
        <v>6</v>
      </c>
      <c r="M25" s="74"/>
    </row>
    <row r="26" spans="1:23" ht="18.75" x14ac:dyDescent="0.3">
      <c r="A26" s="193" t="s">
        <v>113</v>
      </c>
      <c r="B26" s="104">
        <f>'Skjema total MA'!B37</f>
        <v>3584900.3</v>
      </c>
      <c r="C26" s="104">
        <f>'Skjema total MA'!C37</f>
        <v>3331026.7708399999</v>
      </c>
      <c r="D26" s="233">
        <f t="shared" si="4"/>
        <v>-7.1</v>
      </c>
      <c r="E26" s="182"/>
      <c r="F26" s="196">
        <f>'Skjema total MA'!E37</f>
        <v>0</v>
      </c>
      <c r="G26" s="196">
        <f>'Skjema total MA'!F37</f>
        <v>0</v>
      </c>
      <c r="H26" s="233"/>
      <c r="I26" s="182"/>
      <c r="J26" s="196">
        <f t="shared" si="0"/>
        <v>3584900.3</v>
      </c>
      <c r="K26" s="196">
        <f t="shared" si="0"/>
        <v>3331026.7708399999</v>
      </c>
      <c r="L26" s="231">
        <f t="shared" si="3"/>
        <v>-7.1</v>
      </c>
      <c r="M26" s="74"/>
    </row>
    <row r="27" spans="1:23" s="135" customFormat="1" ht="18.75" x14ac:dyDescent="0.3">
      <c r="A27" s="137" t="s">
        <v>116</v>
      </c>
      <c r="B27" s="110">
        <f>'Tabel 1.1'!G32</f>
        <v>1050423633.6350967</v>
      </c>
      <c r="C27" s="198">
        <f>'Tabel 1.1'!H32</f>
        <v>1086979693.7194984</v>
      </c>
      <c r="D27" s="233">
        <f t="shared" si="4"/>
        <v>3.5</v>
      </c>
      <c r="E27" s="138"/>
      <c r="F27" s="198">
        <f>'Tabel 1.1'!G45</f>
        <v>392609155.07198</v>
      </c>
      <c r="G27" s="198">
        <f>'Tabel 1.1'!H45</f>
        <v>460047085.73616004</v>
      </c>
      <c r="H27" s="233">
        <f t="shared" si="2"/>
        <v>17.2</v>
      </c>
      <c r="I27" s="138"/>
      <c r="J27" s="198">
        <f t="shared" si="0"/>
        <v>1443032788.7070765</v>
      </c>
      <c r="K27" s="198">
        <f t="shared" si="0"/>
        <v>1547026779.4556584</v>
      </c>
      <c r="L27" s="231">
        <f t="shared" si="3"/>
        <v>7.2</v>
      </c>
      <c r="M27" s="75"/>
      <c r="N27" s="134"/>
      <c r="O27" s="134"/>
    </row>
    <row r="28" spans="1:23" ht="18.75" x14ac:dyDescent="0.3">
      <c r="A28" s="137"/>
      <c r="B28" s="104"/>
      <c r="C28" s="196"/>
      <c r="D28" s="233"/>
      <c r="E28" s="182"/>
      <c r="F28" s="196"/>
      <c r="G28" s="196"/>
      <c r="H28" s="233"/>
      <c r="I28" s="182"/>
      <c r="J28" s="196">
        <f t="shared" si="0"/>
        <v>0</v>
      </c>
      <c r="K28" s="196">
        <f t="shared" si="0"/>
        <v>0</v>
      </c>
      <c r="L28" s="231"/>
      <c r="M28" s="74"/>
    </row>
    <row r="29" spans="1:23" ht="22.5" x14ac:dyDescent="0.3">
      <c r="A29" s="192" t="s">
        <v>351</v>
      </c>
      <c r="B29" s="200"/>
      <c r="C29" s="203"/>
      <c r="D29" s="196"/>
      <c r="E29" s="182"/>
      <c r="F29" s="196"/>
      <c r="G29" s="196"/>
      <c r="H29" s="233"/>
      <c r="I29" s="182"/>
      <c r="J29" s="196"/>
      <c r="K29" s="196"/>
      <c r="L29" s="231"/>
      <c r="M29" s="74"/>
    </row>
    <row r="30" spans="1:23" ht="18.75" x14ac:dyDescent="0.3">
      <c r="A30" s="193" t="s">
        <v>107</v>
      </c>
      <c r="B30" s="104">
        <f>'Skjema total MA'!B11</f>
        <v>65203</v>
      </c>
      <c r="C30" s="104">
        <f>'Skjema total MA'!C11</f>
        <v>40437.802000000003</v>
      </c>
      <c r="D30" s="233">
        <f>IF(B30=0, "    ---- ", IF(ABS(ROUND(100/B30*C30-100,1))&lt;999,ROUND(100/B30*C30-100,1),IF(ROUND(100/B30*C30-100,1)&gt;999,999,-999)))</f>
        <v>-38</v>
      </c>
      <c r="E30" s="182"/>
      <c r="F30" s="196">
        <f>'Skjema total MA'!E11</f>
        <v>412700.34194999991</v>
      </c>
      <c r="G30" s="196">
        <f>'Skjema total MA'!F11</f>
        <v>342412.44925999996</v>
      </c>
      <c r="H30" s="233">
        <f t="shared" si="2"/>
        <v>-17</v>
      </c>
      <c r="I30" s="182"/>
      <c r="J30" s="196">
        <f t="shared" si="0"/>
        <v>477903.34194999991</v>
      </c>
      <c r="K30" s="196">
        <f t="shared" si="0"/>
        <v>382850.25125999999</v>
      </c>
      <c r="L30" s="231">
        <f t="shared" si="3"/>
        <v>-19.899999999999999</v>
      </c>
      <c r="M30" s="74"/>
    </row>
    <row r="31" spans="1:23" ht="18.75" x14ac:dyDescent="0.3">
      <c r="A31" s="193" t="s">
        <v>108</v>
      </c>
      <c r="B31" s="104">
        <f>'Skjema total MA'!B34</f>
        <v>26556.532999999999</v>
      </c>
      <c r="C31" s="104">
        <f>'Skjema total MA'!C34</f>
        <v>27837.177009999999</v>
      </c>
      <c r="D31" s="233">
        <f t="shared" ref="D31:D38" si="5">IF(B31=0, "    ---- ", IF(ABS(ROUND(100/B31*C31-100,1))&lt;999,ROUND(100/B31*C31-100,1),IF(ROUND(100/B31*C31-100,1)&gt;999,999,-999)))</f>
        <v>4.8</v>
      </c>
      <c r="E31" s="182"/>
      <c r="F31" s="196">
        <f>'Skjema total MA'!E34</f>
        <v>70179.748269999996</v>
      </c>
      <c r="G31" s="196">
        <f>'Skjema total MA'!F34</f>
        <v>180952.49515999999</v>
      </c>
      <c r="H31" s="233">
        <f t="shared" si="2"/>
        <v>157.80000000000001</v>
      </c>
      <c r="I31" s="182"/>
      <c r="J31" s="196">
        <f t="shared" si="0"/>
        <v>96736.281269999992</v>
      </c>
      <c r="K31" s="196">
        <f t="shared" si="0"/>
        <v>208789.67216999998</v>
      </c>
      <c r="L31" s="231">
        <f t="shared" si="3"/>
        <v>115.8</v>
      </c>
      <c r="M31" s="74"/>
    </row>
    <row r="32" spans="1:23" ht="18.75" x14ac:dyDescent="0.3">
      <c r="A32" s="193" t="s">
        <v>110</v>
      </c>
      <c r="B32" s="104">
        <f>'Skjema total MA'!B111</f>
        <v>476617.47998</v>
      </c>
      <c r="C32" s="104">
        <f>'Skjema total MA'!C111</f>
        <v>921726.4257100001</v>
      </c>
      <c r="D32" s="233">
        <f t="shared" si="5"/>
        <v>93.4</v>
      </c>
      <c r="E32" s="182"/>
      <c r="F32" s="196">
        <f>'Skjema total MA'!E111</f>
        <v>13236727.65402</v>
      </c>
      <c r="G32" s="196">
        <f>'Skjema total MA'!F111</f>
        <v>22207414.858020004</v>
      </c>
      <c r="H32" s="233">
        <f t="shared" si="2"/>
        <v>67.8</v>
      </c>
      <c r="I32" s="182"/>
      <c r="J32" s="196">
        <f t="shared" si="0"/>
        <v>13713345.134</v>
      </c>
      <c r="K32" s="196">
        <f t="shared" si="0"/>
        <v>23129141.283730004</v>
      </c>
      <c r="L32" s="231">
        <f t="shared" si="3"/>
        <v>68.7</v>
      </c>
      <c r="M32" s="74"/>
    </row>
    <row r="33" spans="1:15" ht="22.5" x14ac:dyDescent="0.3">
      <c r="A33" s="193" t="s">
        <v>349</v>
      </c>
      <c r="B33" s="104">
        <f>'Skjema total MA'!B136</f>
        <v>86016.298999999999</v>
      </c>
      <c r="C33" s="104">
        <f>'Skjema total MA'!C136</f>
        <v>3720403.8620000002</v>
      </c>
      <c r="D33" s="233">
        <f t="shared" si="5"/>
        <v>999</v>
      </c>
      <c r="E33" s="182"/>
      <c r="F33" s="196">
        <f>'Skjema total MA'!E136</f>
        <v>31148.103999999999</v>
      </c>
      <c r="G33" s="196">
        <f>'Skjema total MA'!F136</f>
        <v>-507465.17200000002</v>
      </c>
      <c r="H33" s="233">
        <f t="shared" si="2"/>
        <v>-999</v>
      </c>
      <c r="I33" s="182"/>
      <c r="J33" s="196">
        <f t="shared" si="0"/>
        <v>117164.40299999999</v>
      </c>
      <c r="K33" s="196">
        <f t="shared" si="0"/>
        <v>3212938.6900000004</v>
      </c>
      <c r="L33" s="231">
        <f t="shared" si="3"/>
        <v>999</v>
      </c>
      <c r="M33" s="74"/>
    </row>
    <row r="34" spans="1:15" ht="18.75" x14ac:dyDescent="0.3">
      <c r="A34" s="193" t="s">
        <v>113</v>
      </c>
      <c r="B34" s="104">
        <f>'Skjema total MA'!B38</f>
        <v>0</v>
      </c>
      <c r="C34" s="104">
        <f>'Skjema total MA'!C38</f>
        <v>0</v>
      </c>
      <c r="D34" s="233"/>
      <c r="E34" s="182"/>
      <c r="F34" s="196">
        <f>'Skjema total MA'!E38</f>
        <v>0</v>
      </c>
      <c r="G34" s="196">
        <f>'Skjema total MA'!F38</f>
        <v>0</v>
      </c>
      <c r="H34" s="233"/>
      <c r="I34" s="182"/>
      <c r="J34" s="196">
        <f t="shared" si="0"/>
        <v>0</v>
      </c>
      <c r="K34" s="196">
        <f t="shared" si="0"/>
        <v>0</v>
      </c>
      <c r="L34" s="231"/>
      <c r="M34" s="74"/>
    </row>
    <row r="35" spans="1:15" s="135" customFormat="1" ht="18.75" x14ac:dyDescent="0.3">
      <c r="A35" s="137" t="s">
        <v>117</v>
      </c>
      <c r="B35" s="110">
        <f>SUM(B30:B34)</f>
        <v>654393.31198</v>
      </c>
      <c r="C35" s="198">
        <f>SUM(C30:C34)</f>
        <v>4710405.2667200007</v>
      </c>
      <c r="D35" s="233">
        <f t="shared" si="5"/>
        <v>619.79999999999995</v>
      </c>
      <c r="E35" s="138"/>
      <c r="F35" s="198">
        <f>SUM(F30:F34)</f>
        <v>13750755.848240001</v>
      </c>
      <c r="G35" s="198">
        <f>SUM(G30:G34)</f>
        <v>22223314.630440004</v>
      </c>
      <c r="H35" s="233">
        <f t="shared" si="2"/>
        <v>61.6</v>
      </c>
      <c r="I35" s="138"/>
      <c r="J35" s="198">
        <f t="shared" si="0"/>
        <v>14405149.160220001</v>
      </c>
      <c r="K35" s="198">
        <f t="shared" si="0"/>
        <v>26933719.897160005</v>
      </c>
      <c r="L35" s="231">
        <f t="shared" si="3"/>
        <v>87</v>
      </c>
      <c r="M35" s="75"/>
    </row>
    <row r="36" spans="1:15" ht="18.75" x14ac:dyDescent="0.3">
      <c r="A36" s="137"/>
      <c r="B36" s="110"/>
      <c r="C36" s="198"/>
      <c r="D36" s="233"/>
      <c r="E36" s="138"/>
      <c r="F36" s="198"/>
      <c r="G36" s="198"/>
      <c r="H36" s="233"/>
      <c r="I36" s="138"/>
      <c r="J36" s="196"/>
      <c r="K36" s="196"/>
      <c r="L36" s="231"/>
      <c r="M36" s="74"/>
    </row>
    <row r="37" spans="1:15" ht="22.5" x14ac:dyDescent="0.3">
      <c r="A37" s="137" t="s">
        <v>352</v>
      </c>
      <c r="B37" s="110"/>
      <c r="C37" s="198"/>
      <c r="D37" s="196"/>
      <c r="E37" s="138"/>
      <c r="F37" s="198"/>
      <c r="G37" s="198"/>
      <c r="H37" s="233"/>
      <c r="I37" s="138"/>
      <c r="J37" s="196"/>
      <c r="K37" s="196"/>
      <c r="L37" s="231"/>
      <c r="M37" s="74"/>
    </row>
    <row r="38" spans="1:15" s="135" customFormat="1" ht="18.75" x14ac:dyDescent="0.3">
      <c r="A38" s="137" t="s">
        <v>109</v>
      </c>
      <c r="B38" s="110">
        <f>'Skjema total MA'!B53</f>
        <v>233339.94</v>
      </c>
      <c r="C38" s="110">
        <f>'Skjema total MA'!C53</f>
        <v>163646.02387602179</v>
      </c>
      <c r="D38" s="233">
        <f t="shared" si="5"/>
        <v>-29.9</v>
      </c>
      <c r="E38" s="138"/>
      <c r="F38" s="198"/>
      <c r="G38" s="198"/>
      <c r="H38" s="233"/>
      <c r="I38" s="138"/>
      <c r="J38" s="198">
        <f t="shared" si="0"/>
        <v>233339.94</v>
      </c>
      <c r="K38" s="198">
        <f t="shared" si="0"/>
        <v>163646.02387602179</v>
      </c>
      <c r="L38" s="231">
        <f t="shared" si="3"/>
        <v>-29.9</v>
      </c>
      <c r="M38" s="75"/>
    </row>
    <row r="39" spans="1:15" ht="18.75" x14ac:dyDescent="0.3">
      <c r="A39" s="137"/>
      <c r="B39" s="110"/>
      <c r="C39" s="198"/>
      <c r="D39" s="196"/>
      <c r="E39" s="138"/>
      <c r="F39" s="198"/>
      <c r="G39" s="198"/>
      <c r="H39" s="233"/>
      <c r="I39" s="138"/>
      <c r="J39" s="196"/>
      <c r="K39" s="196"/>
      <c r="L39" s="231"/>
      <c r="M39" s="74"/>
    </row>
    <row r="40" spans="1:15" ht="22.5" x14ac:dyDescent="0.3">
      <c r="A40" s="192" t="s">
        <v>353</v>
      </c>
      <c r="B40" s="200"/>
      <c r="C40" s="203"/>
      <c r="D40" s="196"/>
      <c r="E40" s="182"/>
      <c r="F40" s="196"/>
      <c r="G40" s="196"/>
      <c r="H40" s="233"/>
      <c r="I40" s="182"/>
      <c r="J40" s="196"/>
      <c r="K40" s="196"/>
      <c r="L40" s="231"/>
      <c r="M40" s="74"/>
    </row>
    <row r="41" spans="1:15" ht="18.75" x14ac:dyDescent="0.3">
      <c r="A41" s="193" t="s">
        <v>107</v>
      </c>
      <c r="B41" s="104">
        <f>'Skjema total MA'!B12</f>
        <v>18101</v>
      </c>
      <c r="C41" s="104">
        <f>'Skjema total MA'!C12</f>
        <v>2832</v>
      </c>
      <c r="D41" s="233">
        <f>IF(B41=0, "    ---- ", IF(ABS(ROUND(100/B41*C41-100,1))&lt;999,ROUND(100/B41*C41-100,1),IF(ROUND(100/B41*C41-100,1)&gt;999,999,-999)))</f>
        <v>-84.4</v>
      </c>
      <c r="E41" s="182"/>
      <c r="F41" s="196">
        <f>'Skjema total MA'!E12</f>
        <v>324427.82951000001</v>
      </c>
      <c r="G41" s="196">
        <f>'Skjema total MA'!F12</f>
        <v>246030.4742</v>
      </c>
      <c r="H41" s="233">
        <f t="shared" si="2"/>
        <v>-24.2</v>
      </c>
      <c r="I41" s="182"/>
      <c r="J41" s="196">
        <f t="shared" si="0"/>
        <v>342528.82951000001</v>
      </c>
      <c r="K41" s="196">
        <f t="shared" si="0"/>
        <v>248862.4742</v>
      </c>
      <c r="L41" s="231">
        <f t="shared" si="3"/>
        <v>-27.3</v>
      </c>
      <c r="M41" s="74"/>
    </row>
    <row r="42" spans="1:15" ht="18.75" x14ac:dyDescent="0.3">
      <c r="A42" s="193" t="s">
        <v>108</v>
      </c>
      <c r="B42" s="104">
        <f>'Skjema total MA'!B35</f>
        <v>-29190.046699999999</v>
      </c>
      <c r="C42" s="104">
        <f>'Skjema total MA'!C35</f>
        <v>-123894.02335999999</v>
      </c>
      <c r="D42" s="233">
        <f t="shared" ref="D42:D46" si="6">IF(B42=0, "    ---- ", IF(ABS(ROUND(100/B42*C42-100,1))&lt;999,ROUND(100/B42*C42-100,1),IF(ROUND(100/B42*C42-100,1)&gt;999,999,-999)))</f>
        <v>324.39999999999998</v>
      </c>
      <c r="E42" s="182"/>
      <c r="F42" s="196">
        <f>'Skjema total MA'!E35</f>
        <v>132988.32624999998</v>
      </c>
      <c r="G42" s="196">
        <f>'Skjema total MA'!F35</f>
        <v>166221.30631000001</v>
      </c>
      <c r="H42" s="233">
        <f t="shared" si="2"/>
        <v>25</v>
      </c>
      <c r="I42" s="182"/>
      <c r="J42" s="196">
        <f t="shared" si="0"/>
        <v>103798.27954999998</v>
      </c>
      <c r="K42" s="196">
        <f t="shared" si="0"/>
        <v>42327.282950000023</v>
      </c>
      <c r="L42" s="231">
        <f t="shared" si="3"/>
        <v>-59.2</v>
      </c>
      <c r="M42" s="74"/>
    </row>
    <row r="43" spans="1:15" ht="18.75" x14ac:dyDescent="0.3">
      <c r="A43" s="193" t="s">
        <v>110</v>
      </c>
      <c r="B43" s="104">
        <f>'Skjema total MA'!B119</f>
        <v>491675.87259000004</v>
      </c>
      <c r="C43" s="104">
        <f>'Skjema total MA'!C119</f>
        <v>851674.05171999987</v>
      </c>
      <c r="D43" s="233">
        <f t="shared" si="6"/>
        <v>73.2</v>
      </c>
      <c r="E43" s="182"/>
      <c r="F43" s="196">
        <f>'Skjema total MA'!E119</f>
        <v>13560237.3026</v>
      </c>
      <c r="G43" s="196">
        <f>'Skjema total MA'!F119</f>
        <v>22437527.66683</v>
      </c>
      <c r="H43" s="233">
        <f t="shared" si="2"/>
        <v>65.5</v>
      </c>
      <c r="I43" s="182"/>
      <c r="J43" s="196">
        <f t="shared" si="0"/>
        <v>14051913.17519</v>
      </c>
      <c r="K43" s="196">
        <f t="shared" si="0"/>
        <v>23289201.71855</v>
      </c>
      <c r="L43" s="231">
        <f t="shared" si="3"/>
        <v>65.7</v>
      </c>
      <c r="M43" s="74"/>
    </row>
    <row r="44" spans="1:15" ht="22.5" x14ac:dyDescent="0.3">
      <c r="A44" s="193" t="s">
        <v>349</v>
      </c>
      <c r="B44" s="104">
        <f>'Skjema total MA'!B137</f>
        <v>291578.90500000003</v>
      </c>
      <c r="C44" s="104">
        <f>'Skjema total MA'!C137</f>
        <v>7696593.8039999995</v>
      </c>
      <c r="D44" s="233">
        <f t="shared" si="6"/>
        <v>999</v>
      </c>
      <c r="E44" s="182"/>
      <c r="F44" s="196">
        <f>'Skjema total MA'!E137</f>
        <v>0</v>
      </c>
      <c r="G44" s="196">
        <f>'Skjema total MA'!F137</f>
        <v>0</v>
      </c>
      <c r="H44" s="233"/>
      <c r="I44" s="182"/>
      <c r="J44" s="196">
        <f t="shared" si="0"/>
        <v>291578.90500000003</v>
      </c>
      <c r="K44" s="196">
        <f t="shared" si="0"/>
        <v>7696593.8039999995</v>
      </c>
      <c r="L44" s="231">
        <f t="shared" si="3"/>
        <v>999</v>
      </c>
      <c r="M44" s="74"/>
    </row>
    <row r="45" spans="1:15" ht="18.75" x14ac:dyDescent="0.3">
      <c r="A45" s="193" t="s">
        <v>113</v>
      </c>
      <c r="B45" s="104">
        <f>'Skjema total MA'!B39</f>
        <v>0</v>
      </c>
      <c r="C45" s="104">
        <f>'Skjema total MA'!C39</f>
        <v>19</v>
      </c>
      <c r="D45" s="233" t="str">
        <f t="shared" si="6"/>
        <v xml:space="preserve">    ---- </v>
      </c>
      <c r="E45" s="182"/>
      <c r="F45" s="196"/>
      <c r="G45" s="196"/>
      <c r="H45" s="233"/>
      <c r="I45" s="182"/>
      <c r="J45" s="196">
        <f t="shared" si="0"/>
        <v>0</v>
      </c>
      <c r="K45" s="196">
        <f t="shared" si="0"/>
        <v>19</v>
      </c>
      <c r="L45" s="231" t="str">
        <f t="shared" si="3"/>
        <v xml:space="preserve">    ---- </v>
      </c>
      <c r="M45" s="74"/>
    </row>
    <row r="46" spans="1:15" s="135" customFormat="1" ht="18.75" x14ac:dyDescent="0.3">
      <c r="A46" s="137" t="s">
        <v>118</v>
      </c>
      <c r="B46" s="110">
        <f>SUM(B41:B45)</f>
        <v>772165.73089000001</v>
      </c>
      <c r="C46" s="198">
        <f>SUM(C41:C45)</f>
        <v>8427224.8323599994</v>
      </c>
      <c r="D46" s="233">
        <f t="shared" si="6"/>
        <v>991.4</v>
      </c>
      <c r="E46" s="138"/>
      <c r="F46" s="198">
        <f>SUM(F41:F45)</f>
        <v>14017653.45836</v>
      </c>
      <c r="G46" s="275">
        <f>SUM(G41:G45)</f>
        <v>22849779.44734</v>
      </c>
      <c r="H46" s="233">
        <f t="shared" si="2"/>
        <v>63</v>
      </c>
      <c r="I46" s="138"/>
      <c r="J46" s="198">
        <f t="shared" si="0"/>
        <v>14789819.18925</v>
      </c>
      <c r="K46" s="198">
        <f t="shared" si="0"/>
        <v>31277004.2797</v>
      </c>
      <c r="L46" s="231">
        <f t="shared" si="3"/>
        <v>111.5</v>
      </c>
      <c r="M46" s="75"/>
      <c r="N46" s="134"/>
      <c r="O46" s="134"/>
    </row>
    <row r="47" spans="1:15" ht="18.75" x14ac:dyDescent="0.3">
      <c r="A47" s="137"/>
      <c r="B47" s="110"/>
      <c r="C47" s="198"/>
      <c r="D47" s="196"/>
      <c r="E47" s="138"/>
      <c r="F47" s="198"/>
      <c r="G47" s="198"/>
      <c r="H47" s="233"/>
      <c r="I47" s="138"/>
      <c r="J47" s="196"/>
      <c r="K47" s="196"/>
      <c r="L47" s="231"/>
      <c r="M47" s="74"/>
    </row>
    <row r="48" spans="1:15" ht="22.5" x14ac:dyDescent="0.3">
      <c r="A48" s="137" t="s">
        <v>354</v>
      </c>
      <c r="B48" s="110"/>
      <c r="C48" s="198"/>
      <c r="D48" s="196"/>
      <c r="E48" s="138"/>
      <c r="F48" s="198"/>
      <c r="G48" s="198"/>
      <c r="H48" s="233"/>
      <c r="I48" s="138"/>
      <c r="J48" s="196"/>
      <c r="K48" s="196"/>
      <c r="L48" s="231"/>
      <c r="M48" s="74"/>
    </row>
    <row r="49" spans="1:15" s="135" customFormat="1" ht="18.75" x14ac:dyDescent="0.3">
      <c r="A49" s="137" t="s">
        <v>109</v>
      </c>
      <c r="B49" s="110">
        <f>'Skjema total MA'!B56</f>
        <v>185992.932</v>
      </c>
      <c r="C49" s="110">
        <f>'Skjema total MA'!C56</f>
        <v>126886.65</v>
      </c>
      <c r="D49" s="233">
        <f t="shared" ref="D49" si="7">IF(B49=0, "    ---- ", IF(ABS(ROUND(100/B49*C49-100,1))&lt;999,ROUND(100/B49*C49-100,1),IF(ROUND(100/B49*C49-100,1)&gt;999,999,-999)))</f>
        <v>-31.8</v>
      </c>
      <c r="E49" s="138"/>
      <c r="F49" s="198"/>
      <c r="G49" s="198"/>
      <c r="H49" s="233"/>
      <c r="I49" s="138"/>
      <c r="J49" s="198">
        <f>SUM(B49+F49)</f>
        <v>185992.932</v>
      </c>
      <c r="K49" s="198">
        <f>SUM(C49+G49)</f>
        <v>126886.65</v>
      </c>
      <c r="L49" s="231">
        <f t="shared" si="3"/>
        <v>-31.8</v>
      </c>
      <c r="M49" s="75"/>
    </row>
    <row r="50" spans="1:15" ht="18.75" x14ac:dyDescent="0.3">
      <c r="A50" s="137"/>
      <c r="B50" s="104"/>
      <c r="C50" s="196"/>
      <c r="D50" s="196"/>
      <c r="E50" s="182"/>
      <c r="F50" s="196"/>
      <c r="G50" s="196"/>
      <c r="H50" s="233"/>
      <c r="I50" s="182"/>
      <c r="J50" s="196"/>
      <c r="K50" s="196"/>
      <c r="L50" s="231"/>
      <c r="M50" s="74"/>
    </row>
    <row r="51" spans="1:15" ht="21.75" x14ac:dyDescent="0.3">
      <c r="A51" s="192" t="s">
        <v>355</v>
      </c>
      <c r="B51" s="104"/>
      <c r="C51" s="196"/>
      <c r="D51" s="196"/>
      <c r="E51" s="182"/>
      <c r="F51" s="196"/>
      <c r="G51" s="196"/>
      <c r="H51" s="233"/>
      <c r="I51" s="182"/>
      <c r="J51" s="196"/>
      <c r="K51" s="196"/>
      <c r="L51" s="231"/>
      <c r="M51" s="74"/>
    </row>
    <row r="52" spans="1:15" ht="18.75" x14ac:dyDescent="0.3">
      <c r="A52" s="193" t="s">
        <v>107</v>
      </c>
      <c r="B52" s="104">
        <f>B30-B41</f>
        <v>47102</v>
      </c>
      <c r="C52" s="196">
        <f>C30-C41</f>
        <v>37605.802000000003</v>
      </c>
      <c r="D52" s="233">
        <f>IF(B52=0, "    ---- ", IF(ABS(ROUND(100/B52*C52-100,1))&lt;999,ROUND(100/B52*C52-100,1),IF(ROUND(100/B52*C52-100,1)&gt;999,999,-999)))</f>
        <v>-20.2</v>
      </c>
      <c r="E52" s="182"/>
      <c r="F52" s="196">
        <f>F30-F41</f>
        <v>88272.512439999904</v>
      </c>
      <c r="G52" s="196">
        <f>G30-G41</f>
        <v>96381.975059999968</v>
      </c>
      <c r="H52" s="233">
        <f t="shared" si="2"/>
        <v>9.1999999999999993</v>
      </c>
      <c r="I52" s="182"/>
      <c r="J52" s="196">
        <f t="shared" si="0"/>
        <v>135374.5124399999</v>
      </c>
      <c r="K52" s="196">
        <f t="shared" si="0"/>
        <v>133987.77705999996</v>
      </c>
      <c r="L52" s="231">
        <f t="shared" si="3"/>
        <v>-1</v>
      </c>
      <c r="M52" s="74"/>
    </row>
    <row r="53" spans="1:15" ht="18.75" x14ac:dyDescent="0.3">
      <c r="A53" s="193" t="s">
        <v>108</v>
      </c>
      <c r="B53" s="104">
        <f t="shared" ref="B53:C56" si="8">B31-B42</f>
        <v>55746.579700000002</v>
      </c>
      <c r="C53" s="196">
        <f t="shared" si="8"/>
        <v>151731.20036999998</v>
      </c>
      <c r="D53" s="233">
        <f t="shared" ref="D53:D60" si="9">IF(B53=0, "    ---- ", IF(ABS(ROUND(100/B53*C53-100,1))&lt;999,ROUND(100/B53*C53-100,1),IF(ROUND(100/B53*C53-100,1)&gt;999,999,-999)))</f>
        <v>172.2</v>
      </c>
      <c r="E53" s="182"/>
      <c r="F53" s="196">
        <f t="shared" ref="F53:G56" si="10">F31-F42</f>
        <v>-62808.577979999987</v>
      </c>
      <c r="G53" s="196">
        <f t="shared" si="10"/>
        <v>14731.188849999977</v>
      </c>
      <c r="H53" s="233">
        <f t="shared" si="2"/>
        <v>-123.5</v>
      </c>
      <c r="I53" s="182"/>
      <c r="J53" s="196">
        <f t="shared" si="0"/>
        <v>-7061.9982799999852</v>
      </c>
      <c r="K53" s="196">
        <f t="shared" si="0"/>
        <v>166462.38921999995</v>
      </c>
      <c r="L53" s="231">
        <f t="shared" si="3"/>
        <v>-999</v>
      </c>
      <c r="M53" s="74"/>
    </row>
    <row r="54" spans="1:15" ht="18.75" x14ac:dyDescent="0.3">
      <c r="A54" s="193" t="s">
        <v>110</v>
      </c>
      <c r="B54" s="104">
        <f t="shared" si="8"/>
        <v>-15058.392610000039</v>
      </c>
      <c r="C54" s="196">
        <f t="shared" si="8"/>
        <v>70052.373990000226</v>
      </c>
      <c r="D54" s="233">
        <f t="shared" si="9"/>
        <v>-565.20000000000005</v>
      </c>
      <c r="E54" s="182"/>
      <c r="F54" s="196">
        <f t="shared" si="10"/>
        <v>-323509.6485799998</v>
      </c>
      <c r="G54" s="196">
        <f t="shared" si="10"/>
        <v>-230112.80880999565</v>
      </c>
      <c r="H54" s="233">
        <f t="shared" si="2"/>
        <v>-28.9</v>
      </c>
      <c r="I54" s="182"/>
      <c r="J54" s="196">
        <f t="shared" si="0"/>
        <v>-338568.04118999984</v>
      </c>
      <c r="K54" s="196">
        <f t="shared" si="0"/>
        <v>-160060.43481999543</v>
      </c>
      <c r="L54" s="231">
        <f t="shared" si="3"/>
        <v>-52.7</v>
      </c>
      <c r="M54" s="74"/>
    </row>
    <row r="55" spans="1:15" ht="22.5" x14ac:dyDescent="0.3">
      <c r="A55" s="193" t="s">
        <v>349</v>
      </c>
      <c r="B55" s="104">
        <f t="shared" si="8"/>
        <v>-205562.60600000003</v>
      </c>
      <c r="C55" s="196">
        <f t="shared" si="8"/>
        <v>-3976189.9419999993</v>
      </c>
      <c r="D55" s="233">
        <f t="shared" si="9"/>
        <v>999</v>
      </c>
      <c r="E55" s="182"/>
      <c r="F55" s="196">
        <f t="shared" si="10"/>
        <v>31148.103999999999</v>
      </c>
      <c r="G55" s="196">
        <f t="shared" si="10"/>
        <v>-507465.17200000002</v>
      </c>
      <c r="H55" s="233">
        <f t="shared" si="2"/>
        <v>-999</v>
      </c>
      <c r="I55" s="182"/>
      <c r="J55" s="196">
        <f t="shared" si="0"/>
        <v>-174414.50200000004</v>
      </c>
      <c r="K55" s="196">
        <f t="shared" si="0"/>
        <v>-4483655.1139999991</v>
      </c>
      <c r="L55" s="231">
        <f t="shared" si="3"/>
        <v>999</v>
      </c>
      <c r="M55" s="74"/>
    </row>
    <row r="56" spans="1:15" ht="18.75" x14ac:dyDescent="0.3">
      <c r="A56" s="193" t="s">
        <v>113</v>
      </c>
      <c r="B56" s="104">
        <f t="shared" si="8"/>
        <v>0</v>
      </c>
      <c r="C56" s="196">
        <f t="shared" si="8"/>
        <v>-19</v>
      </c>
      <c r="D56" s="233" t="str">
        <f t="shared" si="9"/>
        <v xml:space="preserve">    ---- </v>
      </c>
      <c r="E56" s="182"/>
      <c r="F56" s="196">
        <f t="shared" si="10"/>
        <v>0</v>
      </c>
      <c r="G56" s="196">
        <f t="shared" si="10"/>
        <v>0</v>
      </c>
      <c r="H56" s="233" t="str">
        <f t="shared" si="2"/>
        <v xml:space="preserve">    ---- </v>
      </c>
      <c r="I56" s="182"/>
      <c r="J56" s="196">
        <f t="shared" si="0"/>
        <v>0</v>
      </c>
      <c r="K56" s="196">
        <f t="shared" si="0"/>
        <v>-19</v>
      </c>
      <c r="L56" s="231" t="str">
        <f t="shared" si="3"/>
        <v xml:space="preserve">    ---- </v>
      </c>
      <c r="M56" s="74"/>
    </row>
    <row r="57" spans="1:15" s="135" customFormat="1" ht="18.75" x14ac:dyDescent="0.3">
      <c r="A57" s="137" t="s">
        <v>119</v>
      </c>
      <c r="B57" s="110">
        <f>SUM(B52:B56)</f>
        <v>-117772.41891000007</v>
      </c>
      <c r="C57" s="198">
        <f>SUM(C52:C56)</f>
        <v>-3716819.5656399992</v>
      </c>
      <c r="D57" s="233">
        <f>IF(B57=0, "    ---- ", IF(ABS(ROUND(100/B57*C57-100,1))&lt;999,ROUND(100/B57*C57-100,1),IF(ROUND(100/B57*C57-100,1)&gt;999,999,-999)))</f>
        <v>999</v>
      </c>
      <c r="E57" s="138"/>
      <c r="F57" s="198">
        <f>SUM(F52:F56)</f>
        <v>-266897.61011999991</v>
      </c>
      <c r="G57" s="275">
        <f>SUM(G52:G56)</f>
        <v>-626464.81689999579</v>
      </c>
      <c r="H57" s="233">
        <f t="shared" si="2"/>
        <v>134.69999999999999</v>
      </c>
      <c r="I57" s="138"/>
      <c r="J57" s="198">
        <f t="shared" si="0"/>
        <v>-384670.02902999998</v>
      </c>
      <c r="K57" s="196">
        <f t="shared" si="0"/>
        <v>-4343284.382539995</v>
      </c>
      <c r="L57" s="231">
        <f t="shared" si="3"/>
        <v>999</v>
      </c>
      <c r="M57" s="75"/>
      <c r="N57" s="134"/>
      <c r="O57" s="134"/>
    </row>
    <row r="58" spans="1:15" ht="18.75" x14ac:dyDescent="0.3">
      <c r="A58" s="137"/>
      <c r="B58" s="110"/>
      <c r="C58" s="198"/>
      <c r="D58" s="233"/>
      <c r="E58" s="138"/>
      <c r="F58" s="198"/>
      <c r="G58" s="198"/>
      <c r="H58" s="233"/>
      <c r="I58" s="138"/>
      <c r="J58" s="198"/>
      <c r="K58" s="196"/>
      <c r="L58" s="231"/>
      <c r="M58" s="74"/>
    </row>
    <row r="59" spans="1:15" ht="22.5" x14ac:dyDescent="0.3">
      <c r="A59" s="137" t="s">
        <v>356</v>
      </c>
      <c r="B59" s="110"/>
      <c r="C59" s="198"/>
      <c r="D59" s="233"/>
      <c r="E59" s="138"/>
      <c r="F59" s="198"/>
      <c r="G59" s="198"/>
      <c r="H59" s="233"/>
      <c r="I59" s="138"/>
      <c r="J59" s="198"/>
      <c r="K59" s="196"/>
      <c r="L59" s="231"/>
      <c r="M59" s="74"/>
    </row>
    <row r="60" spans="1:15" s="135" customFormat="1" ht="18.75" x14ac:dyDescent="0.3">
      <c r="A60" s="137" t="s">
        <v>109</v>
      </c>
      <c r="B60" s="110">
        <f>B38-B49</f>
        <v>47347.008000000002</v>
      </c>
      <c r="C60" s="198">
        <f>C38-C49</f>
        <v>36759.373876021797</v>
      </c>
      <c r="D60" s="233">
        <f t="shared" si="9"/>
        <v>-22.4</v>
      </c>
      <c r="E60" s="138"/>
      <c r="F60" s="198">
        <f>F38-F49</f>
        <v>0</v>
      </c>
      <c r="G60" s="198">
        <f>G38-G49</f>
        <v>0</v>
      </c>
      <c r="H60" s="233"/>
      <c r="I60" s="138"/>
      <c r="J60" s="198">
        <f t="shared" si="0"/>
        <v>47347.008000000002</v>
      </c>
      <c r="K60" s="196">
        <f t="shared" si="0"/>
        <v>36759.373876021797</v>
      </c>
      <c r="L60" s="231">
        <f t="shared" si="3"/>
        <v>-22.4</v>
      </c>
      <c r="M60" s="75"/>
    </row>
    <row r="61" spans="1:15" s="135" customFormat="1" ht="18.75" x14ac:dyDescent="0.3">
      <c r="A61" s="195"/>
      <c r="B61" s="115"/>
      <c r="C61" s="199"/>
      <c r="D61" s="204"/>
      <c r="E61" s="138"/>
      <c r="F61" s="199"/>
      <c r="G61" s="199"/>
      <c r="H61" s="204"/>
      <c r="I61" s="138"/>
      <c r="J61" s="204"/>
      <c r="K61" s="204"/>
      <c r="L61" s="204"/>
      <c r="M61" s="75"/>
    </row>
    <row r="62" spans="1:15" ht="18.75" x14ac:dyDescent="0.3">
      <c r="A62" s="112" t="s">
        <v>120</v>
      </c>
      <c r="C62" s="139"/>
      <c r="D62" s="139"/>
      <c r="E62" s="139"/>
      <c r="F62" s="139"/>
      <c r="G62" s="112"/>
      <c r="H62" s="74"/>
      <c r="I62" s="112"/>
      <c r="J62" s="112"/>
      <c r="K62" s="112"/>
      <c r="L62" s="74"/>
      <c r="M62" s="74"/>
    </row>
    <row r="63" spans="1:15" ht="18.75" x14ac:dyDescent="0.3">
      <c r="A63" s="112" t="s">
        <v>121</v>
      </c>
      <c r="C63" s="139"/>
      <c r="D63" s="139"/>
      <c r="E63" s="139"/>
      <c r="F63" s="139"/>
      <c r="G63" s="74"/>
      <c r="H63" s="74"/>
      <c r="I63" s="74"/>
      <c r="J63" s="74"/>
      <c r="K63" s="74"/>
      <c r="L63" s="74"/>
      <c r="M63" s="74"/>
    </row>
    <row r="64" spans="1:15" ht="18.75" x14ac:dyDescent="0.3">
      <c r="A64" s="112" t="s">
        <v>100</v>
      </c>
      <c r="B64" s="74"/>
      <c r="C64" s="74"/>
      <c r="D64" s="74"/>
      <c r="E64" s="74"/>
      <c r="F64" s="74"/>
      <c r="G64" s="74"/>
      <c r="H64" s="74"/>
      <c r="I64" s="74"/>
      <c r="J64" s="74"/>
      <c r="K64" s="74"/>
      <c r="L64" s="74"/>
      <c r="M64" s="74"/>
    </row>
    <row r="65" spans="1:13" ht="18.75" x14ac:dyDescent="0.3">
      <c r="A65" s="74"/>
      <c r="C65" s="74"/>
      <c r="D65" s="74"/>
      <c r="E65" s="74"/>
      <c r="F65" s="74"/>
      <c r="G65" s="74"/>
      <c r="H65" s="74"/>
      <c r="I65" s="74"/>
      <c r="J65" s="74"/>
      <c r="K65" s="74"/>
      <c r="L65" s="74"/>
      <c r="M65" s="74"/>
    </row>
    <row r="66" spans="1:13" ht="18.75" x14ac:dyDescent="0.3">
      <c r="A66" s="74"/>
      <c r="B66" s="74"/>
      <c r="C66" s="74"/>
      <c r="D66" s="74"/>
      <c r="E66" s="74"/>
      <c r="F66" s="74"/>
      <c r="G66" s="74"/>
      <c r="H66" s="74"/>
      <c r="I66" s="74"/>
      <c r="J66" s="74"/>
      <c r="K66" s="74"/>
      <c r="L66" s="74"/>
      <c r="M66" s="74"/>
    </row>
    <row r="67" spans="1:13" ht="18.75" x14ac:dyDescent="0.3">
      <c r="A67" s="74"/>
      <c r="B67" s="74"/>
      <c r="C67" s="74"/>
      <c r="D67" s="74"/>
      <c r="E67" s="74"/>
      <c r="F67" s="74"/>
      <c r="G67" s="74"/>
      <c r="H67" s="74"/>
      <c r="I67" s="74"/>
      <c r="J67" s="74"/>
      <c r="K67" s="74"/>
      <c r="L67" s="74"/>
      <c r="M67" s="74"/>
    </row>
    <row r="68" spans="1:13" ht="18.75" x14ac:dyDescent="0.3">
      <c r="A68" s="74"/>
      <c r="B68" s="74"/>
      <c r="C68" s="74"/>
      <c r="D68" s="74"/>
      <c r="E68" s="74"/>
      <c r="F68" s="74"/>
      <c r="G68" s="74"/>
      <c r="H68" s="74"/>
      <c r="I68" s="74"/>
      <c r="J68" s="74"/>
      <c r="K68" s="74"/>
      <c r="L68" s="74"/>
      <c r="M68" s="74"/>
    </row>
    <row r="69" spans="1:13" ht="18.75" x14ac:dyDescent="0.3">
      <c r="A69" s="74"/>
      <c r="B69" s="74"/>
      <c r="C69" s="74"/>
      <c r="D69" s="74"/>
      <c r="E69" s="74"/>
      <c r="F69" s="74"/>
      <c r="G69" s="74"/>
      <c r="H69" s="74"/>
      <c r="I69" s="74"/>
      <c r="J69" s="74"/>
      <c r="K69" s="74"/>
      <c r="L69" s="74"/>
      <c r="M69" s="74"/>
    </row>
    <row r="70" spans="1:13" ht="18.75" x14ac:dyDescent="0.3">
      <c r="A70" s="74"/>
      <c r="B70" s="74"/>
      <c r="C70" s="74"/>
      <c r="D70" s="74"/>
      <c r="E70" s="74"/>
      <c r="F70" s="74"/>
      <c r="G70" s="74"/>
      <c r="H70" s="74"/>
      <c r="I70" s="74"/>
      <c r="J70" s="74"/>
      <c r="K70" s="74"/>
      <c r="L70" s="74"/>
      <c r="M70" s="74"/>
    </row>
    <row r="71" spans="1:13" ht="18.75" x14ac:dyDescent="0.3">
      <c r="A71" s="74"/>
      <c r="B71" s="74"/>
      <c r="C71" s="74"/>
      <c r="D71" s="74"/>
      <c r="E71" s="74"/>
      <c r="F71" s="74"/>
      <c r="G71" s="74"/>
      <c r="H71" s="74"/>
      <c r="I71" s="74"/>
      <c r="J71" s="74"/>
      <c r="K71" s="74"/>
      <c r="L71" s="74"/>
      <c r="M71" s="74"/>
    </row>
    <row r="72" spans="1:13" ht="18.75" x14ac:dyDescent="0.3">
      <c r="A72" s="74"/>
      <c r="B72" s="74"/>
      <c r="C72" s="74"/>
      <c r="D72" s="74"/>
      <c r="E72" s="74"/>
      <c r="F72" s="74"/>
      <c r="G72" s="74"/>
      <c r="H72" s="74"/>
      <c r="I72" s="74"/>
      <c r="J72" s="74"/>
      <c r="K72" s="74"/>
      <c r="L72" s="74"/>
      <c r="M72" s="74"/>
    </row>
    <row r="73" spans="1:13" ht="18.75" x14ac:dyDescent="0.3">
      <c r="A73" s="74"/>
      <c r="B73" s="74"/>
      <c r="C73" s="74"/>
      <c r="D73" s="74"/>
      <c r="E73" s="74"/>
      <c r="F73" s="74"/>
      <c r="G73" s="74"/>
      <c r="H73" s="74"/>
      <c r="I73" s="74"/>
      <c r="J73" s="74"/>
      <c r="K73" s="74"/>
      <c r="L73" s="74"/>
      <c r="M73" s="74"/>
    </row>
    <row r="74" spans="1:13" ht="18.75" x14ac:dyDescent="0.3">
      <c r="A74" s="74"/>
      <c r="B74" s="74"/>
      <c r="C74" s="74"/>
      <c r="D74" s="74"/>
      <c r="E74" s="74"/>
      <c r="F74" s="74"/>
      <c r="G74" s="74"/>
      <c r="H74" s="74"/>
      <c r="I74" s="74"/>
      <c r="J74" s="74"/>
      <c r="K74" s="74"/>
      <c r="L74" s="74"/>
      <c r="M74" s="74"/>
    </row>
    <row r="75" spans="1:13" ht="18.75" x14ac:dyDescent="0.3">
      <c r="A75" s="74"/>
      <c r="B75" s="74"/>
      <c r="C75" s="74"/>
      <c r="D75" s="74"/>
      <c r="E75" s="74"/>
      <c r="F75" s="74"/>
      <c r="G75" s="74"/>
      <c r="H75" s="74"/>
      <c r="I75" s="74"/>
      <c r="J75" s="74"/>
      <c r="K75" s="74"/>
      <c r="L75" s="74"/>
      <c r="M75" s="74"/>
    </row>
    <row r="76" spans="1:13" ht="18.75" x14ac:dyDescent="0.3">
      <c r="A76" s="74"/>
      <c r="B76" s="74"/>
      <c r="C76" s="74"/>
      <c r="D76" s="74"/>
      <c r="E76" s="74"/>
      <c r="F76" s="74"/>
      <c r="G76" s="74"/>
      <c r="H76" s="74"/>
      <c r="I76" s="74"/>
      <c r="J76" s="74"/>
      <c r="K76" s="74"/>
      <c r="L76" s="74"/>
      <c r="M76" s="74"/>
    </row>
    <row r="77" spans="1:13" ht="18.75" x14ac:dyDescent="0.3">
      <c r="A77" s="74"/>
      <c r="B77" s="74"/>
      <c r="C77" s="74"/>
      <c r="D77" s="74"/>
      <c r="E77" s="74"/>
      <c r="F77" s="74"/>
      <c r="G77" s="74"/>
      <c r="H77" s="74"/>
      <c r="I77" s="74"/>
      <c r="J77" s="74"/>
      <c r="K77" s="74"/>
      <c r="L77" s="74"/>
      <c r="M77" s="74"/>
    </row>
    <row r="78" spans="1:13" ht="18.75" x14ac:dyDescent="0.3">
      <c r="A78" s="74"/>
      <c r="B78" s="74"/>
      <c r="C78" s="74"/>
      <c r="D78" s="74"/>
      <c r="E78" s="74"/>
      <c r="F78" s="74"/>
      <c r="G78" s="74"/>
      <c r="H78" s="74"/>
      <c r="I78" s="74"/>
      <c r="J78" s="74"/>
      <c r="K78" s="74"/>
      <c r="L78" s="74"/>
      <c r="M78" s="74"/>
    </row>
    <row r="79" spans="1:13" ht="18.75" x14ac:dyDescent="0.3">
      <c r="A79" s="74"/>
      <c r="B79" s="74"/>
      <c r="C79" s="74"/>
      <c r="D79" s="74"/>
      <c r="E79" s="74"/>
      <c r="F79" s="74"/>
      <c r="G79" s="74"/>
      <c r="H79" s="74"/>
      <c r="I79" s="74"/>
      <c r="J79" s="74"/>
      <c r="K79" s="74"/>
      <c r="L79" s="74"/>
      <c r="M79" s="74"/>
    </row>
    <row r="80" spans="1:13" ht="18.75" x14ac:dyDescent="0.3">
      <c r="A80" s="74"/>
      <c r="B80" s="74"/>
      <c r="C80" s="74"/>
      <c r="D80" s="74"/>
      <c r="E80" s="74"/>
      <c r="F80" s="74"/>
      <c r="G80" s="74"/>
      <c r="H80" s="74"/>
      <c r="I80" s="74"/>
      <c r="J80" s="74"/>
      <c r="K80" s="74"/>
      <c r="L80" s="74"/>
      <c r="M80" s="74"/>
    </row>
    <row r="81" spans="1:13" ht="18.75" x14ac:dyDescent="0.3">
      <c r="A81" s="74"/>
      <c r="B81" s="74"/>
      <c r="C81" s="74"/>
      <c r="D81" s="74"/>
      <c r="E81" s="74"/>
      <c r="F81" s="74"/>
      <c r="G81" s="74"/>
      <c r="H81" s="74"/>
      <c r="I81" s="74"/>
      <c r="J81" s="74"/>
      <c r="K81" s="74"/>
      <c r="L81" s="74"/>
      <c r="M81" s="74"/>
    </row>
    <row r="82" spans="1:13" ht="18.75" x14ac:dyDescent="0.3">
      <c r="A82" s="74"/>
      <c r="B82" s="74"/>
      <c r="C82" s="74"/>
      <c r="D82" s="74"/>
      <c r="E82" s="74"/>
      <c r="F82" s="74"/>
      <c r="G82" s="74"/>
      <c r="H82" s="74"/>
      <c r="I82" s="74"/>
      <c r="J82" s="74"/>
      <c r="K82" s="74"/>
      <c r="L82" s="74"/>
      <c r="M82" s="74"/>
    </row>
    <row r="83" spans="1:13" ht="18.75" x14ac:dyDescent="0.3">
      <c r="A83" s="74"/>
      <c r="B83" s="74"/>
      <c r="C83" s="74"/>
      <c r="D83" s="74"/>
      <c r="E83" s="74"/>
      <c r="F83" s="74"/>
      <c r="G83" s="74"/>
      <c r="H83" s="74"/>
      <c r="I83" s="74"/>
      <c r="J83" s="74"/>
      <c r="K83" s="74"/>
      <c r="L83" s="74"/>
      <c r="M83" s="74"/>
    </row>
    <row r="84" spans="1:13" ht="18.75" x14ac:dyDescent="0.3">
      <c r="A84" s="74"/>
      <c r="B84" s="74"/>
      <c r="C84" s="74"/>
      <c r="D84" s="74"/>
      <c r="E84" s="74"/>
      <c r="F84" s="74"/>
      <c r="G84" s="74"/>
      <c r="H84" s="74"/>
      <c r="I84" s="74"/>
      <c r="J84" s="74"/>
      <c r="K84" s="74"/>
      <c r="L84" s="74"/>
      <c r="M84" s="74"/>
    </row>
    <row r="85" spans="1:13" ht="18.75" x14ac:dyDescent="0.3">
      <c r="A85" s="74"/>
      <c r="B85" s="74"/>
      <c r="C85" s="74"/>
      <c r="D85" s="74"/>
      <c r="E85" s="74"/>
      <c r="F85" s="74"/>
      <c r="G85" s="74"/>
      <c r="H85" s="74"/>
      <c r="I85" s="74"/>
      <c r="J85" s="74"/>
      <c r="K85" s="74"/>
      <c r="L85" s="74"/>
      <c r="M85" s="74"/>
    </row>
    <row r="86" spans="1:13" ht="18.75" x14ac:dyDescent="0.3">
      <c r="A86" s="74"/>
      <c r="B86" s="74"/>
      <c r="C86" s="74"/>
      <c r="D86" s="74"/>
      <c r="E86" s="74"/>
      <c r="F86" s="74"/>
      <c r="G86" s="74"/>
      <c r="H86" s="74"/>
      <c r="I86" s="74"/>
      <c r="J86" s="74"/>
      <c r="K86" s="74"/>
      <c r="L86" s="74"/>
      <c r="M86" s="74"/>
    </row>
    <row r="87" spans="1:13" ht="18.75" x14ac:dyDescent="0.3">
      <c r="A87" s="74"/>
      <c r="B87" s="74"/>
      <c r="C87" s="74"/>
      <c r="D87" s="74"/>
      <c r="E87" s="74"/>
      <c r="F87" s="74"/>
      <c r="G87" s="74"/>
      <c r="H87" s="74"/>
      <c r="I87" s="74"/>
      <c r="J87" s="74"/>
      <c r="K87" s="74"/>
      <c r="L87" s="74"/>
      <c r="M87" s="74"/>
    </row>
    <row r="88" spans="1:13" ht="18.75" x14ac:dyDescent="0.3">
      <c r="A88" s="74"/>
      <c r="B88" s="74"/>
      <c r="C88" s="74"/>
      <c r="D88" s="74"/>
      <c r="E88" s="74"/>
      <c r="F88" s="74"/>
      <c r="G88" s="74"/>
      <c r="H88" s="74"/>
      <c r="I88" s="74"/>
      <c r="J88" s="74"/>
      <c r="K88" s="74"/>
      <c r="L88" s="74"/>
      <c r="M88" s="74"/>
    </row>
    <row r="89" spans="1:13" ht="18.75" x14ac:dyDescent="0.3">
      <c r="A89" s="74"/>
      <c r="B89" s="74"/>
      <c r="C89" s="74"/>
      <c r="D89" s="74"/>
      <c r="E89" s="74"/>
      <c r="F89" s="74"/>
      <c r="G89" s="74"/>
      <c r="H89" s="74"/>
      <c r="I89" s="74"/>
      <c r="J89" s="74"/>
      <c r="K89" s="74"/>
      <c r="L89" s="74"/>
      <c r="M89" s="74"/>
    </row>
    <row r="90" spans="1:13" ht="18.75" x14ac:dyDescent="0.3">
      <c r="A90" s="74"/>
      <c r="B90" s="74"/>
      <c r="C90" s="74"/>
      <c r="D90" s="74"/>
      <c r="E90" s="74"/>
      <c r="F90" s="74"/>
      <c r="G90" s="74"/>
      <c r="H90" s="74"/>
      <c r="I90" s="74"/>
      <c r="J90" s="74"/>
      <c r="K90" s="74"/>
      <c r="L90" s="74"/>
      <c r="M90" s="74"/>
    </row>
    <row r="91" spans="1:13" ht="18.75" x14ac:dyDescent="0.3">
      <c r="A91" s="74"/>
      <c r="B91" s="74"/>
      <c r="C91" s="74"/>
      <c r="D91" s="74"/>
      <c r="E91" s="74"/>
      <c r="F91" s="74"/>
      <c r="G91" s="74"/>
      <c r="H91" s="74"/>
      <c r="I91" s="74"/>
      <c r="J91" s="74"/>
      <c r="K91" s="74"/>
      <c r="L91" s="74"/>
      <c r="M91" s="74"/>
    </row>
    <row r="92" spans="1:13" ht="18.75" x14ac:dyDescent="0.3">
      <c r="A92" s="74"/>
      <c r="B92" s="74"/>
      <c r="C92" s="74"/>
      <c r="D92" s="74"/>
      <c r="E92" s="74"/>
      <c r="F92" s="74"/>
      <c r="G92" s="74"/>
      <c r="H92" s="74"/>
      <c r="I92" s="74"/>
      <c r="J92" s="74"/>
      <c r="K92" s="74"/>
      <c r="L92" s="74"/>
      <c r="M92" s="74"/>
    </row>
    <row r="93" spans="1:13" ht="18.75" x14ac:dyDescent="0.3">
      <c r="A93" s="74"/>
      <c r="B93" s="74"/>
      <c r="C93" s="74"/>
      <c r="D93" s="74"/>
      <c r="E93" s="74"/>
      <c r="F93" s="74"/>
      <c r="G93" s="74"/>
      <c r="H93" s="74"/>
      <c r="I93" s="74"/>
      <c r="J93" s="74"/>
      <c r="K93" s="74"/>
      <c r="L93" s="74"/>
      <c r="M93" s="74"/>
    </row>
    <row r="94" spans="1:13" ht="18.75" x14ac:dyDescent="0.3">
      <c r="A94" s="74"/>
      <c r="B94" s="74"/>
      <c r="C94" s="74"/>
      <c r="D94" s="74"/>
      <c r="E94" s="74"/>
      <c r="F94" s="74"/>
      <c r="G94" s="74"/>
      <c r="H94" s="74"/>
      <c r="I94" s="74"/>
      <c r="J94" s="74"/>
      <c r="K94" s="74"/>
      <c r="L94" s="74"/>
      <c r="M94" s="74"/>
    </row>
    <row r="95" spans="1:13" ht="18.75" x14ac:dyDescent="0.3">
      <c r="A95" s="74"/>
      <c r="B95" s="74"/>
      <c r="C95" s="74"/>
      <c r="D95" s="74"/>
      <c r="E95" s="74"/>
      <c r="F95" s="74"/>
      <c r="G95" s="74"/>
      <c r="H95" s="74"/>
      <c r="I95" s="74"/>
      <c r="J95" s="74"/>
      <c r="K95" s="74"/>
      <c r="L95" s="74"/>
      <c r="M95" s="74"/>
    </row>
    <row r="96" spans="1:13" ht="18.75" x14ac:dyDescent="0.3">
      <c r="A96" s="74"/>
      <c r="B96" s="74"/>
      <c r="C96" s="74"/>
      <c r="D96" s="74"/>
      <c r="E96" s="74"/>
      <c r="F96" s="74"/>
      <c r="G96" s="74"/>
      <c r="H96" s="74"/>
      <c r="I96" s="74"/>
      <c r="J96" s="74"/>
      <c r="K96" s="74"/>
      <c r="L96" s="74"/>
      <c r="M96" s="74"/>
    </row>
    <row r="97" spans="1:13" ht="18.75" x14ac:dyDescent="0.3">
      <c r="A97" s="74"/>
      <c r="B97" s="74"/>
      <c r="C97" s="74"/>
      <c r="D97" s="74"/>
      <c r="E97" s="74"/>
      <c r="F97" s="74"/>
      <c r="G97" s="74"/>
      <c r="H97" s="74"/>
      <c r="I97" s="74"/>
      <c r="J97" s="74"/>
      <c r="K97" s="74"/>
      <c r="L97" s="74"/>
      <c r="M97" s="74"/>
    </row>
    <row r="98" spans="1:13" ht="18.75" x14ac:dyDescent="0.3">
      <c r="A98" s="74"/>
      <c r="B98" s="74"/>
      <c r="C98" s="74"/>
      <c r="D98" s="74"/>
      <c r="E98" s="74"/>
      <c r="F98" s="74"/>
      <c r="G98" s="74"/>
      <c r="H98" s="74"/>
      <c r="I98" s="74"/>
      <c r="J98" s="74"/>
      <c r="K98" s="74"/>
      <c r="L98" s="74"/>
      <c r="M98" s="74"/>
    </row>
    <row r="99" spans="1:13" ht="18.75" x14ac:dyDescent="0.3">
      <c r="A99" s="74"/>
      <c r="B99" s="74"/>
      <c r="C99" s="74"/>
      <c r="D99" s="74"/>
      <c r="E99" s="74"/>
      <c r="F99" s="74"/>
      <c r="G99" s="74"/>
      <c r="H99" s="74"/>
      <c r="I99" s="74"/>
      <c r="J99" s="74"/>
      <c r="K99" s="74"/>
      <c r="L99" s="74"/>
      <c r="M99" s="74"/>
    </row>
    <row r="100" spans="1:13" ht="18.75" x14ac:dyDescent="0.3">
      <c r="A100" s="74"/>
      <c r="B100" s="74"/>
      <c r="C100" s="74"/>
      <c r="D100" s="74"/>
      <c r="E100" s="74"/>
      <c r="F100" s="74"/>
      <c r="G100" s="74"/>
      <c r="H100" s="74"/>
      <c r="I100" s="74"/>
      <c r="J100" s="74"/>
      <c r="K100" s="74"/>
      <c r="L100" s="74"/>
      <c r="M100" s="74"/>
    </row>
    <row r="101" spans="1:13" ht="18.75" x14ac:dyDescent="0.3">
      <c r="A101" s="74"/>
      <c r="B101" s="74"/>
      <c r="C101" s="74"/>
      <c r="D101" s="74"/>
      <c r="E101" s="74"/>
      <c r="F101" s="74"/>
      <c r="G101" s="74"/>
      <c r="H101" s="74"/>
      <c r="I101" s="74"/>
      <c r="J101" s="74"/>
      <c r="K101" s="74"/>
      <c r="L101" s="74"/>
      <c r="M101" s="74"/>
    </row>
    <row r="102" spans="1:13" ht="18.75" x14ac:dyDescent="0.3">
      <c r="A102" s="74"/>
      <c r="B102" s="74"/>
      <c r="C102" s="74"/>
      <c r="D102" s="74"/>
      <c r="E102" s="74"/>
      <c r="F102" s="74"/>
      <c r="G102" s="74"/>
      <c r="H102" s="74"/>
      <c r="I102" s="74"/>
      <c r="J102" s="74"/>
      <c r="K102" s="74"/>
      <c r="L102" s="74"/>
      <c r="M102" s="74"/>
    </row>
    <row r="103" spans="1:13" ht="18.75" x14ac:dyDescent="0.3">
      <c r="A103" s="74"/>
      <c r="B103" s="74"/>
      <c r="C103" s="74"/>
      <c r="D103" s="74"/>
      <c r="E103" s="74"/>
      <c r="F103" s="74"/>
      <c r="G103" s="74"/>
      <c r="H103" s="74"/>
      <c r="I103" s="74"/>
      <c r="J103" s="74"/>
      <c r="K103" s="74"/>
      <c r="L103" s="74"/>
      <c r="M103" s="74"/>
    </row>
    <row r="104" spans="1:13" ht="18.75" x14ac:dyDescent="0.3">
      <c r="A104" s="74"/>
      <c r="B104" s="74"/>
      <c r="C104" s="74"/>
      <c r="D104" s="74"/>
      <c r="E104" s="74"/>
      <c r="F104" s="74"/>
      <c r="G104" s="74"/>
      <c r="H104" s="74"/>
      <c r="I104" s="74"/>
      <c r="J104" s="74"/>
      <c r="K104" s="74"/>
      <c r="L104" s="74"/>
      <c r="M104" s="74"/>
    </row>
    <row r="105" spans="1:13" ht="18.75" x14ac:dyDescent="0.3">
      <c r="A105" s="74"/>
      <c r="B105" s="74"/>
      <c r="C105" s="74"/>
      <c r="D105" s="74"/>
      <c r="E105" s="74"/>
      <c r="F105" s="74"/>
      <c r="G105" s="74"/>
      <c r="H105" s="74"/>
      <c r="I105" s="74"/>
      <c r="J105" s="74"/>
      <c r="K105" s="74"/>
      <c r="L105" s="74"/>
      <c r="M105" s="74"/>
    </row>
    <row r="106" spans="1:13" ht="18.75" x14ac:dyDescent="0.3">
      <c r="A106" s="74"/>
      <c r="B106" s="74"/>
      <c r="C106" s="74"/>
      <c r="D106" s="74"/>
      <c r="E106" s="74"/>
      <c r="F106" s="74"/>
      <c r="G106" s="74"/>
      <c r="H106" s="74"/>
      <c r="I106" s="74"/>
      <c r="J106" s="74"/>
      <c r="K106" s="74"/>
      <c r="L106" s="74"/>
      <c r="M106" s="74"/>
    </row>
    <row r="107" spans="1:13" ht="18.75" x14ac:dyDescent="0.3">
      <c r="A107" s="74"/>
      <c r="B107" s="74"/>
      <c r="C107" s="74"/>
      <c r="D107" s="74"/>
      <c r="E107" s="74"/>
      <c r="F107" s="74"/>
      <c r="G107" s="74"/>
      <c r="H107" s="74"/>
      <c r="I107" s="74"/>
      <c r="J107" s="74"/>
      <c r="K107" s="74"/>
      <c r="L107" s="74"/>
      <c r="M107" s="74"/>
    </row>
    <row r="108" spans="1:13" ht="18.75" x14ac:dyDescent="0.3">
      <c r="A108" s="74"/>
      <c r="B108" s="74"/>
      <c r="C108" s="74"/>
      <c r="D108" s="74"/>
      <c r="E108" s="74"/>
      <c r="F108" s="74"/>
      <c r="G108" s="74"/>
      <c r="H108" s="74"/>
      <c r="I108" s="74"/>
      <c r="J108" s="74"/>
      <c r="K108" s="74"/>
      <c r="L108" s="74"/>
      <c r="M108" s="74"/>
    </row>
    <row r="109" spans="1:13" ht="18.75" x14ac:dyDescent="0.3">
      <c r="A109" s="74"/>
      <c r="B109" s="74"/>
      <c r="C109" s="74"/>
      <c r="D109" s="74"/>
      <c r="E109" s="74"/>
      <c r="F109" s="74"/>
      <c r="G109" s="74"/>
      <c r="H109" s="74"/>
      <c r="I109" s="74"/>
      <c r="J109" s="74"/>
      <c r="K109" s="74"/>
      <c r="L109" s="74"/>
      <c r="M109" s="74"/>
    </row>
    <row r="110" spans="1:13" ht="18.75" x14ac:dyDescent="0.3">
      <c r="A110" s="74"/>
      <c r="B110" s="74"/>
      <c r="C110" s="74"/>
      <c r="D110" s="74"/>
      <c r="E110" s="74"/>
      <c r="F110" s="74"/>
      <c r="G110" s="74"/>
      <c r="H110" s="74"/>
      <c r="I110" s="74"/>
      <c r="J110" s="74"/>
      <c r="K110" s="74"/>
      <c r="L110" s="74"/>
      <c r="M110" s="74"/>
    </row>
    <row r="111" spans="1:13" ht="18.75" x14ac:dyDescent="0.3">
      <c r="A111" s="74"/>
      <c r="B111" s="74"/>
      <c r="C111" s="74"/>
      <c r="D111" s="74"/>
      <c r="E111" s="74"/>
      <c r="F111" s="74"/>
      <c r="G111" s="74"/>
      <c r="H111" s="74"/>
      <c r="I111" s="74"/>
      <c r="J111" s="74"/>
      <c r="K111" s="74"/>
      <c r="L111" s="74"/>
      <c r="M111" s="74"/>
    </row>
    <row r="112" spans="1:13" ht="18.75" x14ac:dyDescent="0.3">
      <c r="A112" s="74"/>
      <c r="B112" s="74"/>
      <c r="C112" s="74"/>
      <c r="D112" s="74"/>
      <c r="E112" s="74"/>
      <c r="F112" s="74"/>
      <c r="G112" s="74"/>
      <c r="H112" s="74"/>
      <c r="I112" s="74"/>
      <c r="J112" s="74"/>
      <c r="K112" s="74"/>
      <c r="L112" s="74"/>
      <c r="M112" s="74"/>
    </row>
    <row r="113" spans="1:13" ht="18.75" x14ac:dyDescent="0.3">
      <c r="A113" s="74"/>
      <c r="B113" s="74"/>
      <c r="C113" s="74"/>
      <c r="D113" s="74"/>
      <c r="E113" s="74"/>
      <c r="F113" s="74"/>
      <c r="G113" s="74"/>
      <c r="H113" s="74"/>
      <c r="I113" s="74"/>
      <c r="J113" s="74"/>
      <c r="K113" s="74"/>
      <c r="L113" s="74"/>
      <c r="M113" s="74"/>
    </row>
    <row r="114" spans="1:13" ht="18.75" x14ac:dyDescent="0.3">
      <c r="A114" s="74"/>
      <c r="B114" s="74"/>
      <c r="C114" s="74"/>
      <c r="D114" s="74"/>
      <c r="E114" s="74"/>
      <c r="F114" s="74"/>
      <c r="G114" s="74"/>
      <c r="H114" s="74"/>
      <c r="I114" s="74"/>
      <c r="J114" s="74"/>
      <c r="K114" s="74"/>
      <c r="L114" s="74"/>
      <c r="M114" s="74"/>
    </row>
    <row r="115" spans="1:13" ht="18.75" x14ac:dyDescent="0.3">
      <c r="A115" s="74"/>
      <c r="B115" s="74"/>
      <c r="C115" s="74"/>
      <c r="D115" s="74"/>
      <c r="E115" s="74"/>
      <c r="F115" s="74"/>
      <c r="G115" s="74"/>
      <c r="H115" s="74"/>
      <c r="I115" s="74"/>
      <c r="J115" s="74"/>
      <c r="K115" s="74"/>
      <c r="L115" s="74"/>
      <c r="M115" s="74"/>
    </row>
  </sheetData>
  <mergeCells count="3">
    <mergeCell ref="B5:D5"/>
    <mergeCell ref="F5:H5"/>
    <mergeCell ref="J5:L5"/>
  </mergeCells>
  <hyperlinks>
    <hyperlink ref="B1" location="Innhold!A1" display="Tilbake" xr:uid="{00000000-0004-0000-0400-000000000000}"/>
  </hyperlinks>
  <pageMargins left="0.7" right="0.7" top="0.78740157499999996" bottom="0.78740157499999996"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0"/>
  <dimension ref="A1:J92"/>
  <sheetViews>
    <sheetView showGridLines="0" zoomScale="80" zoomScaleNormal="80" workbookViewId="0">
      <pane xSplit="1" ySplit="7" topLeftCell="B8" activePane="bottomRight" state="frozen"/>
      <selection pane="topRight" activeCell="B1" sqref="B1"/>
      <selection pane="bottomLeft" activeCell="A8" sqref="A8"/>
      <selection pane="bottomRight" activeCell="A3" sqref="A3"/>
    </sheetView>
  </sheetViews>
  <sheetFormatPr baseColWidth="10" defaultColWidth="11.42578125" defaultRowHeight="18" x14ac:dyDescent="0.25"/>
  <cols>
    <col min="1" max="1" width="35.7109375" style="81" customWidth="1"/>
    <col min="2" max="2" width="18.28515625" style="81" customWidth="1"/>
    <col min="3" max="3" width="17.7109375" style="81" customWidth="1"/>
    <col min="4" max="4" width="11.7109375" style="81" customWidth="1"/>
    <col min="5" max="5" width="4.7109375" style="81" customWidth="1"/>
    <col min="6" max="7" width="13" style="81" customWidth="1"/>
    <col min="8" max="8" width="11.7109375" style="81" customWidth="1"/>
    <col min="9" max="9" width="12.42578125" style="81" customWidth="1"/>
    <col min="10" max="10" width="11.42578125" style="81"/>
    <col min="11" max="12" width="17.28515625" style="81" bestFit="1" customWidth="1"/>
    <col min="13" max="16384" width="11.42578125" style="81"/>
  </cols>
  <sheetData>
    <row r="1" spans="1:10" ht="18.75" customHeight="1" x14ac:dyDescent="0.3">
      <c r="A1" s="80" t="s">
        <v>76</v>
      </c>
      <c r="B1" s="73" t="s">
        <v>52</v>
      </c>
      <c r="C1" s="80"/>
      <c r="D1" s="80"/>
      <c r="E1" s="80"/>
      <c r="F1" s="74"/>
      <c r="G1" s="74"/>
      <c r="H1" s="74"/>
      <c r="I1" s="74"/>
      <c r="J1" s="74"/>
    </row>
    <row r="2" spans="1:10" ht="20.100000000000001" customHeight="1" x14ac:dyDescent="0.3">
      <c r="A2" s="80" t="s">
        <v>156</v>
      </c>
      <c r="B2" s="80"/>
      <c r="C2" s="80"/>
      <c r="D2" s="80"/>
      <c r="E2" s="80"/>
      <c r="F2" s="74"/>
      <c r="G2" s="74"/>
      <c r="H2" s="74"/>
      <c r="I2" s="74"/>
      <c r="J2" s="74"/>
    </row>
    <row r="3" spans="1:10" ht="20.100000000000001" customHeight="1" x14ac:dyDescent="0.3">
      <c r="A3" s="75"/>
      <c r="B3" s="75"/>
      <c r="C3" s="75"/>
      <c r="D3" s="75"/>
      <c r="E3" s="259"/>
      <c r="F3" s="74"/>
      <c r="G3" s="74"/>
      <c r="H3" s="74"/>
      <c r="I3" s="74"/>
      <c r="J3" s="74"/>
    </row>
    <row r="4" spans="1:10" ht="20.100000000000001" customHeight="1" x14ac:dyDescent="0.3">
      <c r="A4" s="260"/>
      <c r="B4" s="1008" t="s">
        <v>157</v>
      </c>
      <c r="C4" s="1008"/>
      <c r="D4" s="1009"/>
      <c r="E4" s="89"/>
      <c r="F4" s="1010" t="s">
        <v>157</v>
      </c>
      <c r="G4" s="1008"/>
      <c r="H4" s="1009"/>
      <c r="I4" s="74"/>
      <c r="J4" s="74"/>
    </row>
    <row r="5" spans="1:10" ht="18.75" customHeight="1" x14ac:dyDescent="0.3">
      <c r="A5" s="261" t="s">
        <v>360</v>
      </c>
      <c r="B5" s="1011" t="s">
        <v>158</v>
      </c>
      <c r="C5" s="1012"/>
      <c r="D5" s="1013"/>
      <c r="E5" s="262"/>
      <c r="F5" s="1014" t="s">
        <v>159</v>
      </c>
      <c r="G5" s="1015"/>
      <c r="H5" s="1016"/>
      <c r="I5" s="112"/>
      <c r="J5" s="74"/>
    </row>
    <row r="6" spans="1:10" ht="18.75" customHeight="1" x14ac:dyDescent="0.3">
      <c r="A6" s="122"/>
      <c r="B6" s="120"/>
      <c r="C6" s="192"/>
      <c r="D6" s="263" t="s">
        <v>80</v>
      </c>
      <c r="E6" s="263"/>
      <c r="F6" s="123"/>
      <c r="G6" s="124"/>
      <c r="H6" s="94" t="s">
        <v>80</v>
      </c>
      <c r="I6" s="100"/>
      <c r="J6" s="74"/>
    </row>
    <row r="7" spans="1:10" ht="18.75" customHeight="1" x14ac:dyDescent="0.3">
      <c r="A7" s="126"/>
      <c r="B7" s="97">
        <v>2019</v>
      </c>
      <c r="C7" s="97">
        <v>2020</v>
      </c>
      <c r="D7" s="264" t="s">
        <v>82</v>
      </c>
      <c r="E7" s="263"/>
      <c r="F7" s="97">
        <v>2019</v>
      </c>
      <c r="G7" s="127">
        <v>2020</v>
      </c>
      <c r="H7" s="265" t="s">
        <v>82</v>
      </c>
      <c r="I7" s="100"/>
      <c r="J7" s="74"/>
    </row>
    <row r="8" spans="1:10" ht="18.75" customHeight="1" x14ac:dyDescent="0.3">
      <c r="A8" s="101" t="s">
        <v>160</v>
      </c>
      <c r="B8" s="109">
        <f>SUM(B9:B14)</f>
        <v>147664.20510747001</v>
      </c>
      <c r="C8" s="109">
        <f>SUM(C9:C14)</f>
        <v>156460.61598886998</v>
      </c>
      <c r="D8" s="266">
        <f t="shared" ref="D8:D38" si="0">IF(B8=0, "    ---- ", IF(ABS(ROUND(100/B8*C8-100,1))&lt;999,ROUND(100/B8*C8-100,1),IF(ROUND(100/B8*C8-100,1)&gt;999,999,-999)))</f>
        <v>6</v>
      </c>
      <c r="E8" s="267"/>
      <c r="F8" s="266">
        <f>SUM(F9:F14)</f>
        <v>100.00000000000001</v>
      </c>
      <c r="G8" s="266">
        <f>SUM(G9:G14)</f>
        <v>100.00000000000001</v>
      </c>
      <c r="H8" s="267">
        <f t="shared" ref="H8:H38" si="1">IF(F8=0, "    ---- ", IF(ABS(ROUND(100/F8*G8-100,1))&lt;999,ROUND(100/F8*G8-100,1),IF(ROUND(100/F8*G8-100,1)&gt;999,999,-999)))</f>
        <v>0</v>
      </c>
      <c r="I8" s="104"/>
      <c r="J8" s="74"/>
    </row>
    <row r="9" spans="1:10" ht="18.75" customHeight="1" x14ac:dyDescent="0.3">
      <c r="A9" s="86" t="s">
        <v>161</v>
      </c>
      <c r="B9" s="106">
        <f>'Tabell 6'!AR21</f>
        <v>2491.1315584500003</v>
      </c>
      <c r="C9" s="106">
        <f>'Tabell 6'!AS21</f>
        <v>3207.8060134100001</v>
      </c>
      <c r="D9" s="268">
        <f t="shared" si="0"/>
        <v>28.8</v>
      </c>
      <c r="E9" s="268"/>
      <c r="F9" s="268">
        <f>'Tabell 6'!AR21/'Tabell 6'!AR29*100</f>
        <v>1.6870246629079506</v>
      </c>
      <c r="G9" s="268">
        <f>'Tabell 6'!AS21/'Tabell 6'!AS29*100</f>
        <v>2.0502322537437738</v>
      </c>
      <c r="H9" s="269">
        <f t="shared" si="1"/>
        <v>21.5</v>
      </c>
      <c r="I9" s="104"/>
      <c r="J9" s="77"/>
    </row>
    <row r="10" spans="1:10" ht="18.75" customHeight="1" x14ac:dyDescent="0.3">
      <c r="A10" s="86" t="s">
        <v>162</v>
      </c>
      <c r="B10" s="105">
        <f>'Tabell 6'!AR18+'Tabell 6'!AR22</f>
        <v>76836.308268749999</v>
      </c>
      <c r="C10" s="105">
        <f>'Tabell 6'!AS18+'Tabell 6'!AS22</f>
        <v>76727.650971950003</v>
      </c>
      <c r="D10" s="268">
        <f t="shared" si="0"/>
        <v>-0.1</v>
      </c>
      <c r="E10" s="268"/>
      <c r="F10" s="268">
        <f>('Tabell 6'!AR18+'Tabell 6'!AR22)/'Tabell 6'!AR29*100</f>
        <v>52.034484737061739</v>
      </c>
      <c r="G10" s="268">
        <f>('Tabell 6'!AS18+'Tabell 6'!AS22)/'Tabell 6'!AS29*100</f>
        <v>49.039594077405475</v>
      </c>
      <c r="H10" s="269">
        <f t="shared" si="1"/>
        <v>-5.8</v>
      </c>
      <c r="I10" s="104"/>
      <c r="J10" s="74"/>
    </row>
    <row r="11" spans="1:10" ht="18.75" customHeight="1" x14ac:dyDescent="0.3">
      <c r="A11" s="86" t="s">
        <v>163</v>
      </c>
      <c r="B11" s="105">
        <f>'Tabell 6'!AR14</f>
        <v>965.24898774999997</v>
      </c>
      <c r="C11" s="105">
        <f>'Tabell 6'!AS14</f>
        <v>1024.78865475</v>
      </c>
      <c r="D11" s="268">
        <f t="shared" si="0"/>
        <v>6.2</v>
      </c>
      <c r="E11" s="268"/>
      <c r="F11" s="268">
        <f>'Tabell 6'!AR14/'Tabell 6'!AR29*100</f>
        <v>0.65367838268420697</v>
      </c>
      <c r="G11" s="268">
        <f>'Tabell 6'!AS14/'Tabell 6'!AS29*100</f>
        <v>0.65498186126462621</v>
      </c>
      <c r="H11" s="269">
        <f t="shared" si="1"/>
        <v>0.2</v>
      </c>
      <c r="I11" s="104"/>
      <c r="J11" s="74"/>
    </row>
    <row r="12" spans="1:10" ht="18.75" customHeight="1" x14ac:dyDescent="0.3">
      <c r="A12" s="108" t="s">
        <v>164</v>
      </c>
      <c r="B12" s="105">
        <f>'Tabell 6'!AR15</f>
        <v>24347.67197634</v>
      </c>
      <c r="C12" s="105">
        <f>'Tabell 6'!AS15</f>
        <v>26217.20296133</v>
      </c>
      <c r="D12" s="270">
        <f t="shared" si="0"/>
        <v>7.7</v>
      </c>
      <c r="E12" s="270"/>
      <c r="F12" s="268">
        <f>'Tabell 6'!AR15/'Tabell 6'!AR29*100</f>
        <v>16.488540305769952</v>
      </c>
      <c r="G12" s="268">
        <f>'Tabell 6'!AS15/'Tabell 6'!AS29*100</f>
        <v>16.756423203136944</v>
      </c>
      <c r="H12" s="269">
        <f t="shared" si="1"/>
        <v>1.6</v>
      </c>
      <c r="I12" s="104"/>
      <c r="J12" s="74"/>
    </row>
    <row r="13" spans="1:10" ht="18.75" customHeight="1" x14ac:dyDescent="0.3">
      <c r="A13" s="86" t="s">
        <v>165</v>
      </c>
      <c r="B13" s="105">
        <f>'Tabell 6'!AR19+'Tabell 6'!AR23</f>
        <v>29363.028381269996</v>
      </c>
      <c r="C13" s="105">
        <f>'Tabell 6'!AS19+'Tabell 6'!AS23</f>
        <v>31150.015717800001</v>
      </c>
      <c r="D13" s="268">
        <f t="shared" si="0"/>
        <v>6.1</v>
      </c>
      <c r="E13" s="268"/>
      <c r="F13" s="268">
        <f>('Tabell 6'!AR19+'Tabell 6'!AR23)/'Tabell 6'!AR29*100</f>
        <v>19.88500080970848</v>
      </c>
      <c r="G13" s="268">
        <f>('Tabell 6'!AS19+'Tabell 6'!AS23)/'Tabell 6'!AS29*100</f>
        <v>19.90917364150982</v>
      </c>
      <c r="H13" s="269">
        <f t="shared" si="1"/>
        <v>0.1</v>
      </c>
      <c r="I13" s="104"/>
      <c r="J13" s="74"/>
    </row>
    <row r="14" spans="1:10" ht="18.75" customHeight="1" x14ac:dyDescent="0.3">
      <c r="A14" s="86" t="s">
        <v>166</v>
      </c>
      <c r="B14" s="176">
        <f>'Tabell 6'!AR17-'Tabell 6'!AR18+'Tabell 6'!AR24+'Tabell 6'!AR25+'Tabell 6'!AR26+'Tabell 6'!AR28</f>
        <v>13660.815934910002</v>
      </c>
      <c r="C14" s="176">
        <f>'Tabell 6'!AS17-'Tabell 6'!AS18+'Tabell 6'!AS24+'Tabell 6'!AS25+'Tabell 6'!AS26+'Tabell 6'!AS28</f>
        <v>18133.151669629999</v>
      </c>
      <c r="D14" s="268">
        <f t="shared" si="0"/>
        <v>32.700000000000003</v>
      </c>
      <c r="E14" s="268"/>
      <c r="F14" s="268">
        <f>('Tabell 6'!AR17-'Tabell 6'!AR18+'Tabell 6'!AR24+'Tabell 6'!AR25+'Tabell 6'!AR26+'Tabell 6'!AR28)/'Tabell 6'!AR29*100</f>
        <v>9.2512711018676885</v>
      </c>
      <c r="G14" s="268">
        <f>('Tabell 6'!AS17-'Tabell 6'!AS18+'Tabell 6'!AS24+'Tabell 6'!AS25+'Tabell 6'!AS26+'Tabell 6'!AS28)/'Tabell 6'!AS29*100</f>
        <v>11.589594962939378</v>
      </c>
      <c r="H14" s="269">
        <f t="shared" si="1"/>
        <v>25.3</v>
      </c>
      <c r="I14" s="104"/>
      <c r="J14" s="74"/>
    </row>
    <row r="15" spans="1:10" ht="18.75" customHeight="1" x14ac:dyDescent="0.3">
      <c r="A15" s="193"/>
      <c r="B15" s="103"/>
      <c r="C15" s="176"/>
      <c r="D15" s="269"/>
      <c r="E15" s="269"/>
      <c r="F15" s="269"/>
      <c r="G15" s="268"/>
      <c r="H15" s="269"/>
      <c r="I15" s="104"/>
      <c r="J15" s="74"/>
    </row>
    <row r="16" spans="1:10" s="135" customFormat="1" ht="18.75" customHeight="1" x14ac:dyDescent="0.3">
      <c r="A16" s="101" t="s">
        <v>167</v>
      </c>
      <c r="B16" s="109">
        <f>SUM(B17:B22)</f>
        <v>1157323.3282709501</v>
      </c>
      <c r="C16" s="109">
        <f>SUM(C17:C22)</f>
        <v>1202940.81763601</v>
      </c>
      <c r="D16" s="266">
        <f t="shared" si="0"/>
        <v>3.9</v>
      </c>
      <c r="E16" s="266"/>
      <c r="F16" s="266">
        <f>SUM(F17:F22)</f>
        <v>100</v>
      </c>
      <c r="G16" s="266">
        <f>SUM(G17:G22)</f>
        <v>100.00000000000001</v>
      </c>
      <c r="H16" s="267">
        <f t="shared" si="1"/>
        <v>0</v>
      </c>
      <c r="I16" s="110"/>
      <c r="J16" s="75"/>
    </row>
    <row r="17" spans="1:10" ht="18.75" customHeight="1" x14ac:dyDescent="0.3">
      <c r="A17" s="86" t="s">
        <v>161</v>
      </c>
      <c r="B17" s="103">
        <f>'Tabell 6'!AR40</f>
        <v>212736.08868356</v>
      </c>
      <c r="C17" s="103">
        <f>'Tabell 6'!AS40</f>
        <v>196254.14435783998</v>
      </c>
      <c r="D17" s="268">
        <f t="shared" si="0"/>
        <v>-7.7</v>
      </c>
      <c r="E17" s="268"/>
      <c r="F17" s="268">
        <f>'Tabell 6'!AR40/('Tabell 6'!AR45+'Tabell 6'!AR46)*100</f>
        <v>18.381733391773015</v>
      </c>
      <c r="G17" s="268">
        <f>'Tabell 6'!AS40/('Tabell 6'!AS45+'Tabell 6'!AS46)*100</f>
        <v>16.314530314426758</v>
      </c>
      <c r="H17" s="269">
        <f t="shared" si="1"/>
        <v>-11.2</v>
      </c>
      <c r="I17" s="104"/>
      <c r="J17" s="74"/>
    </row>
    <row r="18" spans="1:10" ht="18.75" customHeight="1" x14ac:dyDescent="0.3">
      <c r="A18" s="86" t="s">
        <v>162</v>
      </c>
      <c r="B18" s="103">
        <f>'Tabell 6'!AR37+'Tabell 6'!AR41</f>
        <v>333222.62925281003</v>
      </c>
      <c r="C18" s="103">
        <f>'Tabell 6'!AS37+'Tabell 6'!AS41</f>
        <v>356898.42241078999</v>
      </c>
      <c r="D18" s="268">
        <f t="shared" si="0"/>
        <v>7.1</v>
      </c>
      <c r="E18" s="268"/>
      <c r="F18" s="268">
        <f>('Tabell 6'!AR37+'Tabell 6'!AR41)/('Tabell 6'!AR45+'Tabell 6'!AR46)*100</f>
        <v>28.792526782523879</v>
      </c>
      <c r="G18" s="268">
        <f>('Tabell 6'!AS37+'Tabell 6'!AS41)/('Tabell 6'!AS45+'Tabell 6'!AS46)*100</f>
        <v>29.668826361063889</v>
      </c>
      <c r="H18" s="269">
        <f t="shared" si="1"/>
        <v>3</v>
      </c>
      <c r="I18" s="104"/>
      <c r="J18" s="74"/>
    </row>
    <row r="19" spans="1:10" ht="18.75" customHeight="1" x14ac:dyDescent="0.3">
      <c r="A19" s="86" t="s">
        <v>163</v>
      </c>
      <c r="B19" s="103">
        <f>'Tabell 6'!AR33</f>
        <v>26.20400197</v>
      </c>
      <c r="C19" s="103">
        <f>'Tabell 6'!AS33</f>
        <v>19.31040771</v>
      </c>
      <c r="D19" s="268">
        <f t="shared" si="0"/>
        <v>-26.3</v>
      </c>
      <c r="E19" s="268"/>
      <c r="F19" s="268">
        <f>'Tabell 6'!AR33/('Tabell 6'!AR45+'Tabell 6'!AR46)*100</f>
        <v>2.2641902508911647E-3</v>
      </c>
      <c r="G19" s="268">
        <f>'Tabell 6'!AS33/('Tabell 6'!AS45+'Tabell 6'!AS46)*100</f>
        <v>1.6052666454488048E-3</v>
      </c>
      <c r="H19" s="269">
        <f t="shared" si="1"/>
        <v>-29.1</v>
      </c>
      <c r="I19" s="104"/>
      <c r="J19" s="74"/>
    </row>
    <row r="20" spans="1:10" ht="18.75" customHeight="1" x14ac:dyDescent="0.3">
      <c r="A20" s="108" t="s">
        <v>164</v>
      </c>
      <c r="B20" s="105">
        <f>'Tabell 6'!AR34</f>
        <v>155620.65572295</v>
      </c>
      <c r="C20" s="105">
        <f>'Tabell 6'!AS34</f>
        <v>159689.14327352002</v>
      </c>
      <c r="D20" s="270">
        <f t="shared" si="0"/>
        <v>2.6</v>
      </c>
      <c r="E20" s="270"/>
      <c r="F20" s="268">
        <f>'Tabell 6'!AR34/('Tabell 6'!AR45+'Tabell 6'!AR46)*100</f>
        <v>13.446601474408062</v>
      </c>
      <c r="G20" s="268">
        <f>'Tabell 6'!AS34/('Tabell 6'!AS45+'Tabell 6'!AS46)*100</f>
        <v>13.274896065738067</v>
      </c>
      <c r="H20" s="269">
        <f t="shared" si="1"/>
        <v>-1.3</v>
      </c>
      <c r="I20" s="104"/>
      <c r="J20" s="74"/>
    </row>
    <row r="21" spans="1:10" ht="18.75" customHeight="1" x14ac:dyDescent="0.3">
      <c r="A21" s="86" t="s">
        <v>165</v>
      </c>
      <c r="B21" s="103">
        <f>'Tabell 6'!AR38+'Tabell 6'!AR42</f>
        <v>443974.57292698999</v>
      </c>
      <c r="C21" s="103">
        <f>'Tabell 6'!AS38+'Tabell 6'!AS42</f>
        <v>467635.36195312004</v>
      </c>
      <c r="D21" s="268">
        <f t="shared" si="0"/>
        <v>5.3</v>
      </c>
      <c r="E21" s="268"/>
      <c r="F21" s="268">
        <f>('Tabell 6'!AR38+'Tabell 6'!AR42)/('Tabell 6'!AR45+'Tabell 6'!AR46)*100</f>
        <v>38.362189898158491</v>
      </c>
      <c r="G21" s="268">
        <f>('Tabell 6'!AS38+'Tabell 6'!AS42)/('Tabell 6'!AS45+'Tabell 6'!AS46)*100</f>
        <v>38.874344863623939</v>
      </c>
      <c r="H21" s="269">
        <f t="shared" si="1"/>
        <v>1.3</v>
      </c>
      <c r="I21" s="104"/>
      <c r="J21" s="74"/>
    </row>
    <row r="22" spans="1:10" ht="18.75" customHeight="1" x14ac:dyDescent="0.3">
      <c r="A22" s="193" t="s">
        <v>166</v>
      </c>
      <c r="B22" s="103">
        <f>'Tabell 6'!AR36-'Tabell 6'!AR37+'Tabell 6'!AR43+'Tabell 6'!AR44+'Tabell 6'!AR46</f>
        <v>11743.177682669988</v>
      </c>
      <c r="C22" s="103">
        <f>'Tabell 6'!AS36-'Tabell 6'!AS37+'Tabell 6'!AS43+'Tabell 6'!AS44+'Tabell 6'!AS46</f>
        <v>22444.435233029999</v>
      </c>
      <c r="D22" s="268">
        <f t="shared" si="0"/>
        <v>91.1</v>
      </c>
      <c r="E22" s="268"/>
      <c r="F22" s="269">
        <f>('Tabell 6'!AR36-'Tabell 6'!AR37+'Tabell 6'!AR43+'Tabell 6'!AR44+'Tabell 6'!AR46)/('Tabell 6'!AR45+'Tabell 6'!AR46)*100</f>
        <v>1.0146842628856698</v>
      </c>
      <c r="G22" s="269">
        <f>('Tabell 6'!AS36-'Tabell 6'!AS37+'Tabell 6'!AS43+'Tabell 6'!AS44+'Tabell 6'!AS46)/('Tabell 6'!AS45+'Tabell 6'!AS46)*100</f>
        <v>1.8657971285019039</v>
      </c>
      <c r="H22" s="269">
        <f t="shared" si="1"/>
        <v>83.9</v>
      </c>
      <c r="I22" s="104"/>
      <c r="J22" s="74"/>
    </row>
    <row r="23" spans="1:10" ht="18.75" customHeight="1" x14ac:dyDescent="0.3">
      <c r="A23" s="86"/>
      <c r="B23" s="176"/>
      <c r="C23" s="176"/>
      <c r="D23" s="269"/>
      <c r="E23" s="268"/>
      <c r="F23" s="268"/>
      <c r="G23" s="269"/>
      <c r="H23" s="269"/>
      <c r="I23" s="182"/>
      <c r="J23" s="74"/>
    </row>
    <row r="24" spans="1:10" ht="18.75" customHeight="1" x14ac:dyDescent="0.3">
      <c r="A24" s="137" t="s">
        <v>168</v>
      </c>
      <c r="B24" s="109">
        <f>SUM(B25:B30)</f>
        <v>392611.17357641004</v>
      </c>
      <c r="C24" s="109">
        <f>SUM(C25:C30)</f>
        <v>459971.65553277999</v>
      </c>
      <c r="D24" s="266">
        <f t="shared" si="0"/>
        <v>17.2</v>
      </c>
      <c r="E24" s="266"/>
      <c r="F24" s="267">
        <f>SUM(F25:F30)</f>
        <v>100</v>
      </c>
      <c r="G24" s="267">
        <f>SUM(G25:G30)</f>
        <v>100</v>
      </c>
      <c r="H24" s="269">
        <f t="shared" si="1"/>
        <v>0</v>
      </c>
      <c r="I24" s="182"/>
      <c r="J24" s="74"/>
    </row>
    <row r="25" spans="1:10" ht="18.75" customHeight="1" x14ac:dyDescent="0.3">
      <c r="A25" s="193" t="s">
        <v>161</v>
      </c>
      <c r="B25" s="103">
        <f>'Tabell 6'!AR55</f>
        <v>222461.47494248004</v>
      </c>
      <c r="C25" s="103">
        <f>'Tabell 6'!AS55</f>
        <v>289147.29935380002</v>
      </c>
      <c r="D25" s="268">
        <f t="shared" si="0"/>
        <v>30</v>
      </c>
      <c r="E25" s="268"/>
      <c r="F25" s="268">
        <f>'Tabell 6'!AR55/('Tabell 6'!AR60+'Tabell 6'!AR61)*100</f>
        <v>56.662033562624671</v>
      </c>
      <c r="G25" s="268">
        <f>'Tabell 6'!AS55/('Tabell 6'!AS60+'Tabell 6'!AS61)*100</f>
        <v>62.861982010366255</v>
      </c>
      <c r="H25" s="269">
        <f t="shared" si="1"/>
        <v>10.9</v>
      </c>
      <c r="I25" s="182"/>
      <c r="J25" s="74"/>
    </row>
    <row r="26" spans="1:10" ht="18.75" customHeight="1" x14ac:dyDescent="0.3">
      <c r="A26" s="193" t="s">
        <v>162</v>
      </c>
      <c r="B26" s="103">
        <f>'Tabell 6'!AR52+'Tabell 6'!AR56</f>
        <v>140517.93703115001</v>
      </c>
      <c r="C26" s="103">
        <f>'Tabell 6'!AS52+'Tabell 6'!AS56</f>
        <v>156228.20406762001</v>
      </c>
      <c r="D26" s="268">
        <f t="shared" si="0"/>
        <v>11.2</v>
      </c>
      <c r="E26" s="268"/>
      <c r="F26" s="268">
        <f>('Tabell 6'!AR52+'Tabell 6'!AR56)/('Tabell 6'!AR60+'Tabell 6'!AR61)*100</f>
        <v>35.790610784489658</v>
      </c>
      <c r="G26" s="268">
        <f>('Tabell 6'!AS52+'Tabell 6'!AS56)/('Tabell 6'!AS60+'Tabell 6'!AS61)*100</f>
        <v>33.964745911715504</v>
      </c>
      <c r="H26" s="269">
        <f t="shared" si="1"/>
        <v>-5.0999999999999996</v>
      </c>
      <c r="I26" s="182"/>
      <c r="J26" s="74"/>
    </row>
    <row r="27" spans="1:10" ht="18.75" customHeight="1" x14ac:dyDescent="0.3">
      <c r="A27" s="193" t="s">
        <v>163</v>
      </c>
      <c r="B27" s="103">
        <f>'Tabell 6'!AR48</f>
        <v>0</v>
      </c>
      <c r="C27" s="103">
        <f>'Tabell 6'!AS48</f>
        <v>0</v>
      </c>
      <c r="D27" s="268" t="str">
        <f t="shared" si="0"/>
        <v xml:space="preserve">    ---- </v>
      </c>
      <c r="E27" s="268"/>
      <c r="F27" s="268">
        <f>'Tabell 6'!AR48/('Tabell 6'!AR60+'Tabell 6'!AR61)*100</f>
        <v>0</v>
      </c>
      <c r="G27" s="268">
        <f>'Tabell 6'!AS48/('Tabell 6'!AS60+'Tabell 6'!AS61)*100</f>
        <v>0</v>
      </c>
      <c r="H27" s="269" t="str">
        <f t="shared" si="1"/>
        <v xml:space="preserve">    ---- </v>
      </c>
      <c r="I27" s="182"/>
      <c r="J27" s="74"/>
    </row>
    <row r="28" spans="1:10" ht="18.75" customHeight="1" x14ac:dyDescent="0.3">
      <c r="A28" s="108" t="s">
        <v>164</v>
      </c>
      <c r="B28" s="105">
        <f>'Tabell 6'!AR49</f>
        <v>21702.984733879999</v>
      </c>
      <c r="C28" s="105">
        <f>'Tabell 6'!AS49</f>
        <v>7551.5357228800003</v>
      </c>
      <c r="D28" s="270">
        <f t="shared" si="0"/>
        <v>-65.2</v>
      </c>
      <c r="E28" s="270"/>
      <c r="F28" s="268">
        <f>'Tabell 6'!AR49/('Tabell 6'!AR60+'Tabell 6'!AR61)*100</f>
        <v>5.5278571254559994</v>
      </c>
      <c r="G28" s="268">
        <f>'Tabell 6'!AS49/('Tabell 6'!AS60+'Tabell 6'!AS61)*100</f>
        <v>1.6417393619902823</v>
      </c>
      <c r="H28" s="269">
        <f t="shared" si="1"/>
        <v>-70.3</v>
      </c>
      <c r="I28" s="182"/>
      <c r="J28" s="74"/>
    </row>
    <row r="29" spans="1:10" ht="18.75" customHeight="1" x14ac:dyDescent="0.3">
      <c r="A29" s="193" t="s">
        <v>165</v>
      </c>
      <c r="B29" s="103">
        <f>'Tabell 6'!AR53+'Tabell 6'!AR57</f>
        <v>4009.1332531699995</v>
      </c>
      <c r="C29" s="103">
        <f>'Tabell 6'!AS53+'Tabell 6'!AS57</f>
        <v>2987.2861246000002</v>
      </c>
      <c r="D29" s="268">
        <f t="shared" si="0"/>
        <v>-25.5</v>
      </c>
      <c r="E29" s="268"/>
      <c r="F29" s="268">
        <f>('Tabell 6'!AR53+'Tabell 6'!AR57)/('Tabell 6'!AR60+'Tabell 6'!AR61)*100</f>
        <v>1.0211459894657688</v>
      </c>
      <c r="G29" s="268">
        <f>('Tabell 6'!AS53+'Tabell 6'!AS57)/('Tabell 6'!AS60+'Tabell 6'!AS61)*100</f>
        <v>0.64945004516416571</v>
      </c>
      <c r="H29" s="269">
        <f t="shared" si="1"/>
        <v>-36.4</v>
      </c>
      <c r="I29" s="182"/>
      <c r="J29" s="74"/>
    </row>
    <row r="30" spans="1:10" ht="18.75" customHeight="1" x14ac:dyDescent="0.3">
      <c r="A30" s="86" t="s">
        <v>166</v>
      </c>
      <c r="B30" s="103">
        <f>'Tabell 6'!AR51-'Tabell 6'!AR52+'Tabell 6'!AR58+'Tabell 6'!AR59+'Tabell 6'!AR61</f>
        <v>3919.6436157300004</v>
      </c>
      <c r="C30" s="103">
        <f>'Tabell 6'!AS51-'Tabell 6'!AS52+'Tabell 6'!AS58+'Tabell 6'!AS59+'Tabell 6'!AS61</f>
        <v>4057.3302638799996</v>
      </c>
      <c r="D30" s="269">
        <f t="shared" si="0"/>
        <v>3.5</v>
      </c>
      <c r="E30" s="269"/>
      <c r="F30" s="269">
        <f>('Tabell 6'!AR51-'Tabell 6'!AR52+'Tabell 6'!AR58+'Tabell 6'!AR59+'Tabell 6'!AR61)/('Tabell 6'!AR60+'Tabell 6'!AR61)*100</f>
        <v>0.99835253796391499</v>
      </c>
      <c r="G30" s="269">
        <f>('Tabell 6'!AS51-'Tabell 6'!AS52+'Tabell 6'!AS58+'Tabell 6'!AS59+'Tabell 6'!AS61)/('Tabell 6'!AS60+'Tabell 6'!AS61)*100</f>
        <v>0.88208267076379732</v>
      </c>
      <c r="H30" s="269">
        <f t="shared" si="1"/>
        <v>-11.6</v>
      </c>
      <c r="I30" s="182"/>
      <c r="J30" s="74"/>
    </row>
    <row r="31" spans="1:10" ht="18.75" customHeight="1" x14ac:dyDescent="0.3">
      <c r="A31" s="193"/>
      <c r="B31" s="176"/>
      <c r="C31" s="176"/>
      <c r="D31" s="268"/>
      <c r="E31" s="268"/>
      <c r="F31" s="268"/>
      <c r="G31" s="269"/>
      <c r="H31" s="269"/>
      <c r="I31" s="182"/>
      <c r="J31" s="74"/>
    </row>
    <row r="32" spans="1:10" ht="18.75" customHeight="1" x14ac:dyDescent="0.3">
      <c r="A32" s="137" t="s">
        <v>2</v>
      </c>
      <c r="B32" s="109">
        <f>SUM(B33:B38)</f>
        <v>1697598.7069548301</v>
      </c>
      <c r="C32" s="109">
        <f>SUM(C33:C38)</f>
        <v>1819373.08915766</v>
      </c>
      <c r="D32" s="266">
        <f t="shared" si="0"/>
        <v>7.2</v>
      </c>
      <c r="E32" s="266"/>
      <c r="F32" s="266">
        <f>SUM(F33:F38)</f>
        <v>99.999999999999986</v>
      </c>
      <c r="G32" s="266">
        <f>SUM(G33:G38)</f>
        <v>100</v>
      </c>
      <c r="H32" s="267">
        <f t="shared" si="1"/>
        <v>0</v>
      </c>
      <c r="I32" s="182"/>
      <c r="J32" s="74"/>
    </row>
    <row r="33" spans="1:10" ht="18.75" customHeight="1" x14ac:dyDescent="0.3">
      <c r="A33" s="193" t="s">
        <v>161</v>
      </c>
      <c r="B33" s="103">
        <f t="shared" ref="B33:C38" si="2">B9+B17+B25</f>
        <v>437688.69518449006</v>
      </c>
      <c r="C33" s="103">
        <f t="shared" si="2"/>
        <v>488609.24972505</v>
      </c>
      <c r="D33" s="268">
        <f t="shared" si="0"/>
        <v>11.6</v>
      </c>
      <c r="E33" s="268"/>
      <c r="F33" s="268">
        <f>B33/B32*100</f>
        <v>25.782812710173449</v>
      </c>
      <c r="G33" s="268">
        <f>C33/C32*100</f>
        <v>26.855912766702954</v>
      </c>
      <c r="H33" s="269">
        <f t="shared" si="1"/>
        <v>4.2</v>
      </c>
      <c r="I33" s="182"/>
      <c r="J33" s="74"/>
    </row>
    <row r="34" spans="1:10" ht="18.75" customHeight="1" x14ac:dyDescent="0.3">
      <c r="A34" s="193" t="s">
        <v>162</v>
      </c>
      <c r="B34" s="103">
        <f t="shared" si="2"/>
        <v>550576.87455270998</v>
      </c>
      <c r="C34" s="103">
        <f t="shared" si="2"/>
        <v>589854.27745036001</v>
      </c>
      <c r="D34" s="268">
        <f t="shared" si="0"/>
        <v>7.1</v>
      </c>
      <c r="E34" s="268"/>
      <c r="F34" s="268">
        <f>B34/B32*100</f>
        <v>32.432686965245182</v>
      </c>
      <c r="G34" s="268">
        <f>C34/C32*100</f>
        <v>32.42074322004251</v>
      </c>
      <c r="H34" s="269">
        <f t="shared" si="1"/>
        <v>0</v>
      </c>
      <c r="I34" s="182"/>
      <c r="J34" s="74"/>
    </row>
    <row r="35" spans="1:10" ht="18.75" customHeight="1" x14ac:dyDescent="0.3">
      <c r="A35" s="193" t="s">
        <v>163</v>
      </c>
      <c r="B35" s="103">
        <f t="shared" si="2"/>
        <v>991.45298972000001</v>
      </c>
      <c r="C35" s="103">
        <f t="shared" si="2"/>
        <v>1044.0990624599999</v>
      </c>
      <c r="D35" s="268">
        <f t="shared" si="0"/>
        <v>5.3</v>
      </c>
      <c r="E35" s="268"/>
      <c r="F35" s="268">
        <f>B35/B32*100</f>
        <v>5.8403260184998515E-2</v>
      </c>
      <c r="G35" s="268">
        <f>C35/C32*100</f>
        <v>5.738784797258932E-2</v>
      </c>
      <c r="H35" s="269">
        <f t="shared" si="1"/>
        <v>-1.7</v>
      </c>
      <c r="I35" s="182"/>
      <c r="J35" s="74"/>
    </row>
    <row r="36" spans="1:10" ht="18.75" customHeight="1" x14ac:dyDescent="0.3">
      <c r="A36" s="108" t="s">
        <v>164</v>
      </c>
      <c r="B36" s="105">
        <f t="shared" si="2"/>
        <v>201671.31243317001</v>
      </c>
      <c r="C36" s="105">
        <f t="shared" si="2"/>
        <v>193457.88195773005</v>
      </c>
      <c r="D36" s="270">
        <f t="shared" si="0"/>
        <v>-4.0999999999999996</v>
      </c>
      <c r="E36" s="270"/>
      <c r="F36" s="268">
        <f>B36/B32*100</f>
        <v>11.87979889516587</v>
      </c>
      <c r="G36" s="268">
        <f>C36/C32*100</f>
        <v>10.633216634379146</v>
      </c>
      <c r="H36" s="269">
        <f t="shared" si="1"/>
        <v>-10.5</v>
      </c>
      <c r="I36" s="182"/>
      <c r="J36" s="74"/>
    </row>
    <row r="37" spans="1:10" ht="18.75" customHeight="1" x14ac:dyDescent="0.3">
      <c r="A37" s="193" t="s">
        <v>165</v>
      </c>
      <c r="B37" s="103">
        <f t="shared" si="2"/>
        <v>477346.73456143</v>
      </c>
      <c r="C37" s="103">
        <f t="shared" si="2"/>
        <v>501772.66379552003</v>
      </c>
      <c r="D37" s="268">
        <f t="shared" si="0"/>
        <v>5.0999999999999996</v>
      </c>
      <c r="E37" s="268"/>
      <c r="F37" s="268">
        <f>B37/B32*100</f>
        <v>28.118938392554472</v>
      </c>
      <c r="G37" s="268">
        <f>C37/C32*100</f>
        <v>27.579426495080927</v>
      </c>
      <c r="H37" s="269">
        <f t="shared" si="1"/>
        <v>-1.9</v>
      </c>
      <c r="I37" s="182"/>
      <c r="J37" s="74"/>
    </row>
    <row r="38" spans="1:10" ht="18.75" customHeight="1" x14ac:dyDescent="0.3">
      <c r="A38" s="271" t="s">
        <v>166</v>
      </c>
      <c r="B38" s="272">
        <f t="shared" si="2"/>
        <v>29323.63723330999</v>
      </c>
      <c r="C38" s="272">
        <f t="shared" si="2"/>
        <v>44634.917166539999</v>
      </c>
      <c r="D38" s="273">
        <f t="shared" si="0"/>
        <v>52.2</v>
      </c>
      <c r="E38" s="268"/>
      <c r="F38" s="273">
        <f>B38/B32*100</f>
        <v>1.727359776676022</v>
      </c>
      <c r="G38" s="273">
        <f>C38/C32*100</f>
        <v>2.453313035821874</v>
      </c>
      <c r="H38" s="274">
        <f t="shared" si="1"/>
        <v>42</v>
      </c>
      <c r="I38" s="182"/>
      <c r="J38" s="74"/>
    </row>
    <row r="39" spans="1:10" ht="18.75" customHeight="1" x14ac:dyDescent="0.3">
      <c r="A39" s="112"/>
      <c r="B39" s="112"/>
      <c r="C39" s="112"/>
      <c r="D39" s="112"/>
      <c r="E39" s="112"/>
      <c r="F39" s="182"/>
      <c r="G39" s="182"/>
      <c r="H39" s="182"/>
      <c r="I39" s="182"/>
      <c r="J39" s="74"/>
    </row>
    <row r="40" spans="1:10" ht="18.75" customHeight="1" x14ac:dyDescent="0.3">
      <c r="A40" s="112" t="s">
        <v>169</v>
      </c>
      <c r="B40" s="112"/>
      <c r="C40" s="112"/>
      <c r="D40" s="112"/>
      <c r="E40" s="112"/>
      <c r="F40" s="182"/>
      <c r="G40" s="182"/>
      <c r="H40" s="182"/>
      <c r="I40" s="182"/>
      <c r="J40" s="74"/>
    </row>
    <row r="41" spans="1:10" ht="18.75" x14ac:dyDescent="0.3">
      <c r="A41" s="112" t="s">
        <v>100</v>
      </c>
      <c r="B41" s="112"/>
      <c r="C41" s="112"/>
      <c r="D41" s="112"/>
      <c r="E41" s="112"/>
      <c r="F41" s="74"/>
      <c r="G41" s="74"/>
      <c r="H41" s="74"/>
      <c r="I41" s="74"/>
      <c r="J41" s="74"/>
    </row>
    <row r="42" spans="1:10" ht="18.75" x14ac:dyDescent="0.3">
      <c r="A42" s="74"/>
      <c r="B42" s="74"/>
      <c r="C42" s="74"/>
      <c r="D42" s="74"/>
      <c r="E42" s="74"/>
      <c r="G42" s="74"/>
      <c r="H42" s="74"/>
      <c r="I42" s="74"/>
      <c r="J42" s="74"/>
    </row>
    <row r="43" spans="1:10" ht="18.75" x14ac:dyDescent="0.3">
      <c r="A43" s="74"/>
      <c r="B43" s="74"/>
      <c r="C43" s="74"/>
      <c r="D43" s="74"/>
      <c r="E43" s="74"/>
      <c r="F43" s="74"/>
      <c r="G43" s="74"/>
      <c r="H43" s="74"/>
      <c r="I43" s="74"/>
      <c r="J43" s="74"/>
    </row>
    <row r="44" spans="1:10" ht="18.75" x14ac:dyDescent="0.3">
      <c r="A44" s="74"/>
      <c r="B44" s="74"/>
      <c r="C44" s="74"/>
      <c r="D44" s="74"/>
      <c r="E44" s="74"/>
      <c r="F44" s="74"/>
      <c r="G44" s="74"/>
      <c r="H44" s="74"/>
      <c r="I44" s="74"/>
      <c r="J44" s="74"/>
    </row>
    <row r="45" spans="1:10" ht="18.75" x14ac:dyDescent="0.3">
      <c r="A45" s="74"/>
      <c r="B45" s="74"/>
      <c r="C45" s="74"/>
      <c r="D45" s="74"/>
      <c r="E45" s="74"/>
      <c r="F45" s="74"/>
      <c r="G45" s="74"/>
      <c r="H45" s="74"/>
      <c r="I45" s="74"/>
      <c r="J45" s="74"/>
    </row>
    <row r="46" spans="1:10" ht="18.75" x14ac:dyDescent="0.3">
      <c r="A46" s="74"/>
      <c r="B46" s="74"/>
      <c r="C46" s="74"/>
      <c r="D46" s="74"/>
      <c r="E46" s="74"/>
      <c r="F46" s="74"/>
      <c r="G46" s="74"/>
      <c r="H46" s="74"/>
      <c r="I46" s="74"/>
      <c r="J46" s="74"/>
    </row>
    <row r="47" spans="1:10" ht="18.75" x14ac:dyDescent="0.3">
      <c r="A47" s="74"/>
      <c r="B47" s="74"/>
      <c r="C47" s="74"/>
      <c r="D47" s="74"/>
      <c r="E47" s="74"/>
      <c r="F47" s="74"/>
      <c r="G47" s="74"/>
      <c r="H47" s="74"/>
      <c r="I47" s="74"/>
      <c r="J47" s="74"/>
    </row>
    <row r="48" spans="1:10" ht="18.75" x14ac:dyDescent="0.3">
      <c r="A48" s="74"/>
      <c r="B48" s="74"/>
      <c r="C48" s="74"/>
      <c r="D48" s="74"/>
      <c r="E48" s="74"/>
      <c r="F48" s="74"/>
      <c r="G48" s="74"/>
      <c r="H48" s="74"/>
      <c r="I48" s="74"/>
      <c r="J48" s="74"/>
    </row>
    <row r="49" spans="1:10" ht="18.75" x14ac:dyDescent="0.3">
      <c r="A49" s="74"/>
      <c r="B49" s="74"/>
      <c r="C49" s="74"/>
      <c r="D49" s="74"/>
      <c r="E49" s="74"/>
      <c r="F49" s="74"/>
      <c r="G49" s="74"/>
      <c r="H49" s="74"/>
      <c r="I49" s="74"/>
      <c r="J49" s="74"/>
    </row>
    <row r="50" spans="1:10" ht="18.75" x14ac:dyDescent="0.3">
      <c r="A50" s="74"/>
      <c r="B50" s="74"/>
      <c r="C50" s="74"/>
      <c r="D50" s="74"/>
      <c r="E50" s="74"/>
      <c r="F50" s="74"/>
      <c r="G50" s="74"/>
      <c r="H50" s="74"/>
      <c r="I50" s="74"/>
      <c r="J50" s="74"/>
    </row>
    <row r="51" spans="1:10" ht="18.75" x14ac:dyDescent="0.3">
      <c r="A51" s="74"/>
      <c r="B51" s="74"/>
      <c r="C51" s="74"/>
      <c r="D51" s="74"/>
      <c r="E51" s="74"/>
      <c r="F51" s="74"/>
      <c r="G51" s="74"/>
      <c r="H51" s="74"/>
      <c r="I51" s="74"/>
      <c r="J51" s="74"/>
    </row>
    <row r="52" spans="1:10" ht="18.75" x14ac:dyDescent="0.3">
      <c r="A52" s="74"/>
      <c r="B52" s="74"/>
      <c r="C52" s="74"/>
      <c r="D52" s="74"/>
      <c r="E52" s="74"/>
      <c r="F52" s="74"/>
      <c r="G52" s="74"/>
      <c r="H52" s="74"/>
      <c r="I52" s="74"/>
      <c r="J52" s="74"/>
    </row>
    <row r="53" spans="1:10" ht="18.75" x14ac:dyDescent="0.3">
      <c r="A53" s="74"/>
      <c r="B53" s="74"/>
      <c r="C53" s="74"/>
      <c r="D53" s="74"/>
      <c r="E53" s="74"/>
      <c r="F53" s="74"/>
      <c r="G53" s="74"/>
      <c r="H53" s="74"/>
      <c r="I53" s="74"/>
      <c r="J53" s="74"/>
    </row>
    <row r="54" spans="1:10" ht="18.75" x14ac:dyDescent="0.3">
      <c r="A54" s="74"/>
      <c r="B54" s="74"/>
      <c r="C54" s="74"/>
      <c r="D54" s="74"/>
      <c r="E54" s="74"/>
      <c r="F54" s="74"/>
      <c r="G54" s="74"/>
      <c r="H54" s="74"/>
      <c r="I54" s="74"/>
      <c r="J54" s="74"/>
    </row>
    <row r="55" spans="1:10" ht="18.75" x14ac:dyDescent="0.3">
      <c r="A55" s="74"/>
      <c r="B55" s="74"/>
      <c r="C55" s="74"/>
      <c r="D55" s="74"/>
      <c r="E55" s="74"/>
      <c r="F55" s="74"/>
      <c r="G55" s="74"/>
      <c r="H55" s="74"/>
      <c r="I55" s="74"/>
      <c r="J55" s="74"/>
    </row>
    <row r="56" spans="1:10" ht="18.75" x14ac:dyDescent="0.3">
      <c r="A56" s="74"/>
      <c r="B56" s="74"/>
      <c r="C56" s="74"/>
      <c r="D56" s="74"/>
      <c r="E56" s="74"/>
      <c r="F56" s="74"/>
      <c r="G56" s="74"/>
      <c r="H56" s="74"/>
      <c r="I56" s="74"/>
      <c r="J56" s="74"/>
    </row>
    <row r="57" spans="1:10" ht="18.75" x14ac:dyDescent="0.3">
      <c r="A57" s="74"/>
      <c r="B57" s="74"/>
      <c r="C57" s="74"/>
      <c r="D57" s="74"/>
      <c r="E57" s="74"/>
      <c r="F57" s="74"/>
      <c r="G57" s="74"/>
      <c r="H57" s="74"/>
      <c r="I57" s="74"/>
      <c r="J57" s="74"/>
    </row>
    <row r="58" spans="1:10" ht="18.75" x14ac:dyDescent="0.3">
      <c r="A58" s="74"/>
      <c r="B58" s="74"/>
      <c r="C58" s="74"/>
      <c r="D58" s="74"/>
      <c r="E58" s="74"/>
      <c r="F58" s="74"/>
      <c r="G58" s="74"/>
      <c r="H58" s="74"/>
      <c r="I58" s="74"/>
      <c r="J58" s="74"/>
    </row>
    <row r="59" spans="1:10" ht="18.75" x14ac:dyDescent="0.3">
      <c r="A59" s="74"/>
      <c r="B59" s="74"/>
      <c r="C59" s="74"/>
      <c r="D59" s="74"/>
      <c r="E59" s="74"/>
      <c r="F59" s="74"/>
      <c r="G59" s="74"/>
      <c r="H59" s="74"/>
      <c r="I59" s="74"/>
      <c r="J59" s="74"/>
    </row>
    <row r="60" spans="1:10" ht="18.75" x14ac:dyDescent="0.3">
      <c r="A60" s="74"/>
      <c r="B60" s="74"/>
      <c r="C60" s="74"/>
      <c r="D60" s="74"/>
      <c r="E60" s="74"/>
      <c r="F60" s="74"/>
      <c r="G60" s="74"/>
      <c r="H60" s="74"/>
      <c r="I60" s="74"/>
      <c r="J60" s="74"/>
    </row>
    <row r="61" spans="1:10" ht="18.75" x14ac:dyDescent="0.3">
      <c r="A61" s="74"/>
      <c r="B61" s="74"/>
      <c r="C61" s="74"/>
      <c r="D61" s="74"/>
      <c r="E61" s="74"/>
      <c r="F61" s="74"/>
      <c r="G61" s="74"/>
      <c r="H61" s="74"/>
      <c r="I61" s="74"/>
      <c r="J61" s="74"/>
    </row>
    <row r="62" spans="1:10" ht="18.75" x14ac:dyDescent="0.3">
      <c r="A62" s="74"/>
      <c r="B62" s="74"/>
      <c r="C62" s="74"/>
      <c r="D62" s="74"/>
      <c r="E62" s="74"/>
      <c r="F62" s="74"/>
      <c r="G62" s="74"/>
      <c r="H62" s="74"/>
      <c r="I62" s="74"/>
      <c r="J62" s="74"/>
    </row>
    <row r="63" spans="1:10" ht="18.75" x14ac:dyDescent="0.3">
      <c r="A63" s="74"/>
      <c r="B63" s="74"/>
      <c r="C63" s="74"/>
      <c r="D63" s="74"/>
      <c r="E63" s="74"/>
      <c r="F63" s="74"/>
      <c r="G63" s="74"/>
      <c r="H63" s="74"/>
      <c r="I63" s="74"/>
      <c r="J63" s="74"/>
    </row>
    <row r="64" spans="1:10" ht="18.75" x14ac:dyDescent="0.3">
      <c r="A64" s="74"/>
      <c r="B64" s="74"/>
      <c r="C64" s="74"/>
      <c r="D64" s="74"/>
      <c r="E64" s="74"/>
      <c r="F64" s="74"/>
      <c r="G64" s="74"/>
      <c r="H64" s="74"/>
      <c r="I64" s="74"/>
      <c r="J64" s="74"/>
    </row>
    <row r="65" spans="1:10" ht="18.75" x14ac:dyDescent="0.3">
      <c r="A65" s="74"/>
      <c r="B65" s="74"/>
      <c r="C65" s="74"/>
      <c r="D65" s="74"/>
      <c r="E65" s="74"/>
      <c r="F65" s="74"/>
      <c r="G65" s="74"/>
      <c r="H65" s="74"/>
      <c r="I65" s="74"/>
      <c r="J65" s="74"/>
    </row>
    <row r="66" spans="1:10" ht="18.75" x14ac:dyDescent="0.3">
      <c r="A66" s="74"/>
      <c r="B66" s="74"/>
      <c r="C66" s="74"/>
      <c r="D66" s="74"/>
      <c r="E66" s="74"/>
      <c r="F66" s="74"/>
      <c r="G66" s="74"/>
      <c r="H66" s="74"/>
      <c r="I66" s="74"/>
      <c r="J66" s="74"/>
    </row>
    <row r="67" spans="1:10" ht="18.75" x14ac:dyDescent="0.3">
      <c r="A67" s="74"/>
      <c r="B67" s="74"/>
      <c r="C67" s="74"/>
      <c r="D67" s="74"/>
      <c r="E67" s="74"/>
      <c r="F67" s="74"/>
      <c r="G67" s="74"/>
      <c r="H67" s="74"/>
      <c r="I67" s="74"/>
      <c r="J67" s="74"/>
    </row>
    <row r="68" spans="1:10" ht="18.75" x14ac:dyDescent="0.3">
      <c r="A68" s="74"/>
      <c r="B68" s="74"/>
      <c r="C68" s="74"/>
      <c r="D68" s="74"/>
      <c r="E68" s="74"/>
      <c r="F68" s="74"/>
      <c r="G68" s="74"/>
      <c r="H68" s="74"/>
      <c r="I68" s="74"/>
      <c r="J68" s="74"/>
    </row>
    <row r="69" spans="1:10" ht="18.75" x14ac:dyDescent="0.3">
      <c r="A69" s="74"/>
      <c r="B69" s="74"/>
      <c r="C69" s="74"/>
      <c r="D69" s="74"/>
      <c r="E69" s="74"/>
      <c r="F69" s="74"/>
      <c r="G69" s="74"/>
      <c r="H69" s="74"/>
      <c r="I69" s="74"/>
      <c r="J69" s="74"/>
    </row>
    <row r="70" spans="1:10" ht="18.75" x14ac:dyDescent="0.3">
      <c r="A70" s="74"/>
      <c r="B70" s="74"/>
      <c r="C70" s="74"/>
      <c r="D70" s="74"/>
      <c r="E70" s="74"/>
      <c r="F70" s="74"/>
      <c r="G70" s="74"/>
      <c r="H70" s="74"/>
      <c r="I70" s="74"/>
      <c r="J70" s="74"/>
    </row>
    <row r="71" spans="1:10" ht="18.75" x14ac:dyDescent="0.3">
      <c r="A71" s="74"/>
      <c r="B71" s="74"/>
      <c r="C71" s="74"/>
      <c r="D71" s="74"/>
      <c r="E71" s="74"/>
      <c r="F71" s="74"/>
      <c r="G71" s="74"/>
      <c r="H71" s="74"/>
      <c r="I71" s="74"/>
      <c r="J71" s="74"/>
    </row>
    <row r="72" spans="1:10" ht="18.75" x14ac:dyDescent="0.3">
      <c r="A72" s="74"/>
      <c r="B72" s="74"/>
      <c r="C72" s="74"/>
      <c r="D72" s="74"/>
      <c r="E72" s="74"/>
      <c r="F72" s="74"/>
      <c r="G72" s="74"/>
      <c r="H72" s="74"/>
      <c r="I72" s="74"/>
      <c r="J72" s="74"/>
    </row>
    <row r="73" spans="1:10" ht="18.75" x14ac:dyDescent="0.3">
      <c r="A73" s="74"/>
      <c r="B73" s="74"/>
      <c r="C73" s="74"/>
      <c r="D73" s="74"/>
      <c r="E73" s="74"/>
      <c r="F73" s="74"/>
      <c r="G73" s="74"/>
      <c r="H73" s="74"/>
      <c r="I73" s="74"/>
      <c r="J73" s="74"/>
    </row>
    <row r="74" spans="1:10" ht="18.75" x14ac:dyDescent="0.3">
      <c r="A74" s="74"/>
      <c r="B74" s="74"/>
      <c r="C74" s="74"/>
      <c r="D74" s="74"/>
      <c r="E74" s="74"/>
      <c r="F74" s="74"/>
      <c r="G74" s="74"/>
      <c r="H74" s="74"/>
      <c r="I74" s="74"/>
      <c r="J74" s="74"/>
    </row>
    <row r="75" spans="1:10" ht="18.75" x14ac:dyDescent="0.3">
      <c r="A75" s="74"/>
      <c r="B75" s="74"/>
      <c r="C75" s="74"/>
      <c r="D75" s="74"/>
      <c r="E75" s="74"/>
      <c r="F75" s="74"/>
      <c r="G75" s="74"/>
      <c r="H75" s="74"/>
      <c r="I75" s="74"/>
      <c r="J75" s="74"/>
    </row>
    <row r="76" spans="1:10" ht="18.75" x14ac:dyDescent="0.3">
      <c r="A76" s="74"/>
      <c r="B76" s="74"/>
      <c r="C76" s="74"/>
      <c r="D76" s="74"/>
      <c r="E76" s="74"/>
      <c r="F76" s="74"/>
      <c r="G76" s="74"/>
      <c r="H76" s="74"/>
      <c r="I76" s="74"/>
      <c r="J76" s="74"/>
    </row>
    <row r="77" spans="1:10" ht="18.75" x14ac:dyDescent="0.3">
      <c r="A77" s="74"/>
      <c r="B77" s="74"/>
      <c r="C77" s="74"/>
      <c r="D77" s="74"/>
      <c r="E77" s="74"/>
      <c r="F77" s="74"/>
      <c r="G77" s="74"/>
      <c r="H77" s="74"/>
      <c r="I77" s="74"/>
      <c r="J77" s="74"/>
    </row>
    <row r="78" spans="1:10" ht="18.75" x14ac:dyDescent="0.3">
      <c r="A78" s="74"/>
      <c r="B78" s="74"/>
      <c r="C78" s="74"/>
      <c r="D78" s="74"/>
      <c r="E78" s="74"/>
      <c r="F78" s="74"/>
      <c r="G78" s="74"/>
      <c r="H78" s="74"/>
      <c r="I78" s="74"/>
      <c r="J78" s="74"/>
    </row>
    <row r="79" spans="1:10" ht="18.75" x14ac:dyDescent="0.3">
      <c r="A79" s="74"/>
      <c r="B79" s="74"/>
      <c r="C79" s="74"/>
      <c r="D79" s="74"/>
      <c r="E79" s="74"/>
      <c r="F79" s="74"/>
      <c r="G79" s="74"/>
      <c r="H79" s="74"/>
      <c r="I79" s="74"/>
      <c r="J79" s="74"/>
    </row>
    <row r="80" spans="1:10" ht="18.75" x14ac:dyDescent="0.3">
      <c r="A80" s="74"/>
      <c r="B80" s="74"/>
      <c r="C80" s="74"/>
      <c r="D80" s="74"/>
      <c r="E80" s="74"/>
      <c r="F80" s="74"/>
      <c r="G80" s="74"/>
      <c r="H80" s="74"/>
      <c r="I80" s="74"/>
      <c r="J80" s="74"/>
    </row>
    <row r="81" spans="1:10" ht="18.75" x14ac:dyDescent="0.3">
      <c r="A81" s="74"/>
      <c r="B81" s="74"/>
      <c r="C81" s="74"/>
      <c r="D81" s="74"/>
      <c r="E81" s="74"/>
      <c r="F81" s="74"/>
      <c r="G81" s="74"/>
      <c r="H81" s="74"/>
      <c r="I81" s="74"/>
      <c r="J81" s="74"/>
    </row>
    <row r="82" spans="1:10" ht="18.75" x14ac:dyDescent="0.3">
      <c r="A82" s="74"/>
      <c r="B82" s="74"/>
      <c r="C82" s="74"/>
      <c r="D82" s="74"/>
      <c r="E82" s="74"/>
      <c r="F82" s="74"/>
      <c r="G82" s="74"/>
      <c r="H82" s="74"/>
      <c r="I82" s="74"/>
      <c r="J82" s="74"/>
    </row>
    <row r="83" spans="1:10" ht="18.75" x14ac:dyDescent="0.3">
      <c r="A83" s="74"/>
      <c r="B83" s="74"/>
      <c r="C83" s="74"/>
      <c r="D83" s="74"/>
      <c r="E83" s="74"/>
      <c r="F83" s="74"/>
      <c r="G83" s="74"/>
      <c r="H83" s="74"/>
      <c r="I83" s="74"/>
      <c r="J83" s="74"/>
    </row>
    <row r="84" spans="1:10" ht="18.75" x14ac:dyDescent="0.3">
      <c r="A84" s="74"/>
      <c r="B84" s="74"/>
      <c r="C84" s="74"/>
      <c r="D84" s="74"/>
      <c r="E84" s="74"/>
      <c r="F84" s="74"/>
      <c r="G84" s="74"/>
      <c r="H84" s="74"/>
      <c r="I84" s="74"/>
      <c r="J84" s="74"/>
    </row>
    <row r="85" spans="1:10" ht="18.75" x14ac:dyDescent="0.3">
      <c r="A85" s="74"/>
      <c r="B85" s="74"/>
      <c r="C85" s="74"/>
      <c r="D85" s="74"/>
      <c r="E85" s="74"/>
      <c r="F85" s="74"/>
      <c r="G85" s="74"/>
      <c r="H85" s="74"/>
      <c r="I85" s="74"/>
      <c r="J85" s="74"/>
    </row>
    <row r="86" spans="1:10" ht="18.75" x14ac:dyDescent="0.3">
      <c r="A86" s="74"/>
      <c r="B86" s="74"/>
      <c r="C86" s="74"/>
      <c r="D86" s="74"/>
      <c r="E86" s="74"/>
      <c r="F86" s="74"/>
      <c r="G86" s="74"/>
      <c r="H86" s="74"/>
      <c r="I86" s="74"/>
      <c r="J86" s="74"/>
    </row>
    <row r="87" spans="1:10" ht="18.75" x14ac:dyDescent="0.3">
      <c r="A87" s="74"/>
      <c r="B87" s="74"/>
      <c r="C87" s="74"/>
      <c r="D87" s="74"/>
      <c r="E87" s="74"/>
      <c r="F87" s="74"/>
      <c r="G87" s="74"/>
      <c r="H87" s="74"/>
      <c r="I87" s="74"/>
      <c r="J87" s="74"/>
    </row>
    <row r="88" spans="1:10" ht="18.75" x14ac:dyDescent="0.3">
      <c r="A88" s="74"/>
      <c r="B88" s="74"/>
      <c r="C88" s="74"/>
      <c r="D88" s="74"/>
      <c r="E88" s="74"/>
      <c r="F88" s="74"/>
      <c r="G88" s="74"/>
      <c r="H88" s="74"/>
      <c r="I88" s="74"/>
      <c r="J88" s="74"/>
    </row>
    <row r="89" spans="1:10" ht="18.75" x14ac:dyDescent="0.3">
      <c r="A89" s="74"/>
      <c r="B89" s="74"/>
      <c r="C89" s="74"/>
      <c r="D89" s="74"/>
      <c r="E89" s="74"/>
      <c r="F89" s="74"/>
      <c r="G89" s="74"/>
      <c r="H89" s="74"/>
      <c r="I89" s="74"/>
      <c r="J89" s="74"/>
    </row>
    <row r="90" spans="1:10" ht="18.75" x14ac:dyDescent="0.3">
      <c r="A90" s="74"/>
      <c r="B90" s="74"/>
      <c r="C90" s="74"/>
      <c r="D90" s="74"/>
      <c r="E90" s="74"/>
      <c r="F90" s="74"/>
      <c r="G90" s="74"/>
      <c r="H90" s="74"/>
      <c r="I90" s="74"/>
      <c r="J90" s="74"/>
    </row>
    <row r="91" spans="1:10" ht="18.75" x14ac:dyDescent="0.3">
      <c r="A91" s="74"/>
      <c r="B91" s="74"/>
      <c r="C91" s="74"/>
      <c r="D91" s="74"/>
      <c r="E91" s="74"/>
      <c r="F91" s="74"/>
      <c r="G91" s="74"/>
      <c r="H91" s="74"/>
      <c r="I91" s="74"/>
      <c r="J91" s="74"/>
    </row>
    <row r="92" spans="1:10" ht="18.75" x14ac:dyDescent="0.3">
      <c r="A92" s="74"/>
      <c r="B92" s="74"/>
      <c r="C92" s="74"/>
      <c r="D92" s="74"/>
      <c r="E92" s="74"/>
      <c r="F92" s="74"/>
      <c r="G92" s="74"/>
      <c r="H92" s="74"/>
      <c r="I92" s="74"/>
      <c r="J92" s="74"/>
    </row>
  </sheetData>
  <mergeCells count="4">
    <mergeCell ref="B4:D4"/>
    <mergeCell ref="F4:H4"/>
    <mergeCell ref="B5:D5"/>
    <mergeCell ref="F5:H5"/>
  </mergeCells>
  <hyperlinks>
    <hyperlink ref="B1" location="Innhold!A1" display="Tilbake" xr:uid="{00000000-0004-0000-0500-000000000000}"/>
  </hyperlinks>
  <pageMargins left="0.70866141732283472" right="0.70866141732283472" top="0.74803149606299213" bottom="0.7480314960629921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K303"/>
  <sheetViews>
    <sheetView showGridLines="0" showZeros="0" zoomScaleNormal="100" zoomScaleSheetLayoutView="80" workbookViewId="0">
      <pane xSplit="1" ySplit="1" topLeftCell="B2" activePane="bottomRight" state="frozen"/>
      <selection activeCell="J44" sqref="J44"/>
      <selection pane="topRight" activeCell="J44" sqref="J44"/>
      <selection pane="bottomLeft" activeCell="J44" sqref="J44"/>
      <selection pane="bottomRight"/>
    </sheetView>
  </sheetViews>
  <sheetFormatPr baseColWidth="10" defaultColWidth="11.42578125" defaultRowHeight="12.75" x14ac:dyDescent="0.2"/>
  <cols>
    <col min="1" max="1" width="57.28515625" style="1" customWidth="1"/>
    <col min="2" max="3" width="10.7109375" style="1" customWidth="1"/>
    <col min="4" max="4" width="8.7109375" style="1" customWidth="1"/>
    <col min="5" max="6" width="10.7109375" style="1" customWidth="1"/>
    <col min="7" max="7" width="8.7109375" style="1" customWidth="1"/>
    <col min="8" max="9" width="10.7109375" style="1" customWidth="1"/>
    <col min="10" max="10" width="8.7109375" style="1" customWidth="1"/>
    <col min="11" max="16384" width="11.42578125" style="1"/>
  </cols>
  <sheetData>
    <row r="1" spans="1:10" ht="15.75" customHeight="1" x14ac:dyDescent="0.2">
      <c r="A1" s="352">
        <v>4</v>
      </c>
      <c r="B1" s="4"/>
      <c r="C1" s="4"/>
      <c r="D1" s="4"/>
      <c r="E1" s="4"/>
      <c r="F1" s="4"/>
      <c r="G1" s="4"/>
      <c r="H1" s="4"/>
      <c r="I1" s="4"/>
      <c r="J1" s="4"/>
    </row>
    <row r="2" spans="1:10" ht="15.75" customHeight="1" x14ac:dyDescent="0.25">
      <c r="A2" s="165" t="s">
        <v>28</v>
      </c>
      <c r="B2" s="1017"/>
      <c r="C2" s="1017"/>
      <c r="D2" s="1017"/>
      <c r="E2" s="1017"/>
      <c r="F2" s="1017"/>
      <c r="G2" s="1017"/>
      <c r="H2" s="1017"/>
      <c r="I2" s="1017"/>
      <c r="J2" s="1017"/>
    </row>
    <row r="3" spans="1:10" ht="15.75" customHeight="1" x14ac:dyDescent="0.25">
      <c r="A3" s="163"/>
      <c r="B3" s="299"/>
      <c r="C3" s="299"/>
      <c r="D3" s="299"/>
      <c r="E3" s="299"/>
      <c r="F3" s="299"/>
      <c r="G3" s="299"/>
      <c r="H3" s="299"/>
      <c r="I3" s="299"/>
      <c r="J3" s="299"/>
    </row>
    <row r="4" spans="1:10" ht="15.75" customHeight="1" x14ac:dyDescent="0.2">
      <c r="A4" s="144"/>
      <c r="B4" s="1018" t="s">
        <v>0</v>
      </c>
      <c r="C4" s="1019"/>
      <c r="D4" s="1019"/>
      <c r="E4" s="1018" t="s">
        <v>1</v>
      </c>
      <c r="F4" s="1019"/>
      <c r="G4" s="1019"/>
      <c r="H4" s="1018" t="s">
        <v>2</v>
      </c>
      <c r="I4" s="1019"/>
      <c r="J4" s="1020"/>
    </row>
    <row r="5" spans="1:10" ht="15.75" customHeight="1" x14ac:dyDescent="0.2">
      <c r="A5" s="158"/>
      <c r="B5" s="20" t="s">
        <v>502</v>
      </c>
      <c r="C5" s="20" t="s">
        <v>503</v>
      </c>
      <c r="D5" s="249" t="s">
        <v>3</v>
      </c>
      <c r="E5" s="20" t="s">
        <v>502</v>
      </c>
      <c r="F5" s="20" t="s">
        <v>503</v>
      </c>
      <c r="G5" s="249" t="s">
        <v>3</v>
      </c>
      <c r="H5" s="20" t="s">
        <v>502</v>
      </c>
      <c r="I5" s="20" t="s">
        <v>503</v>
      </c>
      <c r="J5" s="249" t="s">
        <v>3</v>
      </c>
    </row>
    <row r="6" spans="1:10" ht="15.75" customHeight="1" x14ac:dyDescent="0.2">
      <c r="A6" s="989"/>
      <c r="B6" s="15"/>
      <c r="C6" s="15"/>
      <c r="D6" s="17" t="s">
        <v>4</v>
      </c>
      <c r="E6" s="16"/>
      <c r="F6" s="16"/>
      <c r="G6" s="15" t="s">
        <v>4</v>
      </c>
      <c r="H6" s="16"/>
      <c r="I6" s="16"/>
      <c r="J6" s="15" t="s">
        <v>4</v>
      </c>
    </row>
    <row r="7" spans="1:10" s="43" customFormat="1" ht="15.75" customHeight="1" x14ac:dyDescent="0.2">
      <c r="A7" s="14" t="s">
        <v>23</v>
      </c>
      <c r="B7" s="236">
        <f>'Fremtind Livsforsikring'!B7+'Danica Pensjonsforsikring'!B7+'DNB Livsforsikring'!B7+'Eika Forsikring AS'!B7+'Frende Livsforsikring'!B7+'Frende Skadeforsikring'!B7+'Gjensidige Forsikring'!B7+'Gjensidige Pensjon'!B7+'Handelsbanken Liv'!B7+'If Skadeforsikring NUF'!B7+KLP!B7+'DNB Bedriftspensjon'!B7+'KLP Skadeforsikring AS'!B7+'Landkreditt Forsikring'!B7+Insr!B7+'Nordea Liv'!B7+'Oslo Pensjonsforsikring'!B7+'Protector Forsikring'!B7+'SHB Liv'!B7+'Sparebank 1'!B7+'Storebrand Livsforsikring'!B7+'Telenor Forsikring'!B7+'Tryg Forsikring'!B7+'WaterCircle F'!B7</f>
        <v>4702224.3708596798</v>
      </c>
      <c r="C7" s="236">
        <f>'Fremtind Livsforsikring'!C7+'Danica Pensjonsforsikring'!C7+'DNB Livsforsikring'!C7+'Eika Forsikring AS'!C7+'Frende Livsforsikring'!C7+'Frende Skadeforsikring'!C7+'Gjensidige Forsikring'!C7+'Gjensidige Pensjon'!C7+'Handelsbanken Liv'!C7+'If Skadeforsikring NUF'!C7+KLP!C7+'DNB Bedriftspensjon'!C7+'KLP Skadeforsikring AS'!C7+'Landkreditt Forsikring'!C7+Insr!C7+'Nordea Liv'!C7+'Oslo Pensjonsforsikring'!C7+'Protector Forsikring'!C7+'SHB Liv'!C7+'Sparebank 1'!C7+'Storebrand Livsforsikring'!C7+'Telenor Forsikring'!C7+'Tryg Forsikring'!C7+'WaterCircle F'!C7</f>
        <v>4754287.8764549326</v>
      </c>
      <c r="D7" s="160">
        <f t="shared" ref="D7:D12" si="0">IF(B7=0, "    ---- ", IF(ABS(ROUND(100/B7*C7-100,1))&lt;999,ROUND(100/B7*C7-100,1),IF(ROUND(100/B7*C7-100,1)&gt;999,999,-999)))</f>
        <v>1.1000000000000001</v>
      </c>
      <c r="E7" s="236">
        <f>'Fremtind Livsforsikring'!F7+'Danica Pensjonsforsikring'!F7+'DNB Livsforsikring'!F7+'Eika Forsikring AS'!F7+'Frende Livsforsikring'!F7+'Frende Skadeforsikring'!F7+'Gjensidige Forsikring'!F7+'Gjensidige Pensjon'!F7+'Handelsbanken Liv'!F7+'If Skadeforsikring NUF'!F7+KLP!F7+'DNB Bedriftspensjon'!F7+'KLP Skadeforsikring AS'!F7+'Landkreditt Forsikring'!F7+Insr!F7+'Nordea Liv'!F7+'Oslo Pensjonsforsikring'!F7+'Protector Forsikring'!F7+'SHB Liv'!F7+'Sparebank 1'!F7+'Storebrand Livsforsikring'!F7+'Telenor Forsikring'!F7+'Tryg Forsikring'!F7+'WaterCircle F'!F7</f>
        <v>10447209.588509999</v>
      </c>
      <c r="F7" s="236">
        <f>'Fremtind Livsforsikring'!G7+'Danica Pensjonsforsikring'!G7+'DNB Livsforsikring'!G7+'Eika Forsikring AS'!G7+'Frende Livsforsikring'!G7+'Frende Skadeforsikring'!G7+'Gjensidige Forsikring'!G7+'Gjensidige Pensjon'!G7+'Handelsbanken Liv'!G7+'If Skadeforsikring NUF'!G7+KLP!G7+'DNB Bedriftspensjon'!G7+'KLP Skadeforsikring AS'!G7+'Landkreditt Forsikring'!G7+Insr!G7+'Nordea Liv'!G7+'Oslo Pensjonsforsikring'!G7+'Protector Forsikring'!G7+'SHB Liv'!G7+'Sparebank 1'!G7+'Storebrand Livsforsikring'!G7+'Telenor Forsikring'!G7+'Tryg Forsikring'!G7+'WaterCircle F'!G7</f>
        <v>10300600.243620001</v>
      </c>
      <c r="G7" s="160">
        <f t="shared" ref="G7:G12" si="1">IF(E7=0, "    ---- ", IF(ABS(ROUND(100/E7*F7-100,1))&lt;999,ROUND(100/E7*F7-100,1),IF(ROUND(100/E7*F7-100,1)&gt;999,999,-999)))</f>
        <v>-1.4</v>
      </c>
      <c r="H7" s="279">
        <f t="shared" ref="H7:H12" si="2">B7+E7</f>
        <v>15149433.959369678</v>
      </c>
      <c r="I7" s="280">
        <f t="shared" ref="I7:I12" si="3">C7+F7</f>
        <v>15054888.120074933</v>
      </c>
      <c r="J7" s="171">
        <f t="shared" ref="J7:J12" si="4">IF(H7=0, "    ---- ", IF(ABS(ROUND(100/H7*I7-100,1))&lt;999,ROUND(100/H7*I7-100,1),IF(ROUND(100/H7*I7-100,1)&gt;999,999,-999)))</f>
        <v>-0.6</v>
      </c>
    </row>
    <row r="8" spans="1:10" ht="15.75" customHeight="1" x14ac:dyDescent="0.2">
      <c r="A8" s="21" t="s">
        <v>25</v>
      </c>
      <c r="B8" s="44">
        <f>'Fremtind Livsforsikring'!B8+'Danica Pensjonsforsikring'!B8+'DNB Livsforsikring'!B8+'Eika Forsikring AS'!B8+'Frende Livsforsikring'!B8+'Frende Skadeforsikring'!B8+'Gjensidige Forsikring'!B8+'Gjensidige Pensjon'!B8+'Handelsbanken Liv'!B8+'If Skadeforsikring NUF'!B8+KLP!B8+'DNB Bedriftspensjon'!B8+'KLP Skadeforsikring AS'!B8+'Landkreditt Forsikring'!B8+Insr!B8+'Nordea Liv'!B8+'Oslo Pensjonsforsikring'!B8+'Protector Forsikring'!B8+'SHB Liv'!B8+'Sparebank 1'!B8+'Storebrand Livsforsikring'!B8+'Telenor Forsikring'!B8+'Tryg Forsikring'!B8+'WaterCircle F'!B8</f>
        <v>2808859.6262916261</v>
      </c>
      <c r="C8" s="44">
        <f>'Fremtind Livsforsikring'!C8+'Danica Pensjonsforsikring'!C8+'DNB Livsforsikring'!C8+'Eika Forsikring AS'!C8+'Frende Livsforsikring'!C8+'Frende Skadeforsikring'!C8+'Gjensidige Forsikring'!C8+'Gjensidige Pensjon'!C8+'Handelsbanken Liv'!C8+'If Skadeforsikring NUF'!C8+KLP!C8+'DNB Bedriftspensjon'!C8+'KLP Skadeforsikring AS'!C8+'Landkreditt Forsikring'!C8+Insr!C8+'Nordea Liv'!C8+'Oslo Pensjonsforsikring'!C8+'Protector Forsikring'!C8+'SHB Liv'!C8+'Sparebank 1'!C8+'Storebrand Livsforsikring'!C8+'Telenor Forsikring'!C8+'Tryg Forsikring'!C8+'WaterCircle F'!C8</f>
        <v>3102789.2383749909</v>
      </c>
      <c r="D8" s="166">
        <f t="shared" si="0"/>
        <v>10.5</v>
      </c>
      <c r="E8" s="187"/>
      <c r="F8" s="187"/>
      <c r="G8" s="175"/>
      <c r="H8" s="189">
        <f t="shared" si="2"/>
        <v>2808859.6262916261</v>
      </c>
      <c r="I8" s="190">
        <f t="shared" si="3"/>
        <v>3102789.2383749909</v>
      </c>
      <c r="J8" s="171">
        <f t="shared" si="4"/>
        <v>10.5</v>
      </c>
    </row>
    <row r="9" spans="1:10" ht="15.75" customHeight="1" x14ac:dyDescent="0.2">
      <c r="A9" s="21" t="s">
        <v>24</v>
      </c>
      <c r="B9" s="44">
        <f>'Fremtind Livsforsikring'!B9+'Danica Pensjonsforsikring'!B9+'DNB Livsforsikring'!B9+'Eika Forsikring AS'!B9+'Frende Livsforsikring'!B9+'Frende Skadeforsikring'!B9+'Gjensidige Forsikring'!B9+'Gjensidige Pensjon'!B9+'Handelsbanken Liv'!B9+'If Skadeforsikring NUF'!B9+KLP!B9+'DNB Bedriftspensjon'!B9+'KLP Skadeforsikring AS'!B9+'Landkreditt Forsikring'!B9+Insr!B9+'Nordea Liv'!B9+'Oslo Pensjonsforsikring'!B9+'Protector Forsikring'!B9+'SHB Liv'!B9+'Sparebank 1'!B9+'Storebrand Livsforsikring'!B9+'Telenor Forsikring'!B9+'Tryg Forsikring'!B9+'WaterCircle F'!B9</f>
        <v>984702.98460212152</v>
      </c>
      <c r="C9" s="44">
        <f>'Fremtind Livsforsikring'!C9+'Danica Pensjonsforsikring'!C9+'DNB Livsforsikring'!C9+'Eika Forsikring AS'!C9+'Frende Livsforsikring'!C9+'Frende Skadeforsikring'!C9+'Gjensidige Forsikring'!C9+'Gjensidige Pensjon'!C9+'Handelsbanken Liv'!C9+'If Skadeforsikring NUF'!C9+KLP!C9+'DNB Bedriftspensjon'!C9+'KLP Skadeforsikring AS'!C9+'Landkreditt Forsikring'!C9+Insr!C9+'Nordea Liv'!C9+'Oslo Pensjonsforsikring'!C9+'Protector Forsikring'!C9+'SHB Liv'!C9+'Sparebank 1'!C9+'Storebrand Livsforsikring'!C9+'Telenor Forsikring'!C9+'Tryg Forsikring'!C9+'WaterCircle F'!C9</f>
        <v>948228.276568542</v>
      </c>
      <c r="D9" s="175">
        <f t="shared" si="0"/>
        <v>-3.7</v>
      </c>
      <c r="E9" s="187"/>
      <c r="F9" s="187"/>
      <c r="G9" s="175"/>
      <c r="H9" s="189">
        <f t="shared" si="2"/>
        <v>984702.98460212152</v>
      </c>
      <c r="I9" s="190">
        <f t="shared" si="3"/>
        <v>948228.276568542</v>
      </c>
      <c r="J9" s="171">
        <f t="shared" si="4"/>
        <v>-3.7</v>
      </c>
    </row>
    <row r="10" spans="1:10" s="43" customFormat="1" ht="15.75" customHeight="1" x14ac:dyDescent="0.2">
      <c r="A10" s="39" t="s">
        <v>444</v>
      </c>
      <c r="B10" s="236">
        <f>'Fremtind Livsforsikring'!B10+'Danica Pensjonsforsikring'!B10+'DNB Livsforsikring'!B10+'Eika Forsikring AS'!B10+'Frende Livsforsikring'!B10+'Frende Skadeforsikring'!B10+'Gjensidige Forsikring'!B10+'Gjensidige Pensjon'!B10+'Handelsbanken Liv'!B10+'If Skadeforsikring NUF'!B10+KLP!B10+'DNB Bedriftspensjon'!B10+'KLP Skadeforsikring AS'!B10+'Landkreditt Forsikring'!B10+Insr!B10+'Nordea Liv'!B10+'Oslo Pensjonsforsikring'!B10+'Protector Forsikring'!B10+'SHB Liv'!B10+'Sparebank 1'!B10+'Storebrand Livsforsikring'!B10+'Telenor Forsikring'!B10+'Tryg Forsikring'!B10+'WaterCircle F'!B10</f>
        <v>21140855.829446681</v>
      </c>
      <c r="C10" s="236">
        <f>'Fremtind Livsforsikring'!C10+'Danica Pensjonsforsikring'!C10+'DNB Livsforsikring'!C10+'Eika Forsikring AS'!C10+'Frende Livsforsikring'!C10+'Frende Skadeforsikring'!C10+'Gjensidige Forsikring'!C10+'Gjensidige Pensjon'!C10+'Handelsbanken Liv'!C10+'If Skadeforsikring NUF'!C10+KLP!C10+'DNB Bedriftspensjon'!C10+'KLP Skadeforsikring AS'!C10+'Landkreditt Forsikring'!C10+Insr!C10+'Nordea Liv'!C10+'Oslo Pensjonsforsikring'!C10+'Protector Forsikring'!C10+'SHB Liv'!C10+'Sparebank 1'!C10+'Storebrand Livsforsikring'!C10+'Telenor Forsikring'!C10+'Tryg Forsikring'!C10+'WaterCircle F'!C10</f>
        <v>19728456.856805526</v>
      </c>
      <c r="D10" s="160">
        <f t="shared" si="0"/>
        <v>-6.7</v>
      </c>
      <c r="E10" s="236">
        <f>'Fremtind Livsforsikring'!F10+'Danica Pensjonsforsikring'!F10+'DNB Livsforsikring'!F10+'Eika Forsikring AS'!F10+'Frende Livsforsikring'!F10+'Frende Skadeforsikring'!F10+'Gjensidige Forsikring'!F10+'Gjensidige Pensjon'!F10+'Handelsbanken Liv'!F10+'If Skadeforsikring NUF'!F10+KLP!F10+'DNB Bedriftspensjon'!F10+'KLP Skadeforsikring AS'!F10+'Landkreditt Forsikring'!F10+Insr!F10+'Nordea Liv'!F10+'Oslo Pensjonsforsikring'!F10+'Protector Forsikring'!F10+'SHB Liv'!F10+'Sparebank 1'!F10+'Storebrand Livsforsikring'!F10+'Telenor Forsikring'!F10+'Tryg Forsikring'!F10+'WaterCircle F'!F10</f>
        <v>52977621.870609999</v>
      </c>
      <c r="F10" s="236">
        <f>'Fremtind Livsforsikring'!G10+'Danica Pensjonsforsikring'!G10+'DNB Livsforsikring'!G10+'Eika Forsikring AS'!G10+'Frende Livsforsikring'!G10+'Frende Skadeforsikring'!G10+'Gjensidige Forsikring'!G10+'Gjensidige Pensjon'!G10+'Handelsbanken Liv'!G10+'If Skadeforsikring NUF'!G10+KLP!G10+'DNB Bedriftspensjon'!G10+'KLP Skadeforsikring AS'!G10+'Landkreditt Forsikring'!G10+Insr!G10+'Nordea Liv'!G10+'Oslo Pensjonsforsikring'!G10+'Protector Forsikring'!G10+'SHB Liv'!G10+'Sparebank 1'!G10+'Storebrand Livsforsikring'!G10+'Telenor Forsikring'!G10+'Tryg Forsikring'!G10+'WaterCircle F'!G10</f>
        <v>60691386.425099999</v>
      </c>
      <c r="G10" s="160">
        <f t="shared" si="1"/>
        <v>14.6</v>
      </c>
      <c r="H10" s="279">
        <f t="shared" si="2"/>
        <v>74118477.700056672</v>
      </c>
      <c r="I10" s="280">
        <f t="shared" si="3"/>
        <v>80419843.281905532</v>
      </c>
      <c r="J10" s="171">
        <f t="shared" si="4"/>
        <v>8.5</v>
      </c>
    </row>
    <row r="11" spans="1:10" s="43" customFormat="1" ht="15.75" customHeight="1" x14ac:dyDescent="0.2">
      <c r="A11" s="39" t="s">
        <v>445</v>
      </c>
      <c r="B11" s="236">
        <f>'Fremtind Livsforsikring'!B11+'Danica Pensjonsforsikring'!B11+'DNB Livsforsikring'!B11+'Eika Forsikring AS'!B11+'Frende Livsforsikring'!B11+'Frende Skadeforsikring'!B11+'Gjensidige Forsikring'!B11+'Gjensidige Pensjon'!B11+'Handelsbanken Liv'!B11+'If Skadeforsikring NUF'!B11+KLP!B11+'DNB Bedriftspensjon'!B11+'KLP Skadeforsikring AS'!B11+'Landkreditt Forsikring'!B11+Insr!B11+'Nordea Liv'!B11+'Oslo Pensjonsforsikring'!B11+'Protector Forsikring'!B11+'SHB Liv'!B11+'Sparebank 1'!B11+'Storebrand Livsforsikring'!B11+'Telenor Forsikring'!B11+'Tryg Forsikring'!B11+'WaterCircle F'!B11</f>
        <v>65203</v>
      </c>
      <c r="C11" s="236">
        <f>'Fremtind Livsforsikring'!C11+'Danica Pensjonsforsikring'!C11+'DNB Livsforsikring'!C11+'Eika Forsikring AS'!C11+'Frende Livsforsikring'!C11+'Frende Skadeforsikring'!C11+'Gjensidige Forsikring'!C11+'Gjensidige Pensjon'!C11+'Handelsbanken Liv'!C11+'If Skadeforsikring NUF'!C11+KLP!C11+'DNB Bedriftspensjon'!C11+'KLP Skadeforsikring AS'!C11+'Landkreditt Forsikring'!C11+Insr!C11+'Nordea Liv'!C11+'Oslo Pensjonsforsikring'!C11+'Protector Forsikring'!C11+'SHB Liv'!C11+'Sparebank 1'!C11+'Storebrand Livsforsikring'!C11+'Telenor Forsikring'!C11+'Tryg Forsikring'!C11+'WaterCircle F'!C11</f>
        <v>40437.802000000003</v>
      </c>
      <c r="D11" s="171">
        <f t="shared" si="0"/>
        <v>-38</v>
      </c>
      <c r="E11" s="236">
        <f>'Fremtind Livsforsikring'!F11+'Danica Pensjonsforsikring'!F11+'DNB Livsforsikring'!F11+'Eika Forsikring AS'!F11+'Frende Livsforsikring'!F11+'Frende Skadeforsikring'!F11+'Gjensidige Forsikring'!F11+'Gjensidige Pensjon'!F11+'Handelsbanken Liv'!F11+'If Skadeforsikring NUF'!F11+KLP!F11+'DNB Bedriftspensjon'!F11+'KLP Skadeforsikring AS'!F11+'Landkreditt Forsikring'!F11+Insr!F11+'Nordea Liv'!F11+'Oslo Pensjonsforsikring'!F11+'Protector Forsikring'!F11+'SHB Liv'!F11+'Sparebank 1'!F11+'Storebrand Livsforsikring'!F11+'Telenor Forsikring'!F11+'Tryg Forsikring'!F11+'WaterCircle F'!F11</f>
        <v>412700.34194999991</v>
      </c>
      <c r="F11" s="236">
        <f>'Fremtind Livsforsikring'!G11+'Danica Pensjonsforsikring'!G11+'DNB Livsforsikring'!G11+'Eika Forsikring AS'!G11+'Frende Livsforsikring'!G11+'Frende Skadeforsikring'!G11+'Gjensidige Forsikring'!G11+'Gjensidige Pensjon'!G11+'Handelsbanken Liv'!G11+'If Skadeforsikring NUF'!G11+KLP!G11+'DNB Bedriftspensjon'!G11+'KLP Skadeforsikring AS'!G11+'Landkreditt Forsikring'!G11+Insr!G11+'Nordea Liv'!G11+'Oslo Pensjonsforsikring'!G11+'Protector Forsikring'!G11+'SHB Liv'!G11+'Sparebank 1'!G11+'Storebrand Livsforsikring'!G11+'Telenor Forsikring'!G11+'Tryg Forsikring'!G11+'WaterCircle F'!G11</f>
        <v>342412.44925999996</v>
      </c>
      <c r="G11" s="171">
        <f t="shared" si="1"/>
        <v>-17</v>
      </c>
      <c r="H11" s="279">
        <f t="shared" si="2"/>
        <v>477903.34194999991</v>
      </c>
      <c r="I11" s="280">
        <f t="shared" si="3"/>
        <v>382850.25125999999</v>
      </c>
      <c r="J11" s="171">
        <f t="shared" si="4"/>
        <v>-19.899999999999999</v>
      </c>
    </row>
    <row r="12" spans="1:10" s="43" customFormat="1" ht="15.75" customHeight="1" x14ac:dyDescent="0.2">
      <c r="A12" s="812" t="s">
        <v>446</v>
      </c>
      <c r="B12" s="278">
        <f>'Fremtind Livsforsikring'!B12+'Danica Pensjonsforsikring'!B12+'DNB Livsforsikring'!B12+'Eika Forsikring AS'!B12+'Frende Livsforsikring'!B12+'Frende Skadeforsikring'!B12+'Gjensidige Forsikring'!B12+'Gjensidige Pensjon'!B12+'Handelsbanken Liv'!B12+'If Skadeforsikring NUF'!B12+KLP!B12+'DNB Bedriftspensjon'!B12+'KLP Skadeforsikring AS'!B12+'Landkreditt Forsikring'!B12+Insr!B12+'Nordea Liv'!B12+'Oslo Pensjonsforsikring'!B12+'Protector Forsikring'!B12+'SHB Liv'!B12+'Sparebank 1'!B12+'Storebrand Livsforsikring'!B12+'Telenor Forsikring'!B12+'Tryg Forsikring'!B12+'WaterCircle F'!B12</f>
        <v>18101</v>
      </c>
      <c r="C12" s="278">
        <f>'Fremtind Livsforsikring'!C12+'Danica Pensjonsforsikring'!C12+'DNB Livsforsikring'!C12+'Eika Forsikring AS'!C12+'Frende Livsforsikring'!C12+'Frende Skadeforsikring'!C12+'Gjensidige Forsikring'!C12+'Gjensidige Pensjon'!C12+'Handelsbanken Liv'!C12+'If Skadeforsikring NUF'!C12+KLP!C12+'DNB Bedriftspensjon'!C12+'KLP Skadeforsikring AS'!C12+'Landkreditt Forsikring'!C12+Insr!C12+'Nordea Liv'!C12+'Oslo Pensjonsforsikring'!C12+'Protector Forsikring'!C12+'SHB Liv'!C12+'Sparebank 1'!C12+'Storebrand Livsforsikring'!C12+'Telenor Forsikring'!C12+'Tryg Forsikring'!C12+'WaterCircle F'!C12</f>
        <v>2832</v>
      </c>
      <c r="D12" s="170">
        <f t="shared" si="0"/>
        <v>-84.4</v>
      </c>
      <c r="E12" s="278">
        <f>'Fremtind Livsforsikring'!F12+'Danica Pensjonsforsikring'!F12+'DNB Livsforsikring'!F12+'Eika Forsikring AS'!F12+'Frende Livsforsikring'!F12+'Frende Skadeforsikring'!F12+'Gjensidige Forsikring'!F12+'Gjensidige Pensjon'!F12+'Handelsbanken Liv'!F12+'If Skadeforsikring NUF'!F12+KLP!F12+'DNB Bedriftspensjon'!F12+'KLP Skadeforsikring AS'!F12+'Landkreditt Forsikring'!F12+Insr!F12+'Nordea Liv'!F12+'Oslo Pensjonsforsikring'!F12+'Protector Forsikring'!F12+'SHB Liv'!F12+'Sparebank 1'!F12+'Storebrand Livsforsikring'!F12+'Telenor Forsikring'!F12+'Tryg Forsikring'!F12+'WaterCircle F'!F12</f>
        <v>324427.82951000001</v>
      </c>
      <c r="F12" s="278">
        <f>'Fremtind Livsforsikring'!G12+'Danica Pensjonsforsikring'!G12+'DNB Livsforsikring'!G12+'Eika Forsikring AS'!G12+'Frende Livsforsikring'!G12+'Frende Skadeforsikring'!G12+'Gjensidige Forsikring'!G12+'Gjensidige Pensjon'!G12+'Handelsbanken Liv'!G12+'If Skadeforsikring NUF'!G12+KLP!G12+'DNB Bedriftspensjon'!G12+'KLP Skadeforsikring AS'!G12+'Landkreditt Forsikring'!G12+Insr!G12+'Nordea Liv'!G12+'Oslo Pensjonsforsikring'!G12+'Protector Forsikring'!G12+'SHB Liv'!G12+'Sparebank 1'!G12+'Storebrand Livsforsikring'!G12+'Telenor Forsikring'!G12+'Tryg Forsikring'!G12+'WaterCircle F'!G12</f>
        <v>246030.4742</v>
      </c>
      <c r="G12" s="169">
        <f t="shared" si="1"/>
        <v>-24.2</v>
      </c>
      <c r="H12" s="281">
        <f t="shared" si="2"/>
        <v>342528.82951000001</v>
      </c>
      <c r="I12" s="282">
        <f t="shared" si="3"/>
        <v>248862.4742</v>
      </c>
      <c r="J12" s="169">
        <f t="shared" si="4"/>
        <v>-27.3</v>
      </c>
    </row>
    <row r="13" spans="1:10" s="43" customFormat="1" ht="15.75" customHeight="1" x14ac:dyDescent="0.2">
      <c r="A13" s="168"/>
      <c r="B13" s="35"/>
      <c r="C13" s="5"/>
      <c r="D13" s="32"/>
      <c r="E13" s="35"/>
      <c r="F13" s="5"/>
      <c r="G13" s="32"/>
      <c r="H13" s="48"/>
      <c r="I13" s="48"/>
      <c r="J13" s="32"/>
    </row>
    <row r="14" spans="1:10" ht="15.75" customHeight="1" x14ac:dyDescent="0.2">
      <c r="A14" s="153" t="s">
        <v>271</v>
      </c>
    </row>
    <row r="15" spans="1:10" ht="15.75" customHeight="1" x14ac:dyDescent="0.2">
      <c r="A15" s="149"/>
      <c r="E15" s="7"/>
      <c r="F15" s="7"/>
      <c r="G15" s="7"/>
      <c r="H15" s="7"/>
      <c r="I15" s="7"/>
      <c r="J15" s="7"/>
    </row>
    <row r="16" spans="1:10" s="3" customFormat="1" ht="15.75" customHeight="1" x14ac:dyDescent="0.25">
      <c r="A16" s="164"/>
      <c r="C16" s="30"/>
      <c r="D16" s="30"/>
      <c r="E16" s="30"/>
      <c r="F16" s="30"/>
      <c r="G16" s="30"/>
      <c r="H16" s="30"/>
      <c r="I16" s="30"/>
      <c r="J16" s="30"/>
    </row>
    <row r="17" spans="1:11" ht="15.75" customHeight="1" x14ac:dyDescent="0.25">
      <c r="A17" s="147" t="s">
        <v>268</v>
      </c>
      <c r="B17" s="28"/>
      <c r="C17" s="28"/>
      <c r="D17" s="29"/>
      <c r="E17" s="28"/>
      <c r="F17" s="28"/>
      <c r="G17" s="28"/>
      <c r="H17" s="28"/>
      <c r="I17" s="28"/>
      <c r="J17" s="28"/>
    </row>
    <row r="18" spans="1:11" ht="15.75" customHeight="1" x14ac:dyDescent="0.25">
      <c r="A18" s="149"/>
      <c r="B18" s="1017"/>
      <c r="C18" s="1017"/>
      <c r="D18" s="1017"/>
      <c r="E18" s="1017"/>
      <c r="F18" s="1017"/>
      <c r="G18" s="1017"/>
      <c r="H18" s="1017"/>
      <c r="I18" s="1017"/>
      <c r="J18" s="1017"/>
    </row>
    <row r="19" spans="1:11" ht="15.75" customHeight="1" x14ac:dyDescent="0.2">
      <c r="A19" s="144"/>
      <c r="B19" s="1018" t="s">
        <v>0</v>
      </c>
      <c r="C19" s="1019"/>
      <c r="D19" s="1019"/>
      <c r="E19" s="1018" t="s">
        <v>1</v>
      </c>
      <c r="F19" s="1019"/>
      <c r="G19" s="1020"/>
      <c r="H19" s="1019" t="s">
        <v>2</v>
      </c>
      <c r="I19" s="1019"/>
      <c r="J19" s="1020"/>
    </row>
    <row r="20" spans="1:11" ht="15.75" customHeight="1" x14ac:dyDescent="0.2">
      <c r="A20" s="140" t="s">
        <v>5</v>
      </c>
      <c r="B20" s="20" t="s">
        <v>502</v>
      </c>
      <c r="C20" s="20" t="s">
        <v>503</v>
      </c>
      <c r="D20" s="249" t="s">
        <v>3</v>
      </c>
      <c r="E20" s="20" t="s">
        <v>502</v>
      </c>
      <c r="F20" s="20" t="s">
        <v>503</v>
      </c>
      <c r="G20" s="249" t="s">
        <v>3</v>
      </c>
      <c r="H20" s="20" t="s">
        <v>502</v>
      </c>
      <c r="I20" s="20" t="s">
        <v>503</v>
      </c>
      <c r="J20" s="249" t="s">
        <v>3</v>
      </c>
    </row>
    <row r="21" spans="1:11" ht="15.75" customHeight="1" x14ac:dyDescent="0.2">
      <c r="A21" s="990"/>
      <c r="B21" s="15"/>
      <c r="C21" s="15"/>
      <c r="D21" s="17" t="s">
        <v>4</v>
      </c>
      <c r="E21" s="16"/>
      <c r="F21" s="16"/>
      <c r="G21" s="15" t="s">
        <v>4</v>
      </c>
      <c r="H21" s="16"/>
      <c r="I21" s="16"/>
      <c r="J21" s="15" t="s">
        <v>4</v>
      </c>
    </row>
    <row r="22" spans="1:11" s="43" customFormat="1" ht="15.75" customHeight="1" x14ac:dyDescent="0.2">
      <c r="A22" s="14" t="s">
        <v>23</v>
      </c>
      <c r="B22" s="236">
        <f>'Fremtind Livsforsikring'!B22+'Danica Pensjonsforsikring'!B22+'DNB Livsforsikring'!B22+'Eika Forsikring AS'!B22+'Frende Livsforsikring'!B22+'Frende Skadeforsikring'!B22+'Gjensidige Forsikring'!B22+'Gjensidige Pensjon'!B22+'Handelsbanken Liv'!B22+'If Skadeforsikring NUF'!B22+KLP!B22+'DNB Bedriftspensjon'!B22+'KLP Skadeforsikring AS'!B22+'Landkreditt Forsikring'!B22+Insr!B22+'Nordea Liv'!B22+'Oslo Pensjonsforsikring'!B22+'Protector Forsikring'!B22+'SHB Liv'!B22+'Sparebank 1'!B22+'Storebrand Livsforsikring'!B22+'Telenor Forsikring'!B22+'Tryg Forsikring'!B22+'WaterCircle F'!B22</f>
        <v>1788692.4403534168</v>
      </c>
      <c r="C22" s="236">
        <f>'Fremtind Livsforsikring'!C22+'Danica Pensjonsforsikring'!C22+'DNB Livsforsikring'!C22+'Eika Forsikring AS'!C22+'Frende Livsforsikring'!C22+'Frende Skadeforsikring'!C22+'Gjensidige Forsikring'!C22+'Gjensidige Pensjon'!C22+'Handelsbanken Liv'!C22+'If Skadeforsikring NUF'!C22+KLP!C22+'DNB Bedriftspensjon'!C22+'KLP Skadeforsikring AS'!C22+'Landkreditt Forsikring'!C22+Insr!C22+'Nordea Liv'!C22+'Oslo Pensjonsforsikring'!C22+'Protector Forsikring'!C22+'SHB Liv'!C22+'Sparebank 1'!C22+'Storebrand Livsforsikring'!C22+'Telenor Forsikring'!C22+'Tryg Forsikring'!C22+'WaterCircle F'!C22</f>
        <v>1774136.4186500001</v>
      </c>
      <c r="D22" s="11">
        <f t="shared" ref="D22:D39" si="5">IF(B22=0, "    ---- ", IF(ABS(ROUND(100/B22*C22-100,1))&lt;999,ROUND(100/B22*C22-100,1),IF(ROUND(100/B22*C22-100,1)&gt;999,999,-999)))</f>
        <v>-0.8</v>
      </c>
      <c r="E22" s="236">
        <f>'Fremtind Livsforsikring'!F22+'Danica Pensjonsforsikring'!F22+'DNB Livsforsikring'!F22+'Eika Forsikring AS'!F22+'Frende Livsforsikring'!F22+'Frende Skadeforsikring'!F22+'Gjensidige Forsikring'!F22+'Gjensidige Pensjon'!F22+'Handelsbanken Liv'!F22+'If Skadeforsikring NUF'!F22+KLP!F22+'DNB Bedriftspensjon'!F22+'KLP Skadeforsikring AS'!F22+'Landkreditt Forsikring'!F22+Insr!F22+'Nordea Liv'!F22+'Oslo Pensjonsforsikring'!F22+'Protector Forsikring'!F22+'SHB Liv'!F22+'Sparebank 1'!F22+'Storebrand Livsforsikring'!F22+'Telenor Forsikring'!F22+'Tryg Forsikring'!F22+'WaterCircle F'!F22</f>
        <v>1321585.56541</v>
      </c>
      <c r="F22" s="236">
        <f>'Fremtind Livsforsikring'!G22+'Danica Pensjonsforsikring'!G22+'DNB Livsforsikring'!G22+'Eika Forsikring AS'!G22+'Frende Livsforsikring'!G22+'Frende Skadeforsikring'!G22+'Gjensidige Forsikring'!G22+'Gjensidige Pensjon'!G22+'Handelsbanken Liv'!G22+'If Skadeforsikring NUF'!G22+KLP!G22+'DNB Bedriftspensjon'!G22+'KLP Skadeforsikring AS'!G22+'Landkreditt Forsikring'!G22+Insr!G22+'Nordea Liv'!G22+'Oslo Pensjonsforsikring'!G22+'Protector Forsikring'!G22+'SHB Liv'!G22+'Sparebank 1'!G22+'Storebrand Livsforsikring'!G22+'Telenor Forsikring'!G22+'Tryg Forsikring'!G22+'WaterCircle F'!G22</f>
        <v>1487806.4715799999</v>
      </c>
      <c r="G22" s="351">
        <f t="shared" ref="G22:G35" si="6">IF(E22=0, "    ---- ", IF(ABS(ROUND(100/E22*F22-100,1))&lt;999,ROUND(100/E22*F22-100,1),IF(ROUND(100/E22*F22-100,1)&gt;999,999,-999)))</f>
        <v>12.6</v>
      </c>
      <c r="H22" s="310">
        <f>SUM(B22,E22)</f>
        <v>3110278.0057634171</v>
      </c>
      <c r="I22" s="236">
        <f t="shared" ref="I22:I39" si="7">SUM(C22,F22)</f>
        <v>3261942.89023</v>
      </c>
      <c r="J22" s="24">
        <f t="shared" ref="J22:J39" si="8">IF(H22=0, "    ---- ", IF(ABS(ROUND(100/H22*I22-100,1))&lt;999,ROUND(100/H22*I22-100,1),IF(ROUND(100/H22*I22-100,1)&gt;999,999,-999)))</f>
        <v>4.9000000000000004</v>
      </c>
    </row>
    <row r="23" spans="1:11" ht="15.75" customHeight="1" x14ac:dyDescent="0.2">
      <c r="A23" s="813" t="s">
        <v>447</v>
      </c>
      <c r="B23" s="44">
        <f>'Fremtind Livsforsikring'!B23+'Danica Pensjonsforsikring'!B23+'DNB Livsforsikring'!B23+'Eika Forsikring AS'!B23+'Frende Livsforsikring'!B23+'Frende Skadeforsikring'!B23+'Gjensidige Forsikring'!B23+'Gjensidige Pensjon'!B23+'Handelsbanken Liv'!B23+'If Skadeforsikring NUF'!B23+KLP!B23+'DNB Bedriftspensjon'!B23+'KLP Skadeforsikring AS'!B23+'Landkreditt Forsikring'!B23+Insr!B23+'Nordea Liv'!B23+'Oslo Pensjonsforsikring'!B23+'Protector Forsikring'!B23+'SHB Liv'!B23+'Sparebank 1'!B23+'Storebrand Livsforsikring'!B23+'Telenor Forsikring'!B23+'Tryg Forsikring'!B23+'WaterCircle F'!B23</f>
        <v>1682828.342437115</v>
      </c>
      <c r="C23" s="44">
        <f>'Fremtind Livsforsikring'!C23+'Danica Pensjonsforsikring'!C23+'DNB Livsforsikring'!C23+'Eika Forsikring AS'!C23+'Frende Livsforsikring'!C23+'Frende Skadeforsikring'!C23+'Gjensidige Forsikring'!C23+'Gjensidige Pensjon'!C23+'Handelsbanken Liv'!C23+'If Skadeforsikring NUF'!C23+KLP!C23+'DNB Bedriftspensjon'!C23+'KLP Skadeforsikring AS'!C23+'Landkreditt Forsikring'!C23+Insr!C23+'Nordea Liv'!C23+'Oslo Pensjonsforsikring'!C23+'Protector Forsikring'!C23+'SHB Liv'!C23+'Sparebank 1'!C23+'Storebrand Livsforsikring'!C23+'Telenor Forsikring'!C23+'Tryg Forsikring'!C23+'WaterCircle F'!C23</f>
        <v>1072877.203272749</v>
      </c>
      <c r="D23" s="27">
        <f>IF($A$1=4,IF(B23=0, "    ---- ", IF(ABS(ROUND(100/B23*C23-100,1))&lt;999,ROUND(100/B23*C23-100,1),IF(ROUND(100/B23*C23-100,1)&gt;999,999,-999))),"")</f>
        <v>-36.200000000000003</v>
      </c>
      <c r="E23" s="44">
        <f>'Fremtind Livsforsikring'!F23+'Danica Pensjonsforsikring'!F23+'DNB Livsforsikring'!F23+'Eika Forsikring AS'!F23+'Frende Livsforsikring'!F23+'Frende Skadeforsikring'!F23+'Gjensidige Forsikring'!F23+'Gjensidige Pensjon'!F23+'Handelsbanken Liv'!F23+'If Skadeforsikring NUF'!F23+KLP!F23+'DNB Bedriftspensjon'!F23+'KLP Skadeforsikring AS'!F23+'Landkreditt Forsikring'!F23+Insr!F23+'Nordea Liv'!F23+'Oslo Pensjonsforsikring'!F23+'Protector Forsikring'!F23+'SHB Liv'!F23+'Sparebank 1'!F23+'Storebrand Livsforsikring'!F23+'Telenor Forsikring'!F23+'Tryg Forsikring'!F23+'WaterCircle F'!F23</f>
        <v>99551.813800000004</v>
      </c>
      <c r="F23" s="44">
        <f>'Fremtind Livsforsikring'!G23+'Danica Pensjonsforsikring'!G23+'DNB Livsforsikring'!G23+'Eika Forsikring AS'!G23+'Frende Livsforsikring'!G23+'Frende Skadeforsikring'!G23+'Gjensidige Forsikring'!G23+'Gjensidige Pensjon'!G23+'Handelsbanken Liv'!G23+'If Skadeforsikring NUF'!G23+KLP!G23+'DNB Bedriftspensjon'!G23+'KLP Skadeforsikring AS'!G23+'Landkreditt Forsikring'!G23+Insr!G23+'Nordea Liv'!G23+'Oslo Pensjonsforsikring'!G23+'Protector Forsikring'!G23+'SHB Liv'!G23+'Sparebank 1'!G23+'Storebrand Livsforsikring'!G23+'Telenor Forsikring'!G23+'Tryg Forsikring'!G23+'WaterCircle F'!G23</f>
        <v>179172.09830000001</v>
      </c>
      <c r="G23" s="166">
        <f>IF($A$1=4,IF(E23=0, "    ---- ", IF(ABS(ROUND(100/E23*F23-100,1))&lt;999,ROUND(100/E23*F23-100,1),IF(ROUND(100/E23*F23-100,1)&gt;999,999,-999))),"")</f>
        <v>80</v>
      </c>
      <c r="H23" s="234">
        <f t="shared" ref="H23:H39" si="9">SUM(B23,E23)</f>
        <v>1782380.1562371152</v>
      </c>
      <c r="I23" s="44">
        <f t="shared" si="7"/>
        <v>1252049.3015727489</v>
      </c>
      <c r="J23" s="23">
        <f t="shared" si="8"/>
        <v>-29.8</v>
      </c>
    </row>
    <row r="24" spans="1:11" ht="15.75" customHeight="1" x14ac:dyDescent="0.2">
      <c r="A24" s="813" t="s">
        <v>448</v>
      </c>
      <c r="B24" s="44">
        <f>'Fremtind Livsforsikring'!B24+'Danica Pensjonsforsikring'!B24+'DNB Livsforsikring'!B24+'Eika Forsikring AS'!B24+'Frende Livsforsikring'!B24+'Frende Skadeforsikring'!B24+'Gjensidige Forsikring'!B24+'Gjensidige Pensjon'!B24+'Handelsbanken Liv'!B24+'If Skadeforsikring NUF'!B24+KLP!B24+'DNB Bedriftspensjon'!B24+'KLP Skadeforsikring AS'!B24+'Landkreditt Forsikring'!B24+Insr!B24+'Nordea Liv'!B24+'Oslo Pensjonsforsikring'!B24+'Protector Forsikring'!B24+'SHB Liv'!B24+'Sparebank 1'!B24+'Storebrand Livsforsikring'!B24+'Telenor Forsikring'!B24+'Tryg Forsikring'!B24+'WaterCircle F'!B24</f>
        <v>37654.218916302445</v>
      </c>
      <c r="C24" s="44">
        <f>'Fremtind Livsforsikring'!C24+'Danica Pensjonsforsikring'!C24+'DNB Livsforsikring'!C24+'Eika Forsikring AS'!C24+'Frende Livsforsikring'!C24+'Frende Skadeforsikring'!C24+'Gjensidige Forsikring'!C24+'Gjensidige Pensjon'!C24+'Handelsbanken Liv'!C24+'If Skadeforsikring NUF'!C24+KLP!C24+'DNB Bedriftspensjon'!C24+'KLP Skadeforsikring AS'!C24+'Landkreditt Forsikring'!C24+Insr!C24+'Nordea Liv'!C24+'Oslo Pensjonsforsikring'!C24+'Protector Forsikring'!C24+'SHB Liv'!C24+'Sparebank 1'!C24+'Storebrand Livsforsikring'!C24+'Telenor Forsikring'!C24+'Tryg Forsikring'!C24+'WaterCircle F'!C24</f>
        <v>38553.113058946299</v>
      </c>
      <c r="D24" s="27">
        <f t="shared" ref="D24:D25" si="10">IF($A$1=4,IF(B24=0, "    ---- ", IF(ABS(ROUND(100/B24*C24-100,1))&lt;999,ROUND(100/B24*C24-100,1),IF(ROUND(100/B24*C24-100,1)&gt;999,999,-999))),"")</f>
        <v>2.4</v>
      </c>
      <c r="E24" s="44">
        <f>'Fremtind Livsforsikring'!F24+'Danica Pensjonsforsikring'!F24+'DNB Livsforsikring'!F24+'Eika Forsikring AS'!F24+'Frende Livsforsikring'!F24+'Frende Skadeforsikring'!F24+'Gjensidige Forsikring'!F24+'Gjensidige Pensjon'!F24+'Handelsbanken Liv'!F24+'If Skadeforsikring NUF'!F24+KLP!F24+'DNB Bedriftspensjon'!F24+'KLP Skadeforsikring AS'!F24+'Landkreditt Forsikring'!F24+Insr!F24+'Nordea Liv'!F24+'Oslo Pensjonsforsikring'!F24+'Protector Forsikring'!F24+'SHB Liv'!F24+'Sparebank 1'!F24+'Storebrand Livsforsikring'!F24+'Telenor Forsikring'!F24+'Tryg Forsikring'!F24+'WaterCircle F'!F24</f>
        <v>179.40243000000001</v>
      </c>
      <c r="F24" s="44">
        <f>'Fremtind Livsforsikring'!G24+'Danica Pensjonsforsikring'!G24+'DNB Livsforsikring'!G24+'Eika Forsikring AS'!G24+'Frende Livsforsikring'!G24+'Frende Skadeforsikring'!G24+'Gjensidige Forsikring'!G24+'Gjensidige Pensjon'!G24+'Handelsbanken Liv'!G24+'If Skadeforsikring NUF'!G24+KLP!G24+'DNB Bedriftspensjon'!G24+'KLP Skadeforsikring AS'!G24+'Landkreditt Forsikring'!G24+Insr!G24+'Nordea Liv'!G24+'Oslo Pensjonsforsikring'!G24+'Protector Forsikring'!G24+'SHB Liv'!G24+'Sparebank 1'!G24+'Storebrand Livsforsikring'!G24+'Telenor Forsikring'!G24+'Tryg Forsikring'!G24+'WaterCircle F'!G24</f>
        <v>4628.98873</v>
      </c>
      <c r="G24" s="166">
        <f t="shared" ref="G24:G25" si="11">IF($A$1=4,IF(E24=0, "    ---- ", IF(ABS(ROUND(100/E24*F24-100,1))&lt;999,ROUND(100/E24*F24-100,1),IF(ROUND(100/E24*F24-100,1)&gt;999,999,-999))),"")</f>
        <v>999</v>
      </c>
      <c r="H24" s="234">
        <f t="shared" si="9"/>
        <v>37833.621346302447</v>
      </c>
      <c r="I24" s="44">
        <f t="shared" si="7"/>
        <v>43182.101788946296</v>
      </c>
      <c r="J24" s="11">
        <f t="shared" si="8"/>
        <v>14.1</v>
      </c>
    </row>
    <row r="25" spans="1:11" ht="15.75" customHeight="1" x14ac:dyDescent="0.2">
      <c r="A25" s="813" t="s">
        <v>449</v>
      </c>
      <c r="B25" s="44">
        <f>'Fremtind Livsforsikring'!B25+'Danica Pensjonsforsikring'!B25+'DNB Livsforsikring'!B25+'Eika Forsikring AS'!B25+'Frende Livsforsikring'!B25+'Frende Skadeforsikring'!B25+'Gjensidige Forsikring'!B25+'Gjensidige Pensjon'!B25+'Handelsbanken Liv'!B25+'If Skadeforsikring NUF'!B25+KLP!B25+'DNB Bedriftspensjon'!B25+'KLP Skadeforsikring AS'!B25+'Landkreditt Forsikring'!B25+Insr!B25+'Nordea Liv'!B25+'Oslo Pensjonsforsikring'!B25+'Protector Forsikring'!B25+'SHB Liv'!B25+'Sparebank 1'!B25+'Storebrand Livsforsikring'!B25+'Telenor Forsikring'!B25+'Tryg Forsikring'!B25+'WaterCircle F'!B25</f>
        <v>40583</v>
      </c>
      <c r="C25" s="44">
        <f>'Fremtind Livsforsikring'!C25+'Danica Pensjonsforsikring'!C25+'DNB Livsforsikring'!C25+'Eika Forsikring AS'!C25+'Frende Livsforsikring'!C25+'Frende Skadeforsikring'!C25+'Gjensidige Forsikring'!C25+'Gjensidige Pensjon'!C25+'Handelsbanken Liv'!C25+'If Skadeforsikring NUF'!C25+KLP!C25+'DNB Bedriftspensjon'!C25+'KLP Skadeforsikring AS'!C25+'Landkreditt Forsikring'!C25+Insr!C25+'Nordea Liv'!C25+'Oslo Pensjonsforsikring'!C25+'Protector Forsikring'!C25+'SHB Liv'!C25+'Sparebank 1'!C25+'Storebrand Livsforsikring'!C25+'Telenor Forsikring'!C25+'Tryg Forsikring'!C25+'WaterCircle F'!C25</f>
        <v>38740.489178304699</v>
      </c>
      <c r="D25" s="27">
        <f t="shared" si="10"/>
        <v>-4.5</v>
      </c>
      <c r="E25" s="44">
        <f>'Fremtind Livsforsikring'!F25+'Danica Pensjonsforsikring'!F25+'DNB Livsforsikring'!F25+'Eika Forsikring AS'!F25+'Frende Livsforsikring'!F25+'Frende Skadeforsikring'!F25+'Gjensidige Forsikring'!F25+'Gjensidige Pensjon'!F25+'Handelsbanken Liv'!F25+'If Skadeforsikring NUF'!F25+KLP!F25+'DNB Bedriftspensjon'!F25+'KLP Skadeforsikring AS'!F25+'Landkreditt Forsikring'!F25+Insr!F25+'Nordea Liv'!F25+'Oslo Pensjonsforsikring'!F25+'Protector Forsikring'!F25+'SHB Liv'!F25+'Sparebank 1'!F25+'Storebrand Livsforsikring'!F25+'Telenor Forsikring'!F25+'Tryg Forsikring'!F25+'WaterCircle F'!F25</f>
        <v>27360.13926</v>
      </c>
      <c r="F25" s="44">
        <f>'Fremtind Livsforsikring'!G25+'Danica Pensjonsforsikring'!G25+'DNB Livsforsikring'!G25+'Eika Forsikring AS'!G25+'Frende Livsforsikring'!G25+'Frende Skadeforsikring'!G25+'Gjensidige Forsikring'!G25+'Gjensidige Pensjon'!G25+'Handelsbanken Liv'!G25+'If Skadeforsikring NUF'!G25+KLP!G25+'DNB Bedriftspensjon'!G25+'KLP Skadeforsikring AS'!G25+'Landkreditt Forsikring'!G25+Insr!G25+'Nordea Liv'!G25+'Oslo Pensjonsforsikring'!G25+'Protector Forsikring'!G25+'SHB Liv'!G25+'Sparebank 1'!G25+'Storebrand Livsforsikring'!G25+'Telenor Forsikring'!G25+'Tryg Forsikring'!G25+'WaterCircle F'!G25</f>
        <v>25494.148789999999</v>
      </c>
      <c r="G25" s="166">
        <f t="shared" si="11"/>
        <v>-6.8</v>
      </c>
      <c r="H25" s="234">
        <f t="shared" si="9"/>
        <v>67943.139259999996</v>
      </c>
      <c r="I25" s="44">
        <f t="shared" si="7"/>
        <v>64234.637968304698</v>
      </c>
      <c r="J25" s="27">
        <f t="shared" si="8"/>
        <v>-5.5</v>
      </c>
    </row>
    <row r="26" spans="1:11" ht="15.75" customHeight="1" x14ac:dyDescent="0.2">
      <c r="A26" s="813" t="s">
        <v>450</v>
      </c>
      <c r="B26" s="44"/>
      <c r="C26" s="44"/>
      <c r="D26" s="27"/>
      <c r="E26" s="44">
        <f>'Fremtind Livsforsikring'!F26+'Danica Pensjonsforsikring'!F26+'DNB Livsforsikring'!F26+'Eika Forsikring AS'!F26+'Frende Livsforsikring'!F26+'Frende Skadeforsikring'!F26+'Gjensidige Forsikring'!F26+'Gjensidige Pensjon'!F26+'Handelsbanken Liv'!F26+'If Skadeforsikring NUF'!F26+KLP!F26+'DNB Bedriftspensjon'!F26+'KLP Skadeforsikring AS'!F26+'Landkreditt Forsikring'!F26+Insr!F26+'Nordea Liv'!F26+'Oslo Pensjonsforsikring'!F26+'Protector Forsikring'!F26+'SHB Liv'!F26+'Sparebank 1'!F26+'Storebrand Livsforsikring'!F26+'Telenor Forsikring'!F26+'Tryg Forsikring'!F26+'WaterCircle F'!F26</f>
        <v>1194494.2099200001</v>
      </c>
      <c r="F26" s="44">
        <f>'Fremtind Livsforsikring'!G26+'Danica Pensjonsforsikring'!G26+'DNB Livsforsikring'!G26+'Eika Forsikring AS'!G26+'Frende Livsforsikring'!G26+'Frende Skadeforsikring'!G26+'Gjensidige Forsikring'!G26+'Gjensidige Pensjon'!G26+'Handelsbanken Liv'!G26+'If Skadeforsikring NUF'!G26+KLP!G26+'DNB Bedriftspensjon'!G26+'KLP Skadeforsikring AS'!G26+'Landkreditt Forsikring'!G26+Insr!G26+'Nordea Liv'!G26+'Oslo Pensjonsforsikring'!G26+'Protector Forsikring'!G26+'SHB Liv'!G26+'Sparebank 1'!G26+'Storebrand Livsforsikring'!G26+'Telenor Forsikring'!G26+'Tryg Forsikring'!G26+'WaterCircle F'!G26</f>
        <v>1282047.2357600001</v>
      </c>
      <c r="G26" s="166">
        <f t="shared" ref="G26" si="12">IF($A$1=4,IF(E26=0, "    ---- ", IF(ABS(ROUND(100/E26*F26-100,1))&lt;999,ROUND(100/E26*F26-100,1),IF(ROUND(100/E26*F26-100,1)&gt;999,999,-999))),"")</f>
        <v>7.3</v>
      </c>
      <c r="H26" s="234">
        <f t="shared" ref="H26" si="13">SUM(B26,E26)</f>
        <v>1194494.2099200001</v>
      </c>
      <c r="I26" s="44">
        <f t="shared" ref="I26" si="14">SUM(C26,F26)</f>
        <v>1282047.2357600001</v>
      </c>
      <c r="J26" s="27">
        <f t="shared" ref="J26" si="15">IF(H26=0, "    ---- ", IF(ABS(ROUND(100/H26*I26-100,1))&lt;999,ROUND(100/H26*I26-100,1),IF(ROUND(100/H26*I26-100,1)&gt;999,999,-999)))</f>
        <v>7.3</v>
      </c>
    </row>
    <row r="27" spans="1:11" ht="15.75" customHeight="1" x14ac:dyDescent="0.2">
      <c r="A27" s="811" t="s">
        <v>11</v>
      </c>
      <c r="B27" s="44"/>
      <c r="C27" s="44"/>
      <c r="D27" s="27"/>
      <c r="E27" s="44"/>
      <c r="F27" s="44"/>
      <c r="G27" s="166"/>
      <c r="H27" s="234"/>
      <c r="I27" s="44"/>
      <c r="J27" s="27"/>
    </row>
    <row r="28" spans="1:11" ht="15.75" customHeight="1" x14ac:dyDescent="0.2">
      <c r="A28" s="49" t="s">
        <v>272</v>
      </c>
      <c r="B28" s="44">
        <f>'Fremtind Livsforsikring'!B28+'Danica Pensjonsforsikring'!B28+'DNB Livsforsikring'!B28+'Eika Forsikring AS'!B28+'Frende Livsforsikring'!B28+'Frende Skadeforsikring'!B28+'Gjensidige Forsikring'!B28+'Gjensidige Pensjon'!B28+'Handelsbanken Liv'!B28+'If Skadeforsikring NUF'!B28+KLP!B28+'DNB Bedriftspensjon'!B28+'KLP Skadeforsikring AS'!B28+'Landkreditt Forsikring'!B28+Insr!B28+'Nordea Liv'!B28+'Oslo Pensjonsforsikring'!B28+'Protector Forsikring'!B28+'SHB Liv'!B28+'Sparebank 1'!B28+'Storebrand Livsforsikring'!B28+'Telenor Forsikring'!B28+'Tryg Forsikring'!B28+'WaterCircle F'!B28</f>
        <v>1879483.9829354847</v>
      </c>
      <c r="C28" s="44">
        <f>'Fremtind Livsforsikring'!C28+'Danica Pensjonsforsikring'!C28+'DNB Livsforsikring'!C28+'Eika Forsikring AS'!C28+'Frende Livsforsikring'!C28+'Frende Skadeforsikring'!C28+'Gjensidige Forsikring'!C28+'Gjensidige Pensjon'!C28+'Handelsbanken Liv'!C28+'If Skadeforsikring NUF'!C28+KLP!C28+'DNB Bedriftspensjon'!C28+'KLP Skadeforsikring AS'!C28+'Landkreditt Forsikring'!C28+Insr!C28+'Nordea Liv'!C28+'Oslo Pensjonsforsikring'!C28+'Protector Forsikring'!C28+'SHB Liv'!C28+'Sparebank 1'!C28+'Storebrand Livsforsikring'!C28+'Telenor Forsikring'!C28+'Tryg Forsikring'!C28+'WaterCircle F'!C28</f>
        <v>1906379.9480036108</v>
      </c>
      <c r="D28" s="23">
        <f t="shared" si="5"/>
        <v>1.4</v>
      </c>
      <c r="E28" s="187"/>
      <c r="F28" s="187"/>
      <c r="G28" s="166"/>
      <c r="H28" s="234">
        <f t="shared" si="9"/>
        <v>1879483.9829354847</v>
      </c>
      <c r="I28" s="44">
        <f t="shared" si="7"/>
        <v>1906379.9480036108</v>
      </c>
      <c r="J28" s="23">
        <f t="shared" si="8"/>
        <v>1.4</v>
      </c>
      <c r="K28" s="3"/>
    </row>
    <row r="29" spans="1:11" s="421" customFormat="1" ht="15.75" customHeight="1" x14ac:dyDescent="0.2">
      <c r="A29" s="39" t="s">
        <v>451</v>
      </c>
      <c r="B29" s="236">
        <f>'Fremtind Livsforsikring'!B29+'Danica Pensjonsforsikring'!B29+'DNB Livsforsikring'!B29+'Eika Forsikring AS'!B29+'Frende Livsforsikring'!B29+'Frende Skadeforsikring'!B29+'Gjensidige Forsikring'!B29+'Gjensidige Pensjon'!B29+'Handelsbanken Liv'!B29+'If Skadeforsikring NUF'!B29+KLP!B29+'DNB Bedriftspensjon'!B29+'KLP Skadeforsikring AS'!B29+'Landkreditt Forsikring'!B29+Insr!B29+'Nordea Liv'!B29+'Oslo Pensjonsforsikring'!B29+'Protector Forsikring'!B29+'SHB Liv'!B29+'Sparebank 1'!B29+'Storebrand Livsforsikring'!B29+'Telenor Forsikring'!B29+'Tryg Forsikring'!B29+'WaterCircle F'!B29</f>
        <v>46977062.425480001</v>
      </c>
      <c r="C29" s="236">
        <f>'Fremtind Livsforsikring'!C29+'Danica Pensjonsforsikring'!C29+'DNB Livsforsikring'!C29+'Eika Forsikring AS'!C29+'Frende Livsforsikring'!C29+'Frende Skadeforsikring'!C29+'Gjensidige Forsikring'!C29+'Gjensidige Pensjon'!C29+'Handelsbanken Liv'!C29+'If Skadeforsikring NUF'!C29+KLP!C29+'DNB Bedriftspensjon'!C29+'KLP Skadeforsikring AS'!C29+'Landkreditt Forsikring'!C29+Insr!C29+'Nordea Liv'!C29+'Oslo Pensjonsforsikring'!C29+'Protector Forsikring'!C29+'SHB Liv'!C29+'Sparebank 1'!C29+'Storebrand Livsforsikring'!C29+'Telenor Forsikring'!C29+'Tryg Forsikring'!C29+'WaterCircle F'!C29</f>
        <v>45749749.547602929</v>
      </c>
      <c r="D29" s="24">
        <f t="shared" si="5"/>
        <v>-2.6</v>
      </c>
      <c r="E29" s="310">
        <f>'Fremtind Livsforsikring'!F29+'Danica Pensjonsforsikring'!F29+'DNB Livsforsikring'!F29+'Eika Forsikring AS'!F29+'Frende Livsforsikring'!F29+'Frende Skadeforsikring'!F29+'Gjensidige Forsikring'!F29+'Gjensidige Pensjon'!F29+'Handelsbanken Liv'!F29+'If Skadeforsikring NUF'!F29+KLP!F29+'DNB Bedriftspensjon'!F29+'KLP Skadeforsikring AS'!F29+'Landkreditt Forsikring'!F29+Insr!F29+'Nordea Liv'!F29+'Oslo Pensjonsforsikring'!F29+'Protector Forsikring'!F29+'SHB Liv'!F29+'Sparebank 1'!F29+'Storebrand Livsforsikring'!F29+'Telenor Forsikring'!F29+'Tryg Forsikring'!F29+'WaterCircle F'!F29</f>
        <v>22338327.633749999</v>
      </c>
      <c r="F29" s="310">
        <f>'Fremtind Livsforsikring'!G29+'Danica Pensjonsforsikring'!G29+'DNB Livsforsikring'!G29+'Eika Forsikring AS'!G29+'Frende Livsforsikring'!G29+'Frende Skadeforsikring'!G29+'Gjensidige Forsikring'!G29+'Gjensidige Pensjon'!G29+'Handelsbanken Liv'!G29+'If Skadeforsikring NUF'!G29+KLP!G29+'DNB Bedriftspensjon'!G29+'KLP Skadeforsikring AS'!G29+'Landkreditt Forsikring'!G29+Insr!G29+'Nordea Liv'!G29+'Oslo Pensjonsforsikring'!G29+'Protector Forsikring'!G29+'SHB Liv'!G29+'Sparebank 1'!G29+'Storebrand Livsforsikring'!G29+'Telenor Forsikring'!G29+'Tryg Forsikring'!G29+'WaterCircle F'!G29</f>
        <v>24538391.578740001</v>
      </c>
      <c r="G29" s="171">
        <f t="shared" si="6"/>
        <v>9.8000000000000007</v>
      </c>
      <c r="H29" s="310">
        <f t="shared" si="9"/>
        <v>69315390.05923</v>
      </c>
      <c r="I29" s="236">
        <f t="shared" si="7"/>
        <v>70288141.126342922</v>
      </c>
      <c r="J29" s="24">
        <f t="shared" si="8"/>
        <v>1.4</v>
      </c>
    </row>
    <row r="30" spans="1:11" s="3" customFormat="1" ht="15.75" customHeight="1" x14ac:dyDescent="0.2">
      <c r="A30" s="813" t="s">
        <v>447</v>
      </c>
      <c r="B30" s="44">
        <f>'Fremtind Livsforsikring'!B30+'Danica Pensjonsforsikring'!B30+'DNB Livsforsikring'!B30+'Eika Forsikring AS'!B30+'Frende Livsforsikring'!B30+'Frende Skadeforsikring'!B30+'Gjensidige Forsikring'!B30+'Gjensidige Pensjon'!B30+'Handelsbanken Liv'!B30+'If Skadeforsikring NUF'!B30+KLP!B30+'DNB Bedriftspensjon'!B30+'KLP Skadeforsikring AS'!B30+'Landkreditt Forsikring'!B30+Insr!B30+'Nordea Liv'!B30+'Oslo Pensjonsforsikring'!B30+'Protector Forsikring'!B30+'SHB Liv'!B30+'Sparebank 1'!B30+'Storebrand Livsforsikring'!B30+'Telenor Forsikring'!B30+'Tryg Forsikring'!B30+'WaterCircle F'!B30</f>
        <v>17672386.15762499</v>
      </c>
      <c r="C30" s="44">
        <f>'Fremtind Livsforsikring'!C30+'Danica Pensjonsforsikring'!C30+'DNB Livsforsikring'!C30+'Eika Forsikring AS'!C30+'Frende Livsforsikring'!C30+'Frende Skadeforsikring'!C30+'Gjensidige Forsikring'!C30+'Gjensidige Pensjon'!C30+'Handelsbanken Liv'!C30+'If Skadeforsikring NUF'!C30+KLP!C30+'DNB Bedriftspensjon'!C30+'KLP Skadeforsikring AS'!C30+'Landkreditt Forsikring'!C30+Insr!C30+'Nordea Liv'!C30+'Oslo Pensjonsforsikring'!C30+'Protector Forsikring'!C30+'SHB Liv'!C30+'Sparebank 1'!C30+'Storebrand Livsforsikring'!C30+'Telenor Forsikring'!C30+'Tryg Forsikring'!C30+'WaterCircle F'!C30</f>
        <v>15814019.46220926</v>
      </c>
      <c r="D30" s="27">
        <f t="shared" ref="D30:D32" si="16">IF($A$1=4,IF(B30=0, "    ---- ", IF(ABS(ROUND(100/B30*C30-100,1))&lt;999,ROUND(100/B30*C30-100,1),IF(ROUND(100/B30*C30-100,1)&gt;999,999,-999))),"")</f>
        <v>-10.5</v>
      </c>
      <c r="E30" s="44">
        <f>'Fremtind Livsforsikring'!F30+'Danica Pensjonsforsikring'!F30+'DNB Livsforsikring'!F30+'Eika Forsikring AS'!F30+'Frende Livsforsikring'!F30+'Frende Skadeforsikring'!F30+'Gjensidige Forsikring'!F30+'Gjensidige Pensjon'!F30+'Handelsbanken Liv'!F30+'If Skadeforsikring NUF'!F30+KLP!F30+'DNB Bedriftspensjon'!F30+'KLP Skadeforsikring AS'!F30+'Landkreditt Forsikring'!F30+Insr!F30+'Nordea Liv'!F30+'Oslo Pensjonsforsikring'!F30+'Protector Forsikring'!F30+'SHB Liv'!F30+'Sparebank 1'!F30+'Storebrand Livsforsikring'!F30+'Telenor Forsikring'!F30+'Tryg Forsikring'!F30+'WaterCircle F'!F30</f>
        <v>4452800.0287556034</v>
      </c>
      <c r="F30" s="44">
        <f>'Fremtind Livsforsikring'!G30+'Danica Pensjonsforsikring'!G30+'DNB Livsforsikring'!G30+'Eika Forsikring AS'!G30+'Frende Livsforsikring'!G30+'Frende Skadeforsikring'!G30+'Gjensidige Forsikring'!G30+'Gjensidige Pensjon'!G30+'Handelsbanken Liv'!G30+'If Skadeforsikring NUF'!G30+KLP!G30+'DNB Bedriftspensjon'!G30+'KLP Skadeforsikring AS'!G30+'Landkreditt Forsikring'!G30+Insr!G30+'Nordea Liv'!G30+'Oslo Pensjonsforsikring'!G30+'Protector Forsikring'!G30+'SHB Liv'!G30+'Sparebank 1'!G30+'Storebrand Livsforsikring'!G30+'Telenor Forsikring'!G30+'Tryg Forsikring'!G30+'WaterCircle F'!G30</f>
        <v>4681675.0083399983</v>
      </c>
      <c r="G30" s="166">
        <f t="shared" ref="G30:G32" si="17">IF($A$1=4,IF(E30=0, "    ---- ", IF(ABS(ROUND(100/E30*F30-100,1))&lt;999,ROUND(100/E30*F30-100,1),IF(ROUND(100/E30*F30-100,1)&gt;999,999,-999))),"")</f>
        <v>5.0999999999999996</v>
      </c>
      <c r="H30" s="234">
        <f t="shared" si="9"/>
        <v>22125186.186380595</v>
      </c>
      <c r="I30" s="44">
        <f t="shared" si="7"/>
        <v>20495694.470549259</v>
      </c>
      <c r="J30" s="23">
        <f t="shared" si="8"/>
        <v>-7.4</v>
      </c>
    </row>
    <row r="31" spans="1:11" s="3" customFormat="1" ht="15.75" customHeight="1" x14ac:dyDescent="0.2">
      <c r="A31" s="813" t="s">
        <v>448</v>
      </c>
      <c r="B31" s="44">
        <f>'Fremtind Livsforsikring'!B31+'Danica Pensjonsforsikring'!B31+'DNB Livsforsikring'!B31+'Eika Forsikring AS'!B31+'Frende Livsforsikring'!B31+'Frende Skadeforsikring'!B31+'Gjensidige Forsikring'!B31+'Gjensidige Pensjon'!B31+'Handelsbanken Liv'!B31+'If Skadeforsikring NUF'!B31+KLP!B31+'DNB Bedriftspensjon'!B31+'KLP Skadeforsikring AS'!B31+'Landkreditt Forsikring'!B31+Insr!B31+'Nordea Liv'!B31+'Oslo Pensjonsforsikring'!B31+'Protector Forsikring'!B31+'SHB Liv'!B31+'Sparebank 1'!B31+'Storebrand Livsforsikring'!B31+'Telenor Forsikring'!B31+'Tryg Forsikring'!B31+'WaterCircle F'!B31</f>
        <v>26156822.719855011</v>
      </c>
      <c r="C31" s="44">
        <f>'Fremtind Livsforsikring'!C31+'Danica Pensjonsforsikring'!C31+'DNB Livsforsikring'!C31+'Eika Forsikring AS'!C31+'Frende Livsforsikring'!C31+'Frende Skadeforsikring'!C31+'Gjensidige Forsikring'!C31+'Gjensidige Pensjon'!C31+'Handelsbanken Liv'!C31+'If Skadeforsikring NUF'!C31+KLP!C31+'DNB Bedriftspensjon'!C31+'KLP Skadeforsikring AS'!C31+'Landkreditt Forsikring'!C31+Insr!C31+'Nordea Liv'!C31+'Oslo Pensjonsforsikring'!C31+'Protector Forsikring'!C31+'SHB Liv'!C31+'Sparebank 1'!C31+'Storebrand Livsforsikring'!C31+'Telenor Forsikring'!C31+'Tryg Forsikring'!C31+'WaterCircle F'!C31</f>
        <v>23536194.919908237</v>
      </c>
      <c r="D31" s="27">
        <f t="shared" si="16"/>
        <v>-10</v>
      </c>
      <c r="E31" s="44">
        <f>'Fremtind Livsforsikring'!F31+'Danica Pensjonsforsikring'!F31+'DNB Livsforsikring'!F31+'Eika Forsikring AS'!F31+'Frende Livsforsikring'!F31+'Frende Skadeforsikring'!F31+'Gjensidige Forsikring'!F31+'Gjensidige Pensjon'!F31+'Handelsbanken Liv'!F31+'If Skadeforsikring NUF'!F31+KLP!F31+'DNB Bedriftspensjon'!F31+'KLP Skadeforsikring AS'!F31+'Landkreditt Forsikring'!F31+Insr!F31+'Nordea Liv'!F31+'Oslo Pensjonsforsikring'!F31+'Protector Forsikring'!F31+'SHB Liv'!F31+'Sparebank 1'!F31+'Storebrand Livsforsikring'!F31+'Telenor Forsikring'!F31+'Tryg Forsikring'!F31+'WaterCircle F'!F31</f>
        <v>9823454.7747838721</v>
      </c>
      <c r="F31" s="44">
        <f>'Fremtind Livsforsikring'!G31+'Danica Pensjonsforsikring'!G31+'DNB Livsforsikring'!G31+'Eika Forsikring AS'!G31+'Frende Livsforsikring'!G31+'Frende Skadeforsikring'!G31+'Gjensidige Forsikring'!G31+'Gjensidige Pensjon'!G31+'Handelsbanken Liv'!G31+'If Skadeforsikring NUF'!G31+KLP!G31+'DNB Bedriftspensjon'!G31+'KLP Skadeforsikring AS'!G31+'Landkreditt Forsikring'!G31+Insr!G31+'Nordea Liv'!G31+'Oslo Pensjonsforsikring'!G31+'Protector Forsikring'!G31+'SHB Liv'!G31+'Sparebank 1'!G31+'Storebrand Livsforsikring'!G31+'Telenor Forsikring'!G31+'Tryg Forsikring'!G31+'WaterCircle F'!G31</f>
        <v>9550054.4738799985</v>
      </c>
      <c r="G31" s="166">
        <f t="shared" si="17"/>
        <v>-2.8</v>
      </c>
      <c r="H31" s="234">
        <f t="shared" si="9"/>
        <v>35980277.494638883</v>
      </c>
      <c r="I31" s="44">
        <f t="shared" si="7"/>
        <v>33086249.393788233</v>
      </c>
      <c r="J31" s="23">
        <f t="shared" si="8"/>
        <v>-8</v>
      </c>
    </row>
    <row r="32" spans="1:11" ht="15.75" customHeight="1" x14ac:dyDescent="0.2">
      <c r="A32" s="813" t="s">
        <v>449</v>
      </c>
      <c r="B32" s="44">
        <f>'Fremtind Livsforsikring'!B32+'Danica Pensjonsforsikring'!B32+'DNB Livsforsikring'!B32+'Eika Forsikring AS'!B32+'Frende Livsforsikring'!B32+'Frende Skadeforsikring'!B32+'Gjensidige Forsikring'!B32+'Gjensidige Pensjon'!B32+'Handelsbanken Liv'!B32+'If Skadeforsikring NUF'!B32+KLP!B32+'DNB Bedriftspensjon'!B32+'KLP Skadeforsikring AS'!B32+'Landkreditt Forsikring'!B32+Insr!B32+'Nordea Liv'!B32+'Oslo Pensjonsforsikring'!B32+'Protector Forsikring'!B32+'SHB Liv'!B32+'Sparebank 1'!B32+'Storebrand Livsforsikring'!B32+'Telenor Forsikring'!B32+'Tryg Forsikring'!B32+'WaterCircle F'!B32</f>
        <v>3015311</v>
      </c>
      <c r="C32" s="44">
        <f>'Fremtind Livsforsikring'!C32+'Danica Pensjonsforsikring'!C32+'DNB Livsforsikring'!C32+'Eika Forsikring AS'!C32+'Frende Livsforsikring'!C32+'Frende Skadeforsikring'!C32+'Gjensidige Forsikring'!C32+'Gjensidige Pensjon'!C32+'Handelsbanken Liv'!C32+'If Skadeforsikring NUF'!C32+KLP!C32+'DNB Bedriftspensjon'!C32+'KLP Skadeforsikring AS'!C32+'Landkreditt Forsikring'!C32+Insr!C32+'Nordea Liv'!C32+'Oslo Pensjonsforsikring'!C32+'Protector Forsikring'!C32+'SHB Liv'!C32+'Sparebank 1'!C32+'Storebrand Livsforsikring'!C32+'Telenor Forsikring'!C32+'Tryg Forsikring'!C32+'WaterCircle F'!C32</f>
        <v>2951487.8186954102</v>
      </c>
      <c r="D32" s="27">
        <f t="shared" si="16"/>
        <v>-2.1</v>
      </c>
      <c r="E32" s="44">
        <f>'Fremtind Livsforsikring'!F32+'Danica Pensjonsforsikring'!F32+'DNB Livsforsikring'!F32+'Eika Forsikring AS'!F32+'Frende Livsforsikring'!F32+'Frende Skadeforsikring'!F32+'Gjensidige Forsikring'!F32+'Gjensidige Pensjon'!F32+'Handelsbanken Liv'!F32+'If Skadeforsikring NUF'!F32+KLP!F32+'DNB Bedriftspensjon'!F32+'KLP Skadeforsikring AS'!F32+'Landkreditt Forsikring'!F32+Insr!F32+'Nordea Liv'!F32+'Oslo Pensjonsforsikring'!F32+'Protector Forsikring'!F32+'SHB Liv'!F32+'Sparebank 1'!F32+'Storebrand Livsforsikring'!F32+'Telenor Forsikring'!F32+'Tryg Forsikring'!F32+'WaterCircle F'!F32</f>
        <v>4663573.5241858698</v>
      </c>
      <c r="F32" s="44">
        <f>'Fremtind Livsforsikring'!G32+'Danica Pensjonsforsikring'!G32+'DNB Livsforsikring'!G32+'Eika Forsikring AS'!G32+'Frende Livsforsikring'!G32+'Frende Skadeforsikring'!G32+'Gjensidige Forsikring'!G32+'Gjensidige Pensjon'!G32+'Handelsbanken Liv'!G32+'If Skadeforsikring NUF'!G32+KLP!G32+'DNB Bedriftspensjon'!G32+'KLP Skadeforsikring AS'!G32+'Landkreditt Forsikring'!G32+Insr!G32+'Nordea Liv'!G32+'Oslo Pensjonsforsikring'!G32+'Protector Forsikring'!G32+'SHB Liv'!G32+'Sparebank 1'!G32+'Storebrand Livsforsikring'!G32+'Telenor Forsikring'!G32+'Tryg Forsikring'!G32+'WaterCircle F'!G32</f>
        <v>5242330.4495999999</v>
      </c>
      <c r="G32" s="166">
        <f t="shared" si="17"/>
        <v>12.4</v>
      </c>
      <c r="H32" s="234">
        <f t="shared" si="9"/>
        <v>7678884.5241858698</v>
      </c>
      <c r="I32" s="44">
        <f t="shared" si="7"/>
        <v>8193818.2682954101</v>
      </c>
      <c r="J32" s="24">
        <f t="shared" si="8"/>
        <v>6.7</v>
      </c>
    </row>
    <row r="33" spans="1:10" ht="15.75" customHeight="1" x14ac:dyDescent="0.2">
      <c r="A33" s="813" t="s">
        <v>450</v>
      </c>
      <c r="B33" s="44">
        <f>'Fremtind Livsforsikring'!B33+'Danica Pensjonsforsikring'!B33+'DNB Livsforsikring'!B33+'Eika Forsikring AS'!B33+'Frende Livsforsikring'!B33+'Frende Skadeforsikring'!B33+'Gjensidige Forsikring'!B33+'Gjensidige Pensjon'!B33+'Handelsbanken Liv'!B33+'If Skadeforsikring NUF'!B33+KLP!B33+'DNB Bedriftspensjon'!B33+'KLP Skadeforsikring AS'!B33+'Landkreditt Forsikring'!B33+Insr!B33+'Nordea Liv'!B33+'Oslo Pensjonsforsikring'!B33+'Protector Forsikring'!B33+'SHB Liv'!B33+'Sparebank 1'!B33+'Storebrand Livsforsikring'!B33+'Telenor Forsikring'!B33+'Tryg Forsikring'!B33+'WaterCircle F'!B33</f>
        <v>0</v>
      </c>
      <c r="C33" s="44">
        <f>'Fremtind Livsforsikring'!C33+'Danica Pensjonsforsikring'!C33+'DNB Livsforsikring'!C33+'Eika Forsikring AS'!C33+'Frende Livsforsikring'!C33+'Frende Skadeforsikring'!C33+'Gjensidige Forsikring'!C33+'Gjensidige Pensjon'!C33+'Handelsbanken Liv'!C33+'If Skadeforsikring NUF'!C33+KLP!C33+'DNB Bedriftspensjon'!C33+'KLP Skadeforsikring AS'!C33+'Landkreditt Forsikring'!C33+Insr!C33+'Nordea Liv'!C33+'Oslo Pensjonsforsikring'!C33+'Protector Forsikring'!C33+'SHB Liv'!C33+'Sparebank 1'!C33+'Storebrand Livsforsikring'!C33+'Telenor Forsikring'!C33+'Tryg Forsikring'!C33+'WaterCircle F'!C33</f>
        <v>0</v>
      </c>
      <c r="D33" s="27" t="str">
        <f t="shared" ref="D33" si="18">IF($A$1=4,IF(B33=0, "    ---- ", IF(ABS(ROUND(100/B33*C33-100,1))&lt;999,ROUND(100/B33*C33-100,1),IF(ROUND(100/B33*C33-100,1)&gt;999,999,-999))),"")</f>
        <v xml:space="preserve">    ---- </v>
      </c>
      <c r="E33" s="44">
        <f>'Fremtind Livsforsikring'!F33+'Danica Pensjonsforsikring'!F33+'DNB Livsforsikring'!F33+'Eika Forsikring AS'!F33+'Frende Livsforsikring'!F33+'Frende Skadeforsikring'!F33+'Gjensidige Forsikring'!F33+'Gjensidige Pensjon'!F33+'Handelsbanken Liv'!F33+'If Skadeforsikring NUF'!F33+KLP!F33+'DNB Bedriftspensjon'!F33+'KLP Skadeforsikring AS'!F33+'Landkreditt Forsikring'!F33+Insr!F33+'Nordea Liv'!F33+'Oslo Pensjonsforsikring'!F33+'Protector Forsikring'!F33+'SHB Liv'!F33+'Sparebank 1'!F33+'Storebrand Livsforsikring'!F33+'Telenor Forsikring'!F33+'Tryg Forsikring'!F33+'WaterCircle F'!F33</f>
        <v>3398499.3060246473</v>
      </c>
      <c r="F33" s="44">
        <f>'Fremtind Livsforsikring'!G33+'Danica Pensjonsforsikring'!G33+'DNB Livsforsikring'!G33+'Eika Forsikring AS'!G33+'Frende Livsforsikring'!G33+'Frende Skadeforsikring'!G33+'Gjensidige Forsikring'!G33+'Gjensidige Pensjon'!G33+'Handelsbanken Liv'!G33+'If Skadeforsikring NUF'!G33+KLP!G33+'DNB Bedriftspensjon'!G33+'KLP Skadeforsikring AS'!G33+'Landkreditt Forsikring'!G33+Insr!G33+'Nordea Liv'!G33+'Oslo Pensjonsforsikring'!G33+'Protector Forsikring'!G33+'SHB Liv'!G33+'Sparebank 1'!G33+'Storebrand Livsforsikring'!G33+'Telenor Forsikring'!G33+'Tryg Forsikring'!G33+'WaterCircle F'!G33</f>
        <v>5064331.6469200002</v>
      </c>
      <c r="G33" s="166">
        <f t="shared" ref="G33" si="19">IF($A$1=4,IF(E33=0, "    ---- ", IF(ABS(ROUND(100/E33*F33-100,1))&lt;999,ROUND(100/E33*F33-100,1),IF(ROUND(100/E33*F33-100,1)&gt;999,999,-999))),"")</f>
        <v>49</v>
      </c>
      <c r="H33" s="234">
        <f t="shared" ref="H33" si="20">SUM(B33,E33)</f>
        <v>3398499.3060246473</v>
      </c>
      <c r="I33" s="44">
        <f t="shared" ref="I33" si="21">SUM(C33,F33)</f>
        <v>5064331.6469200002</v>
      </c>
      <c r="J33" s="24">
        <f t="shared" ref="J33" si="22">IF(H33=0, "    ---- ", IF(ABS(ROUND(100/H33*I33-100,1))&lt;999,ROUND(100/H33*I33-100,1),IF(ROUND(100/H33*I33-100,1)&gt;999,999,-999)))</f>
        <v>49</v>
      </c>
    </row>
    <row r="34" spans="1:10" s="43" customFormat="1" ht="15.75" customHeight="1" x14ac:dyDescent="0.2">
      <c r="A34" s="39" t="s">
        <v>445</v>
      </c>
      <c r="B34" s="236">
        <f>'Fremtind Livsforsikring'!B34+'Danica Pensjonsforsikring'!B34+'DNB Livsforsikring'!B34+'Eika Forsikring AS'!B34+'Frende Livsforsikring'!B34+'Frende Skadeforsikring'!B34+'Gjensidige Forsikring'!B34+'Gjensidige Pensjon'!B34+'Handelsbanken Liv'!B34+'If Skadeforsikring NUF'!B34+KLP!B34+'DNB Bedriftspensjon'!B34+'KLP Skadeforsikring AS'!B34+'Landkreditt Forsikring'!B34+Insr!B34+'Nordea Liv'!B34+'Oslo Pensjonsforsikring'!B34+'Protector Forsikring'!B34+'SHB Liv'!B34+'Sparebank 1'!B34+'Storebrand Livsforsikring'!B34+'Telenor Forsikring'!B34+'Tryg Forsikring'!B34+'WaterCircle F'!B34</f>
        <v>26556.532999999999</v>
      </c>
      <c r="C34" s="236">
        <f>'Fremtind Livsforsikring'!C34+'Danica Pensjonsforsikring'!C34+'DNB Livsforsikring'!C34+'Eika Forsikring AS'!C34+'Frende Livsforsikring'!C34+'Frende Skadeforsikring'!C34+'Gjensidige Forsikring'!C34+'Gjensidige Pensjon'!C34+'Handelsbanken Liv'!C34+'If Skadeforsikring NUF'!C34+KLP!C34+'DNB Bedriftspensjon'!C34+'KLP Skadeforsikring AS'!C34+'Landkreditt Forsikring'!C34+Insr!C34+'Nordea Liv'!C34+'Oslo Pensjonsforsikring'!C34+'Protector Forsikring'!C34+'SHB Liv'!C34+'Sparebank 1'!C34+'Storebrand Livsforsikring'!C34+'Telenor Forsikring'!C34+'Tryg Forsikring'!C34+'WaterCircle F'!C34</f>
        <v>27837.177009999999</v>
      </c>
      <c r="D34" s="24">
        <f t="shared" si="5"/>
        <v>4.8</v>
      </c>
      <c r="E34" s="310">
        <f>'Fremtind Livsforsikring'!F34+'Danica Pensjonsforsikring'!F34+'DNB Livsforsikring'!F34+'Eika Forsikring AS'!F34+'Frende Livsforsikring'!F34+'Frende Skadeforsikring'!F34+'Gjensidige Forsikring'!F34+'Gjensidige Pensjon'!F34+'Handelsbanken Liv'!F34+'If Skadeforsikring NUF'!F34+KLP!F34+'DNB Bedriftspensjon'!F34+'KLP Skadeforsikring AS'!F34+'Landkreditt Forsikring'!F34+Insr!F34+'Nordea Liv'!F34+'Oslo Pensjonsforsikring'!F34+'Protector Forsikring'!F34+'SHB Liv'!F34+'Sparebank 1'!F34+'Storebrand Livsforsikring'!F34+'Telenor Forsikring'!F34+'Tryg Forsikring'!F34+'WaterCircle F'!F34</f>
        <v>70179.748269999996</v>
      </c>
      <c r="F34" s="310">
        <f>'Fremtind Livsforsikring'!G34+'Danica Pensjonsforsikring'!G34+'DNB Livsforsikring'!G34+'Eika Forsikring AS'!G34+'Frende Livsforsikring'!G34+'Frende Skadeforsikring'!G34+'Gjensidige Forsikring'!G34+'Gjensidige Pensjon'!G34+'Handelsbanken Liv'!G34+'If Skadeforsikring NUF'!G34+KLP!G34+'DNB Bedriftspensjon'!G34+'KLP Skadeforsikring AS'!G34+'Landkreditt Forsikring'!G34+Insr!G34+'Nordea Liv'!G34+'Oslo Pensjonsforsikring'!G34+'Protector Forsikring'!G34+'SHB Liv'!G34+'Sparebank 1'!G34+'Storebrand Livsforsikring'!G34+'Telenor Forsikring'!G34+'Tryg Forsikring'!G34+'WaterCircle F'!G34</f>
        <v>180952.49515999999</v>
      </c>
      <c r="G34" s="171">
        <f t="shared" si="6"/>
        <v>157.80000000000001</v>
      </c>
      <c r="H34" s="310">
        <f t="shared" si="9"/>
        <v>96736.281269999992</v>
      </c>
      <c r="I34" s="236">
        <f t="shared" si="7"/>
        <v>208789.67216999998</v>
      </c>
      <c r="J34" s="24">
        <f t="shared" si="8"/>
        <v>115.8</v>
      </c>
    </row>
    <row r="35" spans="1:10" s="43" customFormat="1" ht="15.75" customHeight="1" x14ac:dyDescent="0.2">
      <c r="A35" s="39" t="s">
        <v>446</v>
      </c>
      <c r="B35" s="236">
        <f>'Fremtind Livsforsikring'!B35+'Danica Pensjonsforsikring'!B35+'DNB Livsforsikring'!B35+'Eika Forsikring AS'!B35+'Frende Livsforsikring'!B35+'Frende Skadeforsikring'!B35+'Gjensidige Forsikring'!B35+'Gjensidige Pensjon'!B35+'Handelsbanken Liv'!B35+'If Skadeforsikring NUF'!B35+KLP!B35+'DNB Bedriftspensjon'!B35+'KLP Skadeforsikring AS'!B35+'Landkreditt Forsikring'!B35+Insr!B35+'Nordea Liv'!B35+'Oslo Pensjonsforsikring'!B35+'Protector Forsikring'!B35+'SHB Liv'!B35+'Sparebank 1'!B35+'Storebrand Livsforsikring'!B35+'Telenor Forsikring'!B35+'Tryg Forsikring'!B35+'WaterCircle F'!B35</f>
        <v>-29190.046699999999</v>
      </c>
      <c r="C35" s="236">
        <f>'Fremtind Livsforsikring'!C35+'Danica Pensjonsforsikring'!C35+'DNB Livsforsikring'!C35+'Eika Forsikring AS'!C35+'Frende Livsforsikring'!C35+'Frende Skadeforsikring'!C35+'Gjensidige Forsikring'!C35+'Gjensidige Pensjon'!C35+'Handelsbanken Liv'!C35+'If Skadeforsikring NUF'!C35+KLP!C35+'DNB Bedriftspensjon'!C35+'KLP Skadeforsikring AS'!C35+'Landkreditt Forsikring'!C35+Insr!C35+'Nordea Liv'!C35+'Oslo Pensjonsforsikring'!C35+'Protector Forsikring'!C35+'SHB Liv'!C35+'Sparebank 1'!C35+'Storebrand Livsforsikring'!C35+'Telenor Forsikring'!C35+'Tryg Forsikring'!C35+'WaterCircle F'!C35</f>
        <v>-123894.02335999999</v>
      </c>
      <c r="D35" s="24">
        <f t="shared" si="5"/>
        <v>324.39999999999998</v>
      </c>
      <c r="E35" s="310">
        <f>'Fremtind Livsforsikring'!F35+'Danica Pensjonsforsikring'!F35+'DNB Livsforsikring'!F35+'Eika Forsikring AS'!F35+'Frende Livsforsikring'!F35+'Frende Skadeforsikring'!F35+'Gjensidige Forsikring'!F35+'Gjensidige Pensjon'!F35+'Handelsbanken Liv'!F35+'If Skadeforsikring NUF'!F35+KLP!F35+'DNB Bedriftspensjon'!F35+'KLP Skadeforsikring AS'!F35+'Landkreditt Forsikring'!F35+Insr!F35+'Nordea Liv'!F35+'Oslo Pensjonsforsikring'!F35+'Protector Forsikring'!F35+'SHB Liv'!F35+'Sparebank 1'!F35+'Storebrand Livsforsikring'!F35+'Telenor Forsikring'!F35+'Tryg Forsikring'!F35+'WaterCircle F'!F35</f>
        <v>132988.32624999998</v>
      </c>
      <c r="F35" s="310">
        <f>'Fremtind Livsforsikring'!G35+'Danica Pensjonsforsikring'!G35+'DNB Livsforsikring'!G35+'Eika Forsikring AS'!G35+'Frende Livsforsikring'!G35+'Frende Skadeforsikring'!G35+'Gjensidige Forsikring'!G35+'Gjensidige Pensjon'!G35+'Handelsbanken Liv'!G35+'If Skadeforsikring NUF'!G35+KLP!G35+'DNB Bedriftspensjon'!G35+'KLP Skadeforsikring AS'!G35+'Landkreditt Forsikring'!G35+Insr!G35+'Nordea Liv'!G35+'Oslo Pensjonsforsikring'!G35+'Protector Forsikring'!G35+'SHB Liv'!G35+'Sparebank 1'!G35+'Storebrand Livsforsikring'!G35+'Telenor Forsikring'!G35+'Tryg Forsikring'!G35+'WaterCircle F'!G35</f>
        <v>166221.30631000001</v>
      </c>
      <c r="G35" s="171">
        <f t="shared" si="6"/>
        <v>25</v>
      </c>
      <c r="H35" s="310">
        <f t="shared" si="9"/>
        <v>103798.27954999998</v>
      </c>
      <c r="I35" s="236">
        <f t="shared" si="7"/>
        <v>42327.282950000023</v>
      </c>
      <c r="J35" s="24">
        <f t="shared" si="8"/>
        <v>-59.2</v>
      </c>
    </row>
    <row r="36" spans="1:10" s="43" customFormat="1" ht="15.75" customHeight="1" x14ac:dyDescent="0.2">
      <c r="A36" s="12" t="s">
        <v>280</v>
      </c>
      <c r="B36" s="236">
        <f>'Fremtind Livsforsikring'!B36+'Danica Pensjonsforsikring'!B36+'DNB Livsforsikring'!B36+'Eika Forsikring AS'!B36+'Frende Livsforsikring'!B36+'Frende Skadeforsikring'!B36+'Gjensidige Forsikring'!B36+'Gjensidige Pensjon'!B36+'Handelsbanken Liv'!B36+'If Skadeforsikring NUF'!B36+KLP!B36+'DNB Bedriftspensjon'!B36+'KLP Skadeforsikring AS'!B36+'Landkreditt Forsikring'!B36+Insr!B36+'Nordea Liv'!B36+'Oslo Pensjonsforsikring'!B36+'Protector Forsikring'!B36+'SHB Liv'!B36+'Sparebank 1'!B36+'Storebrand Livsforsikring'!B36+'Telenor Forsikring'!B36+'Tryg Forsikring'!B36+'WaterCircle F'!B36</f>
        <v>12205.221</v>
      </c>
      <c r="C36" s="236">
        <f>'Fremtind Livsforsikring'!C36+'Danica Pensjonsforsikring'!C36+'DNB Livsforsikring'!C36+'Eika Forsikring AS'!C36+'Frende Livsforsikring'!C36+'Frende Skadeforsikring'!C36+'Gjensidige Forsikring'!C36+'Gjensidige Pensjon'!C36+'Handelsbanken Liv'!C36+'If Skadeforsikring NUF'!C36+KLP!C36+'DNB Bedriftspensjon'!C36+'KLP Skadeforsikring AS'!C36+'Landkreditt Forsikring'!C36+Insr!C36+'Nordea Liv'!C36+'Oslo Pensjonsforsikring'!C36+'Protector Forsikring'!C36+'SHB Liv'!C36+'Sparebank 1'!C36+'Storebrand Livsforsikring'!C36+'Telenor Forsikring'!C36+'Tryg Forsikring'!C36+'WaterCircle F'!C36</f>
        <v>11513.33</v>
      </c>
      <c r="D36" s="11">
        <f t="shared" si="5"/>
        <v>-5.7</v>
      </c>
      <c r="E36" s="321"/>
      <c r="F36" s="321"/>
      <c r="G36" s="171"/>
      <c r="H36" s="310">
        <f t="shared" si="9"/>
        <v>12205.221</v>
      </c>
      <c r="I36" s="236">
        <f t="shared" si="7"/>
        <v>11513.33</v>
      </c>
      <c r="J36" s="11">
        <f t="shared" si="8"/>
        <v>-5.7</v>
      </c>
    </row>
    <row r="37" spans="1:10" s="43" customFormat="1" ht="15.75" customHeight="1" x14ac:dyDescent="0.2">
      <c r="A37" s="814" t="s">
        <v>452</v>
      </c>
      <c r="B37" s="236">
        <f>'Fremtind Livsforsikring'!B37+'Danica Pensjonsforsikring'!B37+'DNB Livsforsikring'!B37+'Eika Forsikring AS'!B37+'Frende Livsforsikring'!B37+'Frende Skadeforsikring'!B37+'Gjensidige Forsikring'!B37+'Gjensidige Pensjon'!B37+'Handelsbanken Liv'!B37+'If Skadeforsikring NUF'!B37+KLP!B37+'DNB Bedriftspensjon'!B37+'KLP Skadeforsikring AS'!B37+'Landkreditt Forsikring'!B37+Insr!B37+'Nordea Liv'!B37+'Oslo Pensjonsforsikring'!B37+'Protector Forsikring'!B37+'SHB Liv'!B37+'Sparebank 1'!B37+'Storebrand Livsforsikring'!B37+'Telenor Forsikring'!B37+'Tryg Forsikring'!B37+'WaterCircle F'!B37</f>
        <v>3584900.3</v>
      </c>
      <c r="C37" s="236">
        <f>'Fremtind Livsforsikring'!C37+'Danica Pensjonsforsikring'!C37+'DNB Livsforsikring'!C37+'Eika Forsikring AS'!C37+'Frende Livsforsikring'!C37+'Frende Skadeforsikring'!C37+'Gjensidige Forsikring'!C37+'Gjensidige Pensjon'!C37+'Handelsbanken Liv'!C37+'If Skadeforsikring NUF'!C37+KLP!C37+'DNB Bedriftspensjon'!C37+'KLP Skadeforsikring AS'!C37+'Landkreditt Forsikring'!C37+Insr!C37+'Nordea Liv'!C37+'Oslo Pensjonsforsikring'!C37+'Protector Forsikring'!C37+'SHB Liv'!C37+'Sparebank 1'!C37+'Storebrand Livsforsikring'!C37+'Telenor Forsikring'!C37+'Tryg Forsikring'!C37+'WaterCircle F'!C37</f>
        <v>3331026.7708399999</v>
      </c>
      <c r="D37" s="24">
        <f t="shared" si="5"/>
        <v>-7.1</v>
      </c>
      <c r="E37" s="326"/>
      <c r="F37" s="326"/>
      <c r="G37" s="171"/>
      <c r="H37" s="310">
        <f t="shared" si="9"/>
        <v>3584900.3</v>
      </c>
      <c r="I37" s="236">
        <f t="shared" si="7"/>
        <v>3331026.7708399999</v>
      </c>
      <c r="J37" s="24">
        <f t="shared" si="8"/>
        <v>-7.1</v>
      </c>
    </row>
    <row r="38" spans="1:10" s="43" customFormat="1" ht="15.75" customHeight="1" x14ac:dyDescent="0.2">
      <c r="A38" s="814" t="s">
        <v>453</v>
      </c>
      <c r="B38" s="236"/>
      <c r="C38" s="236"/>
      <c r="D38" s="24"/>
      <c r="E38" s="321"/>
      <c r="F38" s="327"/>
      <c r="G38" s="171"/>
      <c r="H38" s="310"/>
      <c r="I38" s="236"/>
      <c r="J38" s="24"/>
    </row>
    <row r="39" spans="1:10" s="43" customFormat="1" ht="15.75" customHeight="1" x14ac:dyDescent="0.2">
      <c r="A39" s="815" t="s">
        <v>454</v>
      </c>
      <c r="B39" s="278"/>
      <c r="C39" s="278">
        <f>'Fremtind Livsforsikring'!C39+'Danica Pensjonsforsikring'!C39+'DNB Livsforsikring'!C39+'Eika Forsikring AS'!C39+'Frende Livsforsikring'!C39+'Frende Skadeforsikring'!C39+'Gjensidige Forsikring'!C39+'Gjensidige Pensjon'!C39+'Handelsbanken Liv'!C39+'If Skadeforsikring NUF'!C39+KLP!C39+'DNB Bedriftspensjon'!C39+'KLP Skadeforsikring AS'!C39+'Landkreditt Forsikring'!C39+Insr!C39+'Nordea Liv'!C39+'Oslo Pensjonsforsikring'!C39+'Protector Forsikring'!C39+'SHB Liv'!C39+'Sparebank 1'!C39+'Storebrand Livsforsikring'!C39+'Telenor Forsikring'!C39+'Tryg Forsikring'!C39+'WaterCircle F'!C39</f>
        <v>19</v>
      </c>
      <c r="D39" s="36" t="str">
        <f t="shared" si="5"/>
        <v xml:space="preserve">    ---- </v>
      </c>
      <c r="E39" s="328"/>
      <c r="F39" s="328"/>
      <c r="G39" s="169"/>
      <c r="H39" s="316">
        <f t="shared" si="9"/>
        <v>0</v>
      </c>
      <c r="I39" s="278">
        <f t="shared" si="7"/>
        <v>19</v>
      </c>
      <c r="J39" s="36" t="str">
        <f t="shared" si="8"/>
        <v xml:space="preserve">    ---- </v>
      </c>
    </row>
    <row r="40" spans="1:10" ht="15.75" customHeight="1" x14ac:dyDescent="0.2">
      <c r="A40" s="47"/>
    </row>
    <row r="41" spans="1:10" ht="15.75" customHeight="1" x14ac:dyDescent="0.2">
      <c r="A41" s="155"/>
    </row>
    <row r="42" spans="1:10" ht="15.75" customHeight="1" x14ac:dyDescent="0.25">
      <c r="A42" s="147" t="s">
        <v>269</v>
      </c>
      <c r="B42" s="1017"/>
      <c r="C42" s="1017"/>
      <c r="D42" s="1017"/>
      <c r="E42" s="1021"/>
      <c r="F42" s="1021"/>
      <c r="G42" s="1021"/>
      <c r="H42" s="1021"/>
      <c r="I42" s="1021"/>
      <c r="J42" s="1021"/>
    </row>
    <row r="43" spans="1:10" ht="15.75" customHeight="1" x14ac:dyDescent="0.25">
      <c r="A43" s="163"/>
      <c r="B43" s="436"/>
      <c r="C43" s="436"/>
      <c r="D43" s="436"/>
      <c r="E43" s="300"/>
      <c r="F43" s="300"/>
      <c r="G43" s="300"/>
      <c r="H43" s="300"/>
      <c r="I43" s="300"/>
      <c r="J43" s="300"/>
    </row>
    <row r="44" spans="1:10" s="3" customFormat="1" ht="15.75" customHeight="1" x14ac:dyDescent="0.25">
      <c r="A44" s="247"/>
      <c r="B44" s="329" t="s">
        <v>0</v>
      </c>
      <c r="C44" s="330"/>
      <c r="D44" s="255"/>
      <c r="E44" s="42"/>
      <c r="F44" s="42"/>
      <c r="G44" s="40"/>
      <c r="H44" s="42"/>
      <c r="I44" s="42"/>
      <c r="J44" s="40"/>
    </row>
    <row r="45" spans="1:10" s="3" customFormat="1" ht="15.75" customHeight="1" x14ac:dyDescent="0.2">
      <c r="A45" s="140"/>
      <c r="B45" s="252" t="s">
        <v>502</v>
      </c>
      <c r="C45" s="253" t="s">
        <v>503</v>
      </c>
      <c r="D45" s="250" t="s">
        <v>3</v>
      </c>
      <c r="E45" s="42"/>
      <c r="F45" s="42"/>
      <c r="G45" s="40"/>
      <c r="H45" s="42"/>
      <c r="I45" s="42"/>
      <c r="J45" s="40"/>
    </row>
    <row r="46" spans="1:10" s="3" customFormat="1" ht="15.75" customHeight="1" x14ac:dyDescent="0.2">
      <c r="A46" s="990"/>
      <c r="B46" s="46"/>
      <c r="C46" s="254"/>
      <c r="D46" s="17" t="s">
        <v>4</v>
      </c>
      <c r="E46" s="40"/>
      <c r="F46" s="40"/>
      <c r="G46" s="40"/>
      <c r="H46" s="40"/>
      <c r="I46" s="40"/>
      <c r="J46" s="40"/>
    </row>
    <row r="47" spans="1:10" s="421" customFormat="1" ht="15.75" customHeight="1" x14ac:dyDescent="0.2">
      <c r="A47" s="14" t="s">
        <v>23</v>
      </c>
      <c r="B47" s="236">
        <f>'Fremtind Livsforsikring'!B47+'Danica Pensjonsforsikring'!B47+'DNB Livsforsikring'!B47+'Eika Forsikring AS'!B47+'Frende Livsforsikring'!B47+'Frende Skadeforsikring'!B47+'Gjensidige Forsikring'!B47+'Gjensidige Pensjon'!B47+'Handelsbanken Liv'!B47+'If Skadeforsikring NUF'!B47+KLP!B47+'DNB Bedriftspensjon'!B47+'KLP Skadeforsikring AS'!B47+'Landkreditt Forsikring'!B47+Insr!B47+'Nordea Liv'!B47+'Oslo Pensjonsforsikring'!B47+'Protector Forsikring'!B47+'SHB Liv'!B47+'Sparebank 1'!B47+'Storebrand Livsforsikring'!B47+'Telenor Forsikring'!B47+'Tryg Forsikring'!B47+'WaterCircle F'!B47</f>
        <v>4328043.2384185186</v>
      </c>
      <c r="C47" s="236">
        <f>'Fremtind Livsforsikring'!C47+'Danica Pensjonsforsikring'!C47+'DNB Livsforsikring'!C47+'Eika Forsikring AS'!C47+'Frende Livsforsikring'!C47+'Frende Skadeforsikring'!C47+'Gjensidige Forsikring'!C47+'Gjensidige Pensjon'!C47+'Handelsbanken Liv'!C47+'If Skadeforsikring NUF'!C47+KLP!C47+'DNB Bedriftspensjon'!C47+'KLP Skadeforsikring AS'!C47+'Landkreditt Forsikring'!C47+Insr!C47+'Nordea Liv'!C47+'Oslo Pensjonsforsikring'!C47+'Protector Forsikring'!C47+'SHB Liv'!C47+'Sparebank 1'!C47+'Storebrand Livsforsikring'!C47+'Telenor Forsikring'!C47+'Tryg Forsikring'!C47+'WaterCircle F'!C47</f>
        <v>4777075.9113196395</v>
      </c>
      <c r="D47" s="24">
        <f t="shared" ref="D47:D58" si="23">IF(B47=0, "    ---- ", IF(ABS(ROUND(100/B47*C47-100,1))&lt;999,ROUND(100/B47*C47-100,1),IF(ROUND(100/B47*C47-100,1)&gt;999,999,-999)))</f>
        <v>10.4</v>
      </c>
      <c r="E47" s="422"/>
      <c r="F47" s="423"/>
      <c r="G47" s="32"/>
      <c r="H47" s="424"/>
      <c r="I47" s="424"/>
      <c r="J47" s="32"/>
    </row>
    <row r="48" spans="1:10" s="3" customFormat="1" ht="15.75" customHeight="1" x14ac:dyDescent="0.2">
      <c r="A48" s="38" t="s">
        <v>455</v>
      </c>
      <c r="B48" s="44">
        <f>'Fremtind Livsforsikring'!B48+'Danica Pensjonsforsikring'!B48+'DNB Livsforsikring'!B48+'Eika Forsikring AS'!B48+'Frende Livsforsikring'!B48+'Frende Skadeforsikring'!B48+'Gjensidige Forsikring'!B48+'Gjensidige Pensjon'!B48+'Handelsbanken Liv'!B48+'If Skadeforsikring NUF'!B48+KLP!B48+'DNB Bedriftspensjon'!B48+'KLP Skadeforsikring AS'!B48+'Landkreditt Forsikring'!B48+Insr!B48+'Nordea Liv'!B48+'Oslo Pensjonsforsikring'!B48+'Protector Forsikring'!B48+'SHB Liv'!B48+'Sparebank 1'!B48+'Storebrand Livsforsikring'!B48+'Telenor Forsikring'!B48+'Tryg Forsikring'!B48+'WaterCircle F'!B48</f>
        <v>2399434.4798885188</v>
      </c>
      <c r="C48" s="44">
        <f>'Fremtind Livsforsikring'!C48+'Danica Pensjonsforsikring'!C48+'DNB Livsforsikring'!C48+'Eika Forsikring AS'!C48+'Frende Livsforsikring'!C48+'Frende Skadeforsikring'!C48+'Gjensidige Forsikring'!C48+'Gjensidige Pensjon'!C48+'Handelsbanken Liv'!C48+'If Skadeforsikring NUF'!C48+KLP!C48+'DNB Bedriftspensjon'!C48+'KLP Skadeforsikring AS'!C48+'Landkreditt Forsikring'!C48+Insr!C48+'Nordea Liv'!C48+'Oslo Pensjonsforsikring'!C48+'Protector Forsikring'!C48+'SHB Liv'!C48+'Sparebank 1'!C48+'Storebrand Livsforsikring'!C48+'Telenor Forsikring'!C48+'Tryg Forsikring'!C48+'WaterCircle F'!C48</f>
        <v>2664376.2671296396</v>
      </c>
      <c r="D48" s="24">
        <f t="shared" si="23"/>
        <v>11</v>
      </c>
      <c r="E48" s="35"/>
      <c r="F48" s="5"/>
      <c r="G48" s="34"/>
      <c r="H48" s="33"/>
      <c r="I48" s="33"/>
      <c r="J48" s="32"/>
    </row>
    <row r="49" spans="1:10" s="3" customFormat="1" ht="15.75" customHeight="1" x14ac:dyDescent="0.2">
      <c r="A49" s="38" t="s">
        <v>456</v>
      </c>
      <c r="B49" s="191">
        <f>'Fremtind Livsforsikring'!B49+'Danica Pensjonsforsikring'!B49+'DNB Livsforsikring'!B49+'Eika Forsikring AS'!B49+'Frende Livsforsikring'!B49+'Frende Skadeforsikring'!B49+'Gjensidige Forsikring'!B49+'Gjensidige Pensjon'!B49+'Handelsbanken Liv'!B49+'If Skadeforsikring NUF'!B49+KLP!B49+'DNB Bedriftspensjon'!B49+'KLP Skadeforsikring AS'!B49+'Landkreditt Forsikring'!B49+Insr!B49+'Nordea Liv'!B49+'Oslo Pensjonsforsikring'!B49+'Protector Forsikring'!B49+'SHB Liv'!B49+'Sparebank 1'!B49+'Storebrand Livsforsikring'!B49+'Telenor Forsikring'!B49+'Tryg Forsikring'!B49+'WaterCircle F'!B49</f>
        <v>1928608.7585299998</v>
      </c>
      <c r="C49" s="191">
        <f>'Fremtind Livsforsikring'!C49+'Danica Pensjonsforsikring'!C49+'DNB Livsforsikring'!C49+'Eika Forsikring AS'!C49+'Frende Livsforsikring'!C49+'Frende Skadeforsikring'!C49+'Gjensidige Forsikring'!C49+'Gjensidige Pensjon'!C49+'Handelsbanken Liv'!C49+'If Skadeforsikring NUF'!C49+KLP!C49+'DNB Bedriftspensjon'!C49+'KLP Skadeforsikring AS'!C49+'Landkreditt Forsikring'!C49+Insr!C49+'Nordea Liv'!C49+'Oslo Pensjonsforsikring'!C49+'Protector Forsikring'!C49+'SHB Liv'!C49+'Sparebank 1'!C49+'Storebrand Livsforsikring'!C49+'Telenor Forsikring'!C49+'Tryg Forsikring'!C49+'WaterCircle F'!C49</f>
        <v>2112699.6441900004</v>
      </c>
      <c r="D49" s="24">
        <f t="shared" si="23"/>
        <v>9.5</v>
      </c>
      <c r="E49" s="35"/>
      <c r="F49" s="5"/>
      <c r="G49" s="34"/>
      <c r="H49" s="37"/>
      <c r="I49" s="37"/>
      <c r="J49" s="32"/>
    </row>
    <row r="50" spans="1:10" s="3" customFormat="1" ht="15.75" customHeight="1" x14ac:dyDescent="0.2">
      <c r="A50" s="298" t="s">
        <v>6</v>
      </c>
      <c r="B50" s="44">
        <f>'Fremtind Livsforsikring'!B50+'Danica Pensjonsforsikring'!B50+'DNB Livsforsikring'!B50+'Eika Forsikring AS'!B50+'Frende Livsforsikring'!B50+'Frende Skadeforsikring'!B50+'Gjensidige Forsikring'!B50+'Gjensidige Pensjon'!B50+'Handelsbanken Liv'!B50+'If Skadeforsikring NUF'!B50+KLP!B50+'DNB Bedriftspensjon'!B50+'KLP Skadeforsikring AS'!B50+'Landkreditt Forsikring'!B50+Insr!B50+'Nordea Liv'!B50+'Oslo Pensjonsforsikring'!B50+'Protector Forsikring'!B50+'SHB Liv'!B50+'Sparebank 1'!B50+'Storebrand Livsforsikring'!B50+'Telenor Forsikring'!B50+'Tryg Forsikring'!B50+'WaterCircle F'!B50</f>
        <v>1896.17572</v>
      </c>
      <c r="C50" s="44">
        <f>'Fremtind Livsforsikring'!C50+'Danica Pensjonsforsikring'!C50+'DNB Livsforsikring'!C50+'Eika Forsikring AS'!C50+'Frende Livsforsikring'!C50+'Frende Skadeforsikring'!C50+'Gjensidige Forsikring'!C50+'Gjensidige Pensjon'!C50+'Handelsbanken Liv'!C50+'If Skadeforsikring NUF'!C50+KLP!C50+'DNB Bedriftspensjon'!C50+'KLP Skadeforsikring AS'!C50+'Landkreditt Forsikring'!C50+Insr!C50+'Nordea Liv'!C50+'Oslo Pensjonsforsikring'!C50+'Protector Forsikring'!C50+'SHB Liv'!C50+'Sparebank 1'!C50+'Storebrand Livsforsikring'!C50+'Telenor Forsikring'!C50+'Tryg Forsikring'!C50+'WaterCircle F'!C50</f>
        <v>1523.6148900000001</v>
      </c>
      <c r="D50" s="27">
        <f t="shared" ref="D50:D52" si="24">IF($A$1=4,IF(B50=0, "    ---- ", IF(ABS(ROUND(100/B50*C50-100,1))&lt;999,ROUND(100/B50*C50-100,1),IF(ROUND(100/B50*C50-100,1)&gt;999,999,-999))),"")</f>
        <v>-19.600000000000001</v>
      </c>
      <c r="E50" s="35"/>
      <c r="F50" s="5"/>
      <c r="G50" s="34"/>
      <c r="H50" s="33"/>
      <c r="I50" s="33"/>
      <c r="J50" s="32"/>
    </row>
    <row r="51" spans="1:10" s="3" customFormat="1" ht="15.75" customHeight="1" x14ac:dyDescent="0.2">
      <c r="A51" s="298" t="s">
        <v>7</v>
      </c>
      <c r="B51" s="44">
        <f>'Fremtind Livsforsikring'!B51+'Danica Pensjonsforsikring'!B51+'DNB Livsforsikring'!B51+'Eika Forsikring AS'!B51+'Frende Livsforsikring'!B51+'Frende Skadeforsikring'!B51+'Gjensidige Forsikring'!B51+'Gjensidige Pensjon'!B51+'Handelsbanken Liv'!B51+'If Skadeforsikring NUF'!B51+KLP!B51+'DNB Bedriftspensjon'!B51+'KLP Skadeforsikring AS'!B51+'Landkreditt Forsikring'!B51+Insr!B51+'Nordea Liv'!B51+'Oslo Pensjonsforsikring'!B51+'Protector Forsikring'!B51+'SHB Liv'!B51+'Sparebank 1'!B51+'Storebrand Livsforsikring'!B51+'Telenor Forsikring'!B51+'Tryg Forsikring'!B51+'WaterCircle F'!B51</f>
        <v>1663988.4178000002</v>
      </c>
      <c r="C51" s="44">
        <f>'Fremtind Livsforsikring'!C51+'Danica Pensjonsforsikring'!C51+'DNB Livsforsikring'!C51+'Eika Forsikring AS'!C51+'Frende Livsforsikring'!C51+'Frende Skadeforsikring'!C51+'Gjensidige Forsikring'!C51+'Gjensidige Pensjon'!C51+'Handelsbanken Liv'!C51+'If Skadeforsikring NUF'!C51+KLP!C51+'DNB Bedriftspensjon'!C51+'KLP Skadeforsikring AS'!C51+'Landkreditt Forsikring'!C51+Insr!C51+'Nordea Liv'!C51+'Oslo Pensjonsforsikring'!C51+'Protector Forsikring'!C51+'SHB Liv'!C51+'Sparebank 1'!C51+'Storebrand Livsforsikring'!C51+'Telenor Forsikring'!C51+'Tryg Forsikring'!C51+'WaterCircle F'!C51</f>
        <v>2038468.9793199999</v>
      </c>
      <c r="D51" s="27">
        <f t="shared" si="24"/>
        <v>22.5</v>
      </c>
      <c r="E51" s="35"/>
      <c r="F51" s="5"/>
      <c r="G51" s="34"/>
      <c r="H51" s="33"/>
      <c r="I51" s="33"/>
      <c r="J51" s="32"/>
    </row>
    <row r="52" spans="1:10" s="3" customFormat="1" ht="15.75" customHeight="1" x14ac:dyDescent="0.2">
      <c r="A52" s="298" t="s">
        <v>8</v>
      </c>
      <c r="B52" s="44">
        <f>'Fremtind Livsforsikring'!B52+'Danica Pensjonsforsikring'!B52+'DNB Livsforsikring'!B52+'Eika Forsikring AS'!B52+'Frende Livsforsikring'!B52+'Frende Skadeforsikring'!B52+'Gjensidige Forsikring'!B52+'Gjensidige Pensjon'!B52+'Handelsbanken Liv'!B52+'If Skadeforsikring NUF'!B52+KLP!B52+'DNB Bedriftspensjon'!B52+'KLP Skadeforsikring AS'!B52+'Landkreditt Forsikring'!B52+Insr!B52+'Nordea Liv'!B52+'Oslo Pensjonsforsikring'!B52+'Protector Forsikring'!B52+'SHB Liv'!B52+'Sparebank 1'!B52+'Storebrand Livsforsikring'!B52+'Telenor Forsikring'!B52+'Tryg Forsikring'!B52+'WaterCircle F'!B52</f>
        <v>262724.16500999988</v>
      </c>
      <c r="C52" s="44">
        <f>'Fremtind Livsforsikring'!C52+'Danica Pensjonsforsikring'!C52+'DNB Livsforsikring'!C52+'Eika Forsikring AS'!C52+'Frende Livsforsikring'!C52+'Frende Skadeforsikring'!C52+'Gjensidige Forsikring'!C52+'Gjensidige Pensjon'!C52+'Handelsbanken Liv'!C52+'If Skadeforsikring NUF'!C52+KLP!C52+'DNB Bedriftspensjon'!C52+'KLP Skadeforsikring AS'!C52+'Landkreditt Forsikring'!C52+Insr!C52+'Nordea Liv'!C52+'Oslo Pensjonsforsikring'!C52+'Protector Forsikring'!C52+'SHB Liv'!C52+'Sparebank 1'!C52+'Storebrand Livsforsikring'!C52+'Telenor Forsikring'!C52+'Tryg Forsikring'!C52+'WaterCircle F'!C52</f>
        <v>72707.049979999996</v>
      </c>
      <c r="D52" s="27">
        <f t="shared" si="24"/>
        <v>-72.3</v>
      </c>
      <c r="E52" s="35"/>
      <c r="F52" s="5"/>
      <c r="G52" s="34"/>
      <c r="H52" s="33"/>
      <c r="I52" s="33"/>
      <c r="J52" s="32"/>
    </row>
    <row r="53" spans="1:10" s="421" customFormat="1" ht="15.75" customHeight="1" x14ac:dyDescent="0.2">
      <c r="A53" s="39" t="s">
        <v>457</v>
      </c>
      <c r="B53" s="236">
        <f>'Fremtind Livsforsikring'!B53+'Danica Pensjonsforsikring'!B53+'DNB Livsforsikring'!B53+'Eika Forsikring AS'!B53+'Frende Livsforsikring'!B53+'Frende Skadeforsikring'!B53+'Gjensidige Forsikring'!B53+'Gjensidige Pensjon'!B53+'Handelsbanken Liv'!B53+'If Skadeforsikring NUF'!B53+KLP!B53+'DNB Bedriftspensjon'!B53+'KLP Skadeforsikring AS'!B53+'Landkreditt Forsikring'!B53+Insr!B53+'Nordea Liv'!B53+'Oslo Pensjonsforsikring'!B53+'Protector Forsikring'!B53+'SHB Liv'!B53+'Sparebank 1'!B53+'Storebrand Livsforsikring'!B53+'Telenor Forsikring'!B53+'Tryg Forsikring'!B53+'WaterCircle F'!B53</f>
        <v>233339.94</v>
      </c>
      <c r="C53" s="236">
        <f>'Fremtind Livsforsikring'!C53+'Danica Pensjonsforsikring'!C53+'DNB Livsforsikring'!C53+'Eika Forsikring AS'!C53+'Frende Livsforsikring'!C53+'Frende Skadeforsikring'!C53+'Gjensidige Forsikring'!C53+'Gjensidige Pensjon'!C53+'Handelsbanken Liv'!C53+'If Skadeforsikring NUF'!C53+KLP!C53+'DNB Bedriftspensjon'!C53+'KLP Skadeforsikring AS'!C53+'Landkreditt Forsikring'!C53+Insr!C53+'Nordea Liv'!C53+'Oslo Pensjonsforsikring'!C53+'Protector Forsikring'!C53+'SHB Liv'!C53+'Sparebank 1'!C53+'Storebrand Livsforsikring'!C53+'Telenor Forsikring'!C53+'Tryg Forsikring'!C53+'WaterCircle F'!C53</f>
        <v>163646.02387602179</v>
      </c>
      <c r="D53" s="24">
        <f t="shared" si="23"/>
        <v>-29.9</v>
      </c>
      <c r="E53" s="422"/>
      <c r="F53" s="423"/>
      <c r="G53" s="32"/>
      <c r="H53" s="173"/>
      <c r="I53" s="173"/>
      <c r="J53" s="32"/>
    </row>
    <row r="54" spans="1:10" s="3" customFormat="1" ht="15.75" customHeight="1" x14ac:dyDescent="0.2">
      <c r="A54" s="38" t="s">
        <v>455</v>
      </c>
      <c r="B54" s="44">
        <f>'Fremtind Livsforsikring'!B54+'Danica Pensjonsforsikring'!B54+'DNB Livsforsikring'!B54+'Eika Forsikring AS'!B54+'Frende Livsforsikring'!B54+'Frende Skadeforsikring'!B54+'Gjensidige Forsikring'!B54+'Gjensidige Pensjon'!B54+'Handelsbanken Liv'!B54+'If Skadeforsikring NUF'!B54+KLP!B54+'DNB Bedriftspensjon'!B54+'KLP Skadeforsikring AS'!B54+'Landkreditt Forsikring'!B54+Insr!B54+'Nordea Liv'!B54+'Oslo Pensjonsforsikring'!B54+'Protector Forsikring'!B54+'SHB Liv'!B54+'Sparebank 1'!B54+'Storebrand Livsforsikring'!B54+'Telenor Forsikring'!B54+'Tryg Forsikring'!B54+'WaterCircle F'!B54</f>
        <v>138779.45299999998</v>
      </c>
      <c r="C54" s="44">
        <f>'Fremtind Livsforsikring'!C54+'Danica Pensjonsforsikring'!C54+'DNB Livsforsikring'!C54+'Eika Forsikring AS'!C54+'Frende Livsforsikring'!C54+'Frende Skadeforsikring'!C54+'Gjensidige Forsikring'!C54+'Gjensidige Pensjon'!C54+'Handelsbanken Liv'!C54+'If Skadeforsikring NUF'!C54+KLP!C54+'DNB Bedriftspensjon'!C54+'KLP Skadeforsikring AS'!C54+'Landkreditt Forsikring'!C54+Insr!C54+'Nordea Liv'!C54+'Oslo Pensjonsforsikring'!C54+'Protector Forsikring'!C54+'SHB Liv'!C54+'Sparebank 1'!C54+'Storebrand Livsforsikring'!C54+'Telenor Forsikring'!C54+'Tryg Forsikring'!C54+'WaterCircle F'!C54</f>
        <v>163646.02387602179</v>
      </c>
      <c r="D54" s="24">
        <f t="shared" si="23"/>
        <v>17.899999999999999</v>
      </c>
      <c r="E54" s="35"/>
      <c r="F54" s="5"/>
      <c r="G54" s="34"/>
      <c r="H54" s="33"/>
      <c r="I54" s="33"/>
      <c r="J54" s="32"/>
    </row>
    <row r="55" spans="1:10" s="3" customFormat="1" ht="15.75" customHeight="1" x14ac:dyDescent="0.2">
      <c r="A55" s="38" t="s">
        <v>456</v>
      </c>
      <c r="B55" s="44">
        <f>'Fremtind Livsforsikring'!B55+'Danica Pensjonsforsikring'!B55+'DNB Livsforsikring'!B55+'Eika Forsikring AS'!B55+'Frende Livsforsikring'!B55+'Frende Skadeforsikring'!B55+'Gjensidige Forsikring'!B55+'Gjensidige Pensjon'!B55+'Handelsbanken Liv'!B55+'If Skadeforsikring NUF'!B55+KLP!B55+'DNB Bedriftspensjon'!B55+'KLP Skadeforsikring AS'!B55+'Landkreditt Forsikring'!B55+Insr!B55+'Nordea Liv'!B55+'Oslo Pensjonsforsikring'!B55+'Protector Forsikring'!B55+'SHB Liv'!B55+'Sparebank 1'!B55+'Storebrand Livsforsikring'!B55+'Telenor Forsikring'!B55+'Tryg Forsikring'!B55+'WaterCircle F'!B55</f>
        <v>94560.486999999994</v>
      </c>
      <c r="C55" s="44">
        <f>'Fremtind Livsforsikring'!C55+'Danica Pensjonsforsikring'!C55+'DNB Livsforsikring'!C55+'Eika Forsikring AS'!C55+'Frende Livsforsikring'!C55+'Frende Skadeforsikring'!C55+'Gjensidige Forsikring'!C55+'Gjensidige Pensjon'!C55+'Handelsbanken Liv'!C55+'If Skadeforsikring NUF'!C55+KLP!C55+'DNB Bedriftspensjon'!C55+'KLP Skadeforsikring AS'!C55+'Landkreditt Forsikring'!C55+Insr!C55+'Nordea Liv'!C55+'Oslo Pensjonsforsikring'!C55+'Protector Forsikring'!C55+'SHB Liv'!C55+'Sparebank 1'!C55+'Storebrand Livsforsikring'!C55+'Telenor Forsikring'!C55+'Tryg Forsikring'!C55+'WaterCircle F'!C55</f>
        <v>0</v>
      </c>
      <c r="D55" s="24">
        <f t="shared" si="23"/>
        <v>-100</v>
      </c>
      <c r="E55" s="35"/>
      <c r="F55" s="5"/>
      <c r="G55" s="34"/>
      <c r="H55" s="33"/>
      <c r="I55" s="33"/>
      <c r="J55" s="32"/>
    </row>
    <row r="56" spans="1:10" s="421" customFormat="1" ht="15.75" customHeight="1" x14ac:dyDescent="0.2">
      <c r="A56" s="39" t="s">
        <v>458</v>
      </c>
      <c r="B56" s="236">
        <f>'Fremtind Livsforsikring'!B56+'Danica Pensjonsforsikring'!B56+'DNB Livsforsikring'!B56+'Eika Forsikring AS'!B56+'Frende Livsforsikring'!B56+'Frende Skadeforsikring'!B56+'Gjensidige Forsikring'!B56+'Gjensidige Pensjon'!B56+'Handelsbanken Liv'!B56+'If Skadeforsikring NUF'!B56+KLP!B56+'DNB Bedriftspensjon'!B56+'KLP Skadeforsikring AS'!B56+'Landkreditt Forsikring'!B56+Insr!B56+'Nordea Liv'!B56+'Oslo Pensjonsforsikring'!B56+'Protector Forsikring'!B56+'SHB Liv'!B56+'Sparebank 1'!B56+'Storebrand Livsforsikring'!B56+'Telenor Forsikring'!B56+'Tryg Forsikring'!B56+'WaterCircle F'!B56</f>
        <v>185992.932</v>
      </c>
      <c r="C56" s="236">
        <f>'Fremtind Livsforsikring'!C56+'Danica Pensjonsforsikring'!C56+'DNB Livsforsikring'!C56+'Eika Forsikring AS'!C56+'Frende Livsforsikring'!C56+'Frende Skadeforsikring'!C56+'Gjensidige Forsikring'!C56+'Gjensidige Pensjon'!C56+'Handelsbanken Liv'!C56+'If Skadeforsikring NUF'!C56+KLP!C56+'DNB Bedriftspensjon'!C56+'KLP Skadeforsikring AS'!C56+'Landkreditt Forsikring'!C56+Insr!C56+'Nordea Liv'!C56+'Oslo Pensjonsforsikring'!C56+'Protector Forsikring'!C56+'SHB Liv'!C56+'Sparebank 1'!C56+'Storebrand Livsforsikring'!C56+'Telenor Forsikring'!C56+'Tryg Forsikring'!C56+'WaterCircle F'!C56</f>
        <v>126886.65</v>
      </c>
      <c r="D56" s="24">
        <f t="shared" si="23"/>
        <v>-31.8</v>
      </c>
      <c r="E56" s="422"/>
      <c r="F56" s="423"/>
      <c r="G56" s="32"/>
      <c r="H56" s="173"/>
      <c r="I56" s="173"/>
      <c r="J56" s="32"/>
    </row>
    <row r="57" spans="1:10" s="3" customFormat="1" ht="15.75" customHeight="1" x14ac:dyDescent="0.2">
      <c r="A57" s="38" t="s">
        <v>455</v>
      </c>
      <c r="B57" s="44">
        <f>'Fremtind Livsforsikring'!B57+'Danica Pensjonsforsikring'!B57+'DNB Livsforsikring'!B57+'Eika Forsikring AS'!B57+'Frende Livsforsikring'!B57+'Frende Skadeforsikring'!B57+'Gjensidige Forsikring'!B57+'Gjensidige Pensjon'!B57+'Handelsbanken Liv'!B57+'If Skadeforsikring NUF'!B57+KLP!B57+'DNB Bedriftspensjon'!B57+'KLP Skadeforsikring AS'!B57+'Landkreditt Forsikring'!B57+Insr!B57+'Nordea Liv'!B57+'Oslo Pensjonsforsikring'!B57+'Protector Forsikring'!B57+'SHB Liv'!B57+'Sparebank 1'!B57+'Storebrand Livsforsikring'!B57+'Telenor Forsikring'!B57+'Tryg Forsikring'!B57+'WaterCircle F'!B57</f>
        <v>119389.53</v>
      </c>
      <c r="C57" s="44">
        <f>'Fremtind Livsforsikring'!C57+'Danica Pensjonsforsikring'!C57+'DNB Livsforsikring'!C57+'Eika Forsikring AS'!C57+'Frende Livsforsikring'!C57+'Frende Skadeforsikring'!C57+'Gjensidige Forsikring'!C57+'Gjensidige Pensjon'!C57+'Handelsbanken Liv'!C57+'If Skadeforsikring NUF'!C57+KLP!C57+'DNB Bedriftspensjon'!C57+'KLP Skadeforsikring AS'!C57+'Landkreditt Forsikring'!C57+Insr!C57+'Nordea Liv'!C57+'Oslo Pensjonsforsikring'!C57+'Protector Forsikring'!C57+'SHB Liv'!C57+'Sparebank 1'!C57+'Storebrand Livsforsikring'!C57+'Telenor Forsikring'!C57+'Tryg Forsikring'!C57+'WaterCircle F'!C57</f>
        <v>126883.65</v>
      </c>
      <c r="D57" s="24">
        <f t="shared" si="23"/>
        <v>6.3</v>
      </c>
      <c r="E57" s="35"/>
      <c r="F57" s="5"/>
      <c r="G57" s="34"/>
      <c r="H57" s="33"/>
      <c r="I57" s="33"/>
      <c r="J57" s="32"/>
    </row>
    <row r="58" spans="1:10" s="3" customFormat="1" ht="15.75" customHeight="1" x14ac:dyDescent="0.2">
      <c r="A58" s="38" t="s">
        <v>456</v>
      </c>
      <c r="B58" s="45">
        <f>'Fremtind Livsforsikring'!B58+'Danica Pensjonsforsikring'!B58+'DNB Livsforsikring'!B58+'Eika Forsikring AS'!B58+'Frende Livsforsikring'!B58+'Frende Skadeforsikring'!B58+'Gjensidige Forsikring'!B58+'Gjensidige Pensjon'!B58+'Handelsbanken Liv'!B58+'If Skadeforsikring NUF'!B58+KLP!B58+'DNB Bedriftspensjon'!B58+'KLP Skadeforsikring AS'!B58+'Landkreditt Forsikring'!B58+Insr!B58+'Nordea Liv'!B58+'Oslo Pensjonsforsikring'!B58+'Protector Forsikring'!B58+'SHB Liv'!B58+'Sparebank 1'!B58+'Storebrand Livsforsikring'!B58+'Telenor Forsikring'!B58+'Tryg Forsikring'!B58+'WaterCircle F'!B58</f>
        <v>66603.402000000002</v>
      </c>
      <c r="C58" s="45">
        <f>'Fremtind Livsforsikring'!C58+'Danica Pensjonsforsikring'!C58+'DNB Livsforsikring'!C58+'Eika Forsikring AS'!C58+'Frende Livsforsikring'!C58+'Frende Skadeforsikring'!C58+'Gjensidige Forsikring'!C58+'Gjensidige Pensjon'!C58+'Handelsbanken Liv'!C58+'If Skadeforsikring NUF'!C58+KLP!C58+'DNB Bedriftspensjon'!C58+'KLP Skadeforsikring AS'!C58+'Landkreditt Forsikring'!C58+Insr!C58+'Nordea Liv'!C58+'Oslo Pensjonsforsikring'!C58+'Protector Forsikring'!C58+'SHB Liv'!C58+'Sparebank 1'!C58+'Storebrand Livsforsikring'!C58+'Telenor Forsikring'!C58+'Tryg Forsikring'!C58+'WaterCircle F'!C58</f>
        <v>3</v>
      </c>
      <c r="D58" s="36">
        <f t="shared" si="23"/>
        <v>-100</v>
      </c>
      <c r="E58" s="35"/>
      <c r="F58" s="5"/>
      <c r="G58" s="34"/>
      <c r="H58" s="33"/>
      <c r="I58" s="33"/>
      <c r="J58" s="32"/>
    </row>
    <row r="59" spans="1:10" s="3" customFormat="1" ht="15.75" customHeight="1" x14ac:dyDescent="0.25">
      <c r="A59" s="164"/>
      <c r="B59" s="30"/>
      <c r="C59" s="30"/>
      <c r="D59" s="30"/>
      <c r="E59" s="31"/>
      <c r="F59" s="31"/>
      <c r="G59" s="31"/>
      <c r="H59" s="31"/>
      <c r="I59" s="31"/>
      <c r="J59" s="31"/>
    </row>
    <row r="60" spans="1:10" ht="15.75" customHeight="1" x14ac:dyDescent="0.2">
      <c r="A60" s="155"/>
    </row>
    <row r="61" spans="1:10" ht="15.75" customHeight="1" x14ac:dyDescent="0.25">
      <c r="A61" s="147" t="s">
        <v>270</v>
      </c>
      <c r="C61" s="26"/>
      <c r="D61" s="25"/>
      <c r="E61" s="26"/>
      <c r="F61" s="26"/>
      <c r="G61" s="25"/>
      <c r="H61" s="26"/>
      <c r="I61" s="26"/>
      <c r="J61" s="25"/>
    </row>
    <row r="62" spans="1:10" ht="20.100000000000001" customHeight="1" x14ac:dyDescent="0.25">
      <c r="A62" s="149"/>
      <c r="B62" s="1017"/>
      <c r="C62" s="1017"/>
      <c r="D62" s="1017"/>
      <c r="E62" s="1017"/>
      <c r="F62" s="1017"/>
      <c r="G62" s="1017"/>
      <c r="H62" s="1017"/>
      <c r="I62" s="1017"/>
      <c r="J62" s="1017"/>
    </row>
    <row r="63" spans="1:10" ht="15.75" customHeight="1" x14ac:dyDescent="0.2">
      <c r="A63" s="144"/>
      <c r="B63" s="1018" t="s">
        <v>0</v>
      </c>
      <c r="C63" s="1019"/>
      <c r="D63" s="1019"/>
      <c r="E63" s="1018" t="s">
        <v>1</v>
      </c>
      <c r="F63" s="1019"/>
      <c r="G63" s="1020"/>
      <c r="H63" s="1019" t="s">
        <v>2</v>
      </c>
      <c r="I63" s="1019"/>
      <c r="J63" s="1020"/>
    </row>
    <row r="64" spans="1:10" ht="15.75" customHeight="1" x14ac:dyDescent="0.2">
      <c r="A64" s="140"/>
      <c r="B64" s="20" t="s">
        <v>502</v>
      </c>
      <c r="C64" s="20" t="s">
        <v>503</v>
      </c>
      <c r="D64" s="19" t="s">
        <v>3</v>
      </c>
      <c r="E64" s="251" t="s">
        <v>502</v>
      </c>
      <c r="F64" s="20" t="s">
        <v>503</v>
      </c>
      <c r="G64" s="19" t="s">
        <v>3</v>
      </c>
      <c r="H64" s="251" t="s">
        <v>502</v>
      </c>
      <c r="I64" s="20" t="s">
        <v>503</v>
      </c>
      <c r="J64" s="19" t="s">
        <v>3</v>
      </c>
    </row>
    <row r="65" spans="1:10" ht="15.75" customHeight="1" x14ac:dyDescent="0.2">
      <c r="A65" s="990"/>
      <c r="B65" s="15"/>
      <c r="C65" s="15"/>
      <c r="D65" s="17" t="s">
        <v>4</v>
      </c>
      <c r="E65" s="16"/>
      <c r="F65" s="16"/>
      <c r="G65" s="15" t="s">
        <v>4</v>
      </c>
      <c r="H65" s="16"/>
      <c r="I65" s="16"/>
      <c r="J65" s="15" t="s">
        <v>4</v>
      </c>
    </row>
    <row r="66" spans="1:10" s="43" customFormat="1" ht="15.75" customHeight="1" x14ac:dyDescent="0.2">
      <c r="A66" s="14" t="s">
        <v>23</v>
      </c>
      <c r="B66" s="331">
        <f>'Fremtind Livsforsikring'!B66+'Danica Pensjonsforsikring'!B66+'DNB Livsforsikring'!B66+'Eika Forsikring AS'!B66+'Frende Livsforsikring'!B66+'Frende Skadeforsikring'!B66+'Gjensidige Forsikring'!B66+'Gjensidige Pensjon'!B66+'Handelsbanken Liv'!B66+'If Skadeforsikring NUF'!B66+KLP!B66+'DNB Bedriftspensjon'!B66+'KLP Skadeforsikring AS'!B66+'Landkreditt Forsikring'!B66+Insr!B66+'Nordea Liv'!B66+'Oslo Pensjonsforsikring'!B66+'Protector Forsikring'!B66+'SHB Liv'!B66+'Sparebank 1'!B66+'Storebrand Livsforsikring'!B66+'Telenor Forsikring'!B66+'Tryg Forsikring'!B66+'WaterCircle F'!B66</f>
        <v>8808966.7867200002</v>
      </c>
      <c r="C66" s="331">
        <f>'Fremtind Livsforsikring'!C66+'Danica Pensjonsforsikring'!C66+'DNB Livsforsikring'!C66+'Eika Forsikring AS'!C66+'Frende Livsforsikring'!C66+'Frende Skadeforsikring'!C66+'Gjensidige Forsikring'!C66+'Gjensidige Pensjon'!C66+'Handelsbanken Liv'!C66+'If Skadeforsikring NUF'!C66+KLP!C66+'DNB Bedriftspensjon'!C66+'KLP Skadeforsikring AS'!C66+'Landkreditt Forsikring'!C66+Insr!C66+'Nordea Liv'!C66+'Oslo Pensjonsforsikring'!C66+'Protector Forsikring'!C66+'SHB Liv'!C66+'Sparebank 1'!C66+'Storebrand Livsforsikring'!C66+'Telenor Forsikring'!C66+'Tryg Forsikring'!C66+'WaterCircle F'!C66</f>
        <v>7426995.2183599994</v>
      </c>
      <c r="D66" s="24">
        <f t="shared" ref="D66:D111" si="25">IF(B66=0, "    ---- ", IF(ABS(ROUND(100/B66*C66-100,1))&lt;999,ROUND(100/B66*C66-100,1),IF(ROUND(100/B66*C66-100,1)&gt;999,999,-999)))</f>
        <v>-15.7</v>
      </c>
      <c r="E66" s="236">
        <f>'Fremtind Livsforsikring'!F66+'Danica Pensjonsforsikring'!F66+'DNB Livsforsikring'!F66+'Eika Forsikring AS'!F66+'Frende Livsforsikring'!F66+'Frende Skadeforsikring'!F66+'Gjensidige Forsikring'!F66+'Gjensidige Pensjon'!F66+'Handelsbanken Liv'!F66+'If Skadeforsikring NUF'!F66+KLP!F66+'DNB Bedriftspensjon'!F66+'KLP Skadeforsikring AS'!F66+'Landkreditt Forsikring'!F66+Insr!F66+'Nordea Liv'!F66+'Oslo Pensjonsforsikring'!F66+'Protector Forsikring'!F66+'SHB Liv'!F66+'Sparebank 1'!F66+'Storebrand Livsforsikring'!F66+'Telenor Forsikring'!F66+'Tryg Forsikring'!F66+'WaterCircle F'!F66</f>
        <v>32289611.062169999</v>
      </c>
      <c r="F66" s="236">
        <f>'Fremtind Livsforsikring'!G66+'Danica Pensjonsforsikring'!G66+'DNB Livsforsikring'!G66+'Eika Forsikring AS'!G66+'Frende Livsforsikring'!G66+'Frende Skadeforsikring'!G66+'Gjensidige Forsikring'!G66+'Gjensidige Pensjon'!G66+'Handelsbanken Liv'!G66+'If Skadeforsikring NUF'!G66+KLP!G66+'DNB Bedriftspensjon'!G66+'KLP Skadeforsikring AS'!G66+'Landkreditt Forsikring'!G66+Insr!G66+'Nordea Liv'!G66+'Oslo Pensjonsforsikring'!G66+'Protector Forsikring'!G66+'SHB Liv'!G66+'Sparebank 1'!G66+'Storebrand Livsforsikring'!G66+'Telenor Forsikring'!G66+'Tryg Forsikring'!G66+'WaterCircle F'!G66</f>
        <v>35012148.002570003</v>
      </c>
      <c r="G66" s="171">
        <f t="shared" ref="G66:G79" si="26">IF(E66=0, "    ---- ", IF(ABS(ROUND(100/E66*F66-100,1))&lt;999,ROUND(100/E66*F66-100,1),IF(ROUND(100/E66*F66-100,1)&gt;999,999,-999)))</f>
        <v>8.4</v>
      </c>
      <c r="H66" s="331">
        <f t="shared" ref="H66:H86" si="27">SUM(B66,E66)</f>
        <v>41098577.848889999</v>
      </c>
      <c r="I66" s="331">
        <f t="shared" ref="I66:I86" si="28">SUM(C66,F66)</f>
        <v>42439143.220930003</v>
      </c>
      <c r="J66" s="24">
        <f t="shared" ref="J66:J111" si="29">IF(H66=0, "    ---- ", IF(ABS(ROUND(100/H66*I66-100,1))&lt;999,ROUND(100/H66*I66-100,1),IF(ROUND(100/H66*I66-100,1)&gt;999,999,-999)))</f>
        <v>3.3</v>
      </c>
    </row>
    <row r="67" spans="1:10" ht="15.75" customHeight="1" x14ac:dyDescent="0.25">
      <c r="A67" s="21" t="s">
        <v>9</v>
      </c>
      <c r="B67" s="234">
        <f>'Fremtind Livsforsikring'!B67+'Danica Pensjonsforsikring'!B67+'DNB Livsforsikring'!B67+'Eika Forsikring AS'!B67+'Frende Livsforsikring'!B67+'Frende Skadeforsikring'!B67+'Gjensidige Forsikring'!B67+'Gjensidige Pensjon'!B67+'Handelsbanken Liv'!B67+'If Skadeforsikring NUF'!B67+KLP!B67+'DNB Bedriftspensjon'!B67+'KLP Skadeforsikring AS'!B67+'Landkreditt Forsikring'!B67+Insr!B67+'Nordea Liv'!B67+'Oslo Pensjonsforsikring'!B67+'Protector Forsikring'!B67+'SHB Liv'!B67+'Sparebank 1'!B67+'Storebrand Livsforsikring'!B67+'Telenor Forsikring'!B67+'Tryg Forsikring'!B67+'WaterCircle F'!B67</f>
        <v>6634618.941233987</v>
      </c>
      <c r="C67" s="234">
        <f>'Fremtind Livsforsikring'!C67+'Danica Pensjonsforsikring'!C67+'DNB Livsforsikring'!C67+'Eika Forsikring AS'!C67+'Frende Livsforsikring'!C67+'Frende Skadeforsikring'!C67+'Gjensidige Forsikring'!C67+'Gjensidige Pensjon'!C67+'Handelsbanken Liv'!C67+'If Skadeforsikring NUF'!C67+KLP!C67+'DNB Bedriftspensjon'!C67+'KLP Skadeforsikring AS'!C67+'Landkreditt Forsikring'!C67+Insr!C67+'Nordea Liv'!C67+'Oslo Pensjonsforsikring'!C67+'Protector Forsikring'!C67+'SHB Liv'!C67+'Sparebank 1'!C67+'Storebrand Livsforsikring'!C67+'Telenor Forsikring'!C67+'Tryg Forsikring'!C67+'WaterCircle F'!C67</f>
        <v>5138517.3029399998</v>
      </c>
      <c r="D67" s="241">
        <f t="shared" si="25"/>
        <v>-22.5</v>
      </c>
      <c r="E67" s="44"/>
      <c r="F67" s="44"/>
      <c r="G67" s="166"/>
      <c r="H67" s="237">
        <f t="shared" si="27"/>
        <v>6634618.941233987</v>
      </c>
      <c r="I67" s="237">
        <f t="shared" si="28"/>
        <v>5138517.3029399998</v>
      </c>
      <c r="J67" s="23">
        <f t="shared" si="29"/>
        <v>-22.5</v>
      </c>
    </row>
    <row r="68" spans="1:10" ht="15.75" customHeight="1" x14ac:dyDescent="0.25">
      <c r="A68" s="21" t="s">
        <v>10</v>
      </c>
      <c r="B68" s="234">
        <f>'Fremtind Livsforsikring'!B68+'Danica Pensjonsforsikring'!B68+'DNB Livsforsikring'!B68+'Eika Forsikring AS'!B68+'Frende Livsforsikring'!B68+'Frende Skadeforsikring'!B68+'Gjensidige Forsikring'!B68+'Gjensidige Pensjon'!B68+'Handelsbanken Liv'!B68+'If Skadeforsikring NUF'!B68+KLP!B68+'DNB Bedriftspensjon'!B68+'KLP Skadeforsikring AS'!B68+'Landkreditt Forsikring'!B68+Insr!B68+'Nordea Liv'!B68+'Oslo Pensjonsforsikring'!B68+'Protector Forsikring'!B68+'SHB Liv'!B68+'Sparebank 1'!B68+'Storebrand Livsforsikring'!B68+'Telenor Forsikring'!B68+'Tryg Forsikring'!B68+'WaterCircle F'!B68</f>
        <v>146003.35967999999</v>
      </c>
      <c r="C68" s="234">
        <f>'Fremtind Livsforsikring'!C68+'Danica Pensjonsforsikring'!C68+'DNB Livsforsikring'!C68+'Eika Forsikring AS'!C68+'Frende Livsforsikring'!C68+'Frende Skadeforsikring'!C68+'Gjensidige Forsikring'!C68+'Gjensidige Pensjon'!C68+'Handelsbanken Liv'!C68+'If Skadeforsikring NUF'!C68+KLP!C68+'DNB Bedriftspensjon'!C68+'KLP Skadeforsikring AS'!C68+'Landkreditt Forsikring'!C68+Insr!C68+'Nordea Liv'!C68+'Oslo Pensjonsforsikring'!C68+'Protector Forsikring'!C68+'SHB Liv'!C68+'Sparebank 1'!C68+'Storebrand Livsforsikring'!C68+'Telenor Forsikring'!C68+'Tryg Forsikring'!C68+'WaterCircle F'!C68</f>
        <v>123280.45339000001</v>
      </c>
      <c r="D68" s="241">
        <f t="shared" si="25"/>
        <v>-15.6</v>
      </c>
      <c r="E68" s="44">
        <f>'Fremtind Livsforsikring'!F68+'Danica Pensjonsforsikring'!F68+'DNB Livsforsikring'!F68+'Eika Forsikring AS'!F68+'Frende Livsforsikring'!F68+'Frende Skadeforsikring'!F68+'Gjensidige Forsikring'!F68+'Gjensidige Pensjon'!F68+'Handelsbanken Liv'!F68+'If Skadeforsikring NUF'!F68+KLP!F68+'DNB Bedriftspensjon'!F68+'KLP Skadeforsikring AS'!F68+'Landkreditt Forsikring'!F68+Insr!F68+'Nordea Liv'!F68+'Oslo Pensjonsforsikring'!F68+'Protector Forsikring'!F68+'SHB Liv'!F68+'Sparebank 1'!F68+'Storebrand Livsforsikring'!F68+'Telenor Forsikring'!F68+'Tryg Forsikring'!F68+'WaterCircle F'!F68</f>
        <v>31851980.505620003</v>
      </c>
      <c r="F68" s="44">
        <f>'Fremtind Livsforsikring'!G68+'Danica Pensjonsforsikring'!G68+'DNB Livsforsikring'!G68+'Eika Forsikring AS'!G68+'Frende Livsforsikring'!G68+'Frende Skadeforsikring'!G68+'Gjensidige Forsikring'!G68+'Gjensidige Pensjon'!G68+'Handelsbanken Liv'!G68+'If Skadeforsikring NUF'!G68+KLP!G68+'DNB Bedriftspensjon'!G68+'KLP Skadeforsikring AS'!G68+'Landkreditt Forsikring'!G68+Insr!G68+'Nordea Liv'!G68+'Oslo Pensjonsforsikring'!G68+'Protector Forsikring'!G68+'SHB Liv'!G68+'Sparebank 1'!G68+'Storebrand Livsforsikring'!G68+'Telenor Forsikring'!G68+'Tryg Forsikring'!G68+'WaterCircle F'!G68</f>
        <v>33633161.564300001</v>
      </c>
      <c r="G68" s="171">
        <f t="shared" si="26"/>
        <v>5.6</v>
      </c>
      <c r="H68" s="237">
        <f t="shared" si="27"/>
        <v>31997983.865300003</v>
      </c>
      <c r="I68" s="237">
        <f t="shared" si="28"/>
        <v>33756442.017690003</v>
      </c>
      <c r="J68" s="23">
        <f t="shared" si="29"/>
        <v>5.5</v>
      </c>
    </row>
    <row r="69" spans="1:10" ht="15.75" customHeight="1" x14ac:dyDescent="0.2">
      <c r="A69" s="298" t="s">
        <v>459</v>
      </c>
      <c r="B69" s="44">
        <f>'Fremtind Livsforsikring'!B69+'Danica Pensjonsforsikring'!B69+'DNB Livsforsikring'!B69+'Eika Forsikring AS'!B69+'Frende Livsforsikring'!B69+'Frende Skadeforsikring'!B69+'Gjensidige Forsikring'!B69+'Gjensidige Pensjon'!B69+'Handelsbanken Liv'!B69+'If Skadeforsikring NUF'!B69+KLP!B69+'DNB Bedriftspensjon'!B69+'KLP Skadeforsikring AS'!B69+'Landkreditt Forsikring'!B69+Insr!B69+'Nordea Liv'!B69+'Oslo Pensjonsforsikring'!B69+'Protector Forsikring'!B69+'SHB Liv'!B69+'Sparebank 1'!B69+'Storebrand Livsforsikring'!B69+'Telenor Forsikring'!B69+'Tryg Forsikring'!B69+'WaterCircle F'!B69</f>
        <v>12362</v>
      </c>
      <c r="C69" s="44">
        <f>'Fremtind Livsforsikring'!C69+'Danica Pensjonsforsikring'!C69+'DNB Livsforsikring'!C69+'Eika Forsikring AS'!C69+'Frende Livsforsikring'!C69+'Frende Skadeforsikring'!C69+'Gjensidige Forsikring'!C69+'Gjensidige Pensjon'!C69+'Handelsbanken Liv'!C69+'If Skadeforsikring NUF'!C69+KLP!C69+'DNB Bedriftspensjon'!C69+'KLP Skadeforsikring AS'!C69+'Landkreditt Forsikring'!C69+Insr!C69+'Nordea Liv'!C69+'Oslo Pensjonsforsikring'!C69+'Protector Forsikring'!C69+'SHB Liv'!C69+'Sparebank 1'!C69+'Storebrand Livsforsikring'!C69+'Telenor Forsikring'!C69+'Tryg Forsikring'!C69+'WaterCircle F'!C69</f>
        <v>10552</v>
      </c>
      <c r="D69" s="27">
        <f>IF($A$1=4,IF(B69=0, "    ---- ", IF(ABS(ROUND(100/B69*C69-100,1))&lt;999,ROUND(100/B69*C69-100,1),IF(ROUND(100/B69*C69-100,1)&gt;999,999,-999))),"")</f>
        <v>-14.6</v>
      </c>
      <c r="E69" s="44">
        <f>'Fremtind Livsforsikring'!F69+'Danica Pensjonsforsikring'!F69+'DNB Livsforsikring'!F69+'Eika Forsikring AS'!F69+'Frende Livsforsikring'!F69+'Frende Skadeforsikring'!F69+'Gjensidige Forsikring'!F69+'Gjensidige Pensjon'!F69+'Handelsbanken Liv'!F69+'If Skadeforsikring NUF'!F69+KLP!F69+'DNB Bedriftspensjon'!F69+'KLP Skadeforsikring AS'!F69+'Landkreditt Forsikring'!F69+Insr!F69+'Nordea Liv'!F69+'Oslo Pensjonsforsikring'!F69+'Protector Forsikring'!F69+'SHB Liv'!F69+'Sparebank 1'!F69+'Storebrand Livsforsikring'!F69+'Telenor Forsikring'!F69+'Tryg Forsikring'!F69+'WaterCircle F'!F69</f>
        <v>3938.8940000000025</v>
      </c>
      <c r="F69" s="44">
        <f>'Fremtind Livsforsikring'!G69+'Danica Pensjonsforsikring'!G69+'DNB Livsforsikring'!G69+'Eika Forsikring AS'!G69+'Frende Livsforsikring'!G69+'Frende Skadeforsikring'!G69+'Gjensidige Forsikring'!G69+'Gjensidige Pensjon'!G69+'Handelsbanken Liv'!G69+'If Skadeforsikring NUF'!G69+KLP!G69+'DNB Bedriftspensjon'!G69+'KLP Skadeforsikring AS'!G69+'Landkreditt Forsikring'!G69+Insr!G69+'Nordea Liv'!G69+'Oslo Pensjonsforsikring'!G69+'Protector Forsikring'!G69+'SHB Liv'!G69+'Sparebank 1'!G69+'Storebrand Livsforsikring'!G69+'Telenor Forsikring'!G69+'Tryg Forsikring'!G69+'WaterCircle F'!G69</f>
        <v>2496</v>
      </c>
      <c r="G69" s="166">
        <f t="shared" si="26"/>
        <v>-36.6</v>
      </c>
      <c r="H69" s="237">
        <f t="shared" si="27"/>
        <v>16300.894000000002</v>
      </c>
      <c r="I69" s="237">
        <f t="shared" si="28"/>
        <v>13048</v>
      </c>
      <c r="J69" s="23">
        <f t="shared" si="29"/>
        <v>-20</v>
      </c>
    </row>
    <row r="70" spans="1:10" ht="15.75" customHeight="1" x14ac:dyDescent="0.2">
      <c r="A70" s="298" t="s">
        <v>12</v>
      </c>
      <c r="B70" s="235"/>
      <c r="C70" s="235"/>
      <c r="D70" s="27"/>
      <c r="E70" s="44">
        <f>'Fremtind Livsforsikring'!F70+'Danica Pensjonsforsikring'!F70+'DNB Livsforsikring'!F70+'Eika Forsikring AS'!F70+'Frende Livsforsikring'!F70+'Frende Skadeforsikring'!F70+'Gjensidige Forsikring'!F70+'Gjensidige Pensjon'!F70+'Handelsbanken Liv'!F70+'If Skadeforsikring NUF'!F70+KLP!F70+'DNB Bedriftspensjon'!F70+'KLP Skadeforsikring AS'!F70+'Landkreditt Forsikring'!F70+Insr!F70+'Nordea Liv'!F70+'Oslo Pensjonsforsikring'!F70+'Protector Forsikring'!F70+'SHB Liv'!F70+'Sparebank 1'!F70+'Storebrand Livsforsikring'!F70+'Telenor Forsikring'!F70+'Tryg Forsikring'!F70+'WaterCircle F'!F70</f>
        <v>10.2583379079623</v>
      </c>
      <c r="F70" s="44">
        <f>'Fremtind Livsforsikring'!G70+'Danica Pensjonsforsikring'!G70+'DNB Livsforsikring'!G70+'Eika Forsikring AS'!G70+'Frende Livsforsikring'!G70+'Frende Skadeforsikring'!G70+'Gjensidige Forsikring'!G70+'Gjensidige Pensjon'!G70+'Handelsbanken Liv'!G70+'If Skadeforsikring NUF'!G70+KLP!G70+'DNB Bedriftspensjon'!G70+'KLP Skadeforsikring AS'!G70+'Landkreditt Forsikring'!G70+Insr!G70+'Nordea Liv'!G70+'Oslo Pensjonsforsikring'!G70+'Protector Forsikring'!G70+'SHB Liv'!G70+'Sparebank 1'!G70+'Storebrand Livsforsikring'!G70+'Telenor Forsikring'!G70+'Tryg Forsikring'!G70+'WaterCircle F'!G70</f>
        <v>1</v>
      </c>
      <c r="G70" s="166">
        <f t="shared" si="26"/>
        <v>-90.3</v>
      </c>
      <c r="H70" s="237">
        <f t="shared" si="27"/>
        <v>10.2583379079623</v>
      </c>
      <c r="I70" s="237">
        <f t="shared" si="28"/>
        <v>1</v>
      </c>
      <c r="J70" s="23">
        <f t="shared" si="29"/>
        <v>-90.3</v>
      </c>
    </row>
    <row r="71" spans="1:10" ht="15.75" customHeight="1" x14ac:dyDescent="0.2">
      <c r="A71" s="298" t="s">
        <v>13</v>
      </c>
      <c r="B71" s="235"/>
      <c r="C71" s="235"/>
      <c r="D71" s="27"/>
      <c r="E71" s="44">
        <f>'Fremtind Livsforsikring'!F71+'Danica Pensjonsforsikring'!F71+'DNB Livsforsikring'!F71+'Eika Forsikring AS'!F71+'Frende Livsforsikring'!F71+'Frende Skadeforsikring'!F71+'Gjensidige Forsikring'!F71+'Gjensidige Pensjon'!F71+'Handelsbanken Liv'!F71+'If Skadeforsikring NUF'!F71+KLP!F71+'DNB Bedriftspensjon'!F71+'KLP Skadeforsikring AS'!F71+'Landkreditt Forsikring'!F71+Insr!F71+'Nordea Liv'!F71+'Oslo Pensjonsforsikring'!F71+'Protector Forsikring'!F71+'SHB Liv'!F71+'Sparebank 1'!F71+'Storebrand Livsforsikring'!F71+'Telenor Forsikring'!F71+'Tryg Forsikring'!F71+'WaterCircle F'!F71</f>
        <v>3928.6356620920401</v>
      </c>
      <c r="F71" s="44">
        <f>'Fremtind Livsforsikring'!G71+'Danica Pensjonsforsikring'!G71+'DNB Livsforsikring'!G71+'Eika Forsikring AS'!G71+'Frende Livsforsikring'!G71+'Frende Skadeforsikring'!G71+'Gjensidige Forsikring'!G71+'Gjensidige Pensjon'!G71+'Handelsbanken Liv'!G71+'If Skadeforsikring NUF'!G71+KLP!G71+'DNB Bedriftspensjon'!G71+'KLP Skadeforsikring AS'!G71+'Landkreditt Forsikring'!G71+Insr!G71+'Nordea Liv'!G71+'Oslo Pensjonsforsikring'!G71+'Protector Forsikring'!G71+'SHB Liv'!G71+'Sparebank 1'!G71+'Storebrand Livsforsikring'!G71+'Telenor Forsikring'!G71+'Tryg Forsikring'!G71+'WaterCircle F'!G71</f>
        <v>2495</v>
      </c>
      <c r="G71" s="166">
        <f t="shared" si="26"/>
        <v>-36.5</v>
      </c>
      <c r="H71" s="237">
        <f t="shared" si="27"/>
        <v>3928.6356620920401</v>
      </c>
      <c r="I71" s="237">
        <f t="shared" si="28"/>
        <v>2495</v>
      </c>
      <c r="J71" s="23">
        <f t="shared" si="29"/>
        <v>-36.5</v>
      </c>
    </row>
    <row r="72" spans="1:10" ht="15.75" customHeight="1" x14ac:dyDescent="0.2">
      <c r="A72" s="298" t="s">
        <v>460</v>
      </c>
      <c r="B72" s="44">
        <f>'Fremtind Livsforsikring'!B72+'Danica Pensjonsforsikring'!B72+'DNB Livsforsikring'!B72+'Eika Forsikring AS'!B72+'Frende Livsforsikring'!B72+'Frende Skadeforsikring'!B72+'Gjensidige Forsikring'!B72+'Gjensidige Pensjon'!B72+'Handelsbanken Liv'!B72+'If Skadeforsikring NUF'!B72+KLP!B72+'DNB Bedriftspensjon'!B72+'KLP Skadeforsikring AS'!B72+'Landkreditt Forsikring'!B72+Insr!B72+'Nordea Liv'!B72+'Oslo Pensjonsforsikring'!B72+'Protector Forsikring'!B72+'SHB Liv'!B72+'Sparebank 1'!B72+'Storebrand Livsforsikring'!B72+'Telenor Forsikring'!B72+'Tryg Forsikring'!B72+'WaterCircle F'!B72</f>
        <v>133641.35967999999</v>
      </c>
      <c r="C72" s="44">
        <f>'Fremtind Livsforsikring'!C72+'Danica Pensjonsforsikring'!C72+'DNB Livsforsikring'!C72+'Eika Forsikring AS'!C72+'Frende Livsforsikring'!C72+'Frende Skadeforsikring'!C72+'Gjensidige Forsikring'!C72+'Gjensidige Pensjon'!C72+'Handelsbanken Liv'!C72+'If Skadeforsikring NUF'!C72+KLP!C72+'DNB Bedriftspensjon'!C72+'KLP Skadeforsikring AS'!C72+'Landkreditt Forsikring'!C72+Insr!C72+'Nordea Liv'!C72+'Oslo Pensjonsforsikring'!C72+'Protector Forsikring'!C72+'SHB Liv'!C72+'Sparebank 1'!C72+'Storebrand Livsforsikring'!C72+'Telenor Forsikring'!C72+'Tryg Forsikring'!C72+'WaterCircle F'!C72</f>
        <v>112728.45339000001</v>
      </c>
      <c r="D72" s="27">
        <f>IF($A$1=4,IF(B72=0, "    ---- ", IF(ABS(ROUND(100/B72*C72-100,1))&lt;999,ROUND(100/B72*C72-100,1),IF(ROUND(100/B72*C72-100,1)&gt;999,999,-999))),"")</f>
        <v>-15.6</v>
      </c>
      <c r="E72" s="44">
        <f>'Fremtind Livsforsikring'!F72+'Danica Pensjonsforsikring'!F72+'DNB Livsforsikring'!F72+'Eika Forsikring AS'!F72+'Frende Livsforsikring'!F72+'Frende Skadeforsikring'!F72+'Gjensidige Forsikring'!F72+'Gjensidige Pensjon'!F72+'Handelsbanken Liv'!F72+'If Skadeforsikring NUF'!F72+KLP!F72+'DNB Bedriftspensjon'!F72+'KLP Skadeforsikring AS'!F72+'Landkreditt Forsikring'!F72+Insr!F72+'Nordea Liv'!F72+'Oslo Pensjonsforsikring'!F72+'Protector Forsikring'!F72+'SHB Liv'!F72+'Sparebank 1'!F72+'Storebrand Livsforsikring'!F72+'Telenor Forsikring'!F72+'Tryg Forsikring'!F72+'WaterCircle F'!F72</f>
        <v>31848041.611620001</v>
      </c>
      <c r="F72" s="44">
        <f>'Fremtind Livsforsikring'!G72+'Danica Pensjonsforsikring'!G72+'DNB Livsforsikring'!G72+'Eika Forsikring AS'!G72+'Frende Livsforsikring'!G72+'Frende Skadeforsikring'!G72+'Gjensidige Forsikring'!G72+'Gjensidige Pensjon'!G72+'Handelsbanken Liv'!G72+'If Skadeforsikring NUF'!G72+KLP!G72+'DNB Bedriftspensjon'!G72+'KLP Skadeforsikring AS'!G72+'Landkreditt Forsikring'!G72+Insr!G72+'Nordea Liv'!G72+'Oslo Pensjonsforsikring'!G72+'Protector Forsikring'!G72+'SHB Liv'!G72+'Sparebank 1'!G72+'Storebrand Livsforsikring'!G72+'Telenor Forsikring'!G72+'Tryg Forsikring'!G72+'WaterCircle F'!G72</f>
        <v>33630665.564300001</v>
      </c>
      <c r="G72" s="166">
        <f t="shared" si="26"/>
        <v>5.6</v>
      </c>
      <c r="H72" s="237">
        <f t="shared" si="27"/>
        <v>31981682.971300002</v>
      </c>
      <c r="I72" s="237">
        <f t="shared" si="28"/>
        <v>33743394.017690003</v>
      </c>
      <c r="J72" s="24">
        <f t="shared" si="29"/>
        <v>5.5</v>
      </c>
    </row>
    <row r="73" spans="1:10" ht="15.75" customHeight="1" x14ac:dyDescent="0.2">
      <c r="A73" s="298" t="s">
        <v>12</v>
      </c>
      <c r="B73" s="235"/>
      <c r="C73" s="235"/>
      <c r="D73" s="27"/>
      <c r="E73" s="44">
        <f>'Fremtind Livsforsikring'!F73+'Danica Pensjonsforsikring'!F73+'DNB Livsforsikring'!F73+'Eika Forsikring AS'!F73+'Frende Livsforsikring'!F73+'Frende Skadeforsikring'!F73+'Gjensidige Forsikring'!F73+'Gjensidige Pensjon'!F73+'Handelsbanken Liv'!F73+'If Skadeforsikring NUF'!F73+KLP!F73+'DNB Bedriftspensjon'!F73+'KLP Skadeforsikring AS'!F73+'Landkreditt Forsikring'!F73+Insr!F73+'Nordea Liv'!F73+'Oslo Pensjonsforsikring'!F73+'Protector Forsikring'!F73+'SHB Liv'!F73+'Sparebank 1'!F73+'Storebrand Livsforsikring'!F73+'Telenor Forsikring'!F73+'Tryg Forsikring'!F73+'WaterCircle F'!F73</f>
        <v>10865.243083850401</v>
      </c>
      <c r="F73" s="44">
        <f>'Fremtind Livsforsikring'!G73+'Danica Pensjonsforsikring'!G73+'DNB Livsforsikring'!G73+'Eika Forsikring AS'!G73+'Frende Livsforsikring'!G73+'Frende Skadeforsikring'!G73+'Gjensidige Forsikring'!G73+'Gjensidige Pensjon'!G73+'Handelsbanken Liv'!G73+'If Skadeforsikring NUF'!G73+KLP!G73+'DNB Bedriftspensjon'!G73+'KLP Skadeforsikring AS'!G73+'Landkreditt Forsikring'!G73+Insr!G73+'Nordea Liv'!G73+'Oslo Pensjonsforsikring'!G73+'Protector Forsikring'!G73+'SHB Liv'!G73+'Sparebank 1'!G73+'Storebrand Livsforsikring'!G73+'Telenor Forsikring'!G73+'Tryg Forsikring'!G73+'WaterCircle F'!G73</f>
        <v>1017</v>
      </c>
      <c r="G73" s="166">
        <f t="shared" si="26"/>
        <v>-90.6</v>
      </c>
      <c r="H73" s="237">
        <f t="shared" si="27"/>
        <v>10865.243083850401</v>
      </c>
      <c r="I73" s="237">
        <f t="shared" si="28"/>
        <v>1017</v>
      </c>
      <c r="J73" s="23">
        <f t="shared" si="29"/>
        <v>-90.6</v>
      </c>
    </row>
    <row r="74" spans="1:10" s="3" customFormat="1" ht="15.75" customHeight="1" x14ac:dyDescent="0.2">
      <c r="A74" s="298" t="s">
        <v>13</v>
      </c>
      <c r="B74" s="235"/>
      <c r="C74" s="235"/>
      <c r="D74" s="27"/>
      <c r="E74" s="44">
        <f>'Fremtind Livsforsikring'!F74+'Danica Pensjonsforsikring'!F74+'DNB Livsforsikring'!F74+'Eika Forsikring AS'!F74+'Frende Livsforsikring'!F74+'Frende Skadeforsikring'!F74+'Gjensidige Forsikring'!F74+'Gjensidige Pensjon'!F74+'Handelsbanken Liv'!F74+'If Skadeforsikring NUF'!F74+KLP!F74+'DNB Bedriftspensjon'!F74+'KLP Skadeforsikring AS'!F74+'Landkreditt Forsikring'!F74+Insr!F74+'Nordea Liv'!F74+'Oslo Pensjonsforsikring'!F74+'Protector Forsikring'!F74+'SHB Liv'!F74+'Sparebank 1'!F74+'Storebrand Livsforsikring'!F74+'Telenor Forsikring'!F74+'Tryg Forsikring'!F74+'WaterCircle F'!F74</f>
        <v>31837176.368536152</v>
      </c>
      <c r="F74" s="44">
        <f>'Fremtind Livsforsikring'!G74+'Danica Pensjonsforsikring'!G74+'DNB Livsforsikring'!G74+'Eika Forsikring AS'!G74+'Frende Livsforsikring'!G74+'Frende Skadeforsikring'!G74+'Gjensidige Forsikring'!G74+'Gjensidige Pensjon'!G74+'Handelsbanken Liv'!G74+'If Skadeforsikring NUF'!G74+KLP!G74+'DNB Bedriftspensjon'!G74+'KLP Skadeforsikring AS'!G74+'Landkreditt Forsikring'!G74+Insr!G74+'Nordea Liv'!G74+'Oslo Pensjonsforsikring'!G74+'Protector Forsikring'!G74+'SHB Liv'!G74+'Sparebank 1'!G74+'Storebrand Livsforsikring'!G74+'Telenor Forsikring'!G74+'Tryg Forsikring'!G74+'WaterCircle F'!G74</f>
        <v>33629648.564300001</v>
      </c>
      <c r="G74" s="166">
        <f t="shared" si="26"/>
        <v>5.6</v>
      </c>
      <c r="H74" s="237">
        <f t="shared" si="27"/>
        <v>31837176.368536152</v>
      </c>
      <c r="I74" s="237">
        <f t="shared" si="28"/>
        <v>33629648.564300001</v>
      </c>
      <c r="J74" s="23">
        <f t="shared" si="29"/>
        <v>5.6</v>
      </c>
    </row>
    <row r="75" spans="1:10" s="3" customFormat="1" ht="15.75" customHeight="1" x14ac:dyDescent="0.2">
      <c r="A75" s="21" t="s">
        <v>346</v>
      </c>
      <c r="B75" s="44">
        <f>'Fremtind Livsforsikring'!B75+'Danica Pensjonsforsikring'!B75+'DNB Livsforsikring'!B75+'Eika Forsikring AS'!B75+'Frende Livsforsikring'!B75+'Frende Skadeforsikring'!B75+'Gjensidige Forsikring'!B75+'Gjensidige Pensjon'!B75+'Handelsbanken Liv'!B75+'If Skadeforsikring NUF'!B75+KLP!B75+'DNB Bedriftspensjon'!B75+'KLP Skadeforsikring AS'!B75+'Landkreditt Forsikring'!B75+Insr!B75+'Nordea Liv'!B75+'Oslo Pensjonsforsikring'!B75+'Protector Forsikring'!B75+'SHB Liv'!B75+'Sparebank 1'!B75+'Storebrand Livsforsikring'!B75+'Telenor Forsikring'!B75+'Tryg Forsikring'!B75+'WaterCircle F'!B75</f>
        <v>390399.33177000005</v>
      </c>
      <c r="C75" s="44">
        <f>'Fremtind Livsforsikring'!C75+'Danica Pensjonsforsikring'!C75+'DNB Livsforsikring'!C75+'Eika Forsikring AS'!C75+'Frende Livsforsikring'!C75+'Frende Skadeforsikring'!C75+'Gjensidige Forsikring'!C75+'Gjensidige Pensjon'!C75+'Handelsbanken Liv'!C75+'If Skadeforsikring NUF'!C75+KLP!C75+'DNB Bedriftspensjon'!C75+'KLP Skadeforsikring AS'!C75+'Landkreditt Forsikring'!C75+Insr!C75+'Nordea Liv'!C75+'Oslo Pensjonsforsikring'!C75+'Protector Forsikring'!C75+'SHB Liv'!C75+'Sparebank 1'!C75+'Storebrand Livsforsikring'!C75+'Telenor Forsikring'!C75+'Tryg Forsikring'!C75+'WaterCircle F'!C75</f>
        <v>451485.31695000001</v>
      </c>
      <c r="D75" s="23">
        <f t="shared" si="25"/>
        <v>15.6</v>
      </c>
      <c r="E75" s="44">
        <f>'Fremtind Livsforsikring'!F75+'Danica Pensjonsforsikring'!F75+'DNB Livsforsikring'!F75+'Eika Forsikring AS'!F75+'Frende Livsforsikring'!F75+'Frende Skadeforsikring'!F75+'Gjensidige Forsikring'!F75+'Gjensidige Pensjon'!F75+'Handelsbanken Liv'!F75+'If Skadeforsikring NUF'!F75+KLP!F75+'DNB Bedriftspensjon'!F75+'KLP Skadeforsikring AS'!F75+'Landkreditt Forsikring'!F75+Insr!F75+'Nordea Liv'!F75+'Oslo Pensjonsforsikring'!F75+'Protector Forsikring'!F75+'SHB Liv'!F75+'Sparebank 1'!F75+'Storebrand Livsforsikring'!F75+'Telenor Forsikring'!F75+'Tryg Forsikring'!F75+'WaterCircle F'!F75</f>
        <v>437630.55654999998</v>
      </c>
      <c r="F75" s="44">
        <f>'Fremtind Livsforsikring'!G75+'Danica Pensjonsforsikring'!G75+'DNB Livsforsikring'!G75+'Eika Forsikring AS'!G75+'Frende Livsforsikring'!G75+'Frende Skadeforsikring'!G75+'Gjensidige Forsikring'!G75+'Gjensidige Pensjon'!G75+'Handelsbanken Liv'!G75+'If Skadeforsikring NUF'!G75+KLP!G75+'DNB Bedriftspensjon'!G75+'KLP Skadeforsikring AS'!G75+'Landkreditt Forsikring'!G75+Insr!G75+'Nordea Liv'!G75+'Oslo Pensjonsforsikring'!G75+'Protector Forsikring'!G75+'SHB Liv'!G75+'Sparebank 1'!G75+'Storebrand Livsforsikring'!G75+'Telenor Forsikring'!G75+'Tryg Forsikring'!G75+'WaterCircle F'!G75</f>
        <v>1378986.4382699998</v>
      </c>
      <c r="G75" s="166">
        <f t="shared" si="26"/>
        <v>215.1</v>
      </c>
      <c r="H75" s="237">
        <f t="shared" si="27"/>
        <v>828029.88832000003</v>
      </c>
      <c r="I75" s="237">
        <f t="shared" si="28"/>
        <v>1830471.7552199997</v>
      </c>
      <c r="J75" s="23">
        <f t="shared" si="29"/>
        <v>121.1</v>
      </c>
    </row>
    <row r="76" spans="1:10" s="3" customFormat="1" ht="15.75" customHeight="1" x14ac:dyDescent="0.2">
      <c r="A76" s="21" t="s">
        <v>345</v>
      </c>
      <c r="B76" s="44">
        <f>'Fremtind Livsforsikring'!B76+'Danica Pensjonsforsikring'!B76+'DNB Livsforsikring'!B76+'Eika Forsikring AS'!B76+'Frende Livsforsikring'!B76+'Frende Skadeforsikring'!B76+'Gjensidige Forsikring'!B76+'Gjensidige Pensjon'!B76+'Handelsbanken Liv'!B76+'If Skadeforsikring NUF'!B76+KLP!B76+'DNB Bedriftspensjon'!B76+'KLP Skadeforsikring AS'!B76+'Landkreditt Forsikring'!B76+Insr!B76+'Nordea Liv'!B76+'Oslo Pensjonsforsikring'!B76+'Protector Forsikring'!B76+'SHB Liv'!B76+'Sparebank 1'!B76+'Storebrand Livsforsikring'!B76+'Telenor Forsikring'!B76+'Tryg Forsikring'!B76+'WaterCircle F'!B76</f>
        <v>1637945.1540360139</v>
      </c>
      <c r="C76" s="44">
        <f>'Fremtind Livsforsikring'!C76+'Danica Pensjonsforsikring'!C76+'DNB Livsforsikring'!C76+'Eika Forsikring AS'!C76+'Frende Livsforsikring'!C76+'Frende Skadeforsikring'!C76+'Gjensidige Forsikring'!C76+'Gjensidige Pensjon'!C76+'Handelsbanken Liv'!C76+'If Skadeforsikring NUF'!C76+KLP!C76+'DNB Bedriftspensjon'!C76+'KLP Skadeforsikring AS'!C76+'Landkreditt Forsikring'!C76+Insr!C76+'Nordea Liv'!C76+'Oslo Pensjonsforsikring'!C76+'Protector Forsikring'!C76+'SHB Liv'!C76+'Sparebank 1'!C76+'Storebrand Livsforsikring'!C76+'Telenor Forsikring'!C76+'Tryg Forsikring'!C76+'WaterCircle F'!C76</f>
        <v>1713712.1450800002</v>
      </c>
      <c r="D76" s="23">
        <f t="shared" ref="D76" si="30">IF(B76=0, "    ---- ", IF(ABS(ROUND(100/B76*C76-100,1))&lt;999,ROUND(100/B76*C76-100,1),IF(ROUND(100/B76*C76-100,1)&gt;999,999,-999)))</f>
        <v>4.5999999999999996</v>
      </c>
      <c r="E76" s="44"/>
      <c r="F76" s="44"/>
      <c r="G76" s="166"/>
      <c r="H76" s="237">
        <f t="shared" ref="H76" si="31">SUM(B76,E76)</f>
        <v>1637945.1540360139</v>
      </c>
      <c r="I76" s="237">
        <f t="shared" ref="I76" si="32">SUM(C76,F76)</f>
        <v>1713712.1450800002</v>
      </c>
      <c r="J76" s="23">
        <f t="shared" ref="J76" si="33">IF(H76=0, "    ---- ", IF(ABS(ROUND(100/H76*I76-100,1))&lt;999,ROUND(100/H76*I76-100,1),IF(ROUND(100/H76*I76-100,1)&gt;999,999,-999)))</f>
        <v>4.5999999999999996</v>
      </c>
    </row>
    <row r="77" spans="1:10" ht="15.75" customHeight="1" x14ac:dyDescent="0.2">
      <c r="A77" s="21" t="s">
        <v>461</v>
      </c>
      <c r="B77" s="44">
        <f>'Fremtind Livsforsikring'!B77+'Danica Pensjonsforsikring'!B77+'DNB Livsforsikring'!B77+'Eika Forsikring AS'!B77+'Frende Livsforsikring'!B77+'Frende Skadeforsikring'!B77+'Gjensidige Forsikring'!B77+'Gjensidige Pensjon'!B77+'Handelsbanken Liv'!B77+'If Skadeforsikring NUF'!B77+KLP!B77+'DNB Bedriftspensjon'!B77+'KLP Skadeforsikring AS'!B77+'Landkreditt Forsikring'!B77+Insr!B77+'Nordea Liv'!B77+'Oslo Pensjonsforsikring'!B77+'Protector Forsikring'!B77+'SHB Liv'!B77+'Sparebank 1'!B77+'Storebrand Livsforsikring'!B77+'Telenor Forsikring'!B77+'Tryg Forsikring'!B77+'WaterCircle F'!B77</f>
        <v>6686436.5739139859</v>
      </c>
      <c r="C77" s="234">
        <f>'Fremtind Livsforsikring'!C77+'Danica Pensjonsforsikring'!C77+'DNB Livsforsikring'!C77+'Eika Forsikring AS'!C77+'Frende Livsforsikring'!C77+'Frende Skadeforsikring'!C77+'Gjensidige Forsikring'!C77+'Gjensidige Pensjon'!C77+'Handelsbanken Liv'!C77+'If Skadeforsikring NUF'!C77+KLP!C77+'DNB Bedriftspensjon'!C77+'KLP Skadeforsikring AS'!C77+'Landkreditt Forsikring'!C77+Insr!C77+'Nordea Liv'!C77+'Oslo Pensjonsforsikring'!C77+'Protector Forsikring'!C77+'SHB Liv'!C77+'Sparebank 1'!C77+'Storebrand Livsforsikring'!C77+'Telenor Forsikring'!C77+'Tryg Forsikring'!C77+'WaterCircle F'!C77</f>
        <v>5117962.7183299996</v>
      </c>
      <c r="D77" s="23">
        <f t="shared" si="25"/>
        <v>-23.5</v>
      </c>
      <c r="E77" s="44">
        <f>'Fremtind Livsforsikring'!F77+'Danica Pensjonsforsikring'!F77+'DNB Livsforsikring'!F77+'Eika Forsikring AS'!F77+'Frende Livsforsikring'!F77+'Frende Skadeforsikring'!F77+'Gjensidige Forsikring'!F77+'Gjensidige Pensjon'!F77+'Handelsbanken Liv'!F77+'If Skadeforsikring NUF'!F77+KLP!F77+'DNB Bedriftspensjon'!F77+'KLP Skadeforsikring AS'!F77+'Landkreditt Forsikring'!F77+Insr!F77+'Nordea Liv'!F77+'Oslo Pensjonsforsikring'!F77+'Protector Forsikring'!F77+'SHB Liv'!F77+'Sparebank 1'!F77+'Storebrand Livsforsikring'!F77+'Telenor Forsikring'!F77+'Tryg Forsikring'!F77+'WaterCircle F'!F77</f>
        <v>31838433.432089999</v>
      </c>
      <c r="F77" s="44">
        <f>'Fremtind Livsforsikring'!G77+'Danica Pensjonsforsikring'!G77+'DNB Livsforsikring'!G77+'Eika Forsikring AS'!G77+'Frende Livsforsikring'!G77+'Frende Skadeforsikring'!G77+'Gjensidige Forsikring'!G77+'Gjensidige Pensjon'!G77+'Handelsbanken Liv'!G77+'If Skadeforsikring NUF'!G77+KLP!G77+'DNB Bedriftspensjon'!G77+'KLP Skadeforsikring AS'!G77+'Landkreditt Forsikring'!G77+Insr!G77+'Nordea Liv'!G77+'Oslo Pensjonsforsikring'!G77+'Protector Forsikring'!G77+'SHB Liv'!G77+'Sparebank 1'!G77+'Storebrand Livsforsikring'!G77+'Telenor Forsikring'!G77+'Tryg Forsikring'!G77+'WaterCircle F'!G77</f>
        <v>33618974.871239997</v>
      </c>
      <c r="G77" s="166">
        <f t="shared" si="26"/>
        <v>5.6</v>
      </c>
      <c r="H77" s="237">
        <f t="shared" si="27"/>
        <v>38524870.006003983</v>
      </c>
      <c r="I77" s="237">
        <f t="shared" si="28"/>
        <v>38736937.589570001</v>
      </c>
      <c r="J77" s="23">
        <f t="shared" si="29"/>
        <v>0.6</v>
      </c>
    </row>
    <row r="78" spans="1:10" ht="15.75" customHeight="1" x14ac:dyDescent="0.2">
      <c r="A78" s="21" t="s">
        <v>9</v>
      </c>
      <c r="B78" s="44">
        <f>'Fremtind Livsforsikring'!B78+'Danica Pensjonsforsikring'!B78+'DNB Livsforsikring'!B78+'Eika Forsikring AS'!B78+'Frende Livsforsikring'!B78+'Frende Skadeforsikring'!B78+'Gjensidige Forsikring'!B78+'Gjensidige Pensjon'!B78+'Handelsbanken Liv'!B78+'If Skadeforsikring NUF'!B78+KLP!B78+'DNB Bedriftspensjon'!B78+'KLP Skadeforsikring AS'!B78+'Landkreditt Forsikring'!B78+Insr!B78+'Nordea Liv'!B78+'Oslo Pensjonsforsikring'!B78+'Protector Forsikring'!B78+'SHB Liv'!B78+'Sparebank 1'!B78+'Storebrand Livsforsikring'!B78+'Telenor Forsikring'!B78+'Tryg Forsikring'!B78+'WaterCircle F'!B78</f>
        <v>6544378.0872339867</v>
      </c>
      <c r="C78" s="234">
        <f>'Fremtind Livsforsikring'!C78+'Danica Pensjonsforsikring'!C78+'DNB Livsforsikring'!C78+'Eika Forsikring AS'!C78+'Frende Livsforsikring'!C78+'Frende Skadeforsikring'!C78+'Gjensidige Forsikring'!C78+'Gjensidige Pensjon'!C78+'Handelsbanken Liv'!C78+'If Skadeforsikring NUF'!C78+KLP!C78+'DNB Bedriftspensjon'!C78+'KLP Skadeforsikring AS'!C78+'Landkreditt Forsikring'!C78+Insr!C78+'Nordea Liv'!C78+'Oslo Pensjonsforsikring'!C78+'Protector Forsikring'!C78+'SHB Liv'!C78+'Sparebank 1'!C78+'Storebrand Livsforsikring'!C78+'Telenor Forsikring'!C78+'Tryg Forsikring'!C78+'WaterCircle F'!C78</f>
        <v>4997185.5249399999</v>
      </c>
      <c r="D78" s="23">
        <f t="shared" si="25"/>
        <v>-23.6</v>
      </c>
      <c r="E78" s="44">
        <f>'Fremtind Livsforsikring'!F78+'Danica Pensjonsforsikring'!F78+'DNB Livsforsikring'!F78+'Eika Forsikring AS'!F78+'Frende Livsforsikring'!F78+'Frende Skadeforsikring'!F78+'Gjensidige Forsikring'!F78+'Gjensidige Pensjon'!F78+'Handelsbanken Liv'!F78+'If Skadeforsikring NUF'!F78+KLP!F78+'DNB Bedriftspensjon'!F78+'KLP Skadeforsikring AS'!F78+'Landkreditt Forsikring'!F78+Insr!F78+'Nordea Liv'!F78+'Oslo Pensjonsforsikring'!F78+'Protector Forsikring'!F78+'SHB Liv'!F78+'Sparebank 1'!F78+'Storebrand Livsforsikring'!F78+'Telenor Forsikring'!F78+'Tryg Forsikring'!F78+'WaterCircle F'!F78</f>
        <v>0</v>
      </c>
      <c r="F78" s="44">
        <f>'Fremtind Livsforsikring'!G78+'Danica Pensjonsforsikring'!G78+'DNB Livsforsikring'!G78+'Eika Forsikring AS'!G78+'Frende Livsforsikring'!G78+'Frende Skadeforsikring'!G78+'Gjensidige Forsikring'!G78+'Gjensidige Pensjon'!G78+'Handelsbanken Liv'!G78+'If Skadeforsikring NUF'!G78+KLP!G78+'DNB Bedriftspensjon'!G78+'KLP Skadeforsikring AS'!G78+'Landkreditt Forsikring'!G78+Insr!G78+'Nordea Liv'!G78+'Oslo Pensjonsforsikring'!G78+'Protector Forsikring'!G78+'SHB Liv'!G78+'Sparebank 1'!G78+'Storebrand Livsforsikring'!G78+'Telenor Forsikring'!G78+'Tryg Forsikring'!G78+'WaterCircle F'!G78</f>
        <v>0</v>
      </c>
      <c r="G78" s="166"/>
      <c r="H78" s="237">
        <f t="shared" si="27"/>
        <v>6544378.0872339867</v>
      </c>
      <c r="I78" s="237">
        <f t="shared" si="28"/>
        <v>4997185.5249399999</v>
      </c>
      <c r="J78" s="23">
        <f t="shared" si="29"/>
        <v>-23.6</v>
      </c>
    </row>
    <row r="79" spans="1:10" ht="15.75" customHeight="1" x14ac:dyDescent="0.2">
      <c r="A79" s="21" t="s">
        <v>10</v>
      </c>
      <c r="B79" s="44">
        <f>'Fremtind Livsforsikring'!B79+'Danica Pensjonsforsikring'!B79+'DNB Livsforsikring'!B79+'Eika Forsikring AS'!B79+'Frende Livsforsikring'!B79+'Frende Skadeforsikring'!B79+'Gjensidige Forsikring'!B79+'Gjensidige Pensjon'!B79+'Handelsbanken Liv'!B79+'If Skadeforsikring NUF'!B79+KLP!B79+'DNB Bedriftspensjon'!B79+'KLP Skadeforsikring AS'!B79+'Landkreditt Forsikring'!B79+Insr!B79+'Nordea Liv'!B79+'Oslo Pensjonsforsikring'!B79+'Protector Forsikring'!B79+'SHB Liv'!B79+'Sparebank 1'!B79+'Storebrand Livsforsikring'!B79+'Telenor Forsikring'!B79+'Tryg Forsikring'!B79+'WaterCircle F'!B79</f>
        <v>142058.48668</v>
      </c>
      <c r="C79" s="145">
        <f>'Fremtind Livsforsikring'!C79+'Danica Pensjonsforsikring'!C79+'DNB Livsforsikring'!C79+'Eika Forsikring AS'!C79+'Frende Livsforsikring'!C79+'Frende Skadeforsikring'!C79+'Gjensidige Forsikring'!C79+'Gjensidige Pensjon'!C79+'Handelsbanken Liv'!C79+'If Skadeforsikring NUF'!C79+KLP!C79+'DNB Bedriftspensjon'!C79+'KLP Skadeforsikring AS'!C79+'Landkreditt Forsikring'!C79+Insr!C79+'Nordea Liv'!C79+'Oslo Pensjonsforsikring'!C79+'Protector Forsikring'!C79+'SHB Liv'!C79+'Sparebank 1'!C79+'Storebrand Livsforsikring'!C79+'Telenor Forsikring'!C79+'Tryg Forsikring'!C79+'WaterCircle F'!C79</f>
        <v>120777.19339</v>
      </c>
      <c r="D79" s="23">
        <f t="shared" si="25"/>
        <v>-15</v>
      </c>
      <c r="E79" s="44">
        <f>'Fremtind Livsforsikring'!F79+'Danica Pensjonsforsikring'!F79+'DNB Livsforsikring'!F79+'Eika Forsikring AS'!F79+'Frende Livsforsikring'!F79+'Frende Skadeforsikring'!F79+'Gjensidige Forsikring'!F79+'Gjensidige Pensjon'!F79+'Handelsbanken Liv'!F79+'If Skadeforsikring NUF'!F79+KLP!F79+'DNB Bedriftspensjon'!F79+'KLP Skadeforsikring AS'!F79+'Landkreditt Forsikring'!F79+Insr!F79+'Nordea Liv'!F79+'Oslo Pensjonsforsikring'!F79+'Protector Forsikring'!F79+'SHB Liv'!F79+'Sparebank 1'!F79+'Storebrand Livsforsikring'!F79+'Telenor Forsikring'!F79+'Tryg Forsikring'!F79+'WaterCircle F'!F79</f>
        <v>31838433.432089999</v>
      </c>
      <c r="F79" s="44">
        <f>'Fremtind Livsforsikring'!G79+'Danica Pensjonsforsikring'!G79+'DNB Livsforsikring'!G79+'Eika Forsikring AS'!G79+'Frende Livsforsikring'!G79+'Frende Skadeforsikring'!G79+'Gjensidige Forsikring'!G79+'Gjensidige Pensjon'!G79+'Handelsbanken Liv'!G79+'If Skadeforsikring NUF'!G79+KLP!G79+'DNB Bedriftspensjon'!G79+'KLP Skadeforsikring AS'!G79+'Landkreditt Forsikring'!G79+Insr!G79+'Nordea Liv'!G79+'Oslo Pensjonsforsikring'!G79+'Protector Forsikring'!G79+'SHB Liv'!G79+'Sparebank 1'!G79+'Storebrand Livsforsikring'!G79+'Telenor Forsikring'!G79+'Tryg Forsikring'!G79+'WaterCircle F'!G79</f>
        <v>33618974.871239997</v>
      </c>
      <c r="G79" s="166">
        <f t="shared" si="26"/>
        <v>5.6</v>
      </c>
      <c r="H79" s="237">
        <f t="shared" si="27"/>
        <v>31980491.91877</v>
      </c>
      <c r="I79" s="237">
        <f t="shared" si="28"/>
        <v>33739752.064629994</v>
      </c>
      <c r="J79" s="23">
        <f t="shared" si="29"/>
        <v>5.5</v>
      </c>
    </row>
    <row r="80" spans="1:10" ht="15.75" customHeight="1" x14ac:dyDescent="0.2">
      <c r="A80" s="298" t="s">
        <v>459</v>
      </c>
      <c r="B80" s="44"/>
      <c r="C80" s="44"/>
      <c r="D80" s="27"/>
      <c r="E80" s="44"/>
      <c r="F80" s="44"/>
      <c r="G80" s="166"/>
      <c r="H80" s="237"/>
      <c r="I80" s="237"/>
      <c r="J80" s="23"/>
    </row>
    <row r="81" spans="1:10" ht="15.75" customHeight="1" x14ac:dyDescent="0.2">
      <c r="A81" s="298" t="s">
        <v>12</v>
      </c>
      <c r="B81" s="235"/>
      <c r="C81" s="235"/>
      <c r="D81" s="27"/>
      <c r="E81" s="44"/>
      <c r="F81" s="44"/>
      <c r="G81" s="166"/>
      <c r="H81" s="237"/>
      <c r="I81" s="237"/>
      <c r="J81" s="23"/>
    </row>
    <row r="82" spans="1:10" ht="15.75" customHeight="1" x14ac:dyDescent="0.2">
      <c r="A82" s="298" t="s">
        <v>13</v>
      </c>
      <c r="B82" s="235"/>
      <c r="C82" s="235"/>
      <c r="D82" s="27"/>
      <c r="E82" s="44"/>
      <c r="F82" s="44"/>
      <c r="G82" s="166"/>
      <c r="H82" s="237"/>
      <c r="I82" s="237"/>
      <c r="J82" s="23"/>
    </row>
    <row r="83" spans="1:10" ht="15.75" customHeight="1" x14ac:dyDescent="0.2">
      <c r="A83" s="298" t="s">
        <v>460</v>
      </c>
      <c r="B83" s="44">
        <f>'Fremtind Livsforsikring'!B83+'Danica Pensjonsforsikring'!B83+'DNB Livsforsikring'!B83+'Eika Forsikring AS'!B83+'Frende Livsforsikring'!B83+'Frende Skadeforsikring'!B83+'Gjensidige Forsikring'!B83+'Gjensidige Pensjon'!B83+'Handelsbanken Liv'!B83+'If Skadeforsikring NUF'!B83+KLP!B83+'DNB Bedriftspensjon'!B83+'KLP Skadeforsikring AS'!B83+'Landkreditt Forsikring'!B83+Insr!B83+'Nordea Liv'!B83+'Oslo Pensjonsforsikring'!B83+'Protector Forsikring'!B83+'SHB Liv'!B83+'Sparebank 1'!B83+'Storebrand Livsforsikring'!B83+'Telenor Forsikring'!B83+'Tryg Forsikring'!B83+'WaterCircle F'!B83</f>
        <v>142058.48668</v>
      </c>
      <c r="C83" s="44">
        <f>'Fremtind Livsforsikring'!C83+'Danica Pensjonsforsikring'!C83+'DNB Livsforsikring'!C83+'Eika Forsikring AS'!C83+'Frende Livsforsikring'!C83+'Frende Skadeforsikring'!C83+'Gjensidige Forsikring'!C83+'Gjensidige Pensjon'!C83+'Handelsbanken Liv'!C83+'If Skadeforsikring NUF'!C83+KLP!C83+'DNB Bedriftspensjon'!C83+'KLP Skadeforsikring AS'!C83+'Landkreditt Forsikring'!C83+Insr!C83+'Nordea Liv'!C83+'Oslo Pensjonsforsikring'!C83+'Protector Forsikring'!C83+'SHB Liv'!C83+'Sparebank 1'!C83+'Storebrand Livsforsikring'!C83+'Telenor Forsikring'!C83+'Tryg Forsikring'!C83+'WaterCircle F'!C83</f>
        <v>120777.19339</v>
      </c>
      <c r="D83" s="23">
        <f t="shared" si="25"/>
        <v>-15</v>
      </c>
      <c r="E83" s="44">
        <f>'Fremtind Livsforsikring'!F83+'Danica Pensjonsforsikring'!F83+'DNB Livsforsikring'!F83+'Eika Forsikring AS'!F83+'Frende Livsforsikring'!F83+'Frende Skadeforsikring'!F83+'Gjensidige Forsikring'!F83+'Gjensidige Pensjon'!F83+'Handelsbanken Liv'!F83+'If Skadeforsikring NUF'!F83+KLP!F83+'DNB Bedriftspensjon'!F83+'KLP Skadeforsikring AS'!F83+'Landkreditt Forsikring'!F83+Insr!F83+'Nordea Liv'!F83+'Oslo Pensjonsforsikring'!F83+'Protector Forsikring'!F83+'SHB Liv'!F83+'Sparebank 1'!F83+'Storebrand Livsforsikring'!F83+'Telenor Forsikring'!F83+'Tryg Forsikring'!F83+'WaterCircle F'!F83</f>
        <v>31838433.432089999</v>
      </c>
      <c r="F83" s="44">
        <f>'Fremtind Livsforsikring'!G83+'Danica Pensjonsforsikring'!G83+'DNB Livsforsikring'!G83+'Eika Forsikring AS'!G83+'Frende Livsforsikring'!G83+'Frende Skadeforsikring'!G83+'Gjensidige Forsikring'!G83+'Gjensidige Pensjon'!G83+'Handelsbanken Liv'!G83+'If Skadeforsikring NUF'!G83+KLP!G83+'DNB Bedriftspensjon'!G83+'KLP Skadeforsikring AS'!G83+'Landkreditt Forsikring'!G83+Insr!G83+'Nordea Liv'!G83+'Oslo Pensjonsforsikring'!G83+'Protector Forsikring'!G83+'SHB Liv'!G83+'Sparebank 1'!G83+'Storebrand Livsforsikring'!G83+'Telenor Forsikring'!G83+'Tryg Forsikring'!G83+'WaterCircle F'!G83</f>
        <v>33618974.871239997</v>
      </c>
      <c r="G83" s="166">
        <f t="shared" ref="G83:G98" si="34">IF(E83=0, "    ---- ", IF(ABS(ROUND(100/E83*F83-100,1))&lt;999,ROUND(100/E83*F83-100,1),IF(ROUND(100/E83*F83-100,1)&gt;999,999,-999)))</f>
        <v>5.6</v>
      </c>
      <c r="H83" s="237">
        <f t="shared" si="27"/>
        <v>31980491.91877</v>
      </c>
      <c r="I83" s="237">
        <f t="shared" si="28"/>
        <v>33739752.064629994</v>
      </c>
      <c r="J83" s="24">
        <f t="shared" si="29"/>
        <v>5.5</v>
      </c>
    </row>
    <row r="84" spans="1:10" ht="15.75" customHeight="1" x14ac:dyDescent="0.2">
      <c r="A84" s="298" t="s">
        <v>12</v>
      </c>
      <c r="B84" s="235"/>
      <c r="C84" s="235"/>
      <c r="D84" s="27"/>
      <c r="E84" s="44">
        <f>'Fremtind Livsforsikring'!F84+'Danica Pensjonsforsikring'!F84+'DNB Livsforsikring'!F84+'Eika Forsikring AS'!F84+'Frende Livsforsikring'!F84+'Frende Skadeforsikring'!F84+'Gjensidige Forsikring'!F84+'Gjensidige Pensjon'!F84+'Handelsbanken Liv'!F84+'If Skadeforsikring NUF'!F84+KLP!F84+'DNB Bedriftspensjon'!F84+'KLP Skadeforsikring AS'!F84+'Landkreditt Forsikring'!F84+Insr!F84+'Nordea Liv'!F84+'Oslo Pensjonsforsikring'!F84+'Protector Forsikring'!F84+'SHB Liv'!F84+'Sparebank 1'!F84+'Storebrand Livsforsikring'!F84+'Telenor Forsikring'!F84+'Tryg Forsikring'!F84+'WaterCircle F'!F84</f>
        <v>10865.243083850401</v>
      </c>
      <c r="F84" s="44">
        <f>'Fremtind Livsforsikring'!G84+'Danica Pensjonsforsikring'!G84+'DNB Livsforsikring'!G84+'Eika Forsikring AS'!G84+'Frende Livsforsikring'!G84+'Frende Skadeforsikring'!G84+'Gjensidige Forsikring'!G84+'Gjensidige Pensjon'!G84+'Handelsbanken Liv'!G84+'If Skadeforsikring NUF'!G84+KLP!G84+'DNB Bedriftspensjon'!G84+'KLP Skadeforsikring AS'!G84+'Landkreditt Forsikring'!G84+Insr!G84+'Nordea Liv'!G84+'Oslo Pensjonsforsikring'!G84+'Protector Forsikring'!G84+'SHB Liv'!G84+'Sparebank 1'!G84+'Storebrand Livsforsikring'!G84+'Telenor Forsikring'!G84+'Tryg Forsikring'!G84+'WaterCircle F'!G84</f>
        <v>1017</v>
      </c>
      <c r="G84" s="166">
        <f t="shared" si="34"/>
        <v>-90.6</v>
      </c>
      <c r="H84" s="237">
        <f t="shared" si="27"/>
        <v>10865.243083850401</v>
      </c>
      <c r="I84" s="237">
        <f t="shared" si="28"/>
        <v>1017</v>
      </c>
      <c r="J84" s="23">
        <f t="shared" si="29"/>
        <v>-90.6</v>
      </c>
    </row>
    <row r="85" spans="1:10" ht="15.75" customHeight="1" x14ac:dyDescent="0.2">
      <c r="A85" s="298" t="s">
        <v>13</v>
      </c>
      <c r="B85" s="235"/>
      <c r="C85" s="235"/>
      <c r="D85" s="27"/>
      <c r="E85" s="44">
        <f>'Fremtind Livsforsikring'!F85+'Danica Pensjonsforsikring'!F85+'DNB Livsforsikring'!F85+'Eika Forsikring AS'!F85+'Frende Livsforsikring'!F85+'Frende Skadeforsikring'!F85+'Gjensidige Forsikring'!F85+'Gjensidige Pensjon'!F85+'Handelsbanken Liv'!F85+'If Skadeforsikring NUF'!F85+KLP!F85+'DNB Bedriftspensjon'!F85+'KLP Skadeforsikring AS'!F85+'Landkreditt Forsikring'!F85+Insr!F85+'Nordea Liv'!F85+'Oslo Pensjonsforsikring'!F85+'Protector Forsikring'!F85+'SHB Liv'!F85+'Sparebank 1'!F85+'Storebrand Livsforsikring'!F85+'Telenor Forsikring'!F85+'Tryg Forsikring'!F85+'WaterCircle F'!F85</f>
        <v>31827568.18900615</v>
      </c>
      <c r="F85" s="44">
        <f>'Fremtind Livsforsikring'!G85+'Danica Pensjonsforsikring'!G85+'DNB Livsforsikring'!G85+'Eika Forsikring AS'!G85+'Frende Livsforsikring'!G85+'Frende Skadeforsikring'!G85+'Gjensidige Forsikring'!G85+'Gjensidige Pensjon'!G85+'Handelsbanken Liv'!G85+'If Skadeforsikring NUF'!G85+KLP!G85+'DNB Bedriftspensjon'!G85+'KLP Skadeforsikring AS'!G85+'Landkreditt Forsikring'!G85+Insr!G85+'Nordea Liv'!G85+'Oslo Pensjonsforsikring'!G85+'Protector Forsikring'!G85+'SHB Liv'!G85+'Sparebank 1'!G85+'Storebrand Livsforsikring'!G85+'Telenor Forsikring'!G85+'Tryg Forsikring'!G85+'WaterCircle F'!G85</f>
        <v>33617957.871239997</v>
      </c>
      <c r="G85" s="166">
        <f t="shared" si="34"/>
        <v>5.6</v>
      </c>
      <c r="H85" s="237">
        <f t="shared" si="27"/>
        <v>31827568.18900615</v>
      </c>
      <c r="I85" s="237">
        <f t="shared" si="28"/>
        <v>33617957.871239997</v>
      </c>
      <c r="J85" s="23">
        <f t="shared" si="29"/>
        <v>5.6</v>
      </c>
    </row>
    <row r="86" spans="1:10" ht="15.75" customHeight="1" x14ac:dyDescent="0.2">
      <c r="A86" s="21" t="s">
        <v>462</v>
      </c>
      <c r="B86" s="234">
        <f>'Fremtind Livsforsikring'!B86+'Danica Pensjonsforsikring'!B86+'DNB Livsforsikring'!B86+'Eika Forsikring AS'!B86+'Frende Livsforsikring'!B86+'Frende Skadeforsikring'!B86+'Gjensidige Forsikring'!B86+'Gjensidige Pensjon'!B86+'Handelsbanken Liv'!B86+'If Skadeforsikring NUF'!B86+KLP!B86+'DNB Bedriftspensjon'!B86+'KLP Skadeforsikring AS'!B86+'Landkreditt Forsikring'!B86+Insr!B86+'Nordea Liv'!B86+'Oslo Pensjonsforsikring'!B86+'Protector Forsikring'!B86+'SHB Liv'!B86+'Sparebank 1'!B86+'Storebrand Livsforsikring'!B86+'Telenor Forsikring'!B86+'Tryg Forsikring'!B86+'WaterCircle F'!B86</f>
        <v>94185.726999999999</v>
      </c>
      <c r="C86" s="234">
        <f>'Fremtind Livsforsikring'!C86+'Danica Pensjonsforsikring'!C86+'DNB Livsforsikring'!C86+'Eika Forsikring AS'!C86+'Frende Livsforsikring'!C86+'Frende Skadeforsikring'!C86+'Gjensidige Forsikring'!C86+'Gjensidige Pensjon'!C86+'Handelsbanken Liv'!C86+'If Skadeforsikring NUF'!C86+KLP!C86+'DNB Bedriftspensjon'!C86+'KLP Skadeforsikring AS'!C86+'Landkreditt Forsikring'!C86+Insr!C86+'Nordea Liv'!C86+'Oslo Pensjonsforsikring'!C86+'Protector Forsikring'!C86+'SHB Liv'!C86+'Sparebank 1'!C86+'Storebrand Livsforsikring'!C86+'Telenor Forsikring'!C86+'Tryg Forsikring'!C86+'WaterCircle F'!C86</f>
        <v>143835.038</v>
      </c>
      <c r="D86" s="23">
        <f t="shared" si="25"/>
        <v>52.7</v>
      </c>
      <c r="E86" s="44">
        <f>'Fremtind Livsforsikring'!F86+'Danica Pensjonsforsikring'!F86+'DNB Livsforsikring'!F86+'Eika Forsikring AS'!F86+'Frende Livsforsikring'!F86+'Frende Skadeforsikring'!F86+'Gjensidige Forsikring'!F86+'Gjensidige Pensjon'!F86+'Handelsbanken Liv'!F86+'If Skadeforsikring NUF'!F86+KLP!F86+'DNB Bedriftspensjon'!F86+'KLP Skadeforsikring AS'!F86+'Landkreditt Forsikring'!F86+Insr!F86+'Nordea Liv'!F86+'Oslo Pensjonsforsikring'!F86+'Protector Forsikring'!F86+'SHB Liv'!F86+'Sparebank 1'!F86+'Storebrand Livsforsikring'!F86+'Telenor Forsikring'!F86+'Tryg Forsikring'!F86+'WaterCircle F'!F86</f>
        <v>13547.57353</v>
      </c>
      <c r="F86" s="44">
        <f>'Fremtind Livsforsikring'!G86+'Danica Pensjonsforsikring'!G86+'DNB Livsforsikring'!G86+'Eika Forsikring AS'!G86+'Frende Livsforsikring'!G86+'Frende Skadeforsikring'!G86+'Gjensidige Forsikring'!G86+'Gjensidige Pensjon'!G86+'Handelsbanken Liv'!G86+'If Skadeforsikring NUF'!G86+KLP!G86+'DNB Bedriftspensjon'!G86+'KLP Skadeforsikring AS'!G86+'Landkreditt Forsikring'!G86+Insr!G86+'Nordea Liv'!G86+'Oslo Pensjonsforsikring'!G86+'Protector Forsikring'!G86+'SHB Liv'!G86+'Sparebank 1'!G86+'Storebrand Livsforsikring'!G86+'Telenor Forsikring'!G86+'Tryg Forsikring'!G86+'WaterCircle F'!G86</f>
        <v>14186.69306</v>
      </c>
      <c r="G86" s="166">
        <f t="shared" si="34"/>
        <v>4.7</v>
      </c>
      <c r="H86" s="237">
        <f t="shared" si="27"/>
        <v>107733.30052999999</v>
      </c>
      <c r="I86" s="237">
        <f t="shared" si="28"/>
        <v>158021.73105999999</v>
      </c>
      <c r="J86" s="23">
        <f t="shared" si="29"/>
        <v>46.7</v>
      </c>
    </row>
    <row r="87" spans="1:10" s="43" customFormat="1" ht="15.75" customHeight="1" x14ac:dyDescent="0.2">
      <c r="A87" s="13" t="s">
        <v>444</v>
      </c>
      <c r="B87" s="310">
        <f>'Fremtind Livsforsikring'!B87+'Danica Pensjonsforsikring'!B87+'DNB Livsforsikring'!B87+'Eika Forsikring AS'!B87+'Frende Livsforsikring'!B87+'Frende Skadeforsikring'!B87+'Gjensidige Forsikring'!B87+'Gjensidige Pensjon'!B87+'Handelsbanken Liv'!B87+'If Skadeforsikring NUF'!B87+KLP!B87+'DNB Bedriftspensjon'!B87+'KLP Skadeforsikring AS'!B87+'Landkreditt Forsikring'!B87+Insr!B87+'Nordea Liv'!B87+'Oslo Pensjonsforsikring'!B87+'Protector Forsikring'!B87+'SHB Liv'!B87+'Sparebank 1'!B87+'Storebrand Livsforsikring'!B87+'Telenor Forsikring'!B87+'Tryg Forsikring'!B87+'WaterCircle F'!B87</f>
        <v>392024870.93138003</v>
      </c>
      <c r="C87" s="310">
        <f>'Fremtind Livsforsikring'!C87+'Danica Pensjonsforsikring'!C87+'DNB Livsforsikring'!C87+'Eika Forsikring AS'!C87+'Frende Livsforsikring'!C87+'Frende Skadeforsikring'!C87+'Gjensidige Forsikring'!C87+'Gjensidige Pensjon'!C87+'Handelsbanken Liv'!C87+'If Skadeforsikring NUF'!C87+KLP!C87+'DNB Bedriftspensjon'!C87+'KLP Skadeforsikring AS'!C87+'Landkreditt Forsikring'!C87+Insr!C87+'Nordea Liv'!C87+'Oslo Pensjonsforsikring'!C87+'Protector Forsikring'!C87+'SHB Liv'!C87+'Sparebank 1'!C87+'Storebrand Livsforsikring'!C87+'Telenor Forsikring'!C87+'Tryg Forsikring'!C87+'WaterCircle F'!C87</f>
        <v>395207470.63050002</v>
      </c>
      <c r="D87" s="24">
        <f t="shared" si="25"/>
        <v>0.8</v>
      </c>
      <c r="E87" s="236">
        <f>'Fremtind Livsforsikring'!F87+'Danica Pensjonsforsikring'!F87+'DNB Livsforsikring'!F87+'Eika Forsikring AS'!F87+'Frende Livsforsikring'!F87+'Frende Skadeforsikring'!F87+'Gjensidige Forsikring'!F87+'Gjensidige Pensjon'!F87+'Handelsbanken Liv'!F87+'If Skadeforsikring NUF'!F87+KLP!F87+'DNB Bedriftspensjon'!F87+'KLP Skadeforsikring AS'!F87+'Landkreditt Forsikring'!F87+Insr!F87+'Nordea Liv'!F87+'Oslo Pensjonsforsikring'!F87+'Protector Forsikring'!F87+'SHB Liv'!F87+'Sparebank 1'!F87+'Storebrand Livsforsikring'!F87+'Telenor Forsikring'!F87+'Tryg Forsikring'!F87+'WaterCircle F'!F87</f>
        <v>314589446.54096997</v>
      </c>
      <c r="F87" s="236">
        <f>'Fremtind Livsforsikring'!G87+'Danica Pensjonsforsikring'!G87+'DNB Livsforsikring'!G87+'Eika Forsikring AS'!G87+'Frende Livsforsikring'!G87+'Frende Skadeforsikring'!G87+'Gjensidige Forsikring'!G87+'Gjensidige Pensjon'!G87+'Handelsbanken Liv'!G87+'If Skadeforsikring NUF'!G87+KLP!G87+'DNB Bedriftspensjon'!G87+'KLP Skadeforsikring AS'!G87+'Landkreditt Forsikring'!G87+Insr!G87+'Nordea Liv'!G87+'Oslo Pensjonsforsikring'!G87+'Protector Forsikring'!G87+'SHB Liv'!G87+'Sparebank 1'!G87+'Storebrand Livsforsikring'!G87+'Telenor Forsikring'!G87+'Tryg Forsikring'!G87+'WaterCircle F'!G87</f>
        <v>372803555.49048001</v>
      </c>
      <c r="G87" s="171">
        <f t="shared" si="34"/>
        <v>18.5</v>
      </c>
      <c r="H87" s="331">
        <f t="shared" ref="H87:H111" si="35">SUM(B87,E87)</f>
        <v>706614317.47235</v>
      </c>
      <c r="I87" s="331">
        <f t="shared" ref="I87:I111" si="36">SUM(C87,F87)</f>
        <v>768011026.12098002</v>
      </c>
      <c r="J87" s="24">
        <f t="shared" si="29"/>
        <v>8.6999999999999993</v>
      </c>
    </row>
    <row r="88" spans="1:10" ht="15.75" customHeight="1" x14ac:dyDescent="0.2">
      <c r="A88" s="21" t="s">
        <v>9</v>
      </c>
      <c r="B88" s="234">
        <f>'Fremtind Livsforsikring'!B88+'Danica Pensjonsforsikring'!B88+'DNB Livsforsikring'!B88+'Eika Forsikring AS'!B88+'Frende Livsforsikring'!B88+'Frende Skadeforsikring'!B88+'Gjensidige Forsikring'!B88+'Gjensidige Pensjon'!B88+'Handelsbanken Liv'!B88+'If Skadeforsikring NUF'!B88+KLP!B88+'DNB Bedriftspensjon'!B88+'KLP Skadeforsikring AS'!B88+'Landkreditt Forsikring'!B88+Insr!B88+'Nordea Liv'!B88+'Oslo Pensjonsforsikring'!B88+'Protector Forsikring'!B88+'SHB Liv'!B88+'Sparebank 1'!B88+'Storebrand Livsforsikring'!B88+'Telenor Forsikring'!B88+'Tryg Forsikring'!B88+'WaterCircle F'!B88</f>
        <v>382245306.46062005</v>
      </c>
      <c r="C88" s="234">
        <f>'Fremtind Livsforsikring'!C88+'Danica Pensjonsforsikring'!C88+'DNB Livsforsikring'!C88+'Eika Forsikring AS'!C88+'Frende Livsforsikring'!C88+'Frende Skadeforsikring'!C88+'Gjensidige Forsikring'!C88+'Gjensidige Pensjon'!C88+'Handelsbanken Liv'!C88+'If Skadeforsikring NUF'!C88+KLP!C88+'DNB Bedriftspensjon'!C88+'KLP Skadeforsikring AS'!C88+'Landkreditt Forsikring'!C88+Insr!C88+'Nordea Liv'!C88+'Oslo Pensjonsforsikring'!C88+'Protector Forsikring'!C88+'SHB Liv'!C88+'Sparebank 1'!C88+'Storebrand Livsforsikring'!C88+'Telenor Forsikring'!C88+'Tryg Forsikring'!C88+'WaterCircle F'!C88</f>
        <v>383347967.67581999</v>
      </c>
      <c r="D88" s="23">
        <f t="shared" si="25"/>
        <v>0.3</v>
      </c>
      <c r="E88" s="44"/>
      <c r="F88" s="44"/>
      <c r="G88" s="166"/>
      <c r="H88" s="237">
        <f t="shared" si="35"/>
        <v>382245306.46062005</v>
      </c>
      <c r="I88" s="237">
        <f t="shared" si="36"/>
        <v>383347967.67581999</v>
      </c>
      <c r="J88" s="23">
        <f t="shared" si="29"/>
        <v>0.3</v>
      </c>
    </row>
    <row r="89" spans="1:10" ht="15.75" customHeight="1" x14ac:dyDescent="0.2">
      <c r="A89" s="21" t="s">
        <v>10</v>
      </c>
      <c r="B89" s="234">
        <f>'Fremtind Livsforsikring'!B89+'Danica Pensjonsforsikring'!B89+'DNB Livsforsikring'!B89+'Eika Forsikring AS'!B89+'Frende Livsforsikring'!B89+'Frende Skadeforsikring'!B89+'Gjensidige Forsikring'!B89+'Gjensidige Pensjon'!B89+'Handelsbanken Liv'!B89+'If Skadeforsikring NUF'!B89+KLP!B89+'DNB Bedriftspensjon'!B89+'KLP Skadeforsikring AS'!B89+'Landkreditt Forsikring'!B89+Insr!B89+'Nordea Liv'!B89+'Oslo Pensjonsforsikring'!B89+'Protector Forsikring'!B89+'SHB Liv'!B89+'Sparebank 1'!B89+'Storebrand Livsforsikring'!B89+'Telenor Forsikring'!B89+'Tryg Forsikring'!B89+'WaterCircle F'!B89</f>
        <v>2983522.41585</v>
      </c>
      <c r="C89" s="234">
        <f>'Fremtind Livsforsikring'!C89+'Danica Pensjonsforsikring'!C89+'DNB Livsforsikring'!C89+'Eika Forsikring AS'!C89+'Frende Livsforsikring'!C89+'Frende Skadeforsikring'!C89+'Gjensidige Forsikring'!C89+'Gjensidige Pensjon'!C89+'Handelsbanken Liv'!C89+'If Skadeforsikring NUF'!C89+KLP!C89+'DNB Bedriftspensjon'!C89+'KLP Skadeforsikring AS'!C89+'Landkreditt Forsikring'!C89+Insr!C89+'Nordea Liv'!C89+'Oslo Pensjonsforsikring'!C89+'Protector Forsikring'!C89+'SHB Liv'!C89+'Sparebank 1'!C89+'Storebrand Livsforsikring'!C89+'Telenor Forsikring'!C89+'Tryg Forsikring'!C89+'WaterCircle F'!C89</f>
        <v>3052182.9967</v>
      </c>
      <c r="D89" s="23">
        <f t="shared" si="25"/>
        <v>2.2999999999999998</v>
      </c>
      <c r="E89" s="44">
        <f>'Fremtind Livsforsikring'!F89+'Danica Pensjonsforsikring'!F89+'DNB Livsforsikring'!F89+'Eika Forsikring AS'!F89+'Frende Livsforsikring'!F89+'Frende Skadeforsikring'!F89+'Gjensidige Forsikring'!F89+'Gjensidige Pensjon'!F89+'Handelsbanken Liv'!F89+'If Skadeforsikring NUF'!F89+KLP!F89+'DNB Bedriftspensjon'!F89+'KLP Skadeforsikring AS'!F89+'Landkreditt Forsikring'!F89+Insr!F89+'Nordea Liv'!F89+'Oslo Pensjonsforsikring'!F89+'Protector Forsikring'!F89+'SHB Liv'!F89+'Sparebank 1'!F89+'Storebrand Livsforsikring'!F89+'Telenor Forsikring'!F89+'Tryg Forsikring'!F89+'WaterCircle F'!F89</f>
        <v>313011680.88800001</v>
      </c>
      <c r="F89" s="44">
        <f>'Fremtind Livsforsikring'!G89+'Danica Pensjonsforsikring'!G89+'DNB Livsforsikring'!G89+'Eika Forsikring AS'!G89+'Frende Livsforsikring'!G89+'Frende Skadeforsikring'!G89+'Gjensidige Forsikring'!G89+'Gjensidige Pensjon'!G89+'Handelsbanken Liv'!G89+'If Skadeforsikring NUF'!G89+KLP!G89+'DNB Bedriftspensjon'!G89+'KLP Skadeforsikring AS'!G89+'Landkreditt Forsikring'!G89+Insr!G89+'Nordea Liv'!G89+'Oslo Pensjonsforsikring'!G89+'Protector Forsikring'!G89+'SHB Liv'!G89+'Sparebank 1'!G89+'Storebrand Livsforsikring'!G89+'Telenor Forsikring'!G89+'Tryg Forsikring'!G89+'WaterCircle F'!G89</f>
        <v>369671484.44926</v>
      </c>
      <c r="G89" s="166">
        <f t="shared" si="34"/>
        <v>18.100000000000001</v>
      </c>
      <c r="H89" s="237">
        <f t="shared" si="35"/>
        <v>315995203.30385</v>
      </c>
      <c r="I89" s="237">
        <f t="shared" si="36"/>
        <v>372723667.44595999</v>
      </c>
      <c r="J89" s="23">
        <f t="shared" si="29"/>
        <v>18</v>
      </c>
    </row>
    <row r="90" spans="1:10" ht="15.75" customHeight="1" x14ac:dyDescent="0.2">
      <c r="A90" s="298" t="s">
        <v>459</v>
      </c>
      <c r="B90" s="44"/>
      <c r="C90" s="44"/>
      <c r="D90" s="27"/>
      <c r="E90" s="44">
        <f>'Fremtind Livsforsikring'!F90+'Danica Pensjonsforsikring'!F90+'DNB Livsforsikring'!F90+'Eika Forsikring AS'!F90+'Frende Livsforsikring'!F90+'Frende Skadeforsikring'!F90+'Gjensidige Forsikring'!F90+'Gjensidige Pensjon'!F90+'Handelsbanken Liv'!F90+'If Skadeforsikring NUF'!F90+KLP!F90+'DNB Bedriftspensjon'!F90+'KLP Skadeforsikring AS'!F90+'Landkreditt Forsikring'!F90+Insr!F90+'Nordea Liv'!F90+'Oslo Pensjonsforsikring'!F90+'Protector Forsikring'!F90+'SHB Liv'!F90+'Sparebank 1'!F90+'Storebrand Livsforsikring'!F90+'Telenor Forsikring'!F90+'Tryg Forsikring'!F90+'WaterCircle F'!F90</f>
        <v>122575.734</v>
      </c>
      <c r="F90" s="44">
        <f>'Fremtind Livsforsikring'!G90+'Danica Pensjonsforsikring'!G90+'DNB Livsforsikring'!G90+'Eika Forsikring AS'!G90+'Frende Livsforsikring'!G90+'Frende Skadeforsikring'!G90+'Gjensidige Forsikring'!G90+'Gjensidige Pensjon'!G90+'Handelsbanken Liv'!G90+'If Skadeforsikring NUF'!G90+KLP!G90+'DNB Bedriftspensjon'!G90+'KLP Skadeforsikring AS'!G90+'Landkreditt Forsikring'!G90+Insr!G90+'Nordea Liv'!G90+'Oslo Pensjonsforsikring'!G90+'Protector Forsikring'!G90+'SHB Liv'!G90+'Sparebank 1'!G90+'Storebrand Livsforsikring'!G90+'Telenor Forsikring'!G90+'Tryg Forsikring'!G90+'WaterCircle F'!G90</f>
        <v>115351.96799999999</v>
      </c>
      <c r="G90" s="166">
        <f t="shared" si="34"/>
        <v>-5.9</v>
      </c>
      <c r="H90" s="237">
        <f t="shared" si="35"/>
        <v>122575.734</v>
      </c>
      <c r="I90" s="237">
        <f t="shared" si="36"/>
        <v>115351.96799999999</v>
      </c>
      <c r="J90" s="23">
        <f t="shared" si="29"/>
        <v>-5.9</v>
      </c>
    </row>
    <row r="91" spans="1:10" ht="15.75" customHeight="1" x14ac:dyDescent="0.2">
      <c r="A91" s="298" t="s">
        <v>12</v>
      </c>
      <c r="B91" s="235"/>
      <c r="C91" s="235"/>
      <c r="D91" s="27"/>
      <c r="E91" s="44">
        <f>'Fremtind Livsforsikring'!F91+'Danica Pensjonsforsikring'!F91+'DNB Livsforsikring'!F91+'Eika Forsikring AS'!F91+'Frende Livsforsikring'!F91+'Frende Skadeforsikring'!F91+'Gjensidige Forsikring'!F91+'Gjensidige Pensjon'!F91+'Handelsbanken Liv'!F91+'If Skadeforsikring NUF'!F91+KLP!F91+'DNB Bedriftspensjon'!F91+'KLP Skadeforsikring AS'!F91+'Landkreditt Forsikring'!F91+Insr!F91+'Nordea Liv'!F91+'Oslo Pensjonsforsikring'!F91+'Protector Forsikring'!F91+'SHB Liv'!F91+'Sparebank 1'!F91+'Storebrand Livsforsikring'!F91+'Telenor Forsikring'!F91+'Tryg Forsikring'!F91+'WaterCircle F'!F91</f>
        <v>109590.83</v>
      </c>
      <c r="F91" s="44">
        <f>'Fremtind Livsforsikring'!G91+'Danica Pensjonsforsikring'!G91+'DNB Livsforsikring'!G91+'Eika Forsikring AS'!G91+'Frende Livsforsikring'!G91+'Frende Skadeforsikring'!G91+'Gjensidige Forsikring'!G91+'Gjensidige Pensjon'!G91+'Handelsbanken Liv'!G91+'If Skadeforsikring NUF'!G91+KLP!G91+'DNB Bedriftspensjon'!G91+'KLP Skadeforsikring AS'!G91+'Landkreditt Forsikring'!G91+Insr!G91+'Nordea Liv'!G91+'Oslo Pensjonsforsikring'!G91+'Protector Forsikring'!G91+'SHB Liv'!G91+'Sparebank 1'!G91+'Storebrand Livsforsikring'!G91+'Telenor Forsikring'!G91+'Tryg Forsikring'!G91+'WaterCircle F'!G91</f>
        <v>100750.96799999999</v>
      </c>
      <c r="G91" s="166">
        <f t="shared" si="34"/>
        <v>-8.1</v>
      </c>
      <c r="H91" s="237">
        <f t="shared" si="35"/>
        <v>109590.83</v>
      </c>
      <c r="I91" s="237">
        <f t="shared" si="36"/>
        <v>100750.96799999999</v>
      </c>
      <c r="J91" s="23">
        <f t="shared" si="29"/>
        <v>-8.1</v>
      </c>
    </row>
    <row r="92" spans="1:10" ht="15.75" customHeight="1" x14ac:dyDescent="0.2">
      <c r="A92" s="298" t="s">
        <v>13</v>
      </c>
      <c r="B92" s="235"/>
      <c r="C92" s="235"/>
      <c r="D92" s="27"/>
      <c r="E92" s="44">
        <f>'Fremtind Livsforsikring'!F92+'Danica Pensjonsforsikring'!F92+'DNB Livsforsikring'!F92+'Eika Forsikring AS'!F92+'Frende Livsforsikring'!F92+'Frende Skadeforsikring'!F92+'Gjensidige Forsikring'!F92+'Gjensidige Pensjon'!F92+'Handelsbanken Liv'!F92+'If Skadeforsikring NUF'!F92+KLP!F92+'DNB Bedriftspensjon'!F92+'KLP Skadeforsikring AS'!F92+'Landkreditt Forsikring'!F92+Insr!F92+'Nordea Liv'!F92+'Oslo Pensjonsforsikring'!F92+'Protector Forsikring'!F92+'SHB Liv'!F92+'Sparebank 1'!F92+'Storebrand Livsforsikring'!F92+'Telenor Forsikring'!F92+'Tryg Forsikring'!F92+'WaterCircle F'!F92</f>
        <v>12984.904</v>
      </c>
      <c r="F92" s="44">
        <f>'Fremtind Livsforsikring'!G92+'Danica Pensjonsforsikring'!G92+'DNB Livsforsikring'!G92+'Eika Forsikring AS'!G92+'Frende Livsforsikring'!G92+'Frende Skadeforsikring'!G92+'Gjensidige Forsikring'!G92+'Gjensidige Pensjon'!G92+'Handelsbanken Liv'!G92+'If Skadeforsikring NUF'!G92+KLP!G92+'DNB Bedriftspensjon'!G92+'KLP Skadeforsikring AS'!G92+'Landkreditt Forsikring'!G92+Insr!G92+'Nordea Liv'!G92+'Oslo Pensjonsforsikring'!G92+'Protector Forsikring'!G92+'SHB Liv'!G92+'Sparebank 1'!G92+'Storebrand Livsforsikring'!G92+'Telenor Forsikring'!G92+'Tryg Forsikring'!G92+'WaterCircle F'!G92</f>
        <v>14601</v>
      </c>
      <c r="G92" s="166">
        <f t="shared" si="34"/>
        <v>12.4</v>
      </c>
      <c r="H92" s="237">
        <f t="shared" si="35"/>
        <v>12984.904</v>
      </c>
      <c r="I92" s="237">
        <f t="shared" si="36"/>
        <v>14601</v>
      </c>
      <c r="J92" s="23">
        <f t="shared" si="29"/>
        <v>12.4</v>
      </c>
    </row>
    <row r="93" spans="1:10" ht="15.75" customHeight="1" x14ac:dyDescent="0.2">
      <c r="A93" s="298" t="s">
        <v>460</v>
      </c>
      <c r="B93" s="44">
        <f>'Fremtind Livsforsikring'!B93+'Danica Pensjonsforsikring'!B93+'DNB Livsforsikring'!B93+'Eika Forsikring AS'!B93+'Frende Livsforsikring'!B93+'Frende Skadeforsikring'!B93+'Gjensidige Forsikring'!B93+'Gjensidige Pensjon'!B93+'Handelsbanken Liv'!B93+'If Skadeforsikring NUF'!B93+KLP!B93+'DNB Bedriftspensjon'!B93+'KLP Skadeforsikring AS'!B93+'Landkreditt Forsikring'!B93+Insr!B93+'Nordea Liv'!B93+'Oslo Pensjonsforsikring'!B93+'Protector Forsikring'!B93+'SHB Liv'!B93+'Sparebank 1'!B93+'Storebrand Livsforsikring'!B93+'Telenor Forsikring'!B93+'Tryg Forsikring'!B93+'WaterCircle F'!B93</f>
        <v>2983522.41585</v>
      </c>
      <c r="C93" s="44">
        <f>'Fremtind Livsforsikring'!C93+'Danica Pensjonsforsikring'!C93+'DNB Livsforsikring'!C93+'Eika Forsikring AS'!C93+'Frende Livsforsikring'!C93+'Frende Skadeforsikring'!C93+'Gjensidige Forsikring'!C93+'Gjensidige Pensjon'!C93+'Handelsbanken Liv'!C93+'If Skadeforsikring NUF'!C93+KLP!C93+'DNB Bedriftspensjon'!C93+'KLP Skadeforsikring AS'!C93+'Landkreditt Forsikring'!C93+Insr!C93+'Nordea Liv'!C93+'Oslo Pensjonsforsikring'!C93+'Protector Forsikring'!C93+'SHB Liv'!C93+'Sparebank 1'!C93+'Storebrand Livsforsikring'!C93+'Telenor Forsikring'!C93+'Tryg Forsikring'!C93+'WaterCircle F'!C93</f>
        <v>3052182.9967</v>
      </c>
      <c r="D93" s="27">
        <f t="shared" ref="D93" si="37">IF($A$1=4,IF(B93=0, "    ---- ", IF(ABS(ROUND(100/B93*C93-100,1))&lt;999,ROUND(100/B93*C93-100,1),IF(ROUND(100/B93*C93-100,1)&gt;999,999,-999))),"")</f>
        <v>2.2999999999999998</v>
      </c>
      <c r="E93" s="44">
        <f>'Fremtind Livsforsikring'!F93+'Danica Pensjonsforsikring'!F93+'DNB Livsforsikring'!F93+'Eika Forsikring AS'!F93+'Frende Livsforsikring'!F93+'Frende Skadeforsikring'!F93+'Gjensidige Forsikring'!F93+'Gjensidige Pensjon'!F93+'Handelsbanken Liv'!F93+'If Skadeforsikring NUF'!F93+KLP!F93+'DNB Bedriftspensjon'!F93+'KLP Skadeforsikring AS'!F93+'Landkreditt Forsikring'!F93+Insr!F93+'Nordea Liv'!F93+'Oslo Pensjonsforsikring'!F93+'Protector Forsikring'!F93+'SHB Liv'!F93+'Sparebank 1'!F93+'Storebrand Livsforsikring'!F93+'Telenor Forsikring'!F93+'Tryg Forsikring'!F93+'WaterCircle F'!F93</f>
        <v>312889105.15400004</v>
      </c>
      <c r="F93" s="44">
        <f>'Fremtind Livsforsikring'!G93+'Danica Pensjonsforsikring'!G93+'DNB Livsforsikring'!G93+'Eika Forsikring AS'!G93+'Frende Livsforsikring'!G93+'Frende Skadeforsikring'!G93+'Gjensidige Forsikring'!G93+'Gjensidige Pensjon'!G93+'Handelsbanken Liv'!G93+'If Skadeforsikring NUF'!G93+KLP!G93+'DNB Bedriftspensjon'!G93+'KLP Skadeforsikring AS'!G93+'Landkreditt Forsikring'!G93+Insr!G93+'Nordea Liv'!G93+'Oslo Pensjonsforsikring'!G93+'Protector Forsikring'!G93+'SHB Liv'!G93+'Sparebank 1'!G93+'Storebrand Livsforsikring'!G93+'Telenor Forsikring'!G93+'Tryg Forsikring'!G93+'WaterCircle F'!G93</f>
        <v>369556132.48126</v>
      </c>
      <c r="G93" s="166">
        <f t="shared" si="34"/>
        <v>18.100000000000001</v>
      </c>
      <c r="H93" s="237">
        <f t="shared" si="35"/>
        <v>315872627.56985003</v>
      </c>
      <c r="I93" s="237">
        <f t="shared" si="36"/>
        <v>372608315.47795999</v>
      </c>
      <c r="J93" s="23">
        <f t="shared" si="29"/>
        <v>18</v>
      </c>
    </row>
    <row r="94" spans="1:10" ht="15.75" customHeight="1" x14ac:dyDescent="0.2">
      <c r="A94" s="298" t="s">
        <v>12</v>
      </c>
      <c r="B94" s="235"/>
      <c r="C94" s="235"/>
      <c r="D94" s="27"/>
      <c r="E94" s="44">
        <f>'Fremtind Livsforsikring'!F94+'Danica Pensjonsforsikring'!F94+'DNB Livsforsikring'!F94+'Eika Forsikring AS'!F94+'Frende Livsforsikring'!F94+'Frende Skadeforsikring'!F94+'Gjensidige Forsikring'!F94+'Gjensidige Pensjon'!F94+'Handelsbanken Liv'!F94+'If Skadeforsikring NUF'!F94+KLP!F94+'DNB Bedriftspensjon'!F94+'KLP Skadeforsikring AS'!F94+'Landkreditt Forsikring'!F94+Insr!F94+'Nordea Liv'!F94+'Oslo Pensjonsforsikring'!F94+'Protector Forsikring'!F94+'SHB Liv'!F94+'Sparebank 1'!F94+'Storebrand Livsforsikring'!F94+'Telenor Forsikring'!F94+'Tryg Forsikring'!F94+'WaterCircle F'!F94</f>
        <v>767903.82835549803</v>
      </c>
      <c r="F94" s="44">
        <f>'Fremtind Livsforsikring'!G94+'Danica Pensjonsforsikring'!G94+'DNB Livsforsikring'!G94+'Eika Forsikring AS'!G94+'Frende Livsforsikring'!G94+'Frende Skadeforsikring'!G94+'Gjensidige Forsikring'!G94+'Gjensidige Pensjon'!G94+'Handelsbanken Liv'!G94+'If Skadeforsikring NUF'!G94+KLP!G94+'DNB Bedriftspensjon'!G94+'KLP Skadeforsikring AS'!G94+'Landkreditt Forsikring'!G94+Insr!G94+'Nordea Liv'!G94+'Oslo Pensjonsforsikring'!G94+'Protector Forsikring'!G94+'SHB Liv'!G94+'Sparebank 1'!G94+'Storebrand Livsforsikring'!G94+'Telenor Forsikring'!G94+'Tryg Forsikring'!G94+'WaterCircle F'!G94</f>
        <v>842296.46030999999</v>
      </c>
      <c r="G94" s="166">
        <f t="shared" si="34"/>
        <v>9.6999999999999993</v>
      </c>
      <c r="H94" s="237">
        <f t="shared" si="35"/>
        <v>767903.82835549803</v>
      </c>
      <c r="I94" s="237">
        <f t="shared" si="36"/>
        <v>842296.46030999999</v>
      </c>
      <c r="J94" s="23">
        <f t="shared" si="29"/>
        <v>9.6999999999999993</v>
      </c>
    </row>
    <row r="95" spans="1:10" ht="15.75" customHeight="1" x14ac:dyDescent="0.2">
      <c r="A95" s="298" t="s">
        <v>13</v>
      </c>
      <c r="B95" s="235"/>
      <c r="C95" s="235"/>
      <c r="D95" s="27"/>
      <c r="E95" s="44">
        <f>'Fremtind Livsforsikring'!F95+'Danica Pensjonsforsikring'!F95+'DNB Livsforsikring'!F95+'Eika Forsikring AS'!F95+'Frende Livsforsikring'!F95+'Frende Skadeforsikring'!F95+'Gjensidige Forsikring'!F95+'Gjensidige Pensjon'!F95+'Handelsbanken Liv'!F95+'If Skadeforsikring NUF'!F95+KLP!F95+'DNB Bedriftspensjon'!F95+'KLP Skadeforsikring AS'!F95+'Landkreditt Forsikring'!F95+Insr!F95+'Nordea Liv'!F95+'Oslo Pensjonsforsikring'!F95+'Protector Forsikring'!F95+'SHB Liv'!F95+'Sparebank 1'!F95+'Storebrand Livsforsikring'!F95+'Telenor Forsikring'!F95+'Tryg Forsikring'!F95+'WaterCircle F'!F95</f>
        <v>312121201.32564455</v>
      </c>
      <c r="F95" s="44">
        <f>'Fremtind Livsforsikring'!G95+'Danica Pensjonsforsikring'!G95+'DNB Livsforsikring'!G95+'Eika Forsikring AS'!G95+'Frende Livsforsikring'!G95+'Frende Skadeforsikring'!G95+'Gjensidige Forsikring'!G95+'Gjensidige Pensjon'!G95+'Handelsbanken Liv'!G95+'If Skadeforsikring NUF'!G95+KLP!G95+'DNB Bedriftspensjon'!G95+'KLP Skadeforsikring AS'!G95+'Landkreditt Forsikring'!G95+Insr!G95+'Nordea Liv'!G95+'Oslo Pensjonsforsikring'!G95+'Protector Forsikring'!G95+'SHB Liv'!G95+'Sparebank 1'!G95+'Storebrand Livsforsikring'!G95+'Telenor Forsikring'!G95+'Tryg Forsikring'!G95+'WaterCircle F'!G95</f>
        <v>368713836.02095002</v>
      </c>
      <c r="G95" s="166">
        <f t="shared" si="34"/>
        <v>18.100000000000001</v>
      </c>
      <c r="H95" s="237">
        <f t="shared" si="35"/>
        <v>312121201.32564455</v>
      </c>
      <c r="I95" s="237">
        <f t="shared" si="36"/>
        <v>368713836.02095002</v>
      </c>
      <c r="J95" s="23">
        <f t="shared" si="29"/>
        <v>18.100000000000001</v>
      </c>
    </row>
    <row r="96" spans="1:10" ht="15.75" customHeight="1" x14ac:dyDescent="0.2">
      <c r="A96" s="21" t="s">
        <v>346</v>
      </c>
      <c r="B96" s="234">
        <f>'Fremtind Livsforsikring'!B96+'Danica Pensjonsforsikring'!B96+'DNB Livsforsikring'!B96+'Eika Forsikring AS'!B96+'Frende Livsforsikring'!B96+'Frende Skadeforsikring'!B96+'Gjensidige Forsikring'!B96+'Gjensidige Pensjon'!B96+'Handelsbanken Liv'!B96+'If Skadeforsikring NUF'!B96+KLP!B96+'DNB Bedriftspensjon'!B96+'KLP Skadeforsikring AS'!B96+'Landkreditt Forsikring'!B96+Insr!B96+'Nordea Liv'!B96+'Oslo Pensjonsforsikring'!B96+'Protector Forsikring'!B96+'SHB Liv'!B96+'Sparebank 1'!B96+'Storebrand Livsforsikring'!B96+'Telenor Forsikring'!B96+'Tryg Forsikring'!B96+'WaterCircle F'!B96</f>
        <v>1401970.99077</v>
      </c>
      <c r="C96" s="234">
        <f>'Fremtind Livsforsikring'!C96+'Danica Pensjonsforsikring'!C96+'DNB Livsforsikring'!C96+'Eika Forsikring AS'!C96+'Frende Livsforsikring'!C96+'Frende Skadeforsikring'!C96+'Gjensidige Forsikring'!C96+'Gjensidige Pensjon'!C96+'Handelsbanken Liv'!C96+'If Skadeforsikring NUF'!C96+KLP!C96+'DNB Bedriftspensjon'!C96+'KLP Skadeforsikring AS'!C96+'Landkreditt Forsikring'!C96+Insr!C96+'Nordea Liv'!C96+'Oslo Pensjonsforsikring'!C96+'Protector Forsikring'!C96+'SHB Liv'!C96+'Sparebank 1'!C96+'Storebrand Livsforsikring'!C96+'Telenor Forsikring'!C96+'Tryg Forsikring'!C96+'WaterCircle F'!C96</f>
        <v>1999308.8924400001</v>
      </c>
      <c r="D96" s="23">
        <f t="shared" si="25"/>
        <v>42.6</v>
      </c>
      <c r="E96" s="44">
        <f>'Fremtind Livsforsikring'!F96+'Danica Pensjonsforsikring'!F96+'DNB Livsforsikring'!F96+'Eika Forsikring AS'!F96+'Frende Livsforsikring'!F96+'Frende Skadeforsikring'!F96+'Gjensidige Forsikring'!F96+'Gjensidige Pensjon'!F96+'Handelsbanken Liv'!F96+'If Skadeforsikring NUF'!F96+KLP!F96+'DNB Bedriftspensjon'!F96+'KLP Skadeforsikring AS'!F96+'Landkreditt Forsikring'!F96+Insr!F96+'Nordea Liv'!F96+'Oslo Pensjonsforsikring'!F96+'Protector Forsikring'!F96+'SHB Liv'!F96+'Sparebank 1'!F96+'Storebrand Livsforsikring'!F96+'Telenor Forsikring'!F96+'Tryg Forsikring'!F96+'WaterCircle F'!F96</f>
        <v>1577765.6529700002</v>
      </c>
      <c r="F96" s="44">
        <f>'Fremtind Livsforsikring'!G96+'Danica Pensjonsforsikring'!G96+'DNB Livsforsikring'!G96+'Eika Forsikring AS'!G96+'Frende Livsforsikring'!G96+'Frende Skadeforsikring'!G96+'Gjensidige Forsikring'!G96+'Gjensidige Pensjon'!G96+'Handelsbanken Liv'!G96+'If Skadeforsikring NUF'!G96+KLP!G96+'DNB Bedriftspensjon'!G96+'KLP Skadeforsikring AS'!G96+'Landkreditt Forsikring'!G96+Insr!G96+'Nordea Liv'!G96+'Oslo Pensjonsforsikring'!G96+'Protector Forsikring'!G96+'SHB Liv'!G96+'Sparebank 1'!G96+'Storebrand Livsforsikring'!G96+'Telenor Forsikring'!G96+'Tryg Forsikring'!G96+'WaterCircle F'!G96</f>
        <v>3132071.04122</v>
      </c>
      <c r="G96" s="166">
        <f t="shared" si="34"/>
        <v>98.5</v>
      </c>
      <c r="H96" s="237">
        <f t="shared" si="35"/>
        <v>2979736.6437400002</v>
      </c>
      <c r="I96" s="237">
        <f t="shared" si="36"/>
        <v>5131379.9336600006</v>
      </c>
      <c r="J96" s="23">
        <f t="shared" si="29"/>
        <v>72.2</v>
      </c>
    </row>
    <row r="97" spans="1:10" ht="15.75" customHeight="1" x14ac:dyDescent="0.2">
      <c r="A97" s="21" t="s">
        <v>345</v>
      </c>
      <c r="B97" s="234">
        <f>'Fremtind Livsforsikring'!B97+'Danica Pensjonsforsikring'!B97+'DNB Livsforsikring'!B97+'Eika Forsikring AS'!B97+'Frende Livsforsikring'!B97+'Frende Skadeforsikring'!B97+'Gjensidige Forsikring'!B97+'Gjensidige Pensjon'!B97+'Handelsbanken Liv'!B97+'If Skadeforsikring NUF'!B97+KLP!B97+'DNB Bedriftspensjon'!B97+'KLP Skadeforsikring AS'!B97+'Landkreditt Forsikring'!B97+Insr!B97+'Nordea Liv'!B97+'Oslo Pensjonsforsikring'!B97+'Protector Forsikring'!B97+'SHB Liv'!B97+'Sparebank 1'!B97+'Storebrand Livsforsikring'!B97+'Telenor Forsikring'!B97+'Tryg Forsikring'!B97+'WaterCircle F'!B97</f>
        <v>5394071.0641399994</v>
      </c>
      <c r="C97" s="234">
        <f>'Fremtind Livsforsikring'!C97+'Danica Pensjonsforsikring'!C97+'DNB Livsforsikring'!C97+'Eika Forsikring AS'!C97+'Frende Livsforsikring'!C97+'Frende Skadeforsikring'!C97+'Gjensidige Forsikring'!C97+'Gjensidige Pensjon'!C97+'Handelsbanken Liv'!C97+'If Skadeforsikring NUF'!C97+KLP!C97+'DNB Bedriftspensjon'!C97+'KLP Skadeforsikring AS'!C97+'Landkreditt Forsikring'!C97+Insr!C97+'Nordea Liv'!C97+'Oslo Pensjonsforsikring'!C97+'Protector Forsikring'!C97+'SHB Liv'!C97+'Sparebank 1'!C97+'Storebrand Livsforsikring'!C97+'Telenor Forsikring'!C97+'Tryg Forsikring'!C97+'WaterCircle F'!C97</f>
        <v>6808011.0655400008</v>
      </c>
      <c r="D97" s="23">
        <f t="shared" ref="D97" si="38">IF(B97=0, "    ---- ", IF(ABS(ROUND(100/B97*C97-100,1))&lt;999,ROUND(100/B97*C97-100,1),IF(ROUND(100/B97*C97-100,1)&gt;999,999,-999)))</f>
        <v>26.2</v>
      </c>
      <c r="E97" s="44"/>
      <c r="F97" s="44"/>
      <c r="G97" s="166"/>
      <c r="H97" s="237">
        <f t="shared" ref="H97" si="39">SUM(B97,E97)</f>
        <v>5394071.0641399994</v>
      </c>
      <c r="I97" s="237">
        <f t="shared" ref="I97" si="40">SUM(C97,F97)</f>
        <v>6808011.0655400008</v>
      </c>
      <c r="J97" s="23">
        <f t="shared" ref="J97" si="41">IF(H97=0, "    ---- ", IF(ABS(ROUND(100/H97*I97-100,1))&lt;999,ROUND(100/H97*I97-100,1),IF(ROUND(100/H97*I97-100,1)&gt;999,999,-999)))</f>
        <v>26.2</v>
      </c>
    </row>
    <row r="98" spans="1:10" ht="15.75" customHeight="1" x14ac:dyDescent="0.2">
      <c r="A98" s="21" t="s">
        <v>461</v>
      </c>
      <c r="B98" s="234">
        <f>'Fremtind Livsforsikring'!B98+'Danica Pensjonsforsikring'!B98+'DNB Livsforsikring'!B98+'Eika Forsikring AS'!B98+'Frende Livsforsikring'!B98+'Frende Skadeforsikring'!B98+'Gjensidige Forsikring'!B98+'Gjensidige Pensjon'!B98+'Handelsbanken Liv'!B98+'If Skadeforsikring NUF'!B98+KLP!B98+'DNB Bedriftspensjon'!B98+'KLP Skadeforsikring AS'!B98+'Landkreditt Forsikring'!B98+Insr!B98+'Nordea Liv'!B98+'Oslo Pensjonsforsikring'!B98+'Protector Forsikring'!B98+'SHB Liv'!B98+'Sparebank 1'!B98+'Storebrand Livsforsikring'!B98+'Telenor Forsikring'!B98+'Tryg Forsikring'!B98+'WaterCircle F'!B98</f>
        <v>380633715.61555159</v>
      </c>
      <c r="C98" s="234">
        <f>'Fremtind Livsforsikring'!C98+'Danica Pensjonsforsikring'!C98+'DNB Livsforsikring'!C98+'Eika Forsikring AS'!C98+'Frende Livsforsikring'!C98+'Frende Skadeforsikring'!C98+'Gjensidige Forsikring'!C98+'Gjensidige Pensjon'!C98+'Handelsbanken Liv'!C98+'If Skadeforsikring NUF'!C98+KLP!C98+'DNB Bedriftspensjon'!C98+'KLP Skadeforsikring AS'!C98+'Landkreditt Forsikring'!C98+Insr!C98+'Nordea Liv'!C98+'Oslo Pensjonsforsikring'!C98+'Protector Forsikring'!C98+'SHB Liv'!C98+'Sparebank 1'!C98+'Storebrand Livsforsikring'!C98+'Telenor Forsikring'!C98+'Tryg Forsikring'!C98+'WaterCircle F'!C98</f>
        <v>381953941.27552003</v>
      </c>
      <c r="D98" s="23">
        <f t="shared" si="25"/>
        <v>0.3</v>
      </c>
      <c r="E98" s="44">
        <f>'Fremtind Livsforsikring'!F98+'Danica Pensjonsforsikring'!F98+'DNB Livsforsikring'!F98+'Eika Forsikring AS'!F98+'Frende Livsforsikring'!F98+'Frende Skadeforsikring'!F98+'Gjensidige Forsikring'!F98+'Gjensidige Pensjon'!F98+'Handelsbanken Liv'!F98+'If Skadeforsikring NUF'!F98+KLP!F98+'DNB Bedriftspensjon'!F98+'KLP Skadeforsikring AS'!F98+'Landkreditt Forsikring'!F98+Insr!F98+'Nordea Liv'!F98+'Oslo Pensjonsforsikring'!F98+'Protector Forsikring'!F98+'SHB Liv'!F98+'Sparebank 1'!F98+'Storebrand Livsforsikring'!F98+'Telenor Forsikring'!F98+'Tryg Forsikring'!F98+'WaterCircle F'!F98</f>
        <v>312130230.06105</v>
      </c>
      <c r="F98" s="44">
        <f>'Fremtind Livsforsikring'!G98+'Danica Pensjonsforsikring'!G98+'DNB Livsforsikring'!G98+'Eika Forsikring AS'!G98+'Frende Livsforsikring'!G98+'Frende Skadeforsikring'!G98+'Gjensidige Forsikring'!G98+'Gjensidige Pensjon'!G98+'Handelsbanken Liv'!G98+'If Skadeforsikring NUF'!G98+KLP!G98+'DNB Bedriftspensjon'!G98+'KLP Skadeforsikring AS'!G98+'Landkreditt Forsikring'!G98+Insr!G98+'Nordea Liv'!G98+'Oslo Pensjonsforsikring'!G98+'Protector Forsikring'!G98+'SHB Liv'!G98+'Sparebank 1'!G98+'Storebrand Livsforsikring'!G98+'Telenor Forsikring'!G98+'Tryg Forsikring'!G98+'WaterCircle F'!G98</f>
        <v>368642033.39560002</v>
      </c>
      <c r="G98" s="166">
        <f t="shared" si="34"/>
        <v>18.100000000000001</v>
      </c>
      <c r="H98" s="237">
        <f t="shared" si="35"/>
        <v>692763945.67660165</v>
      </c>
      <c r="I98" s="237">
        <f t="shared" si="36"/>
        <v>750595974.67112005</v>
      </c>
      <c r="J98" s="23">
        <f t="shared" si="29"/>
        <v>8.3000000000000007</v>
      </c>
    </row>
    <row r="99" spans="1:10" ht="15.75" customHeight="1" x14ac:dyDescent="0.2">
      <c r="A99" s="21" t="s">
        <v>9</v>
      </c>
      <c r="B99" s="234">
        <f>'Fremtind Livsforsikring'!B99+'Danica Pensjonsforsikring'!B99+'DNB Livsforsikring'!B99+'Eika Forsikring AS'!B99+'Frende Livsforsikring'!B99+'Frende Skadeforsikring'!B99+'Gjensidige Forsikring'!B99+'Gjensidige Pensjon'!B99+'Handelsbanken Liv'!B99+'If Skadeforsikring NUF'!B99+KLP!B99+'DNB Bedriftspensjon'!B99+'KLP Skadeforsikring AS'!B99+'Landkreditt Forsikring'!B99+Insr!B99+'Nordea Liv'!B99+'Oslo Pensjonsforsikring'!B99+'Protector Forsikring'!B99+'SHB Liv'!B99+'Sparebank 1'!B99+'Storebrand Livsforsikring'!B99+'Telenor Forsikring'!B99+'Tryg Forsikring'!B99+'WaterCircle F'!B99</f>
        <v>377650192.87570161</v>
      </c>
      <c r="C99" s="234">
        <f>'Fremtind Livsforsikring'!C99+'Danica Pensjonsforsikring'!C99+'DNB Livsforsikring'!C99+'Eika Forsikring AS'!C99+'Frende Livsforsikring'!C99+'Frende Skadeforsikring'!C99+'Gjensidige Forsikring'!C99+'Gjensidige Pensjon'!C99+'Handelsbanken Liv'!C99+'If Skadeforsikring NUF'!C99+KLP!C99+'DNB Bedriftspensjon'!C99+'KLP Skadeforsikring AS'!C99+'Landkreditt Forsikring'!C99+Insr!C99+'Nordea Liv'!C99+'Oslo Pensjonsforsikring'!C99+'Protector Forsikring'!C99+'SHB Liv'!C99+'Sparebank 1'!C99+'Storebrand Livsforsikring'!C99+'Telenor Forsikring'!C99+'Tryg Forsikring'!C99+'WaterCircle F'!C99</f>
        <v>378901758.27882004</v>
      </c>
      <c r="D99" s="23">
        <f t="shared" si="25"/>
        <v>0.3</v>
      </c>
      <c r="E99" s="44"/>
      <c r="F99" s="44"/>
      <c r="G99" s="166"/>
      <c r="H99" s="237">
        <f t="shared" si="35"/>
        <v>377650192.87570161</v>
      </c>
      <c r="I99" s="237">
        <f t="shared" si="36"/>
        <v>378901758.27882004</v>
      </c>
      <c r="J99" s="23">
        <f t="shared" si="29"/>
        <v>0.3</v>
      </c>
    </row>
    <row r="100" spans="1:10" ht="15.75" customHeight="1" x14ac:dyDescent="0.2">
      <c r="A100" s="21" t="s">
        <v>10</v>
      </c>
      <c r="B100" s="234">
        <f>'Fremtind Livsforsikring'!B100+'Danica Pensjonsforsikring'!B100+'DNB Livsforsikring'!B100+'Eika Forsikring AS'!B100+'Frende Livsforsikring'!B100+'Frende Skadeforsikring'!B100+'Gjensidige Forsikring'!B100+'Gjensidige Pensjon'!B100+'Handelsbanken Liv'!B100+'If Skadeforsikring NUF'!B100+KLP!B100+'DNB Bedriftspensjon'!B100+'KLP Skadeforsikring AS'!B100+'Landkreditt Forsikring'!B100+Insr!B100+'Nordea Liv'!B100+'Oslo Pensjonsforsikring'!B100+'Protector Forsikring'!B100+'SHB Liv'!B100+'Sparebank 1'!B100+'Storebrand Livsforsikring'!B100+'Telenor Forsikring'!B100+'Tryg Forsikring'!B100+'WaterCircle F'!B100</f>
        <v>2983522.73985</v>
      </c>
      <c r="C100" s="234">
        <f>'Fremtind Livsforsikring'!C100+'Danica Pensjonsforsikring'!C100+'DNB Livsforsikring'!C100+'Eika Forsikring AS'!C100+'Frende Livsforsikring'!C100+'Frende Skadeforsikring'!C100+'Gjensidige Forsikring'!C100+'Gjensidige Pensjon'!C100+'Handelsbanken Liv'!C100+'If Skadeforsikring NUF'!C100+KLP!C100+'DNB Bedriftspensjon'!C100+'KLP Skadeforsikring AS'!C100+'Landkreditt Forsikring'!C100+Insr!C100+'Nordea Liv'!C100+'Oslo Pensjonsforsikring'!C100+'Protector Forsikring'!C100+'SHB Liv'!C100+'Sparebank 1'!C100+'Storebrand Livsforsikring'!C100+'Telenor Forsikring'!C100+'Tryg Forsikring'!C100+'WaterCircle F'!C100</f>
        <v>3052182.9967</v>
      </c>
      <c r="D100" s="23">
        <f t="shared" si="25"/>
        <v>2.2999999999999998</v>
      </c>
      <c r="E100" s="44">
        <f>'Fremtind Livsforsikring'!F100+'Danica Pensjonsforsikring'!F100+'DNB Livsforsikring'!F100+'Eika Forsikring AS'!F100+'Frende Livsforsikring'!F100+'Frende Skadeforsikring'!F100+'Gjensidige Forsikring'!F100+'Gjensidige Pensjon'!F100+'Handelsbanken Liv'!F100+'If Skadeforsikring NUF'!F100+KLP!F100+'DNB Bedriftspensjon'!F100+'KLP Skadeforsikring AS'!F100+'Landkreditt Forsikring'!F100+Insr!F100+'Nordea Liv'!F100+'Oslo Pensjonsforsikring'!F100+'Protector Forsikring'!F100+'SHB Liv'!F100+'Sparebank 1'!F100+'Storebrand Livsforsikring'!F100+'Telenor Forsikring'!F100+'Tryg Forsikring'!F100+'WaterCircle F'!F100</f>
        <v>312130230.06105</v>
      </c>
      <c r="F100" s="44">
        <f>'Fremtind Livsforsikring'!G100+'Danica Pensjonsforsikring'!G100+'DNB Livsforsikring'!G100+'Eika Forsikring AS'!G100+'Frende Livsforsikring'!G100+'Frende Skadeforsikring'!G100+'Gjensidige Forsikring'!G100+'Gjensidige Pensjon'!G100+'Handelsbanken Liv'!G100+'If Skadeforsikring NUF'!G100+KLP!G100+'DNB Bedriftspensjon'!G100+'KLP Skadeforsikring AS'!G100+'Landkreditt Forsikring'!G100+Insr!G100+'Nordea Liv'!G100+'Oslo Pensjonsforsikring'!G100+'Protector Forsikring'!G100+'SHB Liv'!G100+'Sparebank 1'!G100+'Storebrand Livsforsikring'!G100+'Telenor Forsikring'!G100+'Tryg Forsikring'!G100+'WaterCircle F'!G100</f>
        <v>368642033.39560002</v>
      </c>
      <c r="G100" s="166">
        <f t="shared" ref="G100" si="42">IF(E100=0, "    ---- ", IF(ABS(ROUND(100/E100*F100-100,1))&lt;999,ROUND(100/E100*F100-100,1),IF(ROUND(100/E100*F100-100,1)&gt;999,999,-999)))</f>
        <v>18.100000000000001</v>
      </c>
      <c r="H100" s="237">
        <f t="shared" si="35"/>
        <v>315113752.80089998</v>
      </c>
      <c r="I100" s="237">
        <f t="shared" si="36"/>
        <v>371694216.39230001</v>
      </c>
      <c r="J100" s="23">
        <f t="shared" si="29"/>
        <v>18</v>
      </c>
    </row>
    <row r="101" spans="1:10" ht="15.75" customHeight="1" x14ac:dyDescent="0.2">
      <c r="A101" s="298" t="s">
        <v>459</v>
      </c>
      <c r="B101" s="44"/>
      <c r="C101" s="44"/>
      <c r="D101" s="27"/>
      <c r="E101" s="44"/>
      <c r="F101" s="44"/>
      <c r="G101" s="166"/>
      <c r="H101" s="237"/>
      <c r="I101" s="237"/>
      <c r="J101" s="23"/>
    </row>
    <row r="102" spans="1:10" ht="15.75" customHeight="1" x14ac:dyDescent="0.2">
      <c r="A102" s="298" t="s">
        <v>12</v>
      </c>
      <c r="B102" s="235"/>
      <c r="C102" s="235"/>
      <c r="D102" s="27"/>
      <c r="E102" s="44"/>
      <c r="F102" s="44"/>
      <c r="G102" s="166"/>
      <c r="H102" s="237"/>
      <c r="I102" s="237"/>
      <c r="J102" s="23"/>
    </row>
    <row r="103" spans="1:10" ht="15.75" customHeight="1" x14ac:dyDescent="0.2">
      <c r="A103" s="298" t="s">
        <v>13</v>
      </c>
      <c r="B103" s="235"/>
      <c r="C103" s="235"/>
      <c r="D103" s="27"/>
      <c r="E103" s="44"/>
      <c r="F103" s="44"/>
      <c r="G103" s="166"/>
      <c r="H103" s="237"/>
      <c r="I103" s="237"/>
      <c r="J103" s="23"/>
    </row>
    <row r="104" spans="1:10" ht="15.75" customHeight="1" x14ac:dyDescent="0.2">
      <c r="A104" s="298" t="s">
        <v>460</v>
      </c>
      <c r="B104" s="44">
        <f>'Fremtind Livsforsikring'!B104+'Danica Pensjonsforsikring'!B104+'DNB Livsforsikring'!B104+'Eika Forsikring AS'!B104+'Frende Livsforsikring'!B104+'Frende Skadeforsikring'!B104+'Gjensidige Forsikring'!B104+'Gjensidige Pensjon'!B104+'Handelsbanken Liv'!B104+'If Skadeforsikring NUF'!B104+KLP!B104+'DNB Bedriftspensjon'!B104+'KLP Skadeforsikring AS'!B104+'Landkreditt Forsikring'!B104+Insr!B104+'Nordea Liv'!B104+'Oslo Pensjonsforsikring'!B104+'Protector Forsikring'!B104+'SHB Liv'!B104+'Sparebank 1'!B104+'Storebrand Livsforsikring'!B104+'Telenor Forsikring'!B104+'Tryg Forsikring'!B104+'WaterCircle F'!B104</f>
        <v>2983522.73985</v>
      </c>
      <c r="C104" s="44">
        <f>'Fremtind Livsforsikring'!C104+'Danica Pensjonsforsikring'!C104+'DNB Livsforsikring'!C104+'Eika Forsikring AS'!C104+'Frende Livsforsikring'!C104+'Frende Skadeforsikring'!C104+'Gjensidige Forsikring'!C104+'Gjensidige Pensjon'!C104+'Handelsbanken Liv'!C104+'If Skadeforsikring NUF'!C104+KLP!C104+'DNB Bedriftspensjon'!C104+'KLP Skadeforsikring AS'!C104+'Landkreditt Forsikring'!C104+Insr!C104+'Nordea Liv'!C104+'Oslo Pensjonsforsikring'!C104+'Protector Forsikring'!C104+'SHB Liv'!C104+'Sparebank 1'!C104+'Storebrand Livsforsikring'!C104+'Telenor Forsikring'!C104+'Tryg Forsikring'!C104+'WaterCircle F'!C104</f>
        <v>3052182.9967</v>
      </c>
      <c r="D104" s="27">
        <f t="shared" ref="D104" si="43">IF($A$1=4,IF(B104=0, "    ---- ", IF(ABS(ROUND(100/B104*C104-100,1))&lt;999,ROUND(100/B104*C104-100,1),IF(ROUND(100/B104*C104-100,1)&gt;999,999,-999))),"")</f>
        <v>2.2999999999999998</v>
      </c>
      <c r="E104" s="44">
        <f>'Fremtind Livsforsikring'!F104+'Danica Pensjonsforsikring'!F104+'DNB Livsforsikring'!F104+'Eika Forsikring AS'!F104+'Frende Livsforsikring'!F104+'Frende Skadeforsikring'!F104+'Gjensidige Forsikring'!F104+'Gjensidige Pensjon'!F104+'Handelsbanken Liv'!F104+'If Skadeforsikring NUF'!F104+KLP!F104+'DNB Bedriftspensjon'!F104+'KLP Skadeforsikring AS'!F104+'Landkreditt Forsikring'!F104+Insr!F104+'Nordea Liv'!F104+'Oslo Pensjonsforsikring'!F104+'Protector Forsikring'!F104+'SHB Liv'!F104+'Sparebank 1'!F104+'Storebrand Livsforsikring'!F104+'Telenor Forsikring'!F104+'Tryg Forsikring'!F104+'WaterCircle F'!F104</f>
        <v>312130230.06105</v>
      </c>
      <c r="F104" s="44">
        <f>'Fremtind Livsforsikring'!G104+'Danica Pensjonsforsikring'!G104+'DNB Livsforsikring'!G104+'Eika Forsikring AS'!G104+'Frende Livsforsikring'!G104+'Frende Skadeforsikring'!G104+'Gjensidige Forsikring'!G104+'Gjensidige Pensjon'!G104+'Handelsbanken Liv'!G104+'If Skadeforsikring NUF'!G104+KLP!G104+'DNB Bedriftspensjon'!G104+'KLP Skadeforsikring AS'!G104+'Landkreditt Forsikring'!G104+Insr!G104+'Nordea Liv'!G104+'Oslo Pensjonsforsikring'!G104+'Protector Forsikring'!G104+'SHB Liv'!G104+'Sparebank 1'!G104+'Storebrand Livsforsikring'!G104+'Telenor Forsikring'!G104+'Tryg Forsikring'!G104+'WaterCircle F'!G104</f>
        <v>368642033.39560002</v>
      </c>
      <c r="G104" s="166">
        <f t="shared" ref="G104:G109" si="44">IF(E104=0, "    ---- ", IF(ABS(ROUND(100/E104*F104-100,1))&lt;999,ROUND(100/E104*F104-100,1),IF(ROUND(100/E104*F104-100,1)&gt;999,999,-999)))</f>
        <v>18.100000000000001</v>
      </c>
      <c r="H104" s="237">
        <f t="shared" si="35"/>
        <v>315113752.80089998</v>
      </c>
      <c r="I104" s="237">
        <f t="shared" si="36"/>
        <v>371694216.39230001</v>
      </c>
      <c r="J104" s="23">
        <f t="shared" si="29"/>
        <v>18</v>
      </c>
    </row>
    <row r="105" spans="1:10" ht="15.75" customHeight="1" x14ac:dyDescent="0.2">
      <c r="A105" s="298" t="s">
        <v>12</v>
      </c>
      <c r="B105" s="235"/>
      <c r="C105" s="235"/>
      <c r="D105" s="27"/>
      <c r="E105" s="44">
        <f>'Fremtind Livsforsikring'!F105+'Danica Pensjonsforsikring'!F105+'DNB Livsforsikring'!F105+'Eika Forsikring AS'!F105+'Frende Livsforsikring'!F105+'Frende Skadeforsikring'!F105+'Gjensidige Forsikring'!F105+'Gjensidige Pensjon'!F105+'Handelsbanken Liv'!F105+'If Skadeforsikring NUF'!F105+KLP!F105+'DNB Bedriftspensjon'!F105+'KLP Skadeforsikring AS'!F105+'Landkreditt Forsikring'!F105+Insr!F105+'Nordea Liv'!F105+'Oslo Pensjonsforsikring'!F105+'Protector Forsikring'!F105+'SHB Liv'!F105+'Sparebank 1'!F105+'Storebrand Livsforsikring'!F105+'Telenor Forsikring'!F105+'Tryg Forsikring'!F105+'WaterCircle F'!F105</f>
        <v>108023.828355498</v>
      </c>
      <c r="F105" s="44">
        <f>'Fremtind Livsforsikring'!G105+'Danica Pensjonsforsikring'!G105+'DNB Livsforsikring'!G105+'Eika Forsikring AS'!G105+'Frende Livsforsikring'!G105+'Frende Skadeforsikring'!G105+'Gjensidige Forsikring'!G105+'Gjensidige Pensjon'!G105+'Handelsbanken Liv'!G105+'If Skadeforsikring NUF'!G105+KLP!G105+'DNB Bedriftspensjon'!G105+'KLP Skadeforsikring AS'!G105+'Landkreditt Forsikring'!G105+Insr!G105+'Nordea Liv'!G105+'Oslo Pensjonsforsikring'!G105+'Protector Forsikring'!G105+'SHB Liv'!G105+'Sparebank 1'!G105+'Storebrand Livsforsikring'!G105+'Telenor Forsikring'!G105+'Tryg Forsikring'!G105+'WaterCircle F'!G105</f>
        <v>11517</v>
      </c>
      <c r="G105" s="166">
        <f t="shared" si="44"/>
        <v>-89.3</v>
      </c>
      <c r="H105" s="237">
        <f t="shared" si="35"/>
        <v>108023.828355498</v>
      </c>
      <c r="I105" s="237">
        <f t="shared" si="36"/>
        <v>11517</v>
      </c>
      <c r="J105" s="23">
        <f t="shared" si="29"/>
        <v>-89.3</v>
      </c>
    </row>
    <row r="106" spans="1:10" ht="15.75" customHeight="1" x14ac:dyDescent="0.2">
      <c r="A106" s="298" t="s">
        <v>13</v>
      </c>
      <c r="B106" s="235"/>
      <c r="C106" s="235"/>
      <c r="D106" s="27"/>
      <c r="E106" s="44">
        <f>'Fremtind Livsforsikring'!F106+'Danica Pensjonsforsikring'!F106+'DNB Livsforsikring'!F106+'Eika Forsikring AS'!F106+'Frende Livsforsikring'!F106+'Frende Skadeforsikring'!F106+'Gjensidige Forsikring'!F106+'Gjensidige Pensjon'!F106+'Handelsbanken Liv'!F106+'If Skadeforsikring NUF'!F106+KLP!F106+'DNB Bedriftspensjon'!F106+'KLP Skadeforsikring AS'!F106+'Landkreditt Forsikring'!F106+Insr!F106+'Nordea Liv'!F106+'Oslo Pensjonsforsikring'!F106+'Protector Forsikring'!F106+'SHB Liv'!F106+'Sparebank 1'!F106+'Storebrand Livsforsikring'!F106+'Telenor Forsikring'!F106+'Tryg Forsikring'!F106+'WaterCircle F'!F106</f>
        <v>312022206.23269451</v>
      </c>
      <c r="F106" s="44">
        <f>'Fremtind Livsforsikring'!G106+'Danica Pensjonsforsikring'!G106+'DNB Livsforsikring'!G106+'Eika Forsikring AS'!G106+'Frende Livsforsikring'!G106+'Frende Skadeforsikring'!G106+'Gjensidige Forsikring'!G106+'Gjensidige Pensjon'!G106+'Handelsbanken Liv'!G106+'If Skadeforsikring NUF'!G106+KLP!G106+'DNB Bedriftspensjon'!G106+'KLP Skadeforsikring AS'!G106+'Landkreditt Forsikring'!G106+Insr!G106+'Nordea Liv'!G106+'Oslo Pensjonsforsikring'!G106+'Protector Forsikring'!G106+'SHB Liv'!G106+'Sparebank 1'!G106+'Storebrand Livsforsikring'!G106+'Telenor Forsikring'!G106+'Tryg Forsikring'!G106+'WaterCircle F'!G106</f>
        <v>368630516.39560002</v>
      </c>
      <c r="G106" s="166">
        <f t="shared" si="44"/>
        <v>18.100000000000001</v>
      </c>
      <c r="H106" s="237">
        <f t="shared" si="35"/>
        <v>312022206.23269451</v>
      </c>
      <c r="I106" s="237">
        <f t="shared" si="36"/>
        <v>368630516.39560002</v>
      </c>
      <c r="J106" s="23">
        <f t="shared" si="29"/>
        <v>18.100000000000001</v>
      </c>
    </row>
    <row r="107" spans="1:10" ht="15.75" customHeight="1" x14ac:dyDescent="0.2">
      <c r="A107" s="21" t="s">
        <v>462</v>
      </c>
      <c r="B107" s="234">
        <f>'Fremtind Livsforsikring'!B107+'Danica Pensjonsforsikring'!B107+'DNB Livsforsikring'!B107+'Eika Forsikring AS'!B107+'Frende Livsforsikring'!B107+'Frende Skadeforsikring'!B107+'Gjensidige Forsikring'!B107+'Gjensidige Pensjon'!B107+'Handelsbanken Liv'!B107+'If Skadeforsikring NUF'!B107+KLP!B107+'DNB Bedriftspensjon'!B107+'KLP Skadeforsikring AS'!B107+'Landkreditt Forsikring'!B107+Insr!B107+'Nordea Liv'!B107+'Oslo Pensjonsforsikring'!B107+'Protector Forsikring'!B107+'SHB Liv'!B107+'Sparebank 1'!B107+'Storebrand Livsforsikring'!B107+'Telenor Forsikring'!B107+'Tryg Forsikring'!B107+'WaterCircle F'!B107</f>
        <v>4595112.9029999999</v>
      </c>
      <c r="C107" s="234">
        <f>'Fremtind Livsforsikring'!C107+'Danica Pensjonsforsikring'!C107+'DNB Livsforsikring'!C107+'Eika Forsikring AS'!C107+'Frende Livsforsikring'!C107+'Frende Skadeforsikring'!C107+'Gjensidige Forsikring'!C107+'Gjensidige Pensjon'!C107+'Handelsbanken Liv'!C107+'If Skadeforsikring NUF'!C107+KLP!C107+'DNB Bedriftspensjon'!C107+'KLP Skadeforsikring AS'!C107+'Landkreditt Forsikring'!C107+Insr!C107+'Nordea Liv'!C107+'Oslo Pensjonsforsikring'!C107+'Protector Forsikring'!C107+'SHB Liv'!C107+'Sparebank 1'!C107+'Storebrand Livsforsikring'!C107+'Telenor Forsikring'!C107+'Tryg Forsikring'!C107+'WaterCircle F'!C107</f>
        <v>4446209.4230000004</v>
      </c>
      <c r="D107" s="23">
        <f t="shared" si="25"/>
        <v>-3.2</v>
      </c>
      <c r="E107" s="44">
        <f>'Fremtind Livsforsikring'!F107+'Danica Pensjonsforsikring'!F107+'DNB Livsforsikring'!F107+'Eika Forsikring AS'!F107+'Frende Livsforsikring'!F107+'Frende Skadeforsikring'!F107+'Gjensidige Forsikring'!F107+'Gjensidige Pensjon'!F107+'Handelsbanken Liv'!F107+'If Skadeforsikring NUF'!F107+KLP!F107+'DNB Bedriftspensjon'!F107+'KLP Skadeforsikring AS'!F107+'Landkreditt Forsikring'!F107+Insr!F107+'Nordea Liv'!F107+'Oslo Pensjonsforsikring'!F107+'Protector Forsikring'!F107+'SHB Liv'!F107+'Sparebank 1'!F107+'Storebrand Livsforsikring'!F107+'Telenor Forsikring'!F107+'Tryg Forsikring'!F107+'WaterCircle F'!F107</f>
        <v>881450.8269499999</v>
      </c>
      <c r="F107" s="44">
        <f>'Fremtind Livsforsikring'!G107+'Danica Pensjonsforsikring'!G107+'DNB Livsforsikring'!G107+'Eika Forsikring AS'!G107+'Frende Livsforsikring'!G107+'Frende Skadeforsikring'!G107+'Gjensidige Forsikring'!G107+'Gjensidige Pensjon'!G107+'Handelsbanken Liv'!G107+'If Skadeforsikring NUF'!G107+KLP!G107+'DNB Bedriftspensjon'!G107+'KLP Skadeforsikring AS'!G107+'Landkreditt Forsikring'!G107+Insr!G107+'Nordea Liv'!G107+'Oslo Pensjonsforsikring'!G107+'Protector Forsikring'!G107+'SHB Liv'!G107+'Sparebank 1'!G107+'Storebrand Livsforsikring'!G107+'Telenor Forsikring'!G107+'Tryg Forsikring'!G107+'WaterCircle F'!G107</f>
        <v>1029451.05366</v>
      </c>
      <c r="G107" s="166">
        <f t="shared" si="44"/>
        <v>16.8</v>
      </c>
      <c r="H107" s="237">
        <f t="shared" si="35"/>
        <v>5476563.7299499996</v>
      </c>
      <c r="I107" s="237">
        <f t="shared" si="36"/>
        <v>5475660.4766600002</v>
      </c>
      <c r="J107" s="23">
        <f t="shared" si="29"/>
        <v>0</v>
      </c>
    </row>
    <row r="108" spans="1:10" ht="15.75" customHeight="1" x14ac:dyDescent="0.2">
      <c r="A108" s="21" t="s">
        <v>463</v>
      </c>
      <c r="B108" s="234">
        <f>'Fremtind Livsforsikring'!B108+'Danica Pensjonsforsikring'!B108+'DNB Livsforsikring'!B108+'Eika Forsikring AS'!B108+'Frende Livsforsikring'!B108+'Frende Skadeforsikring'!B108+'Gjensidige Forsikring'!B108+'Gjensidige Pensjon'!B108+'Handelsbanken Liv'!B108+'If Skadeforsikring NUF'!B108+KLP!B108+'DNB Bedriftspensjon'!B108+'KLP Skadeforsikring AS'!B108+'Landkreditt Forsikring'!B108+Insr!B108+'Nordea Liv'!B108+'Oslo Pensjonsforsikring'!B108+'Protector Forsikring'!B108+'SHB Liv'!B108+'Sparebank 1'!B108+'Storebrand Livsforsikring'!B108+'Telenor Forsikring'!B108+'Tryg Forsikring'!B108+'WaterCircle F'!B108</f>
        <v>317653628.50031203</v>
      </c>
      <c r="C108" s="234">
        <f>'Fremtind Livsforsikring'!C108+'Danica Pensjonsforsikring'!C108+'DNB Livsforsikring'!C108+'Eika Forsikring AS'!C108+'Frende Livsforsikring'!C108+'Frende Skadeforsikring'!C108+'Gjensidige Forsikring'!C108+'Gjensidige Pensjon'!C108+'Handelsbanken Liv'!C108+'If Skadeforsikring NUF'!C108+KLP!C108+'DNB Bedriftspensjon'!C108+'KLP Skadeforsikring AS'!C108+'Landkreditt Forsikring'!C108+Insr!C108+'Nordea Liv'!C108+'Oslo Pensjonsforsikring'!C108+'Protector Forsikring'!C108+'SHB Liv'!C108+'Sparebank 1'!C108+'Storebrand Livsforsikring'!C108+'Telenor Forsikring'!C108+'Tryg Forsikring'!C108+'WaterCircle F'!C108</f>
        <v>326729292.09174198</v>
      </c>
      <c r="D108" s="23">
        <f t="shared" si="25"/>
        <v>2.9</v>
      </c>
      <c r="E108" s="44">
        <f>'Fremtind Livsforsikring'!F108+'Danica Pensjonsforsikring'!F108+'DNB Livsforsikring'!F108+'Eika Forsikring AS'!F108+'Frende Livsforsikring'!F108+'Frende Skadeforsikring'!F108+'Gjensidige Forsikring'!F108+'Gjensidige Pensjon'!F108+'Handelsbanken Liv'!F108+'If Skadeforsikring NUF'!F108+KLP!F108+'DNB Bedriftspensjon'!F108+'KLP Skadeforsikring AS'!F108+'Landkreditt Forsikring'!F108+Insr!F108+'Nordea Liv'!F108+'Oslo Pensjonsforsikring'!F108+'Protector Forsikring'!F108+'SHB Liv'!F108+'Sparebank 1'!F108+'Storebrand Livsforsikring'!F108+'Telenor Forsikring'!F108+'Tryg Forsikring'!F108+'WaterCircle F'!F108</f>
        <v>17108952.919</v>
      </c>
      <c r="F108" s="44">
        <f>'Fremtind Livsforsikring'!G108+'Danica Pensjonsforsikring'!G108+'DNB Livsforsikring'!G108+'Eika Forsikring AS'!G108+'Frende Livsforsikring'!G108+'Frende Skadeforsikring'!G108+'Gjensidige Forsikring'!G108+'Gjensidige Pensjon'!G108+'Handelsbanken Liv'!G108+'If Skadeforsikring NUF'!G108+KLP!G108+'DNB Bedriftspensjon'!G108+'KLP Skadeforsikring AS'!G108+'Landkreditt Forsikring'!G108+Insr!G108+'Nordea Liv'!G108+'Oslo Pensjonsforsikring'!G108+'Protector Forsikring'!G108+'SHB Liv'!G108+'Sparebank 1'!G108+'Storebrand Livsforsikring'!G108+'Telenor Forsikring'!G108+'Tryg Forsikring'!G108+'WaterCircle F'!G108</f>
        <v>18656640.268999998</v>
      </c>
      <c r="G108" s="166">
        <f t="shared" si="44"/>
        <v>9</v>
      </c>
      <c r="H108" s="237">
        <f t="shared" si="35"/>
        <v>334762581.419312</v>
      </c>
      <c r="I108" s="237">
        <f t="shared" si="36"/>
        <v>345385932.36074197</v>
      </c>
      <c r="J108" s="23">
        <f t="shared" si="29"/>
        <v>3.2</v>
      </c>
    </row>
    <row r="109" spans="1:10" ht="15.75" customHeight="1" x14ac:dyDescent="0.2">
      <c r="A109" s="21" t="s">
        <v>464</v>
      </c>
      <c r="B109" s="234">
        <f>'Fremtind Livsforsikring'!B109+'Danica Pensjonsforsikring'!B109+'DNB Livsforsikring'!B109+'Eika Forsikring AS'!B109+'Frende Livsforsikring'!B109+'Frende Skadeforsikring'!B109+'Gjensidige Forsikring'!B109+'Gjensidige Pensjon'!B109+'Handelsbanken Liv'!B109+'If Skadeforsikring NUF'!B109+KLP!B109+'DNB Bedriftspensjon'!B109+'KLP Skadeforsikring AS'!B109+'Landkreditt Forsikring'!B109+Insr!B109+'Nordea Liv'!B109+'Oslo Pensjonsforsikring'!B109+'Protector Forsikring'!B109+'SHB Liv'!B109+'Sparebank 1'!B109+'Storebrand Livsforsikring'!B109+'Telenor Forsikring'!B109+'Tryg Forsikring'!B109+'WaterCircle F'!B109</f>
        <v>954147.97942770203</v>
      </c>
      <c r="C109" s="234">
        <f>'Fremtind Livsforsikring'!C109+'Danica Pensjonsforsikring'!C109+'DNB Livsforsikring'!C109+'Eika Forsikring AS'!C109+'Frende Livsforsikring'!C109+'Frende Skadeforsikring'!C109+'Gjensidige Forsikring'!C109+'Gjensidige Pensjon'!C109+'Handelsbanken Liv'!C109+'If Skadeforsikring NUF'!C109+KLP!C109+'DNB Bedriftspensjon'!C109+'KLP Skadeforsikring AS'!C109+'Landkreditt Forsikring'!C109+Insr!C109+'Nordea Liv'!C109+'Oslo Pensjonsforsikring'!C109+'Protector Forsikring'!C109+'SHB Liv'!C109+'Sparebank 1'!C109+'Storebrand Livsforsikring'!C109+'Telenor Forsikring'!C109+'Tryg Forsikring'!C109+'WaterCircle F'!C109</f>
        <v>1082817.6289900001</v>
      </c>
      <c r="D109" s="23">
        <f t="shared" si="25"/>
        <v>13.5</v>
      </c>
      <c r="E109" s="44">
        <f>'Fremtind Livsforsikring'!F109+'Danica Pensjonsforsikring'!F109+'DNB Livsforsikring'!F109+'Eika Forsikring AS'!F109+'Frende Livsforsikring'!F109+'Frende Skadeforsikring'!F109+'Gjensidige Forsikring'!F109+'Gjensidige Pensjon'!F109+'Handelsbanken Liv'!F109+'If Skadeforsikring NUF'!F109+KLP!F109+'DNB Bedriftspensjon'!F109+'KLP Skadeforsikring AS'!F109+'Landkreditt Forsikring'!F109+Insr!F109+'Nordea Liv'!F109+'Oslo Pensjonsforsikring'!F109+'Protector Forsikring'!F109+'SHB Liv'!F109+'Sparebank 1'!F109+'Storebrand Livsforsikring'!F109+'Telenor Forsikring'!F109+'Tryg Forsikring'!F109+'WaterCircle F'!F109</f>
        <v>107434893.4410159</v>
      </c>
      <c r="F109" s="44">
        <f>'Fremtind Livsforsikring'!G109+'Danica Pensjonsforsikring'!G109+'DNB Livsforsikring'!G109+'Eika Forsikring AS'!G109+'Frende Livsforsikring'!G109+'Frende Skadeforsikring'!G109+'Gjensidige Forsikring'!G109+'Gjensidige Pensjon'!G109+'Handelsbanken Liv'!G109+'If Skadeforsikring NUF'!G109+KLP!G109+'DNB Bedriftspensjon'!G109+'KLP Skadeforsikring AS'!G109+'Landkreditt Forsikring'!G109+Insr!G109+'Nordea Liv'!G109+'Oslo Pensjonsforsikring'!G109+'Protector Forsikring'!G109+'SHB Liv'!G109+'Sparebank 1'!G109+'Storebrand Livsforsikring'!G109+'Telenor Forsikring'!G109+'Tryg Forsikring'!G109+'WaterCircle F'!G109</f>
        <v>130043288.53388003</v>
      </c>
      <c r="G109" s="166">
        <f t="shared" si="44"/>
        <v>21</v>
      </c>
      <c r="H109" s="237">
        <f t="shared" si="35"/>
        <v>108389041.42044359</v>
      </c>
      <c r="I109" s="237">
        <f t="shared" si="36"/>
        <v>131126106.16287002</v>
      </c>
      <c r="J109" s="23">
        <f t="shared" si="29"/>
        <v>21</v>
      </c>
    </row>
    <row r="110" spans="1:10" ht="15.75" customHeight="1" x14ac:dyDescent="0.2">
      <c r="A110" s="21" t="s">
        <v>465</v>
      </c>
      <c r="B110" s="234">
        <f>'Fremtind Livsforsikring'!B110+'Danica Pensjonsforsikring'!B110+'DNB Livsforsikring'!B110+'Eika Forsikring AS'!B110+'Frende Livsforsikring'!B110+'Frende Skadeforsikring'!B110+'Gjensidige Forsikring'!B110+'Gjensidige Pensjon'!B110+'Handelsbanken Liv'!B110+'If Skadeforsikring NUF'!B110+KLP!B110+'DNB Bedriftspensjon'!B110+'KLP Skadeforsikring AS'!B110+'Landkreditt Forsikring'!B110+Insr!B110+'Nordea Liv'!B110+'Oslo Pensjonsforsikring'!B110+'Protector Forsikring'!B110+'SHB Liv'!B110+'Sparebank 1'!B110+'Storebrand Livsforsikring'!B110+'Telenor Forsikring'!B110+'Tryg Forsikring'!B110+'WaterCircle F'!B110</f>
        <v>299042.01279000001</v>
      </c>
      <c r="C110" s="234">
        <f>'Fremtind Livsforsikring'!C110+'Danica Pensjonsforsikring'!C110+'DNB Livsforsikring'!C110+'Eika Forsikring AS'!C110+'Frende Livsforsikring'!C110+'Frende Skadeforsikring'!C110+'Gjensidige Forsikring'!C110+'Gjensidige Pensjon'!C110+'Handelsbanken Liv'!C110+'If Skadeforsikring NUF'!C110+KLP!C110+'DNB Bedriftspensjon'!C110+'KLP Skadeforsikring AS'!C110+'Landkreditt Forsikring'!C110+Insr!C110+'Nordea Liv'!C110+'Oslo Pensjonsforsikring'!C110+'Protector Forsikring'!C110+'SHB Liv'!C110+'Sparebank 1'!C110+'Storebrand Livsforsikring'!C110+'Telenor Forsikring'!C110+'Tryg Forsikring'!C110+'WaterCircle F'!C110</f>
        <v>473031.61564999999</v>
      </c>
      <c r="D110" s="23">
        <f t="shared" si="25"/>
        <v>58.2</v>
      </c>
      <c r="E110" s="44"/>
      <c r="F110" s="44"/>
      <c r="G110" s="166"/>
      <c r="H110" s="237">
        <f t="shared" si="35"/>
        <v>299042.01279000001</v>
      </c>
      <c r="I110" s="237">
        <f t="shared" si="36"/>
        <v>473031.61564999999</v>
      </c>
      <c r="J110" s="23">
        <f t="shared" si="29"/>
        <v>58.2</v>
      </c>
    </row>
    <row r="111" spans="1:10" s="43" customFormat="1" ht="15.75" customHeight="1" x14ac:dyDescent="0.2">
      <c r="A111" s="13" t="s">
        <v>445</v>
      </c>
      <c r="B111" s="310">
        <f>'Fremtind Livsforsikring'!B111+'Danica Pensjonsforsikring'!B111+'DNB Livsforsikring'!B111+'Eika Forsikring AS'!B111+'Frende Livsforsikring'!B111+'Frende Skadeforsikring'!B111+'Gjensidige Forsikring'!B111+'Gjensidige Pensjon'!B111+'Handelsbanken Liv'!B111+'If Skadeforsikring NUF'!B111+KLP!B111+'DNB Bedriftspensjon'!B111+'KLP Skadeforsikring AS'!B111+'Landkreditt Forsikring'!B111+Insr!B111+'Nordea Liv'!B111+'Oslo Pensjonsforsikring'!B111+'Protector Forsikring'!B111+'SHB Liv'!B111+'Sparebank 1'!B111+'Storebrand Livsforsikring'!B111+'Telenor Forsikring'!B111+'Tryg Forsikring'!B111+'WaterCircle F'!B111</f>
        <v>476617.47998</v>
      </c>
      <c r="C111" s="310">
        <f>'Fremtind Livsforsikring'!C111+'Danica Pensjonsforsikring'!C111+'DNB Livsforsikring'!C111+'Eika Forsikring AS'!C111+'Frende Livsforsikring'!C111+'Frende Skadeforsikring'!C111+'Gjensidige Forsikring'!C111+'Gjensidige Pensjon'!C111+'Handelsbanken Liv'!C111+'If Skadeforsikring NUF'!C111+KLP!C111+'DNB Bedriftspensjon'!C111+'KLP Skadeforsikring AS'!C111+'Landkreditt Forsikring'!C111+Insr!C111+'Nordea Liv'!C111+'Oslo Pensjonsforsikring'!C111+'Protector Forsikring'!C111+'SHB Liv'!C111+'Sparebank 1'!C111+'Storebrand Livsforsikring'!C111+'Telenor Forsikring'!C111+'Tryg Forsikring'!C111+'WaterCircle F'!C111</f>
        <v>921726.4257100001</v>
      </c>
      <c r="D111" s="24">
        <f t="shared" si="25"/>
        <v>93.4</v>
      </c>
      <c r="E111" s="236">
        <f>'Fremtind Livsforsikring'!F111+'Danica Pensjonsforsikring'!F111+'DNB Livsforsikring'!F111+'Eika Forsikring AS'!F111+'Frende Livsforsikring'!F111+'Frende Skadeforsikring'!F111+'Gjensidige Forsikring'!F111+'Gjensidige Pensjon'!F111+'Handelsbanken Liv'!F111+'If Skadeforsikring NUF'!F111+KLP!F111+'DNB Bedriftspensjon'!F111+'KLP Skadeforsikring AS'!F111+'Landkreditt Forsikring'!F111+Insr!F111+'Nordea Liv'!F111+'Oslo Pensjonsforsikring'!F111+'Protector Forsikring'!F111+'SHB Liv'!F111+'Sparebank 1'!F111+'Storebrand Livsforsikring'!F111+'Telenor Forsikring'!F111+'Tryg Forsikring'!F111+'WaterCircle F'!F111</f>
        <v>13236727.65402</v>
      </c>
      <c r="F111" s="236">
        <f>'Fremtind Livsforsikring'!G111+'Danica Pensjonsforsikring'!G111+'DNB Livsforsikring'!G111+'Eika Forsikring AS'!G111+'Frende Livsforsikring'!G111+'Frende Skadeforsikring'!G111+'Gjensidige Forsikring'!G111+'Gjensidige Pensjon'!G111+'Handelsbanken Liv'!G111+'If Skadeforsikring NUF'!G111+KLP!G111+'DNB Bedriftspensjon'!G111+'KLP Skadeforsikring AS'!G111+'Landkreditt Forsikring'!G111+Insr!G111+'Nordea Liv'!G111+'Oslo Pensjonsforsikring'!G111+'Protector Forsikring'!G111+'SHB Liv'!G111+'Sparebank 1'!G111+'Storebrand Livsforsikring'!G111+'Telenor Forsikring'!G111+'Tryg Forsikring'!G111+'WaterCircle F'!G111</f>
        <v>22207414.858020004</v>
      </c>
      <c r="G111" s="171">
        <f t="shared" ref="G111:G114" si="45">IF(E111=0, "    ---- ", IF(ABS(ROUND(100/E111*F111-100,1))&lt;999,ROUND(100/E111*F111-100,1),IF(ROUND(100/E111*F111-100,1)&gt;999,999,-999)))</f>
        <v>67.8</v>
      </c>
      <c r="H111" s="331">
        <f t="shared" si="35"/>
        <v>13713345.134</v>
      </c>
      <c r="I111" s="331">
        <f t="shared" si="36"/>
        <v>23129141.283730004</v>
      </c>
      <c r="J111" s="24">
        <f t="shared" si="29"/>
        <v>68.7</v>
      </c>
    </row>
    <row r="112" spans="1:10" ht="15.75" customHeight="1" x14ac:dyDescent="0.2">
      <c r="A112" s="21" t="s">
        <v>9</v>
      </c>
      <c r="B112" s="234">
        <f>'Fremtind Livsforsikring'!B112+'Danica Pensjonsforsikring'!B112+'DNB Livsforsikring'!B112+'Eika Forsikring AS'!B112+'Frende Livsforsikring'!B112+'Frende Skadeforsikring'!B112+'Gjensidige Forsikring'!B112+'Gjensidige Pensjon'!B112+'Handelsbanken Liv'!B112+'If Skadeforsikring NUF'!B112+KLP!B112+'DNB Bedriftspensjon'!B112+'KLP Skadeforsikring AS'!B112+'Landkreditt Forsikring'!B112+Insr!B112+'Nordea Liv'!B112+'Oslo Pensjonsforsikring'!B112+'Protector Forsikring'!B112+'SHB Liv'!B112+'Sparebank 1'!B112+'Storebrand Livsforsikring'!B112+'Telenor Forsikring'!B112+'Tryg Forsikring'!B112+'WaterCircle F'!B112</f>
        <v>361428.31690999999</v>
      </c>
      <c r="C112" s="234">
        <f>'Fremtind Livsforsikring'!C112+'Danica Pensjonsforsikring'!C112+'DNB Livsforsikring'!C112+'Eika Forsikring AS'!C112+'Frende Livsforsikring'!C112+'Frende Skadeforsikring'!C112+'Gjensidige Forsikring'!C112+'Gjensidige Pensjon'!C112+'Handelsbanken Liv'!C112+'If Skadeforsikring NUF'!C112+KLP!C112+'DNB Bedriftspensjon'!C112+'KLP Skadeforsikring AS'!C112+'Landkreditt Forsikring'!C112+Insr!C112+'Nordea Liv'!C112+'Oslo Pensjonsforsikring'!C112+'Protector Forsikring'!C112+'SHB Liv'!C112+'Sparebank 1'!C112+'Storebrand Livsforsikring'!C112+'Telenor Forsikring'!C112+'Tryg Forsikring'!C112+'WaterCircle F'!C112</f>
        <v>480017.58941000002</v>
      </c>
      <c r="D112" s="23">
        <f t="shared" ref="D112:D125" si="46">IF(B112=0, "    ---- ", IF(ABS(ROUND(100/B112*C112-100,1))&lt;999,ROUND(100/B112*C112-100,1),IF(ROUND(100/B112*C112-100,1)&gt;999,999,-999)))</f>
        <v>32.799999999999997</v>
      </c>
      <c r="E112" s="44">
        <f>'Fremtind Livsforsikring'!F112+'Danica Pensjonsforsikring'!F112+'DNB Livsforsikring'!F112+'Eika Forsikring AS'!F112+'Frende Livsforsikring'!F112+'Frende Skadeforsikring'!F112+'Gjensidige Forsikring'!F112+'Gjensidige Pensjon'!F112+'Handelsbanken Liv'!F112+'If Skadeforsikring NUF'!F112+KLP!F112+'DNB Bedriftspensjon'!F112+'KLP Skadeforsikring AS'!F112+'Landkreditt Forsikring'!F112+Insr!F112+'Nordea Liv'!F112+'Oslo Pensjonsforsikring'!F112+'Protector Forsikring'!F112+'SHB Liv'!F112+'Sparebank 1'!F112+'Storebrand Livsforsikring'!F112+'Telenor Forsikring'!F112+'Tryg Forsikring'!F112+'WaterCircle F'!F112</f>
        <v>5989.8890000000001</v>
      </c>
      <c r="F112" s="44">
        <f>'Fremtind Livsforsikring'!G112+'Danica Pensjonsforsikring'!G112+'DNB Livsforsikring'!G112+'Eika Forsikring AS'!G112+'Frende Livsforsikring'!G112+'Frende Skadeforsikring'!G112+'Gjensidige Forsikring'!G112+'Gjensidige Pensjon'!G112+'Handelsbanken Liv'!G112+'If Skadeforsikring NUF'!G112+KLP!G112+'DNB Bedriftspensjon'!G112+'KLP Skadeforsikring AS'!G112+'Landkreditt Forsikring'!G112+Insr!G112+'Nordea Liv'!G112+'Oslo Pensjonsforsikring'!G112+'Protector Forsikring'!G112+'SHB Liv'!G112+'Sparebank 1'!G112+'Storebrand Livsforsikring'!G112+'Telenor Forsikring'!G112+'Tryg Forsikring'!G112+'WaterCircle F'!G112</f>
        <v>19099.904999999999</v>
      </c>
      <c r="G112" s="166">
        <f t="shared" si="45"/>
        <v>218.9</v>
      </c>
      <c r="H112" s="237">
        <f t="shared" ref="H112:H125" si="47">SUM(B112,E112)</f>
        <v>367418.20591000002</v>
      </c>
      <c r="I112" s="237">
        <f t="shared" ref="I112:I125" si="48">SUM(C112,F112)</f>
        <v>499117.49441000004</v>
      </c>
      <c r="J112" s="23">
        <f t="shared" ref="J112:J125" si="49">IF(H112=0, "    ---- ", IF(ABS(ROUND(100/H112*I112-100,1))&lt;999,ROUND(100/H112*I112-100,1),IF(ROUND(100/H112*I112-100,1)&gt;999,999,-999)))</f>
        <v>35.799999999999997</v>
      </c>
    </row>
    <row r="113" spans="1:10" ht="15.75" customHeight="1" x14ac:dyDescent="0.2">
      <c r="A113" s="21" t="s">
        <v>10</v>
      </c>
      <c r="B113" s="234">
        <f>'Fremtind Livsforsikring'!B113+'Danica Pensjonsforsikring'!B113+'DNB Livsforsikring'!B113+'Eika Forsikring AS'!B113+'Frende Livsforsikring'!B113+'Frende Skadeforsikring'!B113+'Gjensidige Forsikring'!B113+'Gjensidige Pensjon'!B113+'Handelsbanken Liv'!B113+'If Skadeforsikring NUF'!B113+KLP!B113+'DNB Bedriftspensjon'!B113+'KLP Skadeforsikring AS'!B113+'Landkreditt Forsikring'!B113+Insr!B113+'Nordea Liv'!B113+'Oslo Pensjonsforsikring'!B113+'Protector Forsikring'!B113+'SHB Liv'!B113+'Sparebank 1'!B113+'Storebrand Livsforsikring'!B113+'Telenor Forsikring'!B113+'Tryg Forsikring'!B113+'WaterCircle F'!B113</f>
        <v>1762.58835</v>
      </c>
      <c r="C113" s="234">
        <f>'Fremtind Livsforsikring'!C113+'Danica Pensjonsforsikring'!C113+'DNB Livsforsikring'!C113+'Eika Forsikring AS'!C113+'Frende Livsforsikring'!C113+'Frende Skadeforsikring'!C113+'Gjensidige Forsikring'!C113+'Gjensidige Pensjon'!C113+'Handelsbanken Liv'!C113+'If Skadeforsikring NUF'!C113+KLP!C113+'DNB Bedriftspensjon'!C113+'KLP Skadeforsikring AS'!C113+'Landkreditt Forsikring'!C113+Insr!C113+'Nordea Liv'!C113+'Oslo Pensjonsforsikring'!C113+'Protector Forsikring'!C113+'SHB Liv'!C113+'Sparebank 1'!C113+'Storebrand Livsforsikring'!C113+'Telenor Forsikring'!C113+'Tryg Forsikring'!C113+'WaterCircle F'!C113</f>
        <v>5095.6072700000004</v>
      </c>
      <c r="D113" s="23">
        <f t="shared" si="46"/>
        <v>189.1</v>
      </c>
      <c r="E113" s="44">
        <f>'Fremtind Livsforsikring'!F113+'Danica Pensjonsforsikring'!F113+'DNB Livsforsikring'!F113+'Eika Forsikring AS'!F113+'Frende Livsforsikring'!F113+'Frende Skadeforsikring'!F113+'Gjensidige Forsikring'!F113+'Gjensidige Pensjon'!F113+'Handelsbanken Liv'!F113+'If Skadeforsikring NUF'!F113+KLP!F113+'DNB Bedriftspensjon'!F113+'KLP Skadeforsikring AS'!F113+'Landkreditt Forsikring'!F113+Insr!F113+'Nordea Liv'!F113+'Oslo Pensjonsforsikring'!F113+'Protector Forsikring'!F113+'SHB Liv'!F113+'Sparebank 1'!F113+'Storebrand Livsforsikring'!F113+'Telenor Forsikring'!F113+'Tryg Forsikring'!F113+'WaterCircle F'!F113</f>
        <v>13199260.645659998</v>
      </c>
      <c r="F113" s="44">
        <f>'Fremtind Livsforsikring'!G113+'Danica Pensjonsforsikring'!G113+'DNB Livsforsikring'!G113+'Eika Forsikring AS'!G113+'Frende Livsforsikring'!G113+'Frende Skadeforsikring'!G113+'Gjensidige Forsikring'!G113+'Gjensidige Pensjon'!G113+'Handelsbanken Liv'!G113+'If Skadeforsikring NUF'!G113+KLP!G113+'DNB Bedriftspensjon'!G113+'KLP Skadeforsikring AS'!G113+'Landkreditt Forsikring'!G113+Insr!G113+'Nordea Liv'!G113+'Oslo Pensjonsforsikring'!G113+'Protector Forsikring'!G113+'SHB Liv'!G113+'Sparebank 1'!G113+'Storebrand Livsforsikring'!G113+'Telenor Forsikring'!G113+'Tryg Forsikring'!G113+'WaterCircle F'!G113</f>
        <v>22119367.76602</v>
      </c>
      <c r="G113" s="166">
        <f t="shared" si="45"/>
        <v>67.599999999999994</v>
      </c>
      <c r="H113" s="237">
        <f t="shared" si="47"/>
        <v>13201023.234009998</v>
      </c>
      <c r="I113" s="237">
        <f t="shared" si="48"/>
        <v>22124463.373289999</v>
      </c>
      <c r="J113" s="24">
        <f t="shared" si="49"/>
        <v>67.599999999999994</v>
      </c>
    </row>
    <row r="114" spans="1:10" ht="15.75" customHeight="1" x14ac:dyDescent="0.2">
      <c r="A114" s="21" t="s">
        <v>26</v>
      </c>
      <c r="B114" s="234">
        <f>'Fremtind Livsforsikring'!B114+'Danica Pensjonsforsikring'!B114+'DNB Livsforsikring'!B114+'Eika Forsikring AS'!B114+'Frende Livsforsikring'!B114+'Frende Skadeforsikring'!B114+'Gjensidige Forsikring'!B114+'Gjensidige Pensjon'!B114+'Handelsbanken Liv'!B114+'If Skadeforsikring NUF'!B114+KLP!B114+'DNB Bedriftspensjon'!B114+'KLP Skadeforsikring AS'!B114+'Landkreditt Forsikring'!B114+Insr!B114+'Nordea Liv'!B114+'Oslo Pensjonsforsikring'!B114+'Protector Forsikring'!B114+'SHB Liv'!B114+'Sparebank 1'!B114+'Storebrand Livsforsikring'!B114+'Telenor Forsikring'!B114+'Tryg Forsikring'!B114+'WaterCircle F'!B114</f>
        <v>113426.57472</v>
      </c>
      <c r="C114" s="234">
        <f>'Fremtind Livsforsikring'!C114+'Danica Pensjonsforsikring'!C114+'DNB Livsforsikring'!C114+'Eika Forsikring AS'!C114+'Frende Livsforsikring'!C114+'Frende Skadeforsikring'!C114+'Gjensidige Forsikring'!C114+'Gjensidige Pensjon'!C114+'Handelsbanken Liv'!C114+'If Skadeforsikring NUF'!C114+KLP!C114+'DNB Bedriftspensjon'!C114+'KLP Skadeforsikring AS'!C114+'Landkreditt Forsikring'!C114+Insr!C114+'Nordea Liv'!C114+'Oslo Pensjonsforsikring'!C114+'Protector Forsikring'!C114+'SHB Liv'!C114+'Sparebank 1'!C114+'Storebrand Livsforsikring'!C114+'Telenor Forsikring'!C114+'Tryg Forsikring'!C114+'WaterCircle F'!C114</f>
        <v>436613.22903000005</v>
      </c>
      <c r="D114" s="23">
        <f t="shared" si="46"/>
        <v>284.89999999999998</v>
      </c>
      <c r="E114" s="44">
        <f>'Fremtind Livsforsikring'!F114+'Danica Pensjonsforsikring'!F114+'DNB Livsforsikring'!F114+'Eika Forsikring AS'!F114+'Frende Livsforsikring'!F114+'Frende Skadeforsikring'!F114+'Gjensidige Forsikring'!F114+'Gjensidige Pensjon'!F114+'Handelsbanken Liv'!F114+'If Skadeforsikring NUF'!F114+KLP!F114+'DNB Bedriftspensjon'!F114+'KLP Skadeforsikring AS'!F114+'Landkreditt Forsikring'!F114+Insr!F114+'Nordea Liv'!F114+'Oslo Pensjonsforsikring'!F114+'Protector Forsikring'!F114+'SHB Liv'!F114+'Sparebank 1'!F114+'Storebrand Livsforsikring'!F114+'Telenor Forsikring'!F114+'Tryg Forsikring'!F114+'WaterCircle F'!F114</f>
        <v>31477.119360000001</v>
      </c>
      <c r="F114" s="44">
        <f>'Fremtind Livsforsikring'!G114+'Danica Pensjonsforsikring'!G114+'DNB Livsforsikring'!G114+'Eika Forsikring AS'!G114+'Frende Livsforsikring'!G114+'Frende Skadeforsikring'!G114+'Gjensidige Forsikring'!G114+'Gjensidige Pensjon'!G114+'Handelsbanken Liv'!G114+'If Skadeforsikring NUF'!G114+KLP!G114+'DNB Bedriftspensjon'!G114+'KLP Skadeforsikring AS'!G114+'Landkreditt Forsikring'!G114+Insr!G114+'Nordea Liv'!G114+'Oslo Pensjonsforsikring'!G114+'Protector Forsikring'!G114+'SHB Liv'!G114+'Sparebank 1'!G114+'Storebrand Livsforsikring'!G114+'Telenor Forsikring'!G114+'Tryg Forsikring'!G114+'WaterCircle F'!G114</f>
        <v>68947.187000000005</v>
      </c>
      <c r="G114" s="166">
        <f t="shared" si="45"/>
        <v>119</v>
      </c>
      <c r="H114" s="237">
        <f t="shared" si="47"/>
        <v>144903.69408000002</v>
      </c>
      <c r="I114" s="237">
        <f t="shared" si="48"/>
        <v>505560.41603000008</v>
      </c>
      <c r="J114" s="24">
        <f t="shared" si="49"/>
        <v>248.9</v>
      </c>
    </row>
    <row r="115" spans="1:10" ht="15.75" customHeight="1" x14ac:dyDescent="0.2">
      <c r="A115" s="298" t="s">
        <v>15</v>
      </c>
      <c r="B115" s="44">
        <f>'Fremtind Livsforsikring'!B115+'Danica Pensjonsforsikring'!B115+'DNB Livsforsikring'!B115+'Eika Forsikring AS'!B115+'Frende Livsforsikring'!B115+'Frende Skadeforsikring'!B115+'Gjensidige Forsikring'!B115+'Gjensidige Pensjon'!B115+'Handelsbanken Liv'!B115+'If Skadeforsikring NUF'!B115+KLP!B115+'DNB Bedriftspensjon'!B115+'KLP Skadeforsikring AS'!B115+'Landkreditt Forsikring'!B115+Insr!B115+'Nordea Liv'!B115+'Oslo Pensjonsforsikring'!B115+'Protector Forsikring'!B115+'SHB Liv'!B115+'Sparebank 1'!B115+'Storebrand Livsforsikring'!B115+'Telenor Forsikring'!B115+'Tryg Forsikring'!B115+'WaterCircle F'!B115</f>
        <v>41</v>
      </c>
      <c r="C115" s="44">
        <f>'Fremtind Livsforsikring'!C115+'Danica Pensjonsforsikring'!C115+'DNB Livsforsikring'!C115+'Eika Forsikring AS'!C115+'Frende Livsforsikring'!C115+'Frende Skadeforsikring'!C115+'Gjensidige Forsikring'!C115+'Gjensidige Pensjon'!C115+'Handelsbanken Liv'!C115+'If Skadeforsikring NUF'!C115+KLP!C115+'DNB Bedriftspensjon'!C115+'KLP Skadeforsikring AS'!C115+'Landkreditt Forsikring'!C115+Insr!C115+'Nordea Liv'!C115+'Oslo Pensjonsforsikring'!C115+'Protector Forsikring'!C115+'SHB Liv'!C115+'Sparebank 1'!C115+'Storebrand Livsforsikring'!C115+'Telenor Forsikring'!C115+'Tryg Forsikring'!C115+'WaterCircle F'!C115</f>
        <v>0</v>
      </c>
      <c r="D115" s="27">
        <f>IF($A$1=4,IF(B115=0, "    ---- ", IF(ABS(ROUND(100/B115*C115-100,1))&lt;999,ROUND(100/B115*C115-100,1),IF(ROUND(100/B115*C115-100,1)&gt;999,999,-999))),"")</f>
        <v>-100</v>
      </c>
      <c r="E115" s="44"/>
      <c r="F115" s="44"/>
      <c r="G115" s="166"/>
      <c r="H115" s="237">
        <f t="shared" si="47"/>
        <v>41</v>
      </c>
      <c r="I115" s="237">
        <f t="shared" si="48"/>
        <v>0</v>
      </c>
      <c r="J115" s="23">
        <f t="shared" si="49"/>
        <v>-100</v>
      </c>
    </row>
    <row r="116" spans="1:10" ht="15.75" customHeight="1" x14ac:dyDescent="0.2">
      <c r="A116" s="21" t="s">
        <v>466</v>
      </c>
      <c r="B116" s="234">
        <f>'Fremtind Livsforsikring'!B116+'Danica Pensjonsforsikring'!B116+'DNB Livsforsikring'!B116+'Eika Forsikring AS'!B116+'Frende Livsforsikring'!B116+'Frende Skadeforsikring'!B116+'Gjensidige Forsikring'!B116+'Gjensidige Pensjon'!B116+'Handelsbanken Liv'!B116+'If Skadeforsikring NUF'!B116+KLP!B116+'DNB Bedriftspensjon'!B116+'KLP Skadeforsikring AS'!B116+'Landkreditt Forsikring'!B116+Insr!B116+'Nordea Liv'!B116+'Oslo Pensjonsforsikring'!B116+'Protector Forsikring'!B116+'SHB Liv'!B116+'Sparebank 1'!B116+'Storebrand Livsforsikring'!B116+'Telenor Forsikring'!B116+'Tryg Forsikring'!B116+'WaterCircle F'!B116</f>
        <v>132031.47513000001</v>
      </c>
      <c r="C116" s="234">
        <f>'Fremtind Livsforsikring'!C116+'Danica Pensjonsforsikring'!C116+'DNB Livsforsikring'!C116+'Eika Forsikring AS'!C116+'Frende Livsforsikring'!C116+'Frende Skadeforsikring'!C116+'Gjensidige Forsikring'!C116+'Gjensidige Pensjon'!C116+'Handelsbanken Liv'!C116+'If Skadeforsikring NUF'!C116+KLP!C116+'DNB Bedriftspensjon'!C116+'KLP Skadeforsikring AS'!C116+'Landkreditt Forsikring'!C116+Insr!C116+'Nordea Liv'!C116+'Oslo Pensjonsforsikring'!C116+'Protector Forsikring'!C116+'SHB Liv'!C116+'Sparebank 1'!C116+'Storebrand Livsforsikring'!C116+'Telenor Forsikring'!C116+'Tryg Forsikring'!C116+'WaterCircle F'!C116</f>
        <v>82891.969469999996</v>
      </c>
      <c r="D116" s="23">
        <f t="shared" si="46"/>
        <v>-37.200000000000003</v>
      </c>
      <c r="E116" s="44">
        <f>'Fremtind Livsforsikring'!F116+'Danica Pensjonsforsikring'!F116+'DNB Livsforsikring'!F116+'Eika Forsikring AS'!F116+'Frende Livsforsikring'!F116+'Frende Skadeforsikring'!F116+'Gjensidige Forsikring'!F116+'Gjensidige Pensjon'!F116+'Handelsbanken Liv'!F116+'If Skadeforsikring NUF'!F116+KLP!F116+'DNB Bedriftspensjon'!F116+'KLP Skadeforsikring AS'!F116+'Landkreditt Forsikring'!F116+Insr!F116+'Nordea Liv'!F116+'Oslo Pensjonsforsikring'!F116+'Protector Forsikring'!F116+'SHB Liv'!F116+'Sparebank 1'!F116+'Storebrand Livsforsikring'!F116+'Telenor Forsikring'!F116+'Tryg Forsikring'!F116+'WaterCircle F'!F116</f>
        <v>5989.8890000000001</v>
      </c>
      <c r="F116" s="44">
        <f>'Fremtind Livsforsikring'!G116+'Danica Pensjonsforsikring'!G116+'DNB Livsforsikring'!G116+'Eika Forsikring AS'!G116+'Frende Livsforsikring'!G116+'Frende Skadeforsikring'!G116+'Gjensidige Forsikring'!G116+'Gjensidige Pensjon'!G116+'Handelsbanken Liv'!G116+'If Skadeforsikring NUF'!G116+KLP!G116+'DNB Bedriftspensjon'!G116+'KLP Skadeforsikring AS'!G116+'Landkreditt Forsikring'!G116+Insr!G116+'Nordea Liv'!G116+'Oslo Pensjonsforsikring'!G116+'Protector Forsikring'!G116+'SHB Liv'!G116+'Sparebank 1'!G116+'Storebrand Livsforsikring'!G116+'Telenor Forsikring'!G116+'Tryg Forsikring'!G116+'WaterCircle F'!G116</f>
        <v>19099.904999999999</v>
      </c>
      <c r="G116" s="166">
        <f t="shared" ref="G116:G117" si="50">IF(E116=0, "    ---- ", IF(ABS(ROUND(100/E116*F116-100,1))&lt;999,ROUND(100/E116*F116-100,1),IF(ROUND(100/E116*F116-100,1)&gt;999,999,-999)))</f>
        <v>218.9</v>
      </c>
      <c r="H116" s="237">
        <f t="shared" si="47"/>
        <v>138021.36413</v>
      </c>
      <c r="I116" s="237">
        <f t="shared" si="48"/>
        <v>101991.87447</v>
      </c>
      <c r="J116" s="23">
        <f t="shared" si="49"/>
        <v>-26.1</v>
      </c>
    </row>
    <row r="117" spans="1:10" ht="15.75" customHeight="1" x14ac:dyDescent="0.2">
      <c r="A117" s="21" t="s">
        <v>467</v>
      </c>
      <c r="B117" s="234"/>
      <c r="C117" s="234"/>
      <c r="D117" s="23"/>
      <c r="E117" s="44">
        <f>'Fremtind Livsforsikring'!F117+'Danica Pensjonsforsikring'!F117+'DNB Livsforsikring'!F117+'Eika Forsikring AS'!F117+'Frende Livsforsikring'!F117+'Frende Skadeforsikring'!F117+'Gjensidige Forsikring'!F117+'Gjensidige Pensjon'!F117+'Handelsbanken Liv'!F117+'If Skadeforsikring NUF'!F117+KLP!F117+'DNB Bedriftspensjon'!F117+'KLP Skadeforsikring AS'!F117+'Landkreditt Forsikring'!F117+Insr!F117+'Nordea Liv'!F117+'Oslo Pensjonsforsikring'!F117+'Protector Forsikring'!F117+'SHB Liv'!F117+'Sparebank 1'!F117+'Storebrand Livsforsikring'!F117+'Telenor Forsikring'!F117+'Tryg Forsikring'!F117+'WaterCircle F'!F117</f>
        <v>3134117.36913</v>
      </c>
      <c r="F117" s="44">
        <f>'Fremtind Livsforsikring'!G117+'Danica Pensjonsforsikring'!G117+'DNB Livsforsikring'!G117+'Eika Forsikring AS'!G117+'Frende Livsforsikring'!G117+'Frende Skadeforsikring'!G117+'Gjensidige Forsikring'!G117+'Gjensidige Pensjon'!G117+'Handelsbanken Liv'!G117+'If Skadeforsikring NUF'!G117+KLP!G117+'DNB Bedriftspensjon'!G117+'KLP Skadeforsikring AS'!G117+'Landkreditt Forsikring'!G117+Insr!G117+'Nordea Liv'!G117+'Oslo Pensjonsforsikring'!G117+'Protector Forsikring'!G117+'SHB Liv'!G117+'Sparebank 1'!G117+'Storebrand Livsforsikring'!G117+'Telenor Forsikring'!G117+'Tryg Forsikring'!G117+'WaterCircle F'!G117</f>
        <v>4894317.5991599998</v>
      </c>
      <c r="G117" s="166">
        <f t="shared" si="50"/>
        <v>56.2</v>
      </c>
      <c r="H117" s="237">
        <f t="shared" si="47"/>
        <v>3134117.36913</v>
      </c>
      <c r="I117" s="237">
        <f t="shared" si="48"/>
        <v>4894317.5991599998</v>
      </c>
      <c r="J117" s="23">
        <f t="shared" si="49"/>
        <v>56.2</v>
      </c>
    </row>
    <row r="118" spans="1:10" ht="15.75" customHeight="1" x14ac:dyDescent="0.2">
      <c r="A118" s="21" t="s">
        <v>465</v>
      </c>
      <c r="B118" s="234"/>
      <c r="C118" s="234"/>
      <c r="D118" s="23"/>
      <c r="E118" s="44"/>
      <c r="F118" s="44"/>
      <c r="G118" s="166"/>
      <c r="H118" s="237"/>
      <c r="I118" s="237"/>
      <c r="J118" s="23"/>
    </row>
    <row r="119" spans="1:10" s="43" customFormat="1" ht="15.75" customHeight="1" x14ac:dyDescent="0.2">
      <c r="A119" s="13" t="s">
        <v>446</v>
      </c>
      <c r="B119" s="331">
        <f>'Fremtind Livsforsikring'!B119+'Danica Pensjonsforsikring'!B119+'DNB Livsforsikring'!B119+'Eika Forsikring AS'!B119+'Frende Livsforsikring'!B119+'Frende Skadeforsikring'!B119+'Gjensidige Forsikring'!B119+'Gjensidige Pensjon'!B119+'Handelsbanken Liv'!B119+'If Skadeforsikring NUF'!B119+KLP!B119+'DNB Bedriftspensjon'!B119+'KLP Skadeforsikring AS'!B119+'Landkreditt Forsikring'!B119+Insr!B119+'Nordea Liv'!B119+'Oslo Pensjonsforsikring'!B119+'Protector Forsikring'!B119+'SHB Liv'!B119+'Sparebank 1'!B119+'Storebrand Livsforsikring'!B119+'Telenor Forsikring'!B119+'Tryg Forsikring'!B119+'WaterCircle F'!B119</f>
        <v>491675.87259000004</v>
      </c>
      <c r="C119" s="331">
        <f>'Fremtind Livsforsikring'!C119+'Danica Pensjonsforsikring'!C119+'DNB Livsforsikring'!C119+'Eika Forsikring AS'!C119+'Frende Livsforsikring'!C119+'Frende Skadeforsikring'!C119+'Gjensidige Forsikring'!C119+'Gjensidige Pensjon'!C119+'Handelsbanken Liv'!C119+'If Skadeforsikring NUF'!C119+KLP!C119+'DNB Bedriftspensjon'!C119+'KLP Skadeforsikring AS'!C119+'Landkreditt Forsikring'!C119+Insr!C119+'Nordea Liv'!C119+'Oslo Pensjonsforsikring'!C119+'Protector Forsikring'!C119+'SHB Liv'!C119+'Sparebank 1'!C119+'Storebrand Livsforsikring'!C119+'Telenor Forsikring'!C119+'Tryg Forsikring'!C119+'WaterCircle F'!C119</f>
        <v>851674.05171999987</v>
      </c>
      <c r="D119" s="24">
        <f t="shared" si="46"/>
        <v>73.2</v>
      </c>
      <c r="E119" s="236">
        <f>'Fremtind Livsforsikring'!F119+'Danica Pensjonsforsikring'!F119+'DNB Livsforsikring'!F119+'Eika Forsikring AS'!F119+'Frende Livsforsikring'!F119+'Frende Skadeforsikring'!F119+'Gjensidige Forsikring'!F119+'Gjensidige Pensjon'!F119+'Handelsbanken Liv'!F119+'If Skadeforsikring NUF'!F119+KLP!F119+'DNB Bedriftspensjon'!F119+'KLP Skadeforsikring AS'!F119+'Landkreditt Forsikring'!F119+Insr!F119+'Nordea Liv'!F119+'Oslo Pensjonsforsikring'!F119+'Protector Forsikring'!F119+'SHB Liv'!F119+'Sparebank 1'!F119+'Storebrand Livsforsikring'!F119+'Telenor Forsikring'!F119+'Tryg Forsikring'!F119+'WaterCircle F'!F119</f>
        <v>13560237.3026</v>
      </c>
      <c r="F119" s="236">
        <f>'Fremtind Livsforsikring'!G119+'Danica Pensjonsforsikring'!G119+'DNB Livsforsikring'!G119+'Eika Forsikring AS'!G119+'Frende Livsforsikring'!G119+'Frende Skadeforsikring'!G119+'Gjensidige Forsikring'!G119+'Gjensidige Pensjon'!G119+'Handelsbanken Liv'!G119+'If Skadeforsikring NUF'!G119+KLP!G119+'DNB Bedriftspensjon'!G119+'KLP Skadeforsikring AS'!G119+'Landkreditt Forsikring'!G119+Insr!G119+'Nordea Liv'!G119+'Oslo Pensjonsforsikring'!G119+'Protector Forsikring'!G119+'SHB Liv'!G119+'Sparebank 1'!G119+'Storebrand Livsforsikring'!G119+'Telenor Forsikring'!G119+'Tryg Forsikring'!G119+'WaterCircle F'!G119</f>
        <v>22437527.66683</v>
      </c>
      <c r="G119" s="171">
        <f t="shared" ref="G119" si="51">IF(E119=0, "    ---- ", IF(ABS(ROUND(100/E119*F119-100,1))&lt;999,ROUND(100/E119*F119-100,1),IF(ROUND(100/E119*F119-100,1)&gt;999,999,-999)))</f>
        <v>65.5</v>
      </c>
      <c r="H119" s="331">
        <f t="shared" si="47"/>
        <v>14051913.17519</v>
      </c>
      <c r="I119" s="331">
        <f t="shared" si="48"/>
        <v>23289201.71855</v>
      </c>
      <c r="J119" s="24">
        <f t="shared" si="49"/>
        <v>65.7</v>
      </c>
    </row>
    <row r="120" spans="1:10" ht="15.75" customHeight="1" x14ac:dyDescent="0.2">
      <c r="A120" s="21" t="s">
        <v>9</v>
      </c>
      <c r="B120" s="237">
        <f>'Fremtind Livsforsikring'!B120+'Danica Pensjonsforsikring'!B120+'DNB Livsforsikring'!B120+'Eika Forsikring AS'!B120+'Frende Livsforsikring'!B120+'Frende Skadeforsikring'!B120+'Gjensidige Forsikring'!B120+'Gjensidige Pensjon'!B120+'Handelsbanken Liv'!B120+'If Skadeforsikring NUF'!B120+KLP!B120+'DNB Bedriftspensjon'!B120+'KLP Skadeforsikring AS'!B120+'Landkreditt Forsikring'!B120+Insr!B120+'Nordea Liv'!B120+'Oslo Pensjonsforsikring'!B120+'Protector Forsikring'!B120+'SHB Liv'!B120+'Sparebank 1'!B120+'Storebrand Livsforsikring'!B120+'Telenor Forsikring'!B120+'Tryg Forsikring'!B120+'WaterCircle F'!B120</f>
        <v>282051.72159999999</v>
      </c>
      <c r="C120" s="237">
        <f>'Fremtind Livsforsikring'!C120+'Danica Pensjonsforsikring'!C120+'DNB Livsforsikring'!C120+'Eika Forsikring AS'!C120+'Frende Livsforsikring'!C120+'Frende Skadeforsikring'!C120+'Gjensidige Forsikring'!C120+'Gjensidige Pensjon'!C120+'Handelsbanken Liv'!C120+'If Skadeforsikring NUF'!C120+KLP!C120+'DNB Bedriftspensjon'!C120+'KLP Skadeforsikring AS'!C120+'Landkreditt Forsikring'!C120+Insr!C120+'Nordea Liv'!C120+'Oslo Pensjonsforsikring'!C120+'Protector Forsikring'!C120+'SHB Liv'!C120+'Sparebank 1'!C120+'Storebrand Livsforsikring'!C120+'Telenor Forsikring'!C120+'Tryg Forsikring'!C120+'WaterCircle F'!C120</f>
        <v>615172.99599999993</v>
      </c>
      <c r="D120" s="23">
        <f t="shared" si="46"/>
        <v>118.1</v>
      </c>
      <c r="E120" s="44"/>
      <c r="F120" s="44"/>
      <c r="G120" s="166"/>
      <c r="H120" s="237">
        <f t="shared" si="47"/>
        <v>282051.72159999999</v>
      </c>
      <c r="I120" s="237">
        <f t="shared" si="48"/>
        <v>615172.99599999993</v>
      </c>
      <c r="J120" s="23">
        <f t="shared" si="49"/>
        <v>118.1</v>
      </c>
    </row>
    <row r="121" spans="1:10" ht="15.75" customHeight="1" x14ac:dyDescent="0.2">
      <c r="A121" s="21" t="s">
        <v>10</v>
      </c>
      <c r="B121" s="237">
        <f>'Fremtind Livsforsikring'!B121+'Danica Pensjonsforsikring'!B121+'DNB Livsforsikring'!B121+'Eika Forsikring AS'!B121+'Frende Livsforsikring'!B121+'Frende Skadeforsikring'!B121+'Gjensidige Forsikring'!B121+'Gjensidige Pensjon'!B121+'Handelsbanken Liv'!B121+'If Skadeforsikring NUF'!B121+KLP!B121+'DNB Bedriftspensjon'!B121+'KLP Skadeforsikring AS'!B121+'Landkreditt Forsikring'!B121+Insr!B121+'Nordea Liv'!B121+'Oslo Pensjonsforsikring'!B121+'Protector Forsikring'!B121+'SHB Liv'!B121+'Sparebank 1'!B121+'Storebrand Livsforsikring'!B121+'Telenor Forsikring'!B121+'Tryg Forsikring'!B121+'WaterCircle F'!B121</f>
        <v>39151.085039999998</v>
      </c>
      <c r="C121" s="237">
        <f>'Fremtind Livsforsikring'!C121+'Danica Pensjonsforsikring'!C121+'DNB Livsforsikring'!C121+'Eika Forsikring AS'!C121+'Frende Livsforsikring'!C121+'Frende Skadeforsikring'!C121+'Gjensidige Forsikring'!C121+'Gjensidige Pensjon'!C121+'Handelsbanken Liv'!C121+'If Skadeforsikring NUF'!C121+KLP!C121+'DNB Bedriftspensjon'!C121+'KLP Skadeforsikring AS'!C121+'Landkreditt Forsikring'!C121+Insr!C121+'Nordea Liv'!C121+'Oslo Pensjonsforsikring'!C121+'Protector Forsikring'!C121+'SHB Liv'!C121+'Sparebank 1'!C121+'Storebrand Livsforsikring'!C121+'Telenor Forsikring'!C121+'Tryg Forsikring'!C121+'WaterCircle F'!C121</f>
        <v>24800.234550000001</v>
      </c>
      <c r="D121" s="23">
        <f t="shared" si="46"/>
        <v>-36.700000000000003</v>
      </c>
      <c r="E121" s="44">
        <f>'Fremtind Livsforsikring'!F121+'Danica Pensjonsforsikring'!F121+'DNB Livsforsikring'!F121+'Eika Forsikring AS'!F121+'Frende Livsforsikring'!F121+'Frende Skadeforsikring'!F121+'Gjensidige Forsikring'!F121+'Gjensidige Pensjon'!F121+'Handelsbanken Liv'!F121+'If Skadeforsikring NUF'!F121+KLP!F121+'DNB Bedriftspensjon'!F121+'KLP Skadeforsikring AS'!F121+'Landkreditt Forsikring'!F121+Insr!F121+'Nordea Liv'!F121+'Oslo Pensjonsforsikring'!F121+'Protector Forsikring'!F121+'SHB Liv'!F121+'Sparebank 1'!F121+'Storebrand Livsforsikring'!F121+'Telenor Forsikring'!F121+'Tryg Forsikring'!F121+'WaterCircle F'!F121</f>
        <v>13560237.3026</v>
      </c>
      <c r="F121" s="44">
        <f>'Fremtind Livsforsikring'!G121+'Danica Pensjonsforsikring'!G121+'DNB Livsforsikring'!G121+'Eika Forsikring AS'!G121+'Frende Livsforsikring'!G121+'Frende Skadeforsikring'!G121+'Gjensidige Forsikring'!G121+'Gjensidige Pensjon'!G121+'Handelsbanken Liv'!G121+'If Skadeforsikring NUF'!G121+KLP!G121+'DNB Bedriftspensjon'!G121+'KLP Skadeforsikring AS'!G121+'Landkreditt Forsikring'!G121+Insr!G121+'Nordea Liv'!G121+'Oslo Pensjonsforsikring'!G121+'Protector Forsikring'!G121+'SHB Liv'!G121+'Sparebank 1'!G121+'Storebrand Livsforsikring'!G121+'Telenor Forsikring'!G121+'Tryg Forsikring'!G121+'WaterCircle F'!G121</f>
        <v>22437527.66683</v>
      </c>
      <c r="G121" s="166">
        <f t="shared" ref="G121" si="52">IF(E121=0, "    ---- ", IF(ABS(ROUND(100/E121*F121-100,1))&lt;999,ROUND(100/E121*F121-100,1),IF(ROUND(100/E121*F121-100,1)&gt;999,999,-999)))</f>
        <v>65.5</v>
      </c>
      <c r="H121" s="237">
        <f t="shared" si="47"/>
        <v>13599388.387639999</v>
      </c>
      <c r="I121" s="237">
        <f t="shared" si="48"/>
        <v>22462327.901379999</v>
      </c>
      <c r="J121" s="23">
        <f t="shared" si="49"/>
        <v>65.2</v>
      </c>
    </row>
    <row r="122" spans="1:10" ht="15.75" customHeight="1" x14ac:dyDescent="0.2">
      <c r="A122" s="21" t="s">
        <v>26</v>
      </c>
      <c r="B122" s="237">
        <f>'Fremtind Livsforsikring'!B122+'Danica Pensjonsforsikring'!B122+'DNB Livsforsikring'!B122+'Eika Forsikring AS'!B122+'Frende Livsforsikring'!B122+'Frende Skadeforsikring'!B122+'Gjensidige Forsikring'!B122+'Gjensidige Pensjon'!B122+'Handelsbanken Liv'!B122+'If Skadeforsikring NUF'!B122+KLP!B122+'DNB Bedriftspensjon'!B122+'KLP Skadeforsikring AS'!B122+'Landkreditt Forsikring'!B122+Insr!B122+'Nordea Liv'!B122+'Oslo Pensjonsforsikring'!B122+'Protector Forsikring'!B122+'SHB Liv'!B122+'Sparebank 1'!B122+'Storebrand Livsforsikring'!B122+'Telenor Forsikring'!B122+'Tryg Forsikring'!B122+'WaterCircle F'!B122</f>
        <v>170473.06595000002</v>
      </c>
      <c r="C122" s="237">
        <f>'Fremtind Livsforsikring'!C122+'Danica Pensjonsforsikring'!C122+'DNB Livsforsikring'!C122+'Eika Forsikring AS'!C122+'Frende Livsforsikring'!C122+'Frende Skadeforsikring'!C122+'Gjensidige Forsikring'!C122+'Gjensidige Pensjon'!C122+'Handelsbanken Liv'!C122+'If Skadeforsikring NUF'!C122+KLP!C122+'DNB Bedriftspensjon'!C122+'KLP Skadeforsikring AS'!C122+'Landkreditt Forsikring'!C122+Insr!C122+'Nordea Liv'!C122+'Oslo Pensjonsforsikring'!C122+'Protector Forsikring'!C122+'SHB Liv'!C122+'Sparebank 1'!C122+'Storebrand Livsforsikring'!C122+'Telenor Forsikring'!C122+'Tryg Forsikring'!C122+'WaterCircle F'!C122</f>
        <v>211700.82117000001</v>
      </c>
      <c r="D122" s="23">
        <f t="shared" si="46"/>
        <v>24.2</v>
      </c>
      <c r="E122" s="44"/>
      <c r="F122" s="44"/>
      <c r="G122" s="166"/>
      <c r="H122" s="237">
        <f t="shared" si="47"/>
        <v>170473.06595000002</v>
      </c>
      <c r="I122" s="237">
        <f t="shared" si="48"/>
        <v>211700.82117000001</v>
      </c>
      <c r="J122" s="23">
        <f t="shared" si="49"/>
        <v>24.2</v>
      </c>
    </row>
    <row r="123" spans="1:10" ht="15.75" customHeight="1" x14ac:dyDescent="0.2">
      <c r="A123" s="298" t="s">
        <v>14</v>
      </c>
      <c r="B123" s="44"/>
      <c r="C123" s="44"/>
      <c r="D123" s="27"/>
      <c r="E123" s="44"/>
      <c r="F123" s="44"/>
      <c r="G123" s="166"/>
      <c r="H123" s="237"/>
      <c r="I123" s="237"/>
      <c r="J123" s="23"/>
    </row>
    <row r="124" spans="1:10" ht="15.75" customHeight="1" x14ac:dyDescent="0.2">
      <c r="A124" s="21" t="s">
        <v>463</v>
      </c>
      <c r="B124" s="237">
        <f>'Fremtind Livsforsikring'!B124+'Danica Pensjonsforsikring'!B124+'DNB Livsforsikring'!B124+'Eika Forsikring AS'!B124+'Frende Livsforsikring'!B124+'Frende Skadeforsikring'!B124+'Gjensidige Forsikring'!B124+'Gjensidige Pensjon'!B124+'Handelsbanken Liv'!B124+'If Skadeforsikring NUF'!B124+KLP!B124+'DNB Bedriftspensjon'!B124+'KLP Skadeforsikring AS'!B124+'Landkreditt Forsikring'!B124+Insr!B124+'Nordea Liv'!B124+'Oslo Pensjonsforsikring'!B124+'Protector Forsikring'!B124+'SHB Liv'!B124+'Sparebank 1'!B124+'Storebrand Livsforsikring'!B124+'Telenor Forsikring'!B124+'Tryg Forsikring'!B124+'WaterCircle F'!B124</f>
        <v>79218.65260999999</v>
      </c>
      <c r="C124" s="237">
        <f>'Fremtind Livsforsikring'!C124+'Danica Pensjonsforsikring'!C124+'DNB Livsforsikring'!C124+'Eika Forsikring AS'!C124+'Frende Livsforsikring'!C124+'Frende Skadeforsikring'!C124+'Gjensidige Forsikring'!C124+'Gjensidige Pensjon'!C124+'Handelsbanken Liv'!C124+'If Skadeforsikring NUF'!C124+KLP!C124+'DNB Bedriftspensjon'!C124+'KLP Skadeforsikring AS'!C124+'Landkreditt Forsikring'!C124+Insr!C124+'Nordea Liv'!C124+'Oslo Pensjonsforsikring'!C124+'Protector Forsikring'!C124+'SHB Liv'!C124+'Sparebank 1'!C124+'Storebrand Livsforsikring'!C124+'Telenor Forsikring'!C124+'Tryg Forsikring'!C124+'WaterCircle F'!C124</f>
        <v>61621.572999999997</v>
      </c>
      <c r="D124" s="23">
        <f t="shared" si="46"/>
        <v>-22.2</v>
      </c>
      <c r="E124" s="44">
        <f>'Fremtind Livsforsikring'!F124+'Danica Pensjonsforsikring'!F124+'DNB Livsforsikring'!F124+'Eika Forsikring AS'!F124+'Frende Livsforsikring'!F124+'Frende Skadeforsikring'!F124+'Gjensidige Forsikring'!F124+'Gjensidige Pensjon'!F124+'Handelsbanken Liv'!F124+'If Skadeforsikring NUF'!F124+KLP!F124+'DNB Bedriftspensjon'!F124+'KLP Skadeforsikring AS'!F124+'Landkreditt Forsikring'!F124+Insr!F124+'Nordea Liv'!F124+'Oslo Pensjonsforsikring'!F124+'Protector Forsikring'!F124+'SHB Liv'!F124+'Sparebank 1'!F124+'Storebrand Livsforsikring'!F124+'Telenor Forsikring'!F124+'Tryg Forsikring'!F124+'WaterCircle F'!F124</f>
        <v>29595.572</v>
      </c>
      <c r="F124" s="44">
        <f>'Fremtind Livsforsikring'!G124+'Danica Pensjonsforsikring'!G124+'DNB Livsforsikring'!G124+'Eika Forsikring AS'!G124+'Frende Livsforsikring'!G124+'Frende Skadeforsikring'!G124+'Gjensidige Forsikring'!G124+'Gjensidige Pensjon'!G124+'Handelsbanken Liv'!G124+'If Skadeforsikring NUF'!G124+KLP!G124+'DNB Bedriftspensjon'!G124+'KLP Skadeforsikring AS'!G124+'Landkreditt Forsikring'!G124+Insr!G124+'Nordea Liv'!G124+'Oslo Pensjonsforsikring'!G124+'Protector Forsikring'!G124+'SHB Liv'!G124+'Sparebank 1'!G124+'Storebrand Livsforsikring'!G124+'Telenor Forsikring'!G124+'Tryg Forsikring'!G124+'WaterCircle F'!G124</f>
        <v>30154.527999999998</v>
      </c>
      <c r="G124" s="166">
        <f t="shared" ref="G124:G125" si="53">IF(E124=0, "    ---- ", IF(ABS(ROUND(100/E124*F124-100,1))&lt;999,ROUND(100/E124*F124-100,1),IF(ROUND(100/E124*F124-100,1)&gt;999,999,-999)))</f>
        <v>1.9</v>
      </c>
      <c r="H124" s="237">
        <f t="shared" si="47"/>
        <v>108814.22460999999</v>
      </c>
      <c r="I124" s="237">
        <f t="shared" si="48"/>
        <v>91776.100999999995</v>
      </c>
      <c r="J124" s="23">
        <f t="shared" si="49"/>
        <v>-15.7</v>
      </c>
    </row>
    <row r="125" spans="1:10" ht="15.75" customHeight="1" x14ac:dyDescent="0.2">
      <c r="A125" s="21" t="s">
        <v>464</v>
      </c>
      <c r="B125" s="237">
        <f>'Fremtind Livsforsikring'!B125+'Danica Pensjonsforsikring'!B125+'DNB Livsforsikring'!B125+'Eika Forsikring AS'!B125+'Frende Livsforsikring'!B125+'Frende Skadeforsikring'!B125+'Gjensidige Forsikring'!B125+'Gjensidige Pensjon'!B125+'Handelsbanken Liv'!B125+'If Skadeforsikring NUF'!B125+KLP!B125+'DNB Bedriftspensjon'!B125+'KLP Skadeforsikring AS'!B125+'Landkreditt Forsikring'!B125+Insr!B125+'Nordea Liv'!B125+'Oslo Pensjonsforsikring'!B125+'Protector Forsikring'!B125+'SHB Liv'!B125+'Sparebank 1'!B125+'Storebrand Livsforsikring'!B125+'Telenor Forsikring'!B125+'Tryg Forsikring'!B125+'WaterCircle F'!B125</f>
        <v>3599.6610599999999</v>
      </c>
      <c r="C125" s="237">
        <f>'Fremtind Livsforsikring'!C125+'Danica Pensjonsforsikring'!C125+'DNB Livsforsikring'!C125+'Eika Forsikring AS'!C125+'Frende Livsforsikring'!C125+'Frende Skadeforsikring'!C125+'Gjensidige Forsikring'!C125+'Gjensidige Pensjon'!C125+'Handelsbanken Liv'!C125+'If Skadeforsikring NUF'!C125+KLP!C125+'DNB Bedriftspensjon'!C125+'KLP Skadeforsikring AS'!C125+'Landkreditt Forsikring'!C125+Insr!C125+'Nordea Liv'!C125+'Oslo Pensjonsforsikring'!C125+'Protector Forsikring'!C125+'SHB Liv'!C125+'Sparebank 1'!C125+'Storebrand Livsforsikring'!C125+'Telenor Forsikring'!C125+'Tryg Forsikring'!C125+'WaterCircle F'!C125</f>
        <v>2576.8415100000002</v>
      </c>
      <c r="D125" s="23">
        <f t="shared" si="46"/>
        <v>-28.4</v>
      </c>
      <c r="E125" s="44">
        <f>'Fremtind Livsforsikring'!F125+'Danica Pensjonsforsikring'!F125+'DNB Livsforsikring'!F125+'Eika Forsikring AS'!F125+'Frende Livsforsikring'!F125+'Frende Skadeforsikring'!F125+'Gjensidige Forsikring'!F125+'Gjensidige Pensjon'!F125+'Handelsbanken Liv'!F125+'If Skadeforsikring NUF'!F125+KLP!F125+'DNB Bedriftspensjon'!F125+'KLP Skadeforsikring AS'!F125+'Landkreditt Forsikring'!F125+Insr!F125+'Nordea Liv'!F125+'Oslo Pensjonsforsikring'!F125+'Protector Forsikring'!F125+'SHB Liv'!F125+'Sparebank 1'!F125+'Storebrand Livsforsikring'!F125+'Telenor Forsikring'!F125+'Tryg Forsikring'!F125+'WaterCircle F'!F125</f>
        <v>3112447.3871499998</v>
      </c>
      <c r="F125" s="44">
        <f>'Fremtind Livsforsikring'!G125+'Danica Pensjonsforsikring'!G125+'DNB Livsforsikring'!G125+'Eika Forsikring AS'!G125+'Frende Livsforsikring'!G125+'Frende Skadeforsikring'!G125+'Gjensidige Forsikring'!G125+'Gjensidige Pensjon'!G125+'Handelsbanken Liv'!G125+'If Skadeforsikring NUF'!G125+KLP!G125+'DNB Bedriftspensjon'!G125+'KLP Skadeforsikring AS'!G125+'Landkreditt Forsikring'!G125+Insr!G125+'Nordea Liv'!G125+'Oslo Pensjonsforsikring'!G125+'Protector Forsikring'!G125+'SHB Liv'!G125+'Sparebank 1'!G125+'Storebrand Livsforsikring'!G125+'Telenor Forsikring'!G125+'Tryg Forsikring'!G125+'WaterCircle F'!G125</f>
        <v>3590944.0815199995</v>
      </c>
      <c r="G125" s="166">
        <f t="shared" si="53"/>
        <v>15.4</v>
      </c>
      <c r="H125" s="237">
        <f t="shared" si="47"/>
        <v>3116047.0482099997</v>
      </c>
      <c r="I125" s="237">
        <f t="shared" si="48"/>
        <v>3593520.9230299997</v>
      </c>
      <c r="J125" s="23">
        <f t="shared" si="49"/>
        <v>15.3</v>
      </c>
    </row>
    <row r="126" spans="1:10" ht="15.75" customHeight="1" x14ac:dyDescent="0.2">
      <c r="A126" s="10" t="s">
        <v>465</v>
      </c>
      <c r="B126" s="238"/>
      <c r="C126" s="239"/>
      <c r="D126" s="22"/>
      <c r="E126" s="45"/>
      <c r="F126" s="45"/>
      <c r="G126" s="167"/>
      <c r="H126" s="238"/>
      <c r="I126" s="239"/>
      <c r="J126" s="22"/>
    </row>
    <row r="127" spans="1:10" ht="15.75" customHeight="1" x14ac:dyDescent="0.2">
      <c r="A127" s="155"/>
    </row>
    <row r="128" spans="1:10" ht="15.75" customHeight="1" x14ac:dyDescent="0.2">
      <c r="A128" s="149"/>
    </row>
    <row r="129" spans="1:10" ht="15.75" customHeight="1" x14ac:dyDescent="0.25">
      <c r="A129" s="165" t="s">
        <v>27</v>
      </c>
    </row>
    <row r="130" spans="1:10" ht="15.75" customHeight="1" x14ac:dyDescent="0.25">
      <c r="A130" s="149"/>
      <c r="B130" s="1017"/>
      <c r="C130" s="1017"/>
      <c r="D130" s="1017"/>
      <c r="E130" s="1017"/>
      <c r="F130" s="1017"/>
      <c r="G130" s="1017"/>
      <c r="H130" s="1017"/>
      <c r="I130" s="1017"/>
      <c r="J130" s="1017"/>
    </row>
    <row r="131" spans="1:10" s="3" customFormat="1" ht="20.100000000000001" customHeight="1" x14ac:dyDescent="0.2">
      <c r="A131" s="144"/>
      <c r="B131" s="1018" t="s">
        <v>0</v>
      </c>
      <c r="C131" s="1019"/>
      <c r="D131" s="1020"/>
      <c r="E131" s="1019" t="s">
        <v>1</v>
      </c>
      <c r="F131" s="1019"/>
      <c r="G131" s="1019"/>
      <c r="H131" s="1018" t="s">
        <v>2</v>
      </c>
      <c r="I131" s="1019"/>
      <c r="J131" s="1020"/>
    </row>
    <row r="132" spans="1:10" s="3" customFormat="1" ht="15.75" customHeight="1" x14ac:dyDescent="0.2">
      <c r="A132" s="140"/>
      <c r="B132" s="251" t="s">
        <v>502</v>
      </c>
      <c r="C132" s="251">
        <v>44196</v>
      </c>
      <c r="D132" s="19" t="s">
        <v>3</v>
      </c>
      <c r="E132" s="251" t="s">
        <v>502</v>
      </c>
      <c r="F132" s="251">
        <v>44196</v>
      </c>
      <c r="G132" s="19" t="s">
        <v>3</v>
      </c>
      <c r="H132" s="251" t="s">
        <v>502</v>
      </c>
      <c r="I132" s="251">
        <v>44196</v>
      </c>
      <c r="J132" s="19" t="s">
        <v>3</v>
      </c>
    </row>
    <row r="133" spans="1:10" s="3" customFormat="1" ht="15.75" customHeight="1" x14ac:dyDescent="0.2">
      <c r="A133" s="990"/>
      <c r="B133" s="15"/>
      <c r="C133" s="15"/>
      <c r="D133" s="17" t="s">
        <v>4</v>
      </c>
      <c r="E133" s="16"/>
      <c r="F133" s="16"/>
      <c r="G133" s="15" t="s">
        <v>4</v>
      </c>
      <c r="H133" s="16"/>
      <c r="I133" s="16"/>
      <c r="J133" s="15" t="s">
        <v>4</v>
      </c>
    </row>
    <row r="134" spans="1:10" s="421" customFormat="1" ht="15.75" customHeight="1" x14ac:dyDescent="0.2">
      <c r="A134" s="14" t="s">
        <v>468</v>
      </c>
      <c r="B134" s="236">
        <f>'Fremtind Livsforsikring'!B134+'Danica Pensjonsforsikring'!B134+'DNB Livsforsikring'!B134+'Eika Forsikring AS'!B134+'Frende Livsforsikring'!B134+'Frende Skadeforsikring'!B134+'Gjensidige Forsikring'!B134+'Gjensidige Pensjon'!B134+'Handelsbanken Liv'!B134+'If Skadeforsikring NUF'!B134+KLP!B134+'DNB Bedriftspensjon'!B134+'KLP Skadeforsikring AS'!B134+'Landkreditt Forsikring'!B134+Insr!B134+'Nordea Liv'!B134+'Oslo Pensjonsforsikring'!B134+'Protector Forsikring'!B134+'SHB Liv'!B134+'Sparebank 1'!B134+'Storebrand Livsforsikring'!B134+'Telenor Forsikring'!B134+'Tryg Forsikring'!B134+'WaterCircle F'!B134</f>
        <v>45460871.025120005</v>
      </c>
      <c r="C134" s="236">
        <f>'Fremtind Livsforsikring'!C134+'Danica Pensjonsforsikring'!C134+'DNB Livsforsikring'!C134+'Eika Forsikring AS'!C134+'Frende Livsforsikring'!C134+'Frende Skadeforsikring'!C134+'Gjensidige Forsikring'!C134+'Gjensidige Pensjon'!C134+'Handelsbanken Liv'!C134+'If Skadeforsikring NUF'!C134+KLP!C134+'DNB Bedriftspensjon'!C134+'KLP Skadeforsikring AS'!C134+'Landkreditt Forsikring'!C134+Insr!C134+'Nordea Liv'!C134+'Oslo Pensjonsforsikring'!C134+'Protector Forsikring'!C134+'SHB Liv'!C134+'Sparebank 1'!C134+'Storebrand Livsforsikring'!C134+'Telenor Forsikring'!C134+'Tryg Forsikring'!C134+'WaterCircle F'!C134</f>
        <v>38438729.1369</v>
      </c>
      <c r="D134" s="11">
        <f t="shared" ref="D134:D137" si="54">IF(B134=0, "    ---- ", IF(ABS(ROUND(100/B134*C134-100,1))&lt;999,ROUND(100/B134*C134-100,1),IF(ROUND(100/B134*C134-100,1)&gt;999,999,-999)))</f>
        <v>-15.4</v>
      </c>
      <c r="E134" s="236">
        <f>'Fremtind Livsforsikring'!F134+'Danica Pensjonsforsikring'!F134+'DNB Livsforsikring'!F134+'Eika Forsikring AS'!F134+'Frende Livsforsikring'!F134+'Frende Skadeforsikring'!F134+'Gjensidige Forsikring'!F134+'Gjensidige Pensjon'!F134+'Handelsbanken Liv'!F134+'If Skadeforsikring NUF'!F134+KLP!F134+'DNB Bedriftspensjon'!F134+'KLP Skadeforsikring AS'!F134+'Landkreditt Forsikring'!F134+Insr!F134+'Nordea Liv'!F134+'Oslo Pensjonsforsikring'!F134+'Protector Forsikring'!F134+'SHB Liv'!F134+'Sparebank 1'!F134+'Storebrand Livsforsikring'!F134+'Telenor Forsikring'!F134+'Tryg Forsikring'!F134+'WaterCircle F'!F134</f>
        <v>152808.77100000001</v>
      </c>
      <c r="F134" s="236">
        <f>'Fremtind Livsforsikring'!G134+'Danica Pensjonsforsikring'!G134+'DNB Livsforsikring'!G134+'Eika Forsikring AS'!G134+'Frende Livsforsikring'!G134+'Frende Skadeforsikring'!G134+'Gjensidige Forsikring'!G134+'Gjensidige Pensjon'!G134+'Handelsbanken Liv'!G134+'If Skadeforsikring NUF'!G134+KLP!G134+'DNB Bedriftspensjon'!G134+'KLP Skadeforsikring AS'!G134+'Landkreditt Forsikring'!G134+Insr!G134+'Nordea Liv'!G134+'Oslo Pensjonsforsikring'!G134+'Protector Forsikring'!G134+'SHB Liv'!G134+'Sparebank 1'!G134+'Storebrand Livsforsikring'!G134+'Telenor Forsikring'!G134+'Tryg Forsikring'!G134+'WaterCircle F'!G134</f>
        <v>74308.707999999999</v>
      </c>
      <c r="G134" s="11">
        <f t="shared" ref="G134:G136" si="55">IF(E134=0, "    ---- ", IF(ABS(ROUND(100/E134*F134-100,1))&lt;999,ROUND(100/E134*F134-100,1),IF(ROUND(100/E134*F134-100,1)&gt;999,999,-999)))</f>
        <v>-51.4</v>
      </c>
      <c r="H134" s="236">
        <f t="shared" ref="H134:I137" si="56">SUM(B134,E134)</f>
        <v>45613679.796120003</v>
      </c>
      <c r="I134" s="236">
        <f t="shared" si="56"/>
        <v>38513037.844899997</v>
      </c>
      <c r="J134" s="11">
        <f t="shared" ref="J134:J137" si="57">IF(H134=0, "    ---- ", IF(ABS(ROUND(100/H134*I134-100,1))&lt;999,ROUND(100/H134*I134-100,1),IF(ROUND(100/H134*I134-100,1)&gt;999,999,-999)))</f>
        <v>-15.6</v>
      </c>
    </row>
    <row r="135" spans="1:10" s="421" customFormat="1" ht="15.75" customHeight="1" x14ac:dyDescent="0.2">
      <c r="A135" s="13" t="s">
        <v>469</v>
      </c>
      <c r="B135" s="236">
        <f>'Fremtind Livsforsikring'!B135+'Danica Pensjonsforsikring'!B135+'DNB Livsforsikring'!B135+'Eika Forsikring AS'!B135+'Frende Livsforsikring'!B135+'Frende Skadeforsikring'!B135+'Gjensidige Forsikring'!B135+'Gjensidige Pensjon'!B135+'Handelsbanken Liv'!B135+'If Skadeforsikring NUF'!B135+KLP!B135+'DNB Bedriftspensjon'!B135+'KLP Skadeforsikring AS'!B135+'Landkreditt Forsikring'!B135+Insr!B135+'Nordea Liv'!B135+'Oslo Pensjonsforsikring'!B135+'Protector Forsikring'!B135+'SHB Liv'!B135+'Sparebank 1'!B135+'Storebrand Livsforsikring'!B135+'Telenor Forsikring'!B135+'Tryg Forsikring'!B135+'WaterCircle F'!B135</f>
        <v>586695944.14879</v>
      </c>
      <c r="C135" s="236">
        <f>'Fremtind Livsforsikring'!C135+'Danica Pensjonsforsikring'!C135+'DNB Livsforsikring'!C135+'Eika Forsikring AS'!C135+'Frende Livsforsikring'!C135+'Frende Skadeforsikring'!C135+'Gjensidige Forsikring'!C135+'Gjensidige Pensjon'!C135+'Handelsbanken Liv'!C135+'If Skadeforsikring NUF'!C135+KLP!C135+'DNB Bedriftspensjon'!C135+'KLP Skadeforsikring AS'!C135+'Landkreditt Forsikring'!C135+Insr!C135+'Nordea Liv'!C135+'Oslo Pensjonsforsikring'!C135+'Protector Forsikring'!C135+'SHB Liv'!C135+'Sparebank 1'!C135+'Storebrand Livsforsikring'!C135+'Telenor Forsikring'!C135+'Tryg Forsikring'!C135+'WaterCircle F'!C135</f>
        <v>622962989.91374993</v>
      </c>
      <c r="D135" s="11">
        <f t="shared" si="54"/>
        <v>6.2</v>
      </c>
      <c r="E135" s="236">
        <f>'Fremtind Livsforsikring'!F135+'Danica Pensjonsforsikring'!F135+'DNB Livsforsikring'!F135+'Eika Forsikring AS'!F135+'Frende Livsforsikring'!F135+'Frende Skadeforsikring'!F135+'Gjensidige Forsikring'!F135+'Gjensidige Pensjon'!F135+'Handelsbanken Liv'!F135+'If Skadeforsikring NUF'!F135+KLP!F135+'DNB Bedriftspensjon'!F135+'KLP Skadeforsikring AS'!F135+'Landkreditt Forsikring'!F135+Insr!F135+'Nordea Liv'!F135+'Oslo Pensjonsforsikring'!F135+'Protector Forsikring'!F135+'SHB Liv'!F135+'Sparebank 1'!F135+'Storebrand Livsforsikring'!F135+'Telenor Forsikring'!F135+'Tryg Forsikring'!F135+'WaterCircle F'!F135</f>
        <v>2703759.0266499999</v>
      </c>
      <c r="F135" s="236">
        <f>'Fremtind Livsforsikring'!G135+'Danica Pensjonsforsikring'!G135+'DNB Livsforsikring'!G135+'Eika Forsikring AS'!G135+'Frende Livsforsikring'!G135+'Frende Skadeforsikring'!G135+'Gjensidige Forsikring'!G135+'Gjensidige Pensjon'!G135+'Handelsbanken Liv'!G135+'If Skadeforsikring NUF'!G135+KLP!G135+'DNB Bedriftspensjon'!G135+'KLP Skadeforsikring AS'!G135+'Landkreditt Forsikring'!G135+Insr!G135+'Nordea Liv'!G135+'Oslo Pensjonsforsikring'!G135+'Protector Forsikring'!G135+'SHB Liv'!G135+'Sparebank 1'!G135+'Storebrand Livsforsikring'!G135+'Telenor Forsikring'!G135+'Tryg Forsikring'!G135+'WaterCircle F'!G135</f>
        <v>2013752.24184</v>
      </c>
      <c r="G135" s="11">
        <f t="shared" si="55"/>
        <v>-25.5</v>
      </c>
      <c r="H135" s="236">
        <f t="shared" si="56"/>
        <v>589399703.17543995</v>
      </c>
      <c r="I135" s="236">
        <f t="shared" si="56"/>
        <v>624976742.15558994</v>
      </c>
      <c r="J135" s="11">
        <f t="shared" si="57"/>
        <v>6</v>
      </c>
    </row>
    <row r="136" spans="1:10" s="421" customFormat="1" ht="15.75" customHeight="1" x14ac:dyDescent="0.2">
      <c r="A136" s="13" t="s">
        <v>470</v>
      </c>
      <c r="B136" s="236">
        <f>'Fremtind Livsforsikring'!B136+'Danica Pensjonsforsikring'!B136+'DNB Livsforsikring'!B136+'Eika Forsikring AS'!B136+'Frende Livsforsikring'!B136+'Frende Skadeforsikring'!B136+'Gjensidige Forsikring'!B136+'Gjensidige Pensjon'!B136+'Handelsbanken Liv'!B136+'If Skadeforsikring NUF'!B136+KLP!B136+'DNB Bedriftspensjon'!B136+'KLP Skadeforsikring AS'!B136+'Landkreditt Forsikring'!B136+Insr!B136+'Nordea Liv'!B136+'Oslo Pensjonsforsikring'!B136+'Protector Forsikring'!B136+'SHB Liv'!B136+'Sparebank 1'!B136+'Storebrand Livsforsikring'!B136+'Telenor Forsikring'!B136+'Tryg Forsikring'!B136+'WaterCircle F'!B136</f>
        <v>86016.298999999999</v>
      </c>
      <c r="C136" s="236">
        <f>'Fremtind Livsforsikring'!C136+'Danica Pensjonsforsikring'!C136+'DNB Livsforsikring'!C136+'Eika Forsikring AS'!C136+'Frende Livsforsikring'!C136+'Frende Skadeforsikring'!C136+'Gjensidige Forsikring'!C136+'Gjensidige Pensjon'!C136+'Handelsbanken Liv'!C136+'If Skadeforsikring NUF'!C136+KLP!C136+'DNB Bedriftspensjon'!C136+'KLP Skadeforsikring AS'!C136+'Landkreditt Forsikring'!C136+Insr!C136+'Nordea Liv'!C136+'Oslo Pensjonsforsikring'!C136+'Protector Forsikring'!C136+'SHB Liv'!C136+'Sparebank 1'!C136+'Storebrand Livsforsikring'!C136+'Telenor Forsikring'!C136+'Tryg Forsikring'!C136+'WaterCircle F'!C136</f>
        <v>3720403.8620000002</v>
      </c>
      <c r="D136" s="11">
        <f t="shared" si="54"/>
        <v>999</v>
      </c>
      <c r="E136" s="236">
        <f>'Fremtind Livsforsikring'!F136+'Danica Pensjonsforsikring'!F136+'DNB Livsforsikring'!F136+'Eika Forsikring AS'!F136+'Frende Livsforsikring'!F136+'Frende Skadeforsikring'!F136+'Gjensidige Forsikring'!F136+'Gjensidige Pensjon'!F136+'Handelsbanken Liv'!F136+'If Skadeforsikring NUF'!F136+KLP!F136+'DNB Bedriftspensjon'!F136+'KLP Skadeforsikring AS'!F136+'Landkreditt Forsikring'!F136+Insr!F136+'Nordea Liv'!F136+'Oslo Pensjonsforsikring'!F136+'Protector Forsikring'!F136+'SHB Liv'!F136+'Sparebank 1'!F136+'Storebrand Livsforsikring'!F136+'Telenor Forsikring'!F136+'Tryg Forsikring'!F136+'WaterCircle F'!F136</f>
        <v>31148.103999999999</v>
      </c>
      <c r="F136" s="236">
        <f>'Fremtind Livsforsikring'!G136+'Danica Pensjonsforsikring'!G136+'DNB Livsforsikring'!G136+'Eika Forsikring AS'!G136+'Frende Livsforsikring'!G136+'Frende Skadeforsikring'!G136+'Gjensidige Forsikring'!G136+'Gjensidige Pensjon'!G136+'Handelsbanken Liv'!G136+'If Skadeforsikring NUF'!G136+KLP!G136+'DNB Bedriftspensjon'!G136+'KLP Skadeforsikring AS'!G136+'Landkreditt Forsikring'!G136+Insr!G136+'Nordea Liv'!G136+'Oslo Pensjonsforsikring'!G136+'Protector Forsikring'!G136+'SHB Liv'!G136+'Sparebank 1'!G136+'Storebrand Livsforsikring'!G136+'Telenor Forsikring'!G136+'Tryg Forsikring'!G136+'WaterCircle F'!G136</f>
        <v>-507465.17200000002</v>
      </c>
      <c r="G136" s="11">
        <f t="shared" si="55"/>
        <v>-999</v>
      </c>
      <c r="H136" s="236">
        <f t="shared" si="56"/>
        <v>117164.40299999999</v>
      </c>
      <c r="I136" s="236">
        <f t="shared" si="56"/>
        <v>3212938.6900000004</v>
      </c>
      <c r="J136" s="11">
        <f t="shared" si="57"/>
        <v>999</v>
      </c>
    </row>
    <row r="137" spans="1:10" s="421" customFormat="1" ht="15.75" customHeight="1" x14ac:dyDescent="0.2">
      <c r="A137" s="41" t="s">
        <v>471</v>
      </c>
      <c r="B137" s="278">
        <f>'Fremtind Livsforsikring'!B137+'Danica Pensjonsforsikring'!B137+'DNB Livsforsikring'!B137+'Eika Forsikring AS'!B137+'Frende Livsforsikring'!B137+'Frende Skadeforsikring'!B137+'Gjensidige Forsikring'!B137+'Gjensidige Pensjon'!B137+'Handelsbanken Liv'!B137+'If Skadeforsikring NUF'!B137+KLP!B137+'DNB Bedriftspensjon'!B137+'KLP Skadeforsikring AS'!B137+'Landkreditt Forsikring'!B137+Insr!B137+'Nordea Liv'!B137+'Oslo Pensjonsforsikring'!B137+'Protector Forsikring'!B137+'SHB Liv'!B137+'Sparebank 1'!B137+'Storebrand Livsforsikring'!B137+'Telenor Forsikring'!B137+'Tryg Forsikring'!B137+'WaterCircle F'!B137</f>
        <v>291578.90500000003</v>
      </c>
      <c r="C137" s="278">
        <f>'Fremtind Livsforsikring'!C137+'Danica Pensjonsforsikring'!C137+'DNB Livsforsikring'!C137+'Eika Forsikring AS'!C137+'Frende Livsforsikring'!C137+'Frende Skadeforsikring'!C137+'Gjensidige Forsikring'!C137+'Gjensidige Pensjon'!C137+'Handelsbanken Liv'!C137+'If Skadeforsikring NUF'!C137+KLP!C137+'DNB Bedriftspensjon'!C137+'KLP Skadeforsikring AS'!C137+'Landkreditt Forsikring'!C137+Insr!C137+'Nordea Liv'!C137+'Oslo Pensjonsforsikring'!C137+'Protector Forsikring'!C137+'SHB Liv'!C137+'Sparebank 1'!C137+'Storebrand Livsforsikring'!C137+'Telenor Forsikring'!C137+'Tryg Forsikring'!C137+'WaterCircle F'!C137</f>
        <v>7696593.8039999995</v>
      </c>
      <c r="D137" s="9">
        <f t="shared" si="54"/>
        <v>999</v>
      </c>
      <c r="E137" s="278"/>
      <c r="F137" s="278"/>
      <c r="G137" s="9"/>
      <c r="H137" s="278">
        <f t="shared" si="56"/>
        <v>291578.90500000003</v>
      </c>
      <c r="I137" s="278">
        <f t="shared" si="56"/>
        <v>7696593.8039999995</v>
      </c>
      <c r="J137" s="9">
        <f t="shared" si="57"/>
        <v>999</v>
      </c>
    </row>
    <row r="138" spans="1:10" s="3" customFormat="1" ht="15.75" customHeight="1" x14ac:dyDescent="0.2">
      <c r="A138" s="8"/>
      <c r="E138" s="7"/>
      <c r="F138" s="7"/>
      <c r="G138" s="6"/>
      <c r="H138" s="7"/>
      <c r="I138" s="7"/>
      <c r="J138" s="6"/>
    </row>
    <row r="139" spans="1:10" ht="15.75" customHeight="1" x14ac:dyDescent="0.2"/>
    <row r="140" spans="1:10" ht="15.75" customHeight="1" x14ac:dyDescent="0.2"/>
    <row r="141" spans="1:10" ht="15.75" customHeight="1" x14ac:dyDescent="0.2"/>
    <row r="142" spans="1:10" ht="15.75" customHeight="1" x14ac:dyDescent="0.2"/>
    <row r="143" spans="1:10" ht="15.75" customHeight="1" x14ac:dyDescent="0.2"/>
    <row r="144" spans="1:10"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sheetData>
  <mergeCells count="27">
    <mergeCell ref="B131:D131"/>
    <mergeCell ref="E131:G131"/>
    <mergeCell ref="H131:J131"/>
    <mergeCell ref="B130:D130"/>
    <mergeCell ref="E130:G130"/>
    <mergeCell ref="H130:J130"/>
    <mergeCell ref="B63:D63"/>
    <mergeCell ref="E63:G63"/>
    <mergeCell ref="H63:J63"/>
    <mergeCell ref="B19:D19"/>
    <mergeCell ref="E19:G19"/>
    <mergeCell ref="H19:J19"/>
    <mergeCell ref="B62:D62"/>
    <mergeCell ref="E62:G62"/>
    <mergeCell ref="H62:J62"/>
    <mergeCell ref="B42:D42"/>
    <mergeCell ref="E42:G42"/>
    <mergeCell ref="H42:J42"/>
    <mergeCell ref="B18:D18"/>
    <mergeCell ref="E18:G18"/>
    <mergeCell ref="H18:J18"/>
    <mergeCell ref="B2:D2"/>
    <mergeCell ref="E2:G2"/>
    <mergeCell ref="H2:J2"/>
    <mergeCell ref="B4:D4"/>
    <mergeCell ref="E4:G4"/>
    <mergeCell ref="H4:J4"/>
  </mergeCells>
  <conditionalFormatting sqref="H101:I106">
    <cfRule type="expression" dxfId="2357" priority="47">
      <formula>kvartal&lt;4</formula>
    </cfRule>
  </conditionalFormatting>
  <conditionalFormatting sqref="H69:I74">
    <cfRule type="expression" dxfId="2356" priority="55">
      <formula>kvartal&lt;4</formula>
    </cfRule>
  </conditionalFormatting>
  <conditionalFormatting sqref="H80:I85">
    <cfRule type="expression" dxfId="2355" priority="52">
      <formula>kvartal&lt;4</formula>
    </cfRule>
  </conditionalFormatting>
  <conditionalFormatting sqref="H90:I95">
    <cfRule type="expression" dxfId="2354" priority="48">
      <formula>kvartal&lt;4</formula>
    </cfRule>
  </conditionalFormatting>
  <conditionalFormatting sqref="H115:I115">
    <cfRule type="expression" dxfId="2353" priority="46">
      <formula>kvartal&lt;4</formula>
    </cfRule>
  </conditionalFormatting>
  <conditionalFormatting sqref="H123:I123">
    <cfRule type="expression" dxfId="2352" priority="45">
      <formula>kvartal&lt;4</formula>
    </cfRule>
  </conditionalFormatting>
  <conditionalFormatting sqref="A50:A52">
    <cfRule type="expression" dxfId="2351" priority="41">
      <formula>kvartal &lt; 4</formula>
    </cfRule>
  </conditionalFormatting>
  <conditionalFormatting sqref="A69:A74">
    <cfRule type="expression" dxfId="2350" priority="39">
      <formula>kvartal &lt; 4</formula>
    </cfRule>
  </conditionalFormatting>
  <conditionalFormatting sqref="A80:A85">
    <cfRule type="expression" dxfId="2349" priority="38">
      <formula>kvartal &lt; 4</formula>
    </cfRule>
  </conditionalFormatting>
  <conditionalFormatting sqref="A90:A95">
    <cfRule type="expression" dxfId="2348" priority="35">
      <formula>kvartal &lt; 4</formula>
    </cfRule>
  </conditionalFormatting>
  <conditionalFormatting sqref="A101:A106">
    <cfRule type="expression" dxfId="2347" priority="34">
      <formula>kvartal &lt; 4</formula>
    </cfRule>
  </conditionalFormatting>
  <conditionalFormatting sqref="A115">
    <cfRule type="expression" dxfId="2346" priority="33">
      <formula>kvartal &lt; 4</formula>
    </cfRule>
  </conditionalFormatting>
  <conditionalFormatting sqref="A123">
    <cfRule type="expression" dxfId="2345" priority="32">
      <formula>kvartal &lt; 4</formula>
    </cfRule>
  </conditionalFormatting>
  <conditionalFormatting sqref="B50:B52">
    <cfRule type="expression" dxfId="2344" priority="25">
      <formula>kvartal&lt;4</formula>
    </cfRule>
  </conditionalFormatting>
  <conditionalFormatting sqref="B69:C69">
    <cfRule type="expression" dxfId="2343" priority="23">
      <formula>kvartal&lt;4</formula>
    </cfRule>
  </conditionalFormatting>
  <conditionalFormatting sqref="B72:C72">
    <cfRule type="expression" dxfId="2342" priority="22">
      <formula>kvartal&lt;4</formula>
    </cfRule>
  </conditionalFormatting>
  <conditionalFormatting sqref="B80:C80">
    <cfRule type="expression" dxfId="2341" priority="21">
      <formula>kvartal&lt;4</formula>
    </cfRule>
  </conditionalFormatting>
  <conditionalFormatting sqref="B83:C83">
    <cfRule type="expression" dxfId="2340" priority="20">
      <formula>kvartal&lt;4</formula>
    </cfRule>
  </conditionalFormatting>
  <conditionalFormatting sqref="B90:C90">
    <cfRule type="expression" dxfId="2339" priority="15">
      <formula>kvartal&lt;4</formula>
    </cfRule>
  </conditionalFormatting>
  <conditionalFormatting sqref="B93:C93">
    <cfRule type="expression" dxfId="2338" priority="14">
      <formula>kvartal&lt;4</formula>
    </cfRule>
  </conditionalFormatting>
  <conditionalFormatting sqref="B101:C101">
    <cfRule type="expression" dxfId="2337" priority="13">
      <formula>kvartal&lt;4</formula>
    </cfRule>
  </conditionalFormatting>
  <conditionalFormatting sqref="B104:C104">
    <cfRule type="expression" dxfId="2336" priority="12">
      <formula>kvartal&lt;4</formula>
    </cfRule>
  </conditionalFormatting>
  <conditionalFormatting sqref="B115:C115">
    <cfRule type="expression" dxfId="2335" priority="11">
      <formula>kvartal&lt;4</formula>
    </cfRule>
  </conditionalFormatting>
  <conditionalFormatting sqref="B123:C123">
    <cfRule type="expression" dxfId="2334" priority="10">
      <formula>kvartal&lt;4</formula>
    </cfRule>
  </conditionalFormatting>
  <conditionalFormatting sqref="E69:F74">
    <cfRule type="expression" dxfId="2333" priority="9">
      <formula>kvartal&lt;4</formula>
    </cfRule>
  </conditionalFormatting>
  <conditionalFormatting sqref="E80:F85">
    <cfRule type="expression" dxfId="2332" priority="8">
      <formula>kvartal&lt;4</formula>
    </cfRule>
  </conditionalFormatting>
  <conditionalFormatting sqref="E90:F95">
    <cfRule type="expression" dxfId="2331" priority="5">
      <formula>kvartal&lt;4</formula>
    </cfRule>
  </conditionalFormatting>
  <conditionalFormatting sqref="E101:F106">
    <cfRule type="expression" dxfId="2330" priority="4">
      <formula>kvartal&lt;4</formula>
    </cfRule>
  </conditionalFormatting>
  <conditionalFormatting sqref="E115:F115">
    <cfRule type="expression" dxfId="2329" priority="3">
      <formula>kvartal&lt;4</formula>
    </cfRule>
  </conditionalFormatting>
  <conditionalFormatting sqref="E123:F123">
    <cfRule type="expression" dxfId="2328" priority="2">
      <formula>kvartal&lt;4</formula>
    </cfRule>
  </conditionalFormatting>
  <conditionalFormatting sqref="C50:C52">
    <cfRule type="expression" dxfId="2327" priority="1">
      <formula>kvartal&lt;4</formula>
    </cfRule>
  </conditionalFormatting>
  <pageMargins left="0.23622047244094491" right="0.23622047244094491" top="0.62992125984251968" bottom="0.59055118110236227" header="0.51181102362204722" footer="0.51181102362204722"/>
  <pageSetup paperSize="9" scale="55" fitToHeight="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8"/>
  <dimension ref="A1:N144"/>
  <sheetViews>
    <sheetView showGridLines="0" zoomScale="120" zoomScaleNormal="120" workbookViewId="0"/>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133</v>
      </c>
      <c r="B1" s="988"/>
      <c r="C1" s="248" t="s">
        <v>83</v>
      </c>
      <c r="D1" s="26"/>
      <c r="E1" s="26"/>
      <c r="F1" s="26"/>
      <c r="G1" s="26"/>
      <c r="H1" s="26"/>
      <c r="I1" s="26"/>
      <c r="J1" s="26"/>
      <c r="K1" s="26"/>
      <c r="L1" s="26"/>
      <c r="M1" s="26"/>
    </row>
    <row r="2" spans="1:14" ht="15.75" x14ac:dyDescent="0.25">
      <c r="A2" s="165" t="s">
        <v>28</v>
      </c>
      <c r="B2" s="1027"/>
      <c r="C2" s="1027"/>
      <c r="D2" s="1027"/>
      <c r="E2" s="407"/>
      <c r="F2" s="1027"/>
      <c r="G2" s="1027"/>
      <c r="H2" s="1027"/>
      <c r="I2" s="407"/>
      <c r="J2" s="1027"/>
      <c r="K2" s="1027"/>
      <c r="L2" s="1027"/>
      <c r="M2" s="407"/>
    </row>
    <row r="3" spans="1:14" ht="15.75" x14ac:dyDescent="0.25">
      <c r="A3" s="163"/>
      <c r="B3" s="407"/>
      <c r="C3" s="407"/>
      <c r="D3" s="407"/>
      <c r="E3" s="407"/>
      <c r="F3" s="407"/>
      <c r="G3" s="407"/>
      <c r="H3" s="407"/>
      <c r="I3" s="407"/>
      <c r="J3" s="407"/>
      <c r="K3" s="407"/>
      <c r="L3" s="407"/>
      <c r="M3" s="407"/>
    </row>
    <row r="4" spans="1:14" x14ac:dyDescent="0.2">
      <c r="A4" s="144"/>
      <c r="B4" s="1023" t="s">
        <v>0</v>
      </c>
      <c r="C4" s="1024"/>
      <c r="D4" s="1024"/>
      <c r="E4" s="406"/>
      <c r="F4" s="1023" t="s">
        <v>1</v>
      </c>
      <c r="G4" s="1024"/>
      <c r="H4" s="1024"/>
      <c r="I4" s="409"/>
      <c r="J4" s="1023" t="s">
        <v>2</v>
      </c>
      <c r="K4" s="1024"/>
      <c r="L4" s="1024"/>
      <c r="M4" s="409"/>
    </row>
    <row r="5" spans="1:14" x14ac:dyDescent="0.2">
      <c r="A5" s="158"/>
      <c r="B5" s="152" t="s">
        <v>502</v>
      </c>
      <c r="C5" s="152" t="s">
        <v>503</v>
      </c>
      <c r="D5" s="245" t="s">
        <v>3</v>
      </c>
      <c r="E5" s="307" t="s">
        <v>29</v>
      </c>
      <c r="F5" s="152" t="s">
        <v>502</v>
      </c>
      <c r="G5" s="152" t="s">
        <v>503</v>
      </c>
      <c r="H5" s="245" t="s">
        <v>3</v>
      </c>
      <c r="I5" s="162" t="s">
        <v>29</v>
      </c>
      <c r="J5" s="152" t="s">
        <v>502</v>
      </c>
      <c r="K5" s="152" t="s">
        <v>503</v>
      </c>
      <c r="L5" s="245" t="s">
        <v>3</v>
      </c>
      <c r="M5" s="162" t="s">
        <v>29</v>
      </c>
    </row>
    <row r="6" spans="1:14" x14ac:dyDescent="0.2">
      <c r="A6" s="989"/>
      <c r="B6" s="156"/>
      <c r="C6" s="156"/>
      <c r="D6" s="246" t="s">
        <v>4</v>
      </c>
      <c r="E6" s="156" t="s">
        <v>30</v>
      </c>
      <c r="F6" s="161"/>
      <c r="G6" s="161"/>
      <c r="H6" s="245" t="s">
        <v>4</v>
      </c>
      <c r="I6" s="156" t="s">
        <v>30</v>
      </c>
      <c r="J6" s="161"/>
      <c r="K6" s="161"/>
      <c r="L6" s="245" t="s">
        <v>4</v>
      </c>
      <c r="M6" s="156" t="s">
        <v>30</v>
      </c>
    </row>
    <row r="7" spans="1:14" ht="15.75" x14ac:dyDescent="0.2">
      <c r="A7" s="14" t="s">
        <v>23</v>
      </c>
      <c r="B7" s="308">
        <v>281940.875</v>
      </c>
      <c r="C7" s="309">
        <v>278208.70400000003</v>
      </c>
      <c r="D7" s="351">
        <f>IF(B7=0, "    ---- ", IF(ABS(ROUND(100/B7*C7-100,1))&lt;999,ROUND(100/B7*C7-100,1),IF(ROUND(100/B7*C7-100,1)&gt;999,999,-999)))</f>
        <v>-1.3</v>
      </c>
      <c r="E7" s="11">
        <f>IFERROR(100/'Skjema total MA'!C7*C7,0)</f>
        <v>5.8517429156487735</v>
      </c>
      <c r="F7" s="308">
        <v>306440.17599999998</v>
      </c>
      <c r="G7" s="309">
        <v>271603.60600000003</v>
      </c>
      <c r="H7" s="351">
        <f>IF(F7=0, "    ---- ", IF(ABS(ROUND(100/F7*G7-100,1))&lt;999,ROUND(100/F7*G7-100,1),IF(ROUND(100/F7*G7-100,1)&gt;999,999,-999)))</f>
        <v>-11.4</v>
      </c>
      <c r="I7" s="160">
        <f>IFERROR(100/'Skjema total MA'!F7*G7,0)</f>
        <v>2.6367745527084812</v>
      </c>
      <c r="J7" s="310">
        <f t="shared" ref="J7:K12" si="0">SUM(B7,F7)</f>
        <v>588381.05099999998</v>
      </c>
      <c r="K7" s="311">
        <f t="shared" si="0"/>
        <v>549812.31000000006</v>
      </c>
      <c r="L7" s="428">
        <f>IF(J7=0, "    ---- ", IF(ABS(ROUND(100/J7*K7-100,1))&lt;999,ROUND(100/J7*K7-100,1),IF(ROUND(100/J7*K7-100,1)&gt;999,999,-999)))</f>
        <v>-6.6</v>
      </c>
      <c r="M7" s="11">
        <f>IFERROR(100/'Skjema total MA'!I7*K7,0)</f>
        <v>3.6520517828814225</v>
      </c>
    </row>
    <row r="8" spans="1:14" ht="15.75" x14ac:dyDescent="0.2">
      <c r="A8" s="21" t="s">
        <v>25</v>
      </c>
      <c r="B8" s="283">
        <v>134764.45000000001</v>
      </c>
      <c r="C8" s="284">
        <v>133414.851</v>
      </c>
      <c r="D8" s="166">
        <f t="shared" ref="D8:D10" si="1">IF(B8=0, "    ---- ", IF(ABS(ROUND(100/B8*C8-100,1))&lt;999,ROUND(100/B8*C8-100,1),IF(ROUND(100/B8*C8-100,1)&gt;999,999,-999)))</f>
        <v>-1</v>
      </c>
      <c r="E8" s="27">
        <f>IFERROR(100/'Skjema total MA'!C8*C8,0)</f>
        <v>4.2998360749076445</v>
      </c>
      <c r="F8" s="287"/>
      <c r="G8" s="288"/>
      <c r="H8" s="166"/>
      <c r="I8" s="175"/>
      <c r="J8" s="234">
        <f t="shared" si="0"/>
        <v>134764.45000000001</v>
      </c>
      <c r="K8" s="289">
        <f t="shared" si="0"/>
        <v>133414.851</v>
      </c>
      <c r="L8" s="166">
        <f t="shared" ref="L8:L9" si="2">IF(J8=0, "    ---- ", IF(ABS(ROUND(100/J8*K8-100,1))&lt;999,ROUND(100/J8*K8-100,1),IF(ROUND(100/J8*K8-100,1)&gt;999,999,-999)))</f>
        <v>-1</v>
      </c>
      <c r="M8" s="27">
        <f>IFERROR(100/'Skjema total MA'!I8*K8,0)</f>
        <v>4.2998360749076445</v>
      </c>
    </row>
    <row r="9" spans="1:14" ht="15.75" x14ac:dyDescent="0.2">
      <c r="A9" s="21" t="s">
        <v>24</v>
      </c>
      <c r="B9" s="283">
        <v>68803.691000000006</v>
      </c>
      <c r="C9" s="284">
        <v>65262.887999999999</v>
      </c>
      <c r="D9" s="166">
        <f t="shared" si="1"/>
        <v>-5.0999999999999996</v>
      </c>
      <c r="E9" s="27">
        <f>IFERROR(100/'Skjema total MA'!C9*C9,0)</f>
        <v>6.8826135660258929</v>
      </c>
      <c r="F9" s="287"/>
      <c r="G9" s="288"/>
      <c r="H9" s="166"/>
      <c r="I9" s="175"/>
      <c r="J9" s="234">
        <f t="shared" si="0"/>
        <v>68803.691000000006</v>
      </c>
      <c r="K9" s="289">
        <f t="shared" si="0"/>
        <v>65262.887999999999</v>
      </c>
      <c r="L9" s="166">
        <f t="shared" si="2"/>
        <v>-5.0999999999999996</v>
      </c>
      <c r="M9" s="27">
        <f>IFERROR(100/'Skjema total MA'!I9*K9,0)</f>
        <v>6.8826135660258929</v>
      </c>
    </row>
    <row r="10" spans="1:14" ht="15.75" x14ac:dyDescent="0.2">
      <c r="A10" s="13" t="s">
        <v>444</v>
      </c>
      <c r="B10" s="312">
        <v>311542.712</v>
      </c>
      <c r="C10" s="313">
        <v>319288.72899999999</v>
      </c>
      <c r="D10" s="171">
        <f t="shared" si="1"/>
        <v>2.5</v>
      </c>
      <c r="E10" s="11">
        <f>IFERROR(100/'Skjema total MA'!C10*C10,0)</f>
        <v>1.6184171489817167</v>
      </c>
      <c r="F10" s="312">
        <v>2674486</v>
      </c>
      <c r="G10" s="313">
        <v>2843948.446</v>
      </c>
      <c r="H10" s="171">
        <f t="shared" ref="H10:H12" si="3">IF(F10=0, "    ---- ", IF(ABS(ROUND(100/F10*G10-100,1))&lt;999,ROUND(100/F10*G10-100,1),IF(ROUND(100/F10*G10-100,1)&gt;999,999,-999)))</f>
        <v>6.3</v>
      </c>
      <c r="I10" s="160">
        <f>IFERROR(100/'Skjema total MA'!F10*G10,0)</f>
        <v>4.6859177447029525</v>
      </c>
      <c r="J10" s="310">
        <f t="shared" si="0"/>
        <v>2986028.7119999998</v>
      </c>
      <c r="K10" s="311">
        <f t="shared" si="0"/>
        <v>3163237.1749999998</v>
      </c>
      <c r="L10" s="429">
        <f t="shared" ref="L10:L12" si="4">IF(J10=0, "    ---- ", IF(ABS(ROUND(100/J10*K10-100,1))&lt;999,ROUND(100/J10*K10-100,1),IF(ROUND(100/J10*K10-100,1)&gt;999,999,-999)))</f>
        <v>5.9</v>
      </c>
      <c r="M10" s="11">
        <f>IFERROR(100/'Skjema total MA'!I10*K10,0)</f>
        <v>3.9334038042221953</v>
      </c>
    </row>
    <row r="11" spans="1:14" s="43" customFormat="1" ht="15.75" x14ac:dyDescent="0.2">
      <c r="A11" s="13" t="s">
        <v>445</v>
      </c>
      <c r="B11" s="312"/>
      <c r="C11" s="313"/>
      <c r="D11" s="171"/>
      <c r="E11" s="11"/>
      <c r="F11" s="312">
        <v>31750.382000000001</v>
      </c>
      <c r="G11" s="313">
        <v>19528.858</v>
      </c>
      <c r="H11" s="171">
        <f t="shared" si="3"/>
        <v>-38.5</v>
      </c>
      <c r="I11" s="160">
        <f>IFERROR(100/'Skjema total MA'!F11*G11,0)</f>
        <v>5.703314246372913</v>
      </c>
      <c r="J11" s="310">
        <f t="shared" si="0"/>
        <v>31750.382000000001</v>
      </c>
      <c r="K11" s="311">
        <f t="shared" si="0"/>
        <v>19528.858</v>
      </c>
      <c r="L11" s="429">
        <f t="shared" si="4"/>
        <v>-38.5</v>
      </c>
      <c r="M11" s="11">
        <f>IFERROR(100/'Skjema total MA'!I11*K11,0)</f>
        <v>5.1009129380817955</v>
      </c>
      <c r="N11" s="143"/>
    </row>
    <row r="12" spans="1:14" s="43" customFormat="1" ht="15.75" x14ac:dyDescent="0.2">
      <c r="A12" s="41" t="s">
        <v>446</v>
      </c>
      <c r="B12" s="314"/>
      <c r="C12" s="315"/>
      <c r="D12" s="169"/>
      <c r="E12" s="36"/>
      <c r="F12" s="314">
        <v>29270.710999999999</v>
      </c>
      <c r="G12" s="315">
        <v>27917.312999999998</v>
      </c>
      <c r="H12" s="169">
        <f t="shared" si="3"/>
        <v>-4.5999999999999996</v>
      </c>
      <c r="I12" s="169">
        <f>IFERROR(100/'Skjema total MA'!F12*G12,0)</f>
        <v>11.347095554230329</v>
      </c>
      <c r="J12" s="316">
        <f t="shared" si="0"/>
        <v>29270.710999999999</v>
      </c>
      <c r="K12" s="317">
        <f t="shared" si="0"/>
        <v>27917.312999999998</v>
      </c>
      <c r="L12" s="430">
        <f t="shared" si="4"/>
        <v>-4.5999999999999996</v>
      </c>
      <c r="M12" s="36">
        <f>IFERROR(100/'Skjema total MA'!I12*K12,0)</f>
        <v>11.21796811260667</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1022"/>
      <c r="C18" s="1022"/>
      <c r="D18" s="1022"/>
      <c r="E18" s="407"/>
      <c r="F18" s="1022"/>
      <c r="G18" s="1022"/>
      <c r="H18" s="1022"/>
      <c r="I18" s="407"/>
      <c r="J18" s="1022"/>
      <c r="K18" s="1022"/>
      <c r="L18" s="1022"/>
      <c r="M18" s="407"/>
    </row>
    <row r="19" spans="1:14" x14ac:dyDescent="0.2">
      <c r="A19" s="144"/>
      <c r="B19" s="1023" t="s">
        <v>0</v>
      </c>
      <c r="C19" s="1024"/>
      <c r="D19" s="1024"/>
      <c r="E19" s="406"/>
      <c r="F19" s="1023" t="s">
        <v>1</v>
      </c>
      <c r="G19" s="1024"/>
      <c r="H19" s="1024"/>
      <c r="I19" s="409"/>
      <c r="J19" s="1023" t="s">
        <v>2</v>
      </c>
      <c r="K19" s="1024"/>
      <c r="L19" s="1024"/>
      <c r="M19" s="409"/>
    </row>
    <row r="20" spans="1:14" x14ac:dyDescent="0.2">
      <c r="A20" s="140" t="s">
        <v>5</v>
      </c>
      <c r="B20" s="152" t="s">
        <v>502</v>
      </c>
      <c r="C20" s="152" t="s">
        <v>503</v>
      </c>
      <c r="D20" s="162" t="s">
        <v>3</v>
      </c>
      <c r="E20" s="307" t="s">
        <v>29</v>
      </c>
      <c r="F20" s="152" t="s">
        <v>502</v>
      </c>
      <c r="G20" s="152" t="s">
        <v>503</v>
      </c>
      <c r="H20" s="162" t="s">
        <v>3</v>
      </c>
      <c r="I20" s="162" t="s">
        <v>29</v>
      </c>
      <c r="J20" s="152" t="s">
        <v>502</v>
      </c>
      <c r="K20" s="152" t="s">
        <v>503</v>
      </c>
      <c r="L20" s="162" t="s">
        <v>3</v>
      </c>
      <c r="M20" s="162" t="s">
        <v>29</v>
      </c>
    </row>
    <row r="21" spans="1:14" x14ac:dyDescent="0.2">
      <c r="A21" s="990"/>
      <c r="B21" s="156"/>
      <c r="C21" s="156"/>
      <c r="D21" s="246" t="s">
        <v>4</v>
      </c>
      <c r="E21" s="417" t="s">
        <v>30</v>
      </c>
      <c r="F21" s="161"/>
      <c r="G21" s="161"/>
      <c r="H21" s="245" t="s">
        <v>4</v>
      </c>
      <c r="I21" s="156" t="s">
        <v>30</v>
      </c>
      <c r="J21" s="161"/>
      <c r="K21" s="161"/>
      <c r="L21" s="156" t="s">
        <v>4</v>
      </c>
      <c r="M21" s="156" t="s">
        <v>30</v>
      </c>
    </row>
    <row r="22" spans="1:14" ht="15.75" x14ac:dyDescent="0.2">
      <c r="A22" s="14" t="s">
        <v>23</v>
      </c>
      <c r="B22" s="312">
        <v>14907.879000000001</v>
      </c>
      <c r="C22" s="312">
        <v>14161.934999999999</v>
      </c>
      <c r="D22" s="351">
        <f t="shared" ref="D22:D29" si="5">IF(B22=0, "    ---- ", IF(ABS(ROUND(100/B22*C22-100,1))&lt;999,ROUND(100/B22*C22-100,1),IF(ROUND(100/B22*C22-100,1)&gt;999,999,-999)))</f>
        <v>-5</v>
      </c>
      <c r="E22" s="11">
        <f>IFERROR(100/'Skjema total MA'!C22*C22,0)</f>
        <v>0.7982438583148127</v>
      </c>
      <c r="F22" s="320">
        <v>74305.157000000007</v>
      </c>
      <c r="G22" s="320">
        <v>72794.991999999998</v>
      </c>
      <c r="H22" s="351">
        <f t="shared" ref="H22:H35" si="6">IF(F22=0, "    ---- ", IF(ABS(ROUND(100/F22*G22-100,1))&lt;999,ROUND(100/F22*G22-100,1),IF(ROUND(100/F22*G22-100,1)&gt;999,999,-999)))</f>
        <v>-2</v>
      </c>
      <c r="I22" s="160">
        <f>IFERROR(100/'Skjema total MA'!F22*G22,0)</f>
        <v>4.8927729103566939</v>
      </c>
      <c r="J22" s="318">
        <f t="shared" ref="J22:K35" si="7">SUM(B22,F22)</f>
        <v>89213.036000000007</v>
      </c>
      <c r="K22" s="318">
        <f t="shared" si="7"/>
        <v>86956.926999999996</v>
      </c>
      <c r="L22" s="428">
        <f t="shared" ref="L22:L35" si="8">IF(J22=0, "    ---- ", IF(ABS(ROUND(100/J22*K22-100,1))&lt;999,ROUND(100/J22*K22-100,1),IF(ROUND(100/J22*K22-100,1)&gt;999,999,-999)))</f>
        <v>-2.5</v>
      </c>
      <c r="M22" s="24">
        <f>IFERROR(100/'Skjema total MA'!I22*K22,0)</f>
        <v>2.66580163804979</v>
      </c>
    </row>
    <row r="23" spans="1:14" ht="15.75" x14ac:dyDescent="0.2">
      <c r="A23" s="811" t="s">
        <v>447</v>
      </c>
      <c r="B23" s="283"/>
      <c r="C23" s="283"/>
      <c r="D23" s="166"/>
      <c r="E23" s="11"/>
      <c r="F23" s="292">
        <v>5168.0680000000002</v>
      </c>
      <c r="G23" s="292">
        <v>4447.1019999999999</v>
      </c>
      <c r="H23" s="166">
        <f t="shared" si="6"/>
        <v>-14</v>
      </c>
      <c r="I23" s="240">
        <f>IFERROR(100/'Skjema total MA'!F23*G23,0)</f>
        <v>2.4820281964627746</v>
      </c>
      <c r="J23" s="292">
        <f t="shared" ref="J23:J26" si="9">SUM(B23,F23)</f>
        <v>5168.0680000000002</v>
      </c>
      <c r="K23" s="292">
        <f t="shared" ref="K23:K26" si="10">SUM(C23,G23)</f>
        <v>4447.1019999999999</v>
      </c>
      <c r="L23" s="166">
        <f t="shared" si="8"/>
        <v>-14</v>
      </c>
      <c r="M23" s="23">
        <f>IFERROR(100/'Skjema total MA'!I23*K23,0)</f>
        <v>0.35518585365718569</v>
      </c>
    </row>
    <row r="24" spans="1:14" ht="15.75" x14ac:dyDescent="0.2">
      <c r="A24" s="811" t="s">
        <v>448</v>
      </c>
      <c r="B24" s="283"/>
      <c r="C24" s="283"/>
      <c r="D24" s="166"/>
      <c r="E24" s="11"/>
      <c r="F24" s="292">
        <v>0</v>
      </c>
      <c r="G24" s="292">
        <v>463.31299999999999</v>
      </c>
      <c r="H24" s="166" t="str">
        <f t="shared" si="6"/>
        <v xml:space="preserve">    ---- </v>
      </c>
      <c r="I24" s="240">
        <f>IFERROR(100/'Skjema total MA'!F24*G24,0)</f>
        <v>10.008946381686265</v>
      </c>
      <c r="J24" s="292">
        <f t="shared" si="9"/>
        <v>0</v>
      </c>
      <c r="K24" s="292">
        <f t="shared" si="10"/>
        <v>463.31299999999999</v>
      </c>
      <c r="L24" s="166" t="str">
        <f t="shared" si="8"/>
        <v xml:space="preserve">    ---- </v>
      </c>
      <c r="M24" s="23">
        <f>IFERROR(100/'Skjema total MA'!I24*K24,0)</f>
        <v>1.0729283217024843</v>
      </c>
    </row>
    <row r="25" spans="1:14" ht="15.75" x14ac:dyDescent="0.2">
      <c r="A25" s="811" t="s">
        <v>449</v>
      </c>
      <c r="B25" s="283"/>
      <c r="C25" s="283"/>
      <c r="D25" s="166"/>
      <c r="E25" s="11"/>
      <c r="F25" s="292">
        <v>1500.662</v>
      </c>
      <c r="G25" s="292">
        <v>1306.3520000000001</v>
      </c>
      <c r="H25" s="166">
        <f t="shared" si="6"/>
        <v>-12.9</v>
      </c>
      <c r="I25" s="240">
        <f>IFERROR(100/'Skjema total MA'!F25*G25,0)</f>
        <v>5.1241247972649022</v>
      </c>
      <c r="J25" s="292">
        <f t="shared" si="9"/>
        <v>1500.662</v>
      </c>
      <c r="K25" s="292">
        <f t="shared" si="10"/>
        <v>1306.3520000000001</v>
      </c>
      <c r="L25" s="166">
        <f t="shared" si="8"/>
        <v>-12.9</v>
      </c>
      <c r="M25" s="23">
        <f>IFERROR(100/'Skjema total MA'!I25*K25,0)</f>
        <v>2.0337189424879973</v>
      </c>
    </row>
    <row r="26" spans="1:14" ht="15.75" x14ac:dyDescent="0.2">
      <c r="A26" s="811" t="s">
        <v>450</v>
      </c>
      <c r="B26" s="283"/>
      <c r="C26" s="283"/>
      <c r="D26" s="166"/>
      <c r="E26" s="11"/>
      <c r="F26" s="292">
        <v>67636.426999999996</v>
      </c>
      <c r="G26" s="292">
        <v>66578.225000000006</v>
      </c>
      <c r="H26" s="166">
        <f t="shared" si="6"/>
        <v>-1.6</v>
      </c>
      <c r="I26" s="240">
        <f>IFERROR(100/'Skjema total MA'!F26*G26,0)</f>
        <v>5.1931179400369212</v>
      </c>
      <c r="J26" s="292">
        <f t="shared" si="9"/>
        <v>67636.426999999996</v>
      </c>
      <c r="K26" s="292">
        <f t="shared" si="10"/>
        <v>66578.225000000006</v>
      </c>
      <c r="L26" s="166">
        <f t="shared" si="8"/>
        <v>-1.6</v>
      </c>
      <c r="M26" s="23">
        <f>IFERROR(100/'Skjema total MA'!I26*K26,0)</f>
        <v>5.1931179400369212</v>
      </c>
    </row>
    <row r="27" spans="1:14" x14ac:dyDescent="0.2">
      <c r="A27" s="811" t="s">
        <v>11</v>
      </c>
      <c r="B27" s="283"/>
      <c r="C27" s="283"/>
      <c r="D27" s="166"/>
      <c r="E27" s="11"/>
      <c r="F27" s="292"/>
      <c r="G27" s="292"/>
      <c r="H27" s="166"/>
      <c r="I27" s="240"/>
      <c r="J27" s="292"/>
      <c r="K27" s="292"/>
      <c r="L27" s="166"/>
      <c r="M27" s="23"/>
    </row>
    <row r="28" spans="1:14" ht="15.75" x14ac:dyDescent="0.2">
      <c r="A28" s="49" t="s">
        <v>272</v>
      </c>
      <c r="B28" s="44">
        <v>14907.879000000001</v>
      </c>
      <c r="C28" s="289">
        <v>14161.934999999999</v>
      </c>
      <c r="D28" s="166">
        <f t="shared" si="5"/>
        <v>-5</v>
      </c>
      <c r="E28" s="11">
        <f>IFERROR(100/'Skjema total MA'!C28*C28,0)</f>
        <v>0.74287053925585966</v>
      </c>
      <c r="F28" s="234"/>
      <c r="G28" s="289"/>
      <c r="H28" s="166"/>
      <c r="I28" s="175"/>
      <c r="J28" s="44">
        <f t="shared" si="7"/>
        <v>14907.879000000001</v>
      </c>
      <c r="K28" s="44">
        <f t="shared" si="7"/>
        <v>14161.934999999999</v>
      </c>
      <c r="L28" s="257">
        <f t="shared" si="8"/>
        <v>-5</v>
      </c>
      <c r="M28" s="23">
        <f>IFERROR(100/'Skjema total MA'!I28*K28,0)</f>
        <v>0.74287053925585966</v>
      </c>
    </row>
    <row r="29" spans="1:14" s="3" customFormat="1" ht="15.75" x14ac:dyDescent="0.2">
      <c r="A29" s="13" t="s">
        <v>444</v>
      </c>
      <c r="B29" s="236">
        <v>105841.602</v>
      </c>
      <c r="C29" s="236">
        <v>124794.357</v>
      </c>
      <c r="D29" s="171">
        <f t="shared" si="5"/>
        <v>17.899999999999999</v>
      </c>
      <c r="E29" s="11">
        <f>IFERROR(100/'Skjema total MA'!C29*C29,0)</f>
        <v>0.27277604409648321</v>
      </c>
      <c r="F29" s="310">
        <v>2171678.7080000001</v>
      </c>
      <c r="G29" s="310">
        <v>2198605.6680000001</v>
      </c>
      <c r="H29" s="171">
        <f t="shared" si="6"/>
        <v>1.2</v>
      </c>
      <c r="I29" s="160">
        <f>IFERROR(100/'Skjema total MA'!F29*G29,0)</f>
        <v>8.9598605554280351</v>
      </c>
      <c r="J29" s="236">
        <f t="shared" si="7"/>
        <v>2277520.31</v>
      </c>
      <c r="K29" s="236">
        <f t="shared" si="7"/>
        <v>2323400.0249999999</v>
      </c>
      <c r="L29" s="429">
        <f t="shared" si="8"/>
        <v>2</v>
      </c>
      <c r="M29" s="24">
        <f>IFERROR(100/'Skjema total MA'!I29*K29,0)</f>
        <v>3.3055363077872393</v>
      </c>
      <c r="N29" s="148"/>
    </row>
    <row r="30" spans="1:14" s="3" customFormat="1" ht="15.75" x14ac:dyDescent="0.2">
      <c r="A30" s="811" t="s">
        <v>447</v>
      </c>
      <c r="B30" s="283"/>
      <c r="C30" s="283"/>
      <c r="D30" s="166"/>
      <c r="E30" s="11"/>
      <c r="F30" s="292">
        <v>630334.12899999996</v>
      </c>
      <c r="G30" s="292">
        <v>621411.29700000002</v>
      </c>
      <c r="H30" s="166">
        <f t="shared" si="6"/>
        <v>-1.4</v>
      </c>
      <c r="I30" s="240">
        <f>IFERROR(100/'Skjema total MA'!F30*G30,0)</f>
        <v>13.273268560782405</v>
      </c>
      <c r="J30" s="292">
        <f t="shared" ref="J30:J33" si="11">SUM(B30,F30)</f>
        <v>630334.12899999996</v>
      </c>
      <c r="K30" s="292">
        <f t="shared" ref="K30:K33" si="12">SUM(C30,G30)</f>
        <v>621411.29700000002</v>
      </c>
      <c r="L30" s="166">
        <f t="shared" si="8"/>
        <v>-1.4</v>
      </c>
      <c r="M30" s="23">
        <f>IFERROR(100/'Skjema total MA'!I30*K30,0)</f>
        <v>3.0319113992107969</v>
      </c>
      <c r="N30" s="148"/>
    </row>
    <row r="31" spans="1:14" s="3" customFormat="1" ht="15.75" x14ac:dyDescent="0.2">
      <c r="A31" s="811" t="s">
        <v>448</v>
      </c>
      <c r="B31" s="283"/>
      <c r="C31" s="283"/>
      <c r="D31" s="166"/>
      <c r="E31" s="11"/>
      <c r="F31" s="292">
        <v>1253132.6470000001</v>
      </c>
      <c r="G31" s="292">
        <v>1193143.625</v>
      </c>
      <c r="H31" s="166">
        <f t="shared" si="6"/>
        <v>-4.8</v>
      </c>
      <c r="I31" s="240">
        <f>IFERROR(100/'Skjema total MA'!F31*G31,0)</f>
        <v>12.493579259294521</v>
      </c>
      <c r="J31" s="292">
        <f t="shared" si="11"/>
        <v>1253132.6470000001</v>
      </c>
      <c r="K31" s="292">
        <f t="shared" si="12"/>
        <v>1193143.625</v>
      </c>
      <c r="L31" s="166">
        <f t="shared" si="8"/>
        <v>-4.8</v>
      </c>
      <c r="M31" s="23">
        <f>IFERROR(100/'Skjema total MA'!I31*K31,0)</f>
        <v>3.6061616135433177</v>
      </c>
      <c r="N31" s="148"/>
    </row>
    <row r="32" spans="1:14" ht="15.75" x14ac:dyDescent="0.2">
      <c r="A32" s="811" t="s">
        <v>449</v>
      </c>
      <c r="B32" s="283"/>
      <c r="C32" s="283"/>
      <c r="D32" s="166"/>
      <c r="E32" s="11"/>
      <c r="F32" s="292">
        <v>83864.794999999998</v>
      </c>
      <c r="G32" s="292">
        <v>90909.623000000007</v>
      </c>
      <c r="H32" s="166">
        <f t="shared" si="6"/>
        <v>8.4</v>
      </c>
      <c r="I32" s="240">
        <f>IFERROR(100/'Skjema total MA'!F32*G32,0)</f>
        <v>1.7341452217484037</v>
      </c>
      <c r="J32" s="292">
        <f t="shared" si="11"/>
        <v>83864.794999999998</v>
      </c>
      <c r="K32" s="292">
        <f t="shared" si="12"/>
        <v>90909.623000000007</v>
      </c>
      <c r="L32" s="166">
        <f t="shared" si="8"/>
        <v>8.4</v>
      </c>
      <c r="M32" s="23">
        <f>IFERROR(100/'Skjema total MA'!I32*K32,0)</f>
        <v>1.1094903502041213</v>
      </c>
    </row>
    <row r="33" spans="1:14" ht="15.75" x14ac:dyDescent="0.2">
      <c r="A33" s="811" t="s">
        <v>450</v>
      </c>
      <c r="B33" s="283"/>
      <c r="C33" s="283"/>
      <c r="D33" s="166"/>
      <c r="E33" s="11"/>
      <c r="F33" s="292">
        <v>204347.13699999999</v>
      </c>
      <c r="G33" s="292">
        <v>293141.12300000002</v>
      </c>
      <c r="H33" s="166">
        <f t="shared" si="6"/>
        <v>43.5</v>
      </c>
      <c r="I33" s="240">
        <f>IFERROR(100/'Skjema total MA'!F33*G33,0)</f>
        <v>5.7883476722595981</v>
      </c>
      <c r="J33" s="292">
        <f t="shared" si="11"/>
        <v>204347.13699999999</v>
      </c>
      <c r="K33" s="292">
        <f t="shared" si="12"/>
        <v>293141.12300000002</v>
      </c>
      <c r="L33" s="166">
        <f t="shared" si="8"/>
        <v>43.5</v>
      </c>
      <c r="M33" s="23">
        <f>IFERROR(100/'Skjema total MA'!I33*K33,0)</f>
        <v>5.7883476722595981</v>
      </c>
    </row>
    <row r="34" spans="1:14" ht="15.75" x14ac:dyDescent="0.2">
      <c r="A34" s="13" t="s">
        <v>445</v>
      </c>
      <c r="B34" s="236"/>
      <c r="C34" s="311"/>
      <c r="D34" s="171"/>
      <c r="E34" s="11"/>
      <c r="F34" s="310">
        <v>7512.335</v>
      </c>
      <c r="G34" s="311">
        <v>12456.976000000001</v>
      </c>
      <c r="H34" s="171">
        <f t="shared" si="6"/>
        <v>65.8</v>
      </c>
      <c r="I34" s="160">
        <f>IFERROR(100/'Skjema total MA'!F34*G34,0)</f>
        <v>6.8841139708990573</v>
      </c>
      <c r="J34" s="236">
        <f t="shared" si="7"/>
        <v>7512.335</v>
      </c>
      <c r="K34" s="236">
        <f t="shared" si="7"/>
        <v>12456.976000000001</v>
      </c>
      <c r="L34" s="429">
        <f t="shared" si="8"/>
        <v>65.8</v>
      </c>
      <c r="M34" s="24">
        <f>IFERROR(100/'Skjema total MA'!I34*K34,0)</f>
        <v>5.9662797831577254</v>
      </c>
    </row>
    <row r="35" spans="1:14" ht="15.75" x14ac:dyDescent="0.2">
      <c r="A35" s="13" t="s">
        <v>446</v>
      </c>
      <c r="B35" s="236"/>
      <c r="C35" s="311"/>
      <c r="D35" s="171"/>
      <c r="E35" s="11"/>
      <c r="F35" s="310">
        <v>10098.200999999999</v>
      </c>
      <c r="G35" s="311">
        <v>17277.651999999998</v>
      </c>
      <c r="H35" s="171">
        <f t="shared" si="6"/>
        <v>71.099999999999994</v>
      </c>
      <c r="I35" s="160">
        <f>IFERROR(100/'Skjema total MA'!F35*G35,0)</f>
        <v>10.394366632985943</v>
      </c>
      <c r="J35" s="236">
        <f t="shared" si="7"/>
        <v>10098.200999999999</v>
      </c>
      <c r="K35" s="236">
        <f t="shared" si="7"/>
        <v>17277.651999999998</v>
      </c>
      <c r="L35" s="429">
        <f t="shared" si="8"/>
        <v>71.099999999999994</v>
      </c>
      <c r="M35" s="24">
        <f>IFERROR(100/'Skjema total MA'!I35*K35,0)</f>
        <v>40.8191851586826</v>
      </c>
    </row>
    <row r="36" spans="1:14" ht="15.75" x14ac:dyDescent="0.2">
      <c r="A36" s="12" t="s">
        <v>280</v>
      </c>
      <c r="B36" s="236"/>
      <c r="C36" s="311"/>
      <c r="D36" s="171"/>
      <c r="E36" s="11"/>
      <c r="F36" s="321"/>
      <c r="G36" s="322"/>
      <c r="H36" s="171"/>
      <c r="I36" s="431"/>
      <c r="J36" s="236"/>
      <c r="K36" s="236"/>
      <c r="L36" s="429"/>
      <c r="M36" s="24"/>
    </row>
    <row r="37" spans="1:14" ht="15.75" x14ac:dyDescent="0.2">
      <c r="A37" s="12" t="s">
        <v>452</v>
      </c>
      <c r="B37" s="236"/>
      <c r="C37" s="311"/>
      <c r="D37" s="171"/>
      <c r="E37" s="11"/>
      <c r="F37" s="321"/>
      <c r="G37" s="323"/>
      <c r="H37" s="171"/>
      <c r="I37" s="431"/>
      <c r="J37" s="236"/>
      <c r="K37" s="236"/>
      <c r="L37" s="429"/>
      <c r="M37" s="24"/>
    </row>
    <row r="38" spans="1:14" ht="15.75" x14ac:dyDescent="0.2">
      <c r="A38" s="12" t="s">
        <v>453</v>
      </c>
      <c r="B38" s="236"/>
      <c r="C38" s="311"/>
      <c r="D38" s="171"/>
      <c r="E38" s="24"/>
      <c r="F38" s="321"/>
      <c r="G38" s="322"/>
      <c r="H38" s="171"/>
      <c r="I38" s="431"/>
      <c r="J38" s="236"/>
      <c r="K38" s="236"/>
      <c r="L38" s="429"/>
      <c r="M38" s="24"/>
    </row>
    <row r="39" spans="1:14" ht="15.75" x14ac:dyDescent="0.2">
      <c r="A39" s="18" t="s">
        <v>454</v>
      </c>
      <c r="B39" s="278"/>
      <c r="C39" s="317"/>
      <c r="D39" s="169"/>
      <c r="E39" s="36"/>
      <c r="F39" s="324"/>
      <c r="G39" s="325"/>
      <c r="H39" s="169"/>
      <c r="I39" s="169"/>
      <c r="J39" s="236"/>
      <c r="K39" s="236"/>
      <c r="L39" s="430"/>
      <c r="M39" s="36"/>
    </row>
    <row r="40" spans="1:14" ht="15.75" x14ac:dyDescent="0.25">
      <c r="A40" s="47"/>
      <c r="B40" s="256"/>
      <c r="C40" s="256"/>
      <c r="D40" s="1026"/>
      <c r="E40" s="1026"/>
      <c r="F40" s="1026"/>
      <c r="G40" s="1026"/>
      <c r="H40" s="1026"/>
      <c r="I40" s="1026"/>
      <c r="J40" s="1026"/>
      <c r="K40" s="1026"/>
      <c r="L40" s="1026"/>
      <c r="M40" s="408"/>
    </row>
    <row r="41" spans="1:14" x14ac:dyDescent="0.2">
      <c r="A41" s="155"/>
    </row>
    <row r="42" spans="1:14" ht="15.75" x14ac:dyDescent="0.25">
      <c r="A42" s="147" t="s">
        <v>269</v>
      </c>
      <c r="B42" s="1027"/>
      <c r="C42" s="1027"/>
      <c r="D42" s="1027"/>
      <c r="E42" s="407"/>
      <c r="F42" s="1028"/>
      <c r="G42" s="1028"/>
      <c r="H42" s="1028"/>
      <c r="I42" s="408"/>
      <c r="J42" s="1028"/>
      <c r="K42" s="1028"/>
      <c r="L42" s="1028"/>
      <c r="M42" s="408"/>
    </row>
    <row r="43" spans="1:14" ht="15.75" x14ac:dyDescent="0.25">
      <c r="A43" s="163"/>
      <c r="B43" s="404"/>
      <c r="C43" s="404"/>
      <c r="D43" s="404"/>
      <c r="E43" s="404"/>
      <c r="F43" s="408"/>
      <c r="G43" s="408"/>
      <c r="H43" s="408"/>
      <c r="I43" s="408"/>
      <c r="J43" s="408"/>
      <c r="K43" s="408"/>
      <c r="L43" s="408"/>
      <c r="M43" s="408"/>
    </row>
    <row r="44" spans="1:14" ht="15.75" x14ac:dyDescent="0.25">
      <c r="A44" s="247"/>
      <c r="B44" s="1023" t="s">
        <v>0</v>
      </c>
      <c r="C44" s="1024"/>
      <c r="D44" s="1024"/>
      <c r="E44" s="243"/>
      <c r="F44" s="408"/>
      <c r="G44" s="408"/>
      <c r="H44" s="408"/>
      <c r="I44" s="408"/>
      <c r="J44" s="408"/>
      <c r="K44" s="408"/>
      <c r="L44" s="408"/>
      <c r="M44" s="408"/>
    </row>
    <row r="45" spans="1:14" s="3" customFormat="1" x14ac:dyDescent="0.2">
      <c r="A45" s="140"/>
      <c r="B45" s="152" t="s">
        <v>502</v>
      </c>
      <c r="C45" s="152" t="s">
        <v>503</v>
      </c>
      <c r="D45" s="162" t="s">
        <v>3</v>
      </c>
      <c r="E45" s="162" t="s">
        <v>29</v>
      </c>
      <c r="F45" s="174"/>
      <c r="G45" s="174"/>
      <c r="H45" s="173"/>
      <c r="I45" s="173"/>
      <c r="J45" s="174"/>
      <c r="K45" s="174"/>
      <c r="L45" s="173"/>
      <c r="M45" s="173"/>
      <c r="N45" s="148"/>
    </row>
    <row r="46" spans="1:14" s="3" customFormat="1" x14ac:dyDescent="0.2">
      <c r="A46" s="990"/>
      <c r="B46" s="244"/>
      <c r="C46" s="244"/>
      <c r="D46" s="245" t="s">
        <v>4</v>
      </c>
      <c r="E46" s="156" t="s">
        <v>30</v>
      </c>
      <c r="F46" s="173"/>
      <c r="G46" s="173"/>
      <c r="H46" s="173"/>
      <c r="I46" s="173"/>
      <c r="J46" s="173"/>
      <c r="K46" s="173"/>
      <c r="L46" s="173"/>
      <c r="M46" s="173"/>
      <c r="N46" s="148"/>
    </row>
    <row r="47" spans="1:14" s="3" customFormat="1" ht="15.75" x14ac:dyDescent="0.2">
      <c r="A47" s="14" t="s">
        <v>23</v>
      </c>
      <c r="B47" s="312">
        <v>7727.1229999999996</v>
      </c>
      <c r="C47" s="313">
        <v>8042.701</v>
      </c>
      <c r="D47" s="428">
        <f t="shared" ref="D47:D48" si="13">IF(B47=0, "    ---- ", IF(ABS(ROUND(100/B47*C47-100,1))&lt;999,ROUND(100/B47*C47-100,1),IF(ROUND(100/B47*C47-100,1)&gt;999,999,-999)))</f>
        <v>4.0999999999999996</v>
      </c>
      <c r="E47" s="11">
        <f>IFERROR(100/'Skjema total MA'!C47*C47,0)</f>
        <v>0.16836033484295732</v>
      </c>
      <c r="F47" s="145"/>
      <c r="G47" s="33"/>
      <c r="H47" s="159"/>
      <c r="I47" s="159"/>
      <c r="J47" s="37"/>
      <c r="K47" s="37"/>
      <c r="L47" s="159"/>
      <c r="M47" s="159"/>
      <c r="N47" s="148"/>
    </row>
    <row r="48" spans="1:14" s="3" customFormat="1" ht="15.75" x14ac:dyDescent="0.2">
      <c r="A48" s="38" t="s">
        <v>455</v>
      </c>
      <c r="B48" s="283">
        <v>7727.1229999999996</v>
      </c>
      <c r="C48" s="284">
        <v>8042.701</v>
      </c>
      <c r="D48" s="257">
        <f t="shared" si="13"/>
        <v>4.0999999999999996</v>
      </c>
      <c r="E48" s="27">
        <f>IFERROR(100/'Skjema total MA'!C48*C48,0)</f>
        <v>0.30186055547869317</v>
      </c>
      <c r="F48" s="145"/>
      <c r="G48" s="33"/>
      <c r="H48" s="145"/>
      <c r="I48" s="145"/>
      <c r="J48" s="33"/>
      <c r="K48" s="33"/>
      <c r="L48" s="159"/>
      <c r="M48" s="159"/>
      <c r="N48" s="148"/>
    </row>
    <row r="49" spans="1:14" s="3" customFormat="1" ht="15.75" x14ac:dyDescent="0.2">
      <c r="A49" s="38" t="s">
        <v>456</v>
      </c>
      <c r="B49" s="44"/>
      <c r="C49" s="289"/>
      <c r="D49" s="257"/>
      <c r="E49" s="27"/>
      <c r="F49" s="145"/>
      <c r="G49" s="33"/>
      <c r="H49" s="145"/>
      <c r="I49" s="145"/>
      <c r="J49" s="37"/>
      <c r="K49" s="37"/>
      <c r="L49" s="159"/>
      <c r="M49" s="159"/>
      <c r="N49" s="148"/>
    </row>
    <row r="50" spans="1:14" s="3" customFormat="1" x14ac:dyDescent="0.2">
      <c r="A50" s="298" t="s">
        <v>6</v>
      </c>
      <c r="B50" s="292"/>
      <c r="C50" s="293"/>
      <c r="D50" s="257"/>
      <c r="E50" s="23"/>
      <c r="F50" s="145"/>
      <c r="G50" s="33"/>
      <c r="H50" s="145"/>
      <c r="I50" s="145"/>
      <c r="J50" s="33"/>
      <c r="K50" s="33"/>
      <c r="L50" s="159"/>
      <c r="M50" s="159"/>
      <c r="N50" s="148"/>
    </row>
    <row r="51" spans="1:14" s="3" customFormat="1" x14ac:dyDescent="0.2">
      <c r="A51" s="298" t="s">
        <v>7</v>
      </c>
      <c r="B51" s="292"/>
      <c r="C51" s="293"/>
      <c r="D51" s="257"/>
      <c r="E51" s="23"/>
      <c r="F51" s="145"/>
      <c r="G51" s="33"/>
      <c r="H51" s="145"/>
      <c r="I51" s="145"/>
      <c r="J51" s="33"/>
      <c r="K51" s="33"/>
      <c r="L51" s="159"/>
      <c r="M51" s="159"/>
      <c r="N51" s="148"/>
    </row>
    <row r="52" spans="1:14" s="3" customFormat="1" x14ac:dyDescent="0.2">
      <c r="A52" s="298" t="s">
        <v>8</v>
      </c>
      <c r="B52" s="292"/>
      <c r="C52" s="293"/>
      <c r="D52" s="257"/>
      <c r="E52" s="23"/>
      <c r="F52" s="145"/>
      <c r="G52" s="33"/>
      <c r="H52" s="145"/>
      <c r="I52" s="145"/>
      <c r="J52" s="33"/>
      <c r="K52" s="33"/>
      <c r="L52" s="159"/>
      <c r="M52" s="159"/>
      <c r="N52" s="148"/>
    </row>
    <row r="53" spans="1:14" s="3" customFormat="1" ht="15.75" x14ac:dyDescent="0.2">
      <c r="A53" s="39" t="s">
        <v>457</v>
      </c>
      <c r="B53" s="312"/>
      <c r="C53" s="313"/>
      <c r="D53" s="429"/>
      <c r="E53" s="11"/>
      <c r="F53" s="145"/>
      <c r="G53" s="33"/>
      <c r="H53" s="145"/>
      <c r="I53" s="145"/>
      <c r="J53" s="33"/>
      <c r="K53" s="33"/>
      <c r="L53" s="159"/>
      <c r="M53" s="159"/>
      <c r="N53" s="148"/>
    </row>
    <row r="54" spans="1:14" s="3" customFormat="1" ht="15.75" x14ac:dyDescent="0.2">
      <c r="A54" s="38" t="s">
        <v>455</v>
      </c>
      <c r="B54" s="283"/>
      <c r="C54" s="284"/>
      <c r="D54" s="257"/>
      <c r="E54" s="27"/>
      <c r="F54" s="145"/>
      <c r="G54" s="33"/>
      <c r="H54" s="145"/>
      <c r="I54" s="145"/>
      <c r="J54" s="33"/>
      <c r="K54" s="33"/>
      <c r="L54" s="159"/>
      <c r="M54" s="159"/>
      <c r="N54" s="148"/>
    </row>
    <row r="55" spans="1:14" s="3" customFormat="1" ht="15.75" x14ac:dyDescent="0.2">
      <c r="A55" s="38" t="s">
        <v>456</v>
      </c>
      <c r="B55" s="283"/>
      <c r="C55" s="284"/>
      <c r="D55" s="257"/>
      <c r="E55" s="27"/>
      <c r="F55" s="145"/>
      <c r="G55" s="33"/>
      <c r="H55" s="145"/>
      <c r="I55" s="145"/>
      <c r="J55" s="33"/>
      <c r="K55" s="33"/>
      <c r="L55" s="159"/>
      <c r="M55" s="159"/>
      <c r="N55" s="148"/>
    </row>
    <row r="56" spans="1:14" s="3" customFormat="1" ht="15.75" x14ac:dyDescent="0.2">
      <c r="A56" s="39" t="s">
        <v>458</v>
      </c>
      <c r="B56" s="312"/>
      <c r="C56" s="313"/>
      <c r="D56" s="429"/>
      <c r="E56" s="11"/>
      <c r="F56" s="145"/>
      <c r="G56" s="33"/>
      <c r="H56" s="145"/>
      <c r="I56" s="145"/>
      <c r="J56" s="33"/>
      <c r="K56" s="33"/>
      <c r="L56" s="159"/>
      <c r="M56" s="159"/>
      <c r="N56" s="148"/>
    </row>
    <row r="57" spans="1:14" s="3" customFormat="1" ht="15.75" x14ac:dyDescent="0.2">
      <c r="A57" s="38" t="s">
        <v>455</v>
      </c>
      <c r="B57" s="283"/>
      <c r="C57" s="284"/>
      <c r="D57" s="257"/>
      <c r="E57" s="27"/>
      <c r="F57" s="145"/>
      <c r="G57" s="33"/>
      <c r="H57" s="145"/>
      <c r="I57" s="145"/>
      <c r="J57" s="33"/>
      <c r="K57" s="33"/>
      <c r="L57" s="159"/>
      <c r="M57" s="159"/>
      <c r="N57" s="148"/>
    </row>
    <row r="58" spans="1:14" s="3" customFormat="1" ht="15.75" x14ac:dyDescent="0.2">
      <c r="A58" s="46" t="s">
        <v>456</v>
      </c>
      <c r="B58" s="285"/>
      <c r="C58" s="286"/>
      <c r="D58" s="258"/>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1022"/>
      <c r="C62" s="1022"/>
      <c r="D62" s="1022"/>
      <c r="E62" s="407"/>
      <c r="F62" s="1022"/>
      <c r="G62" s="1022"/>
      <c r="H62" s="1022"/>
      <c r="I62" s="407"/>
      <c r="J62" s="1022"/>
      <c r="K62" s="1022"/>
      <c r="L62" s="1022"/>
      <c r="M62" s="407"/>
    </row>
    <row r="63" spans="1:14" x14ac:dyDescent="0.2">
      <c r="A63" s="144"/>
      <c r="B63" s="1023" t="s">
        <v>0</v>
      </c>
      <c r="C63" s="1024"/>
      <c r="D63" s="1025"/>
      <c r="E63" s="405"/>
      <c r="F63" s="1024" t="s">
        <v>1</v>
      </c>
      <c r="G63" s="1024"/>
      <c r="H63" s="1024"/>
      <c r="I63" s="409"/>
      <c r="J63" s="1023" t="s">
        <v>2</v>
      </c>
      <c r="K63" s="1024"/>
      <c r="L63" s="1024"/>
      <c r="M63" s="409"/>
    </row>
    <row r="64" spans="1:14" x14ac:dyDescent="0.2">
      <c r="A64" s="140"/>
      <c r="B64" s="152" t="s">
        <v>502</v>
      </c>
      <c r="C64" s="152" t="s">
        <v>503</v>
      </c>
      <c r="D64" s="245" t="s">
        <v>3</v>
      </c>
      <c r="E64" s="307" t="s">
        <v>29</v>
      </c>
      <c r="F64" s="152" t="s">
        <v>502</v>
      </c>
      <c r="G64" s="152" t="s">
        <v>503</v>
      </c>
      <c r="H64" s="245" t="s">
        <v>3</v>
      </c>
      <c r="I64" s="307" t="s">
        <v>29</v>
      </c>
      <c r="J64" s="152" t="s">
        <v>502</v>
      </c>
      <c r="K64" s="152" t="s">
        <v>503</v>
      </c>
      <c r="L64" s="245" t="s">
        <v>3</v>
      </c>
      <c r="M64" s="162" t="s">
        <v>29</v>
      </c>
    </row>
    <row r="65" spans="1:14" x14ac:dyDescent="0.2">
      <c r="A65" s="990"/>
      <c r="B65" s="156"/>
      <c r="C65" s="156"/>
      <c r="D65" s="246" t="s">
        <v>4</v>
      </c>
      <c r="E65" s="156" t="s">
        <v>30</v>
      </c>
      <c r="F65" s="161"/>
      <c r="G65" s="161"/>
      <c r="H65" s="245" t="s">
        <v>4</v>
      </c>
      <c r="I65" s="156" t="s">
        <v>30</v>
      </c>
      <c r="J65" s="161"/>
      <c r="K65" s="206"/>
      <c r="L65" s="156" t="s">
        <v>4</v>
      </c>
      <c r="M65" s="156" t="s">
        <v>30</v>
      </c>
    </row>
    <row r="66" spans="1:14" ht="15.75" x14ac:dyDescent="0.2">
      <c r="A66" s="14" t="s">
        <v>23</v>
      </c>
      <c r="B66" s="354">
        <v>116867.069</v>
      </c>
      <c r="C66" s="354">
        <v>130142.849</v>
      </c>
      <c r="D66" s="351">
        <f t="shared" ref="D66:D124" si="14">IF(B66=0, "    ---- ", IF(ABS(ROUND(100/B66*C66-100,1))&lt;999,ROUND(100/B66*C66-100,1),IF(ROUND(100/B66*C66-100,1)&gt;999,999,-999)))</f>
        <v>11.4</v>
      </c>
      <c r="E66" s="11">
        <f>IFERROR(100/'Skjema total MA'!C66*C66,0)</f>
        <v>1.7522947729692715</v>
      </c>
      <c r="F66" s="353">
        <v>1615809.59</v>
      </c>
      <c r="G66" s="353">
        <v>1753893.95</v>
      </c>
      <c r="H66" s="351">
        <f t="shared" ref="H66:H125" si="15">IF(F66=0, "    ---- ", IF(ABS(ROUND(100/F66*G66-100,1))&lt;999,ROUND(100/F66*G66-100,1),IF(ROUND(100/F66*G66-100,1)&gt;999,999,-999)))</f>
        <v>8.5</v>
      </c>
      <c r="I66" s="11">
        <f>IFERROR(100/'Skjema total MA'!F66*G66,0)</f>
        <v>5.0093868844358207</v>
      </c>
      <c r="J66" s="311">
        <f t="shared" ref="J66:K79" si="16">SUM(B66,F66)</f>
        <v>1732676.659</v>
      </c>
      <c r="K66" s="318">
        <f t="shared" si="16"/>
        <v>1884036.7989999999</v>
      </c>
      <c r="L66" s="429">
        <f t="shared" ref="L66:L125" si="17">IF(J66=0, "    ---- ", IF(ABS(ROUND(100/J66*K66-100,1))&lt;999,ROUND(100/J66*K66-100,1),IF(ROUND(100/J66*K66-100,1)&gt;999,999,-999)))</f>
        <v>8.6999999999999993</v>
      </c>
      <c r="M66" s="11">
        <f>IFERROR(100/'Skjema total MA'!I66*K66,0)</f>
        <v>4.4393846246896818</v>
      </c>
    </row>
    <row r="67" spans="1:14" x14ac:dyDescent="0.2">
      <c r="A67" s="21" t="s">
        <v>9</v>
      </c>
      <c r="B67" s="44">
        <v>116867.069</v>
      </c>
      <c r="C67" s="145">
        <v>130142.849</v>
      </c>
      <c r="D67" s="166">
        <f t="shared" si="14"/>
        <v>11.4</v>
      </c>
      <c r="E67" s="27">
        <f>IFERROR(100/'Skjema total MA'!C67*C67,0)</f>
        <v>2.5326926295555885</v>
      </c>
      <c r="F67" s="234"/>
      <c r="G67" s="145"/>
      <c r="H67" s="166"/>
      <c r="I67" s="27"/>
      <c r="J67" s="289">
        <f t="shared" si="16"/>
        <v>116867.069</v>
      </c>
      <c r="K67" s="44">
        <f t="shared" si="16"/>
        <v>130142.849</v>
      </c>
      <c r="L67" s="257">
        <f t="shared" si="17"/>
        <v>11.4</v>
      </c>
      <c r="M67" s="27">
        <f>IFERROR(100/'Skjema total MA'!I67*K67,0)</f>
        <v>2.5326926295555885</v>
      </c>
    </row>
    <row r="68" spans="1:14" x14ac:dyDescent="0.2">
      <c r="A68" s="21" t="s">
        <v>10</v>
      </c>
      <c r="B68" s="294"/>
      <c r="C68" s="295"/>
      <c r="D68" s="166"/>
      <c r="E68" s="27"/>
      <c r="F68" s="294">
        <v>1615809.59</v>
      </c>
      <c r="G68" s="295">
        <v>1753893.95</v>
      </c>
      <c r="H68" s="166">
        <f t="shared" si="15"/>
        <v>8.5</v>
      </c>
      <c r="I68" s="27">
        <f>IFERROR(100/'Skjema total MA'!F68*G68,0)</f>
        <v>5.2147757404456287</v>
      </c>
      <c r="J68" s="289">
        <f t="shared" si="16"/>
        <v>1615809.59</v>
      </c>
      <c r="K68" s="44">
        <f t="shared" si="16"/>
        <v>1753893.95</v>
      </c>
      <c r="L68" s="257">
        <f t="shared" si="17"/>
        <v>8.5</v>
      </c>
      <c r="M68" s="27">
        <f>IFERROR(100/'Skjema total MA'!I68*K68,0)</f>
        <v>5.1957310817321174</v>
      </c>
    </row>
    <row r="69" spans="1:14" ht="15.75" x14ac:dyDescent="0.2">
      <c r="A69" s="298" t="s">
        <v>459</v>
      </c>
      <c r="B69" s="283"/>
      <c r="C69" s="283"/>
      <c r="D69" s="166"/>
      <c r="E69" s="418"/>
      <c r="F69" s="283"/>
      <c r="G69" s="283"/>
      <c r="H69" s="166"/>
      <c r="I69" s="418"/>
      <c r="J69" s="292"/>
      <c r="K69" s="292"/>
      <c r="L69" s="166"/>
      <c r="M69" s="23"/>
    </row>
    <row r="70" spans="1:14" x14ac:dyDescent="0.2">
      <c r="A70" s="298" t="s">
        <v>12</v>
      </c>
      <c r="B70" s="296"/>
      <c r="C70" s="297"/>
      <c r="D70" s="166"/>
      <c r="E70" s="418"/>
      <c r="F70" s="283"/>
      <c r="G70" s="283"/>
      <c r="H70" s="166"/>
      <c r="I70" s="418"/>
      <c r="J70" s="292"/>
      <c r="K70" s="292"/>
      <c r="L70" s="166"/>
      <c r="M70" s="23"/>
    </row>
    <row r="71" spans="1:14" x14ac:dyDescent="0.2">
      <c r="A71" s="298" t="s">
        <v>13</v>
      </c>
      <c r="B71" s="235"/>
      <c r="C71" s="291"/>
      <c r="D71" s="166"/>
      <c r="E71" s="418"/>
      <c r="F71" s="283"/>
      <c r="G71" s="283"/>
      <c r="H71" s="166"/>
      <c r="I71" s="418"/>
      <c r="J71" s="292"/>
      <c r="K71" s="292"/>
      <c r="L71" s="166"/>
      <c r="M71" s="23"/>
    </row>
    <row r="72" spans="1:14" ht="15.75" x14ac:dyDescent="0.2">
      <c r="A72" s="298" t="s">
        <v>460</v>
      </c>
      <c r="B72" s="283"/>
      <c r="C72" s="283"/>
      <c r="D72" s="166"/>
      <c r="E72" s="418"/>
      <c r="F72" s="283">
        <v>1615809.59</v>
      </c>
      <c r="G72" s="283">
        <v>1753893.95</v>
      </c>
      <c r="H72" s="166">
        <f t="shared" ref="H72" si="18">IF(F72=0, "    ---- ", IF(ABS(ROUND(100/F72*G72-100,1))&lt;999,ROUND(100/F72*G72-100,1),IF(ROUND(100/F72*G72-100,1)&gt;999,999,-999)))</f>
        <v>8.5</v>
      </c>
      <c r="I72" s="27">
        <f>IFERROR(100/'Skjema total MA'!F72*G72,0)</f>
        <v>5.215162770557277</v>
      </c>
      <c r="J72" s="289">
        <f t="shared" ref="J72" si="19">SUM(B72,F72)</f>
        <v>1615809.59</v>
      </c>
      <c r="K72" s="44">
        <f t="shared" ref="K72" si="20">SUM(C72,G72)</f>
        <v>1753893.95</v>
      </c>
      <c r="L72" s="257">
        <f t="shared" ref="L72" si="21">IF(J72=0, "    ---- ", IF(ABS(ROUND(100/J72*K72-100,1))&lt;999,ROUND(100/J72*K72-100,1),IF(ROUND(100/J72*K72-100,1)&gt;999,999,-999)))</f>
        <v>8.5</v>
      </c>
      <c r="M72" s="27">
        <f>IFERROR(100/'Skjema total MA'!I72*K72,0)</f>
        <v>5.197740183102268</v>
      </c>
    </row>
    <row r="73" spans="1:14" x14ac:dyDescent="0.2">
      <c r="A73" s="298" t="s">
        <v>12</v>
      </c>
      <c r="B73" s="235"/>
      <c r="C73" s="291"/>
      <c r="D73" s="166"/>
      <c r="E73" s="418"/>
      <c r="F73" s="283"/>
      <c r="G73" s="283"/>
      <c r="H73" s="166"/>
      <c r="I73" s="418"/>
      <c r="J73" s="292"/>
      <c r="K73" s="292"/>
      <c r="L73" s="166"/>
      <c r="M73" s="23"/>
    </row>
    <row r="74" spans="1:14" s="3" customFormat="1" x14ac:dyDescent="0.2">
      <c r="A74" s="298" t="s">
        <v>13</v>
      </c>
      <c r="B74" s="235"/>
      <c r="C74" s="291"/>
      <c r="D74" s="166"/>
      <c r="E74" s="418"/>
      <c r="F74" s="283">
        <v>1615809.59</v>
      </c>
      <c r="G74" s="283">
        <v>1753893.95</v>
      </c>
      <c r="H74" s="166">
        <f t="shared" ref="H74" si="22">IF(F74=0, "    ---- ", IF(ABS(ROUND(100/F74*G74-100,1))&lt;999,ROUND(100/F74*G74-100,1),IF(ROUND(100/F74*G74-100,1)&gt;999,999,-999)))</f>
        <v>8.5</v>
      </c>
      <c r="I74" s="27">
        <f>IFERROR(100/'Skjema total MA'!F74*G74,0)</f>
        <v>5.2153204831937181</v>
      </c>
      <c r="J74" s="289">
        <f t="shared" ref="J74" si="23">SUM(B74,F74)</f>
        <v>1615809.59</v>
      </c>
      <c r="K74" s="44">
        <f t="shared" ref="K74" si="24">SUM(C74,G74)</f>
        <v>1753893.95</v>
      </c>
      <c r="L74" s="257">
        <f t="shared" ref="L74" si="25">IF(J74=0, "    ---- ", IF(ABS(ROUND(100/J74*K74-100,1))&lt;999,ROUND(100/J74*K74-100,1),IF(ROUND(100/J74*K74-100,1)&gt;999,999,-999)))</f>
        <v>8.5</v>
      </c>
      <c r="M74" s="27">
        <f>IFERROR(100/'Skjema total MA'!I74*K74,0)</f>
        <v>5.2153204831937181</v>
      </c>
      <c r="N74" s="148"/>
    </row>
    <row r="75" spans="1:14" s="3" customFormat="1" x14ac:dyDescent="0.2">
      <c r="A75" s="21" t="s">
        <v>346</v>
      </c>
      <c r="B75" s="234"/>
      <c r="C75" s="145"/>
      <c r="D75" s="166"/>
      <c r="E75" s="27"/>
      <c r="F75" s="234"/>
      <c r="G75" s="145"/>
      <c r="H75" s="166"/>
      <c r="I75" s="27"/>
      <c r="J75" s="289"/>
      <c r="K75" s="44"/>
      <c r="L75" s="257"/>
      <c r="M75" s="27"/>
      <c r="N75" s="148"/>
    </row>
    <row r="76" spans="1:14" s="3" customFormat="1" x14ac:dyDescent="0.2">
      <c r="A76" s="21" t="s">
        <v>345</v>
      </c>
      <c r="B76" s="234"/>
      <c r="C76" s="145"/>
      <c r="D76" s="166"/>
      <c r="E76" s="27"/>
      <c r="F76" s="234"/>
      <c r="G76" s="145"/>
      <c r="H76" s="166"/>
      <c r="I76" s="27"/>
      <c r="J76" s="289"/>
      <c r="K76" s="44"/>
      <c r="L76" s="257"/>
      <c r="M76" s="27"/>
      <c r="N76" s="148"/>
    </row>
    <row r="77" spans="1:14" ht="15.75" x14ac:dyDescent="0.2">
      <c r="A77" s="21" t="s">
        <v>461</v>
      </c>
      <c r="B77" s="234">
        <v>116867.069</v>
      </c>
      <c r="C77" s="234">
        <v>130142.849</v>
      </c>
      <c r="D77" s="166">
        <f t="shared" si="14"/>
        <v>11.4</v>
      </c>
      <c r="E77" s="27">
        <f>IFERROR(100/'Skjema total MA'!C77*C77,0)</f>
        <v>2.542864341975235</v>
      </c>
      <c r="F77" s="234">
        <v>1615809.59</v>
      </c>
      <c r="G77" s="145">
        <v>1753893.95</v>
      </c>
      <c r="H77" s="166">
        <f t="shared" si="15"/>
        <v>8.5</v>
      </c>
      <c r="I77" s="27">
        <f>IFERROR(100/'Skjema total MA'!F77*G77,0)</f>
        <v>5.2169762960274033</v>
      </c>
      <c r="J77" s="289">
        <f t="shared" si="16"/>
        <v>1732676.659</v>
      </c>
      <c r="K77" s="44">
        <f t="shared" si="16"/>
        <v>1884036.7989999999</v>
      </c>
      <c r="L77" s="257">
        <f t="shared" si="17"/>
        <v>8.6999999999999993</v>
      </c>
      <c r="M77" s="27">
        <f>IFERROR(100/'Skjema total MA'!I77*K77,0)</f>
        <v>4.8636699652459896</v>
      </c>
    </row>
    <row r="78" spans="1:14" x14ac:dyDescent="0.2">
      <c r="A78" s="21" t="s">
        <v>9</v>
      </c>
      <c r="B78" s="234">
        <v>116867.069</v>
      </c>
      <c r="C78" s="145">
        <v>130142.849</v>
      </c>
      <c r="D78" s="166">
        <f t="shared" si="14"/>
        <v>11.4</v>
      </c>
      <c r="E78" s="27">
        <f>IFERROR(100/'Skjema total MA'!C78*C78,0)</f>
        <v>2.6043229403927848</v>
      </c>
      <c r="F78" s="234"/>
      <c r="G78" s="145"/>
      <c r="H78" s="166"/>
      <c r="I78" s="27"/>
      <c r="J78" s="289">
        <f t="shared" si="16"/>
        <v>116867.069</v>
      </c>
      <c r="K78" s="44">
        <f t="shared" si="16"/>
        <v>130142.849</v>
      </c>
      <c r="L78" s="257">
        <f t="shared" si="17"/>
        <v>11.4</v>
      </c>
      <c r="M78" s="27">
        <f>IFERROR(100/'Skjema total MA'!I78*K78,0)</f>
        <v>2.6043229403927848</v>
      </c>
    </row>
    <row r="79" spans="1:14" x14ac:dyDescent="0.2">
      <c r="A79" s="21" t="s">
        <v>10</v>
      </c>
      <c r="B79" s="294"/>
      <c r="C79" s="295"/>
      <c r="D79" s="166"/>
      <c r="E79" s="27"/>
      <c r="F79" s="294">
        <v>1615809.59</v>
      </c>
      <c r="G79" s="295">
        <v>1753893.95</v>
      </c>
      <c r="H79" s="166">
        <f t="shared" si="15"/>
        <v>8.5</v>
      </c>
      <c r="I79" s="27">
        <f>IFERROR(100/'Skjema total MA'!F79*G79,0)</f>
        <v>5.2169762960274033</v>
      </c>
      <c r="J79" s="289">
        <f t="shared" si="16"/>
        <v>1615809.59</v>
      </c>
      <c r="K79" s="44">
        <f t="shared" si="16"/>
        <v>1753893.95</v>
      </c>
      <c r="L79" s="257">
        <f t="shared" si="17"/>
        <v>8.5</v>
      </c>
      <c r="M79" s="27">
        <f>IFERROR(100/'Skjema total MA'!I79*K79,0)</f>
        <v>5.1983012401523823</v>
      </c>
    </row>
    <row r="80" spans="1:14" ht="15.75" x14ac:dyDescent="0.2">
      <c r="A80" s="298" t="s">
        <v>459</v>
      </c>
      <c r="B80" s="283"/>
      <c r="C80" s="283"/>
      <c r="D80" s="166"/>
      <c r="E80" s="418"/>
      <c r="F80" s="283"/>
      <c r="G80" s="283"/>
      <c r="H80" s="166"/>
      <c r="I80" s="418"/>
      <c r="J80" s="292"/>
      <c r="K80" s="292"/>
      <c r="L80" s="166"/>
      <c r="M80" s="23"/>
    </row>
    <row r="81" spans="1:13" x14ac:dyDescent="0.2">
      <c r="A81" s="298" t="s">
        <v>12</v>
      </c>
      <c r="B81" s="235"/>
      <c r="C81" s="291"/>
      <c r="D81" s="166"/>
      <c r="E81" s="418"/>
      <c r="F81" s="283"/>
      <c r="G81" s="283"/>
      <c r="H81" s="166"/>
      <c r="I81" s="418"/>
      <c r="J81" s="292"/>
      <c r="K81" s="292"/>
      <c r="L81" s="166"/>
      <c r="M81" s="23"/>
    </row>
    <row r="82" spans="1:13" x14ac:dyDescent="0.2">
      <c r="A82" s="298" t="s">
        <v>13</v>
      </c>
      <c r="B82" s="235"/>
      <c r="C82" s="291"/>
      <c r="D82" s="166"/>
      <c r="E82" s="418"/>
      <c r="F82" s="283"/>
      <c r="G82" s="283"/>
      <c r="H82" s="166"/>
      <c r="I82" s="418"/>
      <c r="J82" s="292"/>
      <c r="K82" s="292"/>
      <c r="L82" s="166"/>
      <c r="M82" s="23"/>
    </row>
    <row r="83" spans="1:13" ht="15.75" x14ac:dyDescent="0.2">
      <c r="A83" s="298" t="s">
        <v>460</v>
      </c>
      <c r="B83" s="283"/>
      <c r="C83" s="283"/>
      <c r="D83" s="166"/>
      <c r="E83" s="418"/>
      <c r="F83" s="283">
        <v>1615809.59</v>
      </c>
      <c r="G83" s="283">
        <v>1753893.95</v>
      </c>
      <c r="H83" s="166">
        <f t="shared" si="15"/>
        <v>8.5</v>
      </c>
      <c r="I83" s="418">
        <f>IFERROR(100/'Skjema total MA'!F83*G83,0)</f>
        <v>5.2169762960274033</v>
      </c>
      <c r="J83" s="289">
        <f t="shared" ref="J83" si="26">SUM(B83,F83)</f>
        <v>1615809.59</v>
      </c>
      <c r="K83" s="44">
        <f t="shared" ref="K83" si="27">SUM(C83,G83)</f>
        <v>1753893.95</v>
      </c>
      <c r="L83" s="257">
        <f t="shared" ref="L83" si="28">IF(J83=0, "    ---- ", IF(ABS(ROUND(100/J83*K83-100,1))&lt;999,ROUND(100/J83*K83-100,1),IF(ROUND(100/J83*K83-100,1)&gt;999,999,-999)))</f>
        <v>8.5</v>
      </c>
      <c r="M83" s="27">
        <f>IFERROR(100/'Skjema total MA'!I83*K83,0)</f>
        <v>5.1983012401523823</v>
      </c>
    </row>
    <row r="84" spans="1:13" x14ac:dyDescent="0.2">
      <c r="A84" s="298" t="s">
        <v>12</v>
      </c>
      <c r="B84" s="235"/>
      <c r="C84" s="291"/>
      <c r="D84" s="166"/>
      <c r="E84" s="418"/>
      <c r="F84" s="283"/>
      <c r="G84" s="283"/>
      <c r="H84" s="166"/>
      <c r="I84" s="418"/>
      <c r="J84" s="292"/>
      <c r="K84" s="292"/>
      <c r="L84" s="166"/>
      <c r="M84" s="23"/>
    </row>
    <row r="85" spans="1:13" x14ac:dyDescent="0.2">
      <c r="A85" s="298" t="s">
        <v>13</v>
      </c>
      <c r="B85" s="235"/>
      <c r="C85" s="291"/>
      <c r="D85" s="166"/>
      <c r="E85" s="418"/>
      <c r="F85" s="283">
        <v>1615809.59</v>
      </c>
      <c r="G85" s="283">
        <v>1753893.95</v>
      </c>
      <c r="H85" s="166">
        <f t="shared" si="15"/>
        <v>8.5</v>
      </c>
      <c r="I85" s="418">
        <f>IFERROR(100/'Skjema total MA'!F85*G85,0)</f>
        <v>5.217134118370848</v>
      </c>
      <c r="J85" s="289">
        <f t="shared" ref="J85" si="29">SUM(B85,F85)</f>
        <v>1615809.59</v>
      </c>
      <c r="K85" s="44">
        <f t="shared" ref="K85" si="30">SUM(C85,G85)</f>
        <v>1753893.95</v>
      </c>
      <c r="L85" s="257">
        <f t="shared" ref="L85" si="31">IF(J85=0, "    ---- ", IF(ABS(ROUND(100/J85*K85-100,1))&lt;999,ROUND(100/J85*K85-100,1),IF(ROUND(100/J85*K85-100,1)&gt;999,999,-999)))</f>
        <v>8.5</v>
      </c>
      <c r="M85" s="27">
        <f>IFERROR(100/'Skjema total MA'!I85*K85,0)</f>
        <v>5.217134118370848</v>
      </c>
    </row>
    <row r="86" spans="1:13" ht="15.75" x14ac:dyDescent="0.2">
      <c r="A86" s="21" t="s">
        <v>462</v>
      </c>
      <c r="B86" s="234"/>
      <c r="C86" s="145"/>
      <c r="D86" s="166"/>
      <c r="E86" s="27"/>
      <c r="F86" s="234"/>
      <c r="G86" s="145"/>
      <c r="H86" s="166"/>
      <c r="I86" s="27"/>
      <c r="J86" s="289"/>
      <c r="K86" s="44"/>
      <c r="L86" s="257"/>
      <c r="M86" s="27"/>
    </row>
    <row r="87" spans="1:13" ht="15.75" x14ac:dyDescent="0.2">
      <c r="A87" s="13" t="s">
        <v>444</v>
      </c>
      <c r="B87" s="354">
        <v>761742.97400000005</v>
      </c>
      <c r="C87" s="354">
        <v>876066.56599999999</v>
      </c>
      <c r="D87" s="171">
        <f t="shared" si="14"/>
        <v>15</v>
      </c>
      <c r="E87" s="11">
        <f>IFERROR(100/'Skjema total MA'!C87*C87,0)</f>
        <v>0.22167257228269355</v>
      </c>
      <c r="F87" s="353">
        <v>15886699.802999999</v>
      </c>
      <c r="G87" s="353">
        <v>19041569.561000001</v>
      </c>
      <c r="H87" s="171">
        <f t="shared" si="15"/>
        <v>19.899999999999999</v>
      </c>
      <c r="I87" s="11">
        <f>IFERROR(100/'Skjema total MA'!F87*G87,0)</f>
        <v>5.1076684437593167</v>
      </c>
      <c r="J87" s="311">
        <f t="shared" ref="J87:K111" si="32">SUM(B87,F87)</f>
        <v>16648442.776999999</v>
      </c>
      <c r="K87" s="236">
        <f t="shared" si="32"/>
        <v>19917636.127</v>
      </c>
      <c r="L87" s="429">
        <f t="shared" si="17"/>
        <v>19.600000000000001</v>
      </c>
      <c r="M87" s="11">
        <f>IFERROR(100/'Skjema total MA'!I87*K87,0)</f>
        <v>2.5934049707070868</v>
      </c>
    </row>
    <row r="88" spans="1:13" x14ac:dyDescent="0.2">
      <c r="A88" s="21" t="s">
        <v>9</v>
      </c>
      <c r="B88" s="234">
        <v>761742.97400000005</v>
      </c>
      <c r="C88" s="145">
        <v>876066.56599999999</v>
      </c>
      <c r="D88" s="166">
        <f t="shared" si="14"/>
        <v>15</v>
      </c>
      <c r="E88" s="27">
        <f>IFERROR(100/'Skjema total MA'!C88*C88,0)</f>
        <v>0.22853037967344847</v>
      </c>
      <c r="F88" s="234"/>
      <c r="G88" s="145"/>
      <c r="H88" s="166"/>
      <c r="I88" s="27"/>
      <c r="J88" s="289">
        <f t="shared" si="32"/>
        <v>761742.97400000005</v>
      </c>
      <c r="K88" s="44">
        <f t="shared" si="32"/>
        <v>876066.56599999999</v>
      </c>
      <c r="L88" s="257">
        <f t="shared" si="17"/>
        <v>15</v>
      </c>
      <c r="M88" s="27">
        <f>IFERROR(100/'Skjema total MA'!I88*K88,0)</f>
        <v>0.22853037967344847</v>
      </c>
    </row>
    <row r="89" spans="1:13" x14ac:dyDescent="0.2">
      <c r="A89" s="21" t="s">
        <v>10</v>
      </c>
      <c r="B89" s="234"/>
      <c r="C89" s="145"/>
      <c r="D89" s="166"/>
      <c r="E89" s="27"/>
      <c r="F89" s="234">
        <v>15886699.802999999</v>
      </c>
      <c r="G89" s="145">
        <v>19041569.561000001</v>
      </c>
      <c r="H89" s="166">
        <f t="shared" si="15"/>
        <v>19.899999999999999</v>
      </c>
      <c r="I89" s="27">
        <f>IFERROR(100/'Skjema total MA'!F89*G89,0)</f>
        <v>5.150943570713415</v>
      </c>
      <c r="J89" s="289">
        <f t="shared" si="32"/>
        <v>15886699.802999999</v>
      </c>
      <c r="K89" s="44">
        <f t="shared" si="32"/>
        <v>19041569.561000001</v>
      </c>
      <c r="L89" s="257">
        <f t="shared" si="17"/>
        <v>19.899999999999999</v>
      </c>
      <c r="M89" s="27">
        <f>IFERROR(100/'Skjema total MA'!I89*K89,0)</f>
        <v>5.1087632002227972</v>
      </c>
    </row>
    <row r="90" spans="1:13" ht="15.75" x14ac:dyDescent="0.2">
      <c r="A90" s="298" t="s">
        <v>459</v>
      </c>
      <c r="B90" s="283"/>
      <c r="C90" s="283"/>
      <c r="D90" s="166"/>
      <c r="E90" s="418"/>
      <c r="F90" s="283"/>
      <c r="G90" s="283"/>
      <c r="H90" s="166"/>
      <c r="I90" s="418"/>
      <c r="J90" s="292"/>
      <c r="K90" s="292"/>
      <c r="L90" s="166"/>
      <c r="M90" s="23"/>
    </row>
    <row r="91" spans="1:13" x14ac:dyDescent="0.2">
      <c r="A91" s="298" t="s">
        <v>12</v>
      </c>
      <c r="B91" s="235"/>
      <c r="C91" s="291"/>
      <c r="D91" s="166"/>
      <c r="E91" s="418"/>
      <c r="F91" s="283"/>
      <c r="G91" s="283"/>
      <c r="H91" s="166"/>
      <c r="I91" s="418"/>
      <c r="J91" s="292"/>
      <c r="K91" s="292"/>
      <c r="L91" s="166"/>
      <c r="M91" s="23"/>
    </row>
    <row r="92" spans="1:13" x14ac:dyDescent="0.2">
      <c r="A92" s="298" t="s">
        <v>13</v>
      </c>
      <c r="B92" s="235"/>
      <c r="C92" s="291"/>
      <c r="D92" s="166"/>
      <c r="E92" s="418"/>
      <c r="F92" s="283"/>
      <c r="G92" s="283"/>
      <c r="H92" s="166"/>
      <c r="I92" s="418"/>
      <c r="J92" s="292"/>
      <c r="K92" s="292"/>
      <c r="L92" s="166"/>
      <c r="M92" s="23"/>
    </row>
    <row r="93" spans="1:13" ht="15.75" x14ac:dyDescent="0.2">
      <c r="A93" s="298" t="s">
        <v>460</v>
      </c>
      <c r="B93" s="283"/>
      <c r="C93" s="283"/>
      <c r="D93" s="166"/>
      <c r="E93" s="418"/>
      <c r="F93" s="283">
        <v>15886699.802999999</v>
      </c>
      <c r="G93" s="283">
        <v>19041569.561000001</v>
      </c>
      <c r="H93" s="166">
        <f t="shared" si="15"/>
        <v>19.899999999999999</v>
      </c>
      <c r="I93" s="418">
        <f>IFERROR(100/'Skjema total MA'!F93*G93,0)</f>
        <v>5.1525513683541941</v>
      </c>
      <c r="J93" s="289">
        <f t="shared" ref="J93" si="33">SUM(B93,F93)</f>
        <v>15886699.802999999</v>
      </c>
      <c r="K93" s="44">
        <f t="shared" ref="K93" si="34">SUM(C93,G93)</f>
        <v>19041569.561000001</v>
      </c>
      <c r="L93" s="257">
        <f t="shared" ref="L93" si="35">IF(J93=0, "    ---- ", IF(ABS(ROUND(100/J93*K93-100,1))&lt;999,ROUND(100/J93*K93-100,1),IF(ROUND(100/J93*K93-100,1)&gt;999,999,-999)))</f>
        <v>19.899999999999999</v>
      </c>
      <c r="M93" s="27">
        <f>IFERROR(100/'Skjema total MA'!I93*K93,0)</f>
        <v>5.1103447695670985</v>
      </c>
    </row>
    <row r="94" spans="1:13" x14ac:dyDescent="0.2">
      <c r="A94" s="298" t="s">
        <v>12</v>
      </c>
      <c r="B94" s="235"/>
      <c r="C94" s="291"/>
      <c r="D94" s="166"/>
      <c r="E94" s="418"/>
      <c r="F94" s="283"/>
      <c r="G94" s="283"/>
      <c r="H94" s="166"/>
      <c r="I94" s="418"/>
      <c r="J94" s="292"/>
      <c r="K94" s="292"/>
      <c r="L94" s="166"/>
      <c r="M94" s="23"/>
    </row>
    <row r="95" spans="1:13" x14ac:dyDescent="0.2">
      <c r="A95" s="298" t="s">
        <v>13</v>
      </c>
      <c r="B95" s="235"/>
      <c r="C95" s="291"/>
      <c r="D95" s="166"/>
      <c r="E95" s="418"/>
      <c r="F95" s="283">
        <v>15886699.802999999</v>
      </c>
      <c r="G95" s="283">
        <v>19041569.561000001</v>
      </c>
      <c r="H95" s="166">
        <f t="shared" si="15"/>
        <v>19.899999999999999</v>
      </c>
      <c r="I95" s="418">
        <f>IFERROR(100/'Skjema total MA'!F95*G95,0)</f>
        <v>5.1643219485579799</v>
      </c>
      <c r="J95" s="289">
        <f t="shared" ref="J95" si="36">SUM(B95,F95)</f>
        <v>15886699.802999999</v>
      </c>
      <c r="K95" s="44">
        <f t="shared" ref="K95" si="37">SUM(C95,G95)</f>
        <v>19041569.561000001</v>
      </c>
      <c r="L95" s="257">
        <f t="shared" ref="L95" si="38">IF(J95=0, "    ---- ", IF(ABS(ROUND(100/J95*K95-100,1))&lt;999,ROUND(100/J95*K95-100,1),IF(ROUND(100/J95*K95-100,1)&gt;999,999,-999)))</f>
        <v>19.899999999999999</v>
      </c>
      <c r="M95" s="27">
        <f>IFERROR(100/'Skjema total MA'!I95*K95,0)</f>
        <v>5.1643219485579799</v>
      </c>
    </row>
    <row r="96" spans="1:13" x14ac:dyDescent="0.2">
      <c r="A96" s="21" t="s">
        <v>344</v>
      </c>
      <c r="B96" s="234"/>
      <c r="C96" s="145"/>
      <c r="D96" s="166"/>
      <c r="E96" s="27"/>
      <c r="F96" s="234"/>
      <c r="G96" s="145"/>
      <c r="H96" s="166"/>
      <c r="I96" s="27"/>
      <c r="J96" s="289"/>
      <c r="K96" s="44"/>
      <c r="L96" s="257"/>
      <c r="M96" s="27"/>
    </row>
    <row r="97" spans="1:13" x14ac:dyDescent="0.2">
      <c r="A97" s="21" t="s">
        <v>343</v>
      </c>
      <c r="B97" s="234"/>
      <c r="C97" s="145"/>
      <c r="D97" s="166"/>
      <c r="E97" s="27"/>
      <c r="F97" s="234"/>
      <c r="G97" s="145"/>
      <c r="H97" s="166"/>
      <c r="I97" s="27"/>
      <c r="J97" s="289"/>
      <c r="K97" s="44"/>
      <c r="L97" s="257"/>
      <c r="M97" s="27"/>
    </row>
    <row r="98" spans="1:13" ht="15.75" x14ac:dyDescent="0.2">
      <c r="A98" s="21" t="s">
        <v>461</v>
      </c>
      <c r="B98" s="234">
        <v>761742.97400000005</v>
      </c>
      <c r="C98" s="234">
        <v>876066.56599999999</v>
      </c>
      <c r="D98" s="166">
        <f t="shared" si="14"/>
        <v>15</v>
      </c>
      <c r="E98" s="27">
        <f>IFERROR(100/'Skjema total MA'!C98*C98,0)</f>
        <v>0.22936445244534209</v>
      </c>
      <c r="F98" s="294">
        <v>15886699.802999999</v>
      </c>
      <c r="G98" s="294">
        <v>19041569.561000001</v>
      </c>
      <c r="H98" s="166">
        <f t="shared" si="15"/>
        <v>19.899999999999999</v>
      </c>
      <c r="I98" s="27">
        <f>IFERROR(100/'Skjema total MA'!F98*G98,0)</f>
        <v>5.1653278345950211</v>
      </c>
      <c r="J98" s="289">
        <f t="shared" si="32"/>
        <v>16648442.776999999</v>
      </c>
      <c r="K98" s="44">
        <f t="shared" si="32"/>
        <v>19917636.127</v>
      </c>
      <c r="L98" s="257">
        <f t="shared" si="17"/>
        <v>19.600000000000001</v>
      </c>
      <c r="M98" s="27">
        <f>IFERROR(100/'Skjema total MA'!I98*K98,0)</f>
        <v>2.6535761979974755</v>
      </c>
    </row>
    <row r="99" spans="1:13" x14ac:dyDescent="0.2">
      <c r="A99" s="21" t="s">
        <v>9</v>
      </c>
      <c r="B99" s="294">
        <v>761742.97400000005</v>
      </c>
      <c r="C99" s="295">
        <v>876066.56599999999</v>
      </c>
      <c r="D99" s="166">
        <f t="shared" si="14"/>
        <v>15</v>
      </c>
      <c r="E99" s="27">
        <f>IFERROR(100/'Skjema total MA'!C99*C99,0)</f>
        <v>0.23121206140071129</v>
      </c>
      <c r="F99" s="234"/>
      <c r="G99" s="145"/>
      <c r="H99" s="166"/>
      <c r="I99" s="27"/>
      <c r="J99" s="289">
        <f t="shared" si="32"/>
        <v>761742.97400000005</v>
      </c>
      <c r="K99" s="44">
        <f t="shared" si="32"/>
        <v>876066.56599999999</v>
      </c>
      <c r="L99" s="257">
        <f t="shared" si="17"/>
        <v>15</v>
      </c>
      <c r="M99" s="27">
        <f>IFERROR(100/'Skjema total MA'!I99*K99,0)</f>
        <v>0.23121206140071129</v>
      </c>
    </row>
    <row r="100" spans="1:13" x14ac:dyDescent="0.2">
      <c r="A100" s="21" t="s">
        <v>10</v>
      </c>
      <c r="B100" s="294"/>
      <c r="C100" s="295"/>
      <c r="D100" s="166"/>
      <c r="E100" s="27"/>
      <c r="F100" s="234">
        <v>15886699.802999999</v>
      </c>
      <c r="G100" s="234">
        <v>19041569.561000001</v>
      </c>
      <c r="H100" s="166">
        <f t="shared" si="15"/>
        <v>19.899999999999999</v>
      </c>
      <c r="I100" s="27">
        <f>IFERROR(100/'Skjema total MA'!F100*G100,0)</f>
        <v>5.1653278345950211</v>
      </c>
      <c r="J100" s="289">
        <f t="shared" si="32"/>
        <v>15886699.802999999</v>
      </c>
      <c r="K100" s="44">
        <f t="shared" si="32"/>
        <v>19041569.561000001</v>
      </c>
      <c r="L100" s="257">
        <f t="shared" si="17"/>
        <v>19.899999999999999</v>
      </c>
      <c r="M100" s="27">
        <f>IFERROR(100/'Skjema total MA'!I100*K100,0)</f>
        <v>5.1229125235843904</v>
      </c>
    </row>
    <row r="101" spans="1:13" ht="15.75" x14ac:dyDescent="0.2">
      <c r="A101" s="298" t="s">
        <v>459</v>
      </c>
      <c r="B101" s="283"/>
      <c r="C101" s="283"/>
      <c r="D101" s="166"/>
      <c r="E101" s="418"/>
      <c r="F101" s="283"/>
      <c r="G101" s="283"/>
      <c r="H101" s="166"/>
      <c r="I101" s="418"/>
      <c r="J101" s="292"/>
      <c r="K101" s="292"/>
      <c r="L101" s="166"/>
      <c r="M101" s="23"/>
    </row>
    <row r="102" spans="1:13" x14ac:dyDescent="0.2">
      <c r="A102" s="298" t="s">
        <v>12</v>
      </c>
      <c r="B102" s="235"/>
      <c r="C102" s="291"/>
      <c r="D102" s="166"/>
      <c r="E102" s="418"/>
      <c r="F102" s="283"/>
      <c r="G102" s="283"/>
      <c r="H102" s="166"/>
      <c r="I102" s="418"/>
      <c r="J102" s="292"/>
      <c r="K102" s="292"/>
      <c r="L102" s="166"/>
      <c r="M102" s="23"/>
    </row>
    <row r="103" spans="1:13" x14ac:dyDescent="0.2">
      <c r="A103" s="298" t="s">
        <v>13</v>
      </c>
      <c r="B103" s="235"/>
      <c r="C103" s="291"/>
      <c r="D103" s="166"/>
      <c r="E103" s="418"/>
      <c r="F103" s="283"/>
      <c r="G103" s="283"/>
      <c r="H103" s="166"/>
      <c r="I103" s="418"/>
      <c r="J103" s="292"/>
      <c r="K103" s="292"/>
      <c r="L103" s="166"/>
      <c r="M103" s="23"/>
    </row>
    <row r="104" spans="1:13" ht="15.75" x14ac:dyDescent="0.2">
      <c r="A104" s="298" t="s">
        <v>460</v>
      </c>
      <c r="B104" s="283"/>
      <c r="C104" s="283"/>
      <c r="D104" s="166"/>
      <c r="E104" s="418"/>
      <c r="F104" s="283">
        <v>15886699.802999999</v>
      </c>
      <c r="G104" s="283">
        <v>19041569.561000001</v>
      </c>
      <c r="H104" s="166">
        <f t="shared" ref="H104" si="39">IF(F104=0, "    ---- ", IF(ABS(ROUND(100/F104*G104-100,1))&lt;999,ROUND(100/F104*G104-100,1),IF(ROUND(100/F104*G104-100,1)&gt;999,999,-999)))</f>
        <v>19.899999999999999</v>
      </c>
      <c r="I104" s="27">
        <f>IFERROR(100/'Skjema total MA'!F104*G104,0)</f>
        <v>5.1653278345950211</v>
      </c>
      <c r="J104" s="289">
        <f t="shared" ref="J104" si="40">SUM(B104,F104)</f>
        <v>15886699.802999999</v>
      </c>
      <c r="K104" s="44">
        <f t="shared" ref="K104" si="41">SUM(C104,G104)</f>
        <v>19041569.561000001</v>
      </c>
      <c r="L104" s="257">
        <f t="shared" ref="L104" si="42">IF(J104=0, "    ---- ", IF(ABS(ROUND(100/J104*K104-100,1))&lt;999,ROUND(100/J104*K104-100,1),IF(ROUND(100/J104*K104-100,1)&gt;999,999,-999)))</f>
        <v>19.899999999999999</v>
      </c>
      <c r="M104" s="27">
        <f>IFERROR(100/'Skjema total MA'!I104*K104,0)</f>
        <v>5.1229125235843904</v>
      </c>
    </row>
    <row r="105" spans="1:13" x14ac:dyDescent="0.2">
      <c r="A105" s="298" t="s">
        <v>12</v>
      </c>
      <c r="B105" s="235"/>
      <c r="C105" s="291"/>
      <c r="D105" s="166"/>
      <c r="E105" s="418"/>
      <c r="F105" s="283"/>
      <c r="G105" s="283"/>
      <c r="H105" s="166"/>
      <c r="I105" s="418"/>
      <c r="J105" s="292"/>
      <c r="K105" s="292"/>
      <c r="L105" s="166"/>
      <c r="M105" s="23"/>
    </row>
    <row r="106" spans="1:13" x14ac:dyDescent="0.2">
      <c r="A106" s="298" t="s">
        <v>13</v>
      </c>
      <c r="B106" s="235"/>
      <c r="C106" s="291"/>
      <c r="D106" s="166"/>
      <c r="E106" s="418"/>
      <c r="F106" s="283">
        <v>15886699.802999999</v>
      </c>
      <c r="G106" s="283">
        <v>19041569.561000001</v>
      </c>
      <c r="H106" s="166">
        <f t="shared" ref="H106" si="43">IF(F106=0, "    ---- ", IF(ABS(ROUND(100/F106*G106-100,1))&lt;999,ROUND(100/F106*G106-100,1),IF(ROUND(100/F106*G106-100,1)&gt;999,999,-999)))</f>
        <v>19.899999999999999</v>
      </c>
      <c r="I106" s="27">
        <f>IFERROR(100/'Skjema total MA'!F106*G106,0)</f>
        <v>5.1654892132059205</v>
      </c>
      <c r="J106" s="289">
        <f t="shared" ref="J106" si="44">SUM(B106,F106)</f>
        <v>15886699.802999999</v>
      </c>
      <c r="K106" s="44">
        <f t="shared" ref="K106" si="45">SUM(C106,G106)</f>
        <v>19041569.561000001</v>
      </c>
      <c r="L106" s="257">
        <f t="shared" ref="L106" si="46">IF(J106=0, "    ---- ", IF(ABS(ROUND(100/J106*K106-100,1))&lt;999,ROUND(100/J106*K106-100,1),IF(ROUND(100/J106*K106-100,1)&gt;999,999,-999)))</f>
        <v>19.899999999999999</v>
      </c>
      <c r="M106" s="27">
        <f>IFERROR(100/'Skjema total MA'!I106*K106,0)</f>
        <v>5.1654892132059205</v>
      </c>
    </row>
    <row r="107" spans="1:13" ht="15.75" x14ac:dyDescent="0.2">
      <c r="A107" s="21" t="s">
        <v>462</v>
      </c>
      <c r="B107" s="234"/>
      <c r="C107" s="145"/>
      <c r="D107" s="166"/>
      <c r="E107" s="27"/>
      <c r="F107" s="234"/>
      <c r="G107" s="145"/>
      <c r="H107" s="166"/>
      <c r="I107" s="27"/>
      <c r="J107" s="289"/>
      <c r="K107" s="44"/>
      <c r="L107" s="257"/>
      <c r="M107" s="27"/>
    </row>
    <row r="108" spans="1:13" ht="15.75" x14ac:dyDescent="0.2">
      <c r="A108" s="21" t="s">
        <v>463</v>
      </c>
      <c r="B108" s="234">
        <v>185880</v>
      </c>
      <c r="C108" s="234">
        <v>180160</v>
      </c>
      <c r="D108" s="166">
        <f t="shared" si="14"/>
        <v>-3.1</v>
      </c>
      <c r="E108" s="27">
        <f>IFERROR(100/'Skjema total MA'!C108*C108,0)</f>
        <v>5.5140449405868722E-2</v>
      </c>
      <c r="F108" s="234">
        <v>193431</v>
      </c>
      <c r="G108" s="234">
        <v>204693</v>
      </c>
      <c r="H108" s="166">
        <f t="shared" si="15"/>
        <v>5.8</v>
      </c>
      <c r="I108" s="27">
        <f>IFERROR(100/'Skjema total MA'!F108*G108,0)</f>
        <v>1.0971589581438161</v>
      </c>
      <c r="J108" s="289">
        <f t="shared" si="32"/>
        <v>379311</v>
      </c>
      <c r="K108" s="44">
        <f t="shared" si="32"/>
        <v>384853</v>
      </c>
      <c r="L108" s="257">
        <f t="shared" si="17"/>
        <v>1.5</v>
      </c>
      <c r="M108" s="27">
        <f>IFERROR(100/'Skjema total MA'!I108*K108,0)</f>
        <v>0.11142694705875753</v>
      </c>
    </row>
    <row r="109" spans="1:13" ht="15.75" x14ac:dyDescent="0.2">
      <c r="A109" s="21" t="s">
        <v>464</v>
      </c>
      <c r="B109" s="234"/>
      <c r="C109" s="234"/>
      <c r="D109" s="166"/>
      <c r="E109" s="27"/>
      <c r="F109" s="234">
        <v>5571825.7180000003</v>
      </c>
      <c r="G109" s="234">
        <v>6600817.0449999999</v>
      </c>
      <c r="H109" s="166">
        <f t="shared" si="15"/>
        <v>18.5</v>
      </c>
      <c r="I109" s="27">
        <f>IFERROR(100/'Skjema total MA'!F109*G109,0)</f>
        <v>5.0758613684859997</v>
      </c>
      <c r="J109" s="289">
        <f t="shared" si="32"/>
        <v>5571825.7180000003</v>
      </c>
      <c r="K109" s="44">
        <f t="shared" si="32"/>
        <v>6600817.0449999999</v>
      </c>
      <c r="L109" s="257">
        <f t="shared" si="17"/>
        <v>18.5</v>
      </c>
      <c r="M109" s="27">
        <f>IFERROR(100/'Skjema total MA'!I109*K109,0)</f>
        <v>5.033945747463294</v>
      </c>
    </row>
    <row r="110" spans="1:13" ht="15.75" x14ac:dyDescent="0.2">
      <c r="A110" s="21" t="s">
        <v>465</v>
      </c>
      <c r="B110" s="234"/>
      <c r="C110" s="234"/>
      <c r="D110" s="166"/>
      <c r="E110" s="27"/>
      <c r="F110" s="234"/>
      <c r="G110" s="234"/>
      <c r="H110" s="166"/>
      <c r="I110" s="27"/>
      <c r="J110" s="289"/>
      <c r="K110" s="44"/>
      <c r="L110" s="257"/>
      <c r="M110" s="27"/>
    </row>
    <row r="111" spans="1:13" ht="15.75" x14ac:dyDescent="0.2">
      <c r="A111" s="13" t="s">
        <v>445</v>
      </c>
      <c r="B111" s="310">
        <v>27782.634999999998</v>
      </c>
      <c r="C111" s="159">
        <v>50835.434999999998</v>
      </c>
      <c r="D111" s="171">
        <f t="shared" si="14"/>
        <v>83</v>
      </c>
      <c r="E111" s="11">
        <f>IFERROR(100/'Skjema total MA'!C111*C111,0)</f>
        <v>5.515241136852703</v>
      </c>
      <c r="F111" s="310">
        <v>937257.74</v>
      </c>
      <c r="G111" s="159">
        <v>811395.21200000006</v>
      </c>
      <c r="H111" s="171">
        <f t="shared" si="15"/>
        <v>-13.4</v>
      </c>
      <c r="I111" s="11">
        <f>IFERROR(100/'Skjema total MA'!F111*G111,0)</f>
        <v>3.6537130376837723</v>
      </c>
      <c r="J111" s="311">
        <f t="shared" si="32"/>
        <v>965040.375</v>
      </c>
      <c r="K111" s="236">
        <f t="shared" si="32"/>
        <v>862230.64700000011</v>
      </c>
      <c r="L111" s="429">
        <f t="shared" si="17"/>
        <v>-10.7</v>
      </c>
      <c r="M111" s="11">
        <f>IFERROR(100/'Skjema total MA'!I111*K111,0)</f>
        <v>3.7278973586733581</v>
      </c>
    </row>
    <row r="112" spans="1:13" x14ac:dyDescent="0.2">
      <c r="A112" s="21" t="s">
        <v>9</v>
      </c>
      <c r="B112" s="234">
        <v>27782.634999999998</v>
      </c>
      <c r="C112" s="145">
        <v>50835.434999999998</v>
      </c>
      <c r="D112" s="166">
        <f t="shared" si="14"/>
        <v>83</v>
      </c>
      <c r="E112" s="27">
        <f>IFERROR(100/'Skjema total MA'!C112*C112,0)</f>
        <v>10.590327546639056</v>
      </c>
      <c r="F112" s="234"/>
      <c r="G112" s="145"/>
      <c r="H112" s="166"/>
      <c r="I112" s="27"/>
      <c r="J112" s="289">
        <f t="shared" ref="J112:K125" si="47">SUM(B112,F112)</f>
        <v>27782.634999999998</v>
      </c>
      <c r="K112" s="44">
        <f t="shared" si="47"/>
        <v>50835.434999999998</v>
      </c>
      <c r="L112" s="257">
        <f t="shared" si="17"/>
        <v>83</v>
      </c>
      <c r="M112" s="27">
        <f>IFERROR(100/'Skjema total MA'!I112*K112,0)</f>
        <v>10.185063751390215</v>
      </c>
    </row>
    <row r="113" spans="1:14" x14ac:dyDescent="0.2">
      <c r="A113" s="21" t="s">
        <v>10</v>
      </c>
      <c r="B113" s="234"/>
      <c r="C113" s="145"/>
      <c r="D113" s="166"/>
      <c r="E113" s="27"/>
      <c r="F113" s="234">
        <v>937257.74</v>
      </c>
      <c r="G113" s="145">
        <v>811395.21200000006</v>
      </c>
      <c r="H113" s="166">
        <f t="shared" si="15"/>
        <v>-13.4</v>
      </c>
      <c r="I113" s="27">
        <f>IFERROR(100/'Skjema total MA'!F113*G113,0)</f>
        <v>3.6682567991227746</v>
      </c>
      <c r="J113" s="289">
        <f t="shared" si="47"/>
        <v>937257.74</v>
      </c>
      <c r="K113" s="44">
        <f t="shared" si="47"/>
        <v>811395.21200000006</v>
      </c>
      <c r="L113" s="257">
        <f t="shared" si="17"/>
        <v>-13.4</v>
      </c>
      <c r="M113" s="27">
        <f>IFERROR(100/'Skjema total MA'!I113*K113,0)</f>
        <v>3.667411942653334</v>
      </c>
    </row>
    <row r="114" spans="1:14" x14ac:dyDescent="0.2">
      <c r="A114" s="21" t="s">
        <v>26</v>
      </c>
      <c r="B114" s="234"/>
      <c r="C114" s="145"/>
      <c r="D114" s="166"/>
      <c r="E114" s="27"/>
      <c r="F114" s="234"/>
      <c r="G114" s="145"/>
      <c r="H114" s="166"/>
      <c r="I114" s="27"/>
      <c r="J114" s="289"/>
      <c r="K114" s="44"/>
      <c r="L114" s="257"/>
      <c r="M114" s="27"/>
    </row>
    <row r="115" spans="1:14" x14ac:dyDescent="0.2">
      <c r="A115" s="298" t="s">
        <v>15</v>
      </c>
      <c r="B115" s="283"/>
      <c r="C115" s="283"/>
      <c r="D115" s="166"/>
      <c r="E115" s="418"/>
      <c r="F115" s="283"/>
      <c r="G115" s="283"/>
      <c r="H115" s="166"/>
      <c r="I115" s="418"/>
      <c r="J115" s="292"/>
      <c r="K115" s="292"/>
      <c r="L115" s="166"/>
      <c r="M115" s="23"/>
    </row>
    <row r="116" spans="1:14" ht="15.75" x14ac:dyDescent="0.2">
      <c r="A116" s="21" t="s">
        <v>466</v>
      </c>
      <c r="B116" s="234"/>
      <c r="C116" s="234"/>
      <c r="D116" s="166"/>
      <c r="E116" s="27"/>
      <c r="F116" s="234"/>
      <c r="G116" s="234"/>
      <c r="H116" s="166"/>
      <c r="I116" s="27"/>
      <c r="J116" s="289"/>
      <c r="K116" s="44"/>
      <c r="L116" s="257"/>
      <c r="M116" s="27"/>
    </row>
    <row r="117" spans="1:14" ht="15.75" x14ac:dyDescent="0.2">
      <c r="A117" s="21" t="s">
        <v>467</v>
      </c>
      <c r="B117" s="234"/>
      <c r="C117" s="234"/>
      <c r="D117" s="166"/>
      <c r="E117" s="27"/>
      <c r="F117" s="234">
        <v>111739.095</v>
      </c>
      <c r="G117" s="234">
        <v>101498.44</v>
      </c>
      <c r="H117" s="166">
        <f t="shared" si="15"/>
        <v>-9.1999999999999993</v>
      </c>
      <c r="I117" s="27">
        <f>IFERROR(100/'Skjema total MA'!F117*G117,0)</f>
        <v>2.0738016678243345</v>
      </c>
      <c r="J117" s="289">
        <f t="shared" si="47"/>
        <v>111739.095</v>
      </c>
      <c r="K117" s="44">
        <f t="shared" si="47"/>
        <v>101498.44</v>
      </c>
      <c r="L117" s="257">
        <f t="shared" si="17"/>
        <v>-9.1999999999999993</v>
      </c>
      <c r="M117" s="27">
        <f>IFERROR(100/'Skjema total MA'!I117*K117,0)</f>
        <v>2.0738016678243345</v>
      </c>
    </row>
    <row r="118" spans="1:14" ht="15.75" x14ac:dyDescent="0.2">
      <c r="A118" s="21" t="s">
        <v>465</v>
      </c>
      <c r="B118" s="234"/>
      <c r="C118" s="234"/>
      <c r="D118" s="166"/>
      <c r="E118" s="27"/>
      <c r="F118" s="234"/>
      <c r="G118" s="234"/>
      <c r="H118" s="166"/>
      <c r="I118" s="27"/>
      <c r="J118" s="289"/>
      <c r="K118" s="44"/>
      <c r="L118" s="257"/>
      <c r="M118" s="27"/>
    </row>
    <row r="119" spans="1:14" ht="15.75" x14ac:dyDescent="0.2">
      <c r="A119" s="13" t="s">
        <v>446</v>
      </c>
      <c r="B119" s="310">
        <v>15680.87</v>
      </c>
      <c r="C119" s="159">
        <v>14335.876</v>
      </c>
      <c r="D119" s="171">
        <f t="shared" si="14"/>
        <v>-8.6</v>
      </c>
      <c r="E119" s="11">
        <f>IFERROR(100/'Skjema total MA'!C119*C119,0)</f>
        <v>1.6832585155139992</v>
      </c>
      <c r="F119" s="310">
        <v>684216.22100000002</v>
      </c>
      <c r="G119" s="159">
        <v>678766.58100000001</v>
      </c>
      <c r="H119" s="171">
        <f t="shared" si="15"/>
        <v>-0.8</v>
      </c>
      <c r="I119" s="11">
        <f>IFERROR(100/'Skjema total MA'!F119*G119,0)</f>
        <v>3.0251398063051256</v>
      </c>
      <c r="J119" s="311">
        <f t="shared" si="47"/>
        <v>699897.09100000001</v>
      </c>
      <c r="K119" s="236">
        <f t="shared" si="47"/>
        <v>693102.45700000005</v>
      </c>
      <c r="L119" s="429">
        <f t="shared" si="17"/>
        <v>-1</v>
      </c>
      <c r="M119" s="11">
        <f>IFERROR(100/'Skjema total MA'!I119*K119,0)</f>
        <v>2.9760679020953278</v>
      </c>
    </row>
    <row r="120" spans="1:14" x14ac:dyDescent="0.2">
      <c r="A120" s="21" t="s">
        <v>9</v>
      </c>
      <c r="B120" s="234">
        <v>15680.87</v>
      </c>
      <c r="C120" s="145">
        <v>14335.876</v>
      </c>
      <c r="D120" s="166">
        <f t="shared" si="14"/>
        <v>-8.6</v>
      </c>
      <c r="E120" s="27">
        <f>IFERROR(100/'Skjema total MA'!C120*C120,0)</f>
        <v>2.3303812249912221</v>
      </c>
      <c r="F120" s="234"/>
      <c r="G120" s="145"/>
      <c r="H120" s="166"/>
      <c r="I120" s="27"/>
      <c r="J120" s="289">
        <f t="shared" si="47"/>
        <v>15680.87</v>
      </c>
      <c r="K120" s="44">
        <f t="shared" si="47"/>
        <v>14335.876</v>
      </c>
      <c r="L120" s="257">
        <f t="shared" si="17"/>
        <v>-8.6</v>
      </c>
      <c r="M120" s="27">
        <f>IFERROR(100/'Skjema total MA'!I120*K120,0)</f>
        <v>2.3303812249912221</v>
      </c>
    </row>
    <row r="121" spans="1:14" x14ac:dyDescent="0.2">
      <c r="A121" s="21" t="s">
        <v>10</v>
      </c>
      <c r="B121" s="234"/>
      <c r="C121" s="145"/>
      <c r="D121" s="166"/>
      <c r="E121" s="27"/>
      <c r="F121" s="234">
        <v>684216.22100000002</v>
      </c>
      <c r="G121" s="145">
        <v>678766.58100000001</v>
      </c>
      <c r="H121" s="166">
        <f t="shared" si="15"/>
        <v>-0.8</v>
      </c>
      <c r="I121" s="27">
        <f>IFERROR(100/'Skjema total MA'!F121*G121,0)</f>
        <v>3.0251398063051256</v>
      </c>
      <c r="J121" s="289">
        <f t="shared" si="47"/>
        <v>684216.22100000002</v>
      </c>
      <c r="K121" s="44">
        <f t="shared" si="47"/>
        <v>678766.58100000001</v>
      </c>
      <c r="L121" s="257">
        <f t="shared" si="17"/>
        <v>-0.8</v>
      </c>
      <c r="M121" s="27">
        <f>IFERROR(100/'Skjema total MA'!I121*K121,0)</f>
        <v>3.021799806236019</v>
      </c>
    </row>
    <row r="122" spans="1:14" x14ac:dyDescent="0.2">
      <c r="A122" s="21" t="s">
        <v>26</v>
      </c>
      <c r="B122" s="234"/>
      <c r="C122" s="145"/>
      <c r="D122" s="166"/>
      <c r="E122" s="27"/>
      <c r="F122" s="234"/>
      <c r="G122" s="145"/>
      <c r="H122" s="166"/>
      <c r="I122" s="27"/>
      <c r="J122" s="289"/>
      <c r="K122" s="44"/>
      <c r="L122" s="257"/>
      <c r="M122" s="27"/>
    </row>
    <row r="123" spans="1:14" x14ac:dyDescent="0.2">
      <c r="A123" s="298" t="s">
        <v>14</v>
      </c>
      <c r="B123" s="283"/>
      <c r="C123" s="283"/>
      <c r="D123" s="166"/>
      <c r="E123" s="418"/>
      <c r="F123" s="283"/>
      <c r="G123" s="283"/>
      <c r="H123" s="166"/>
      <c r="I123" s="418"/>
      <c r="J123" s="292"/>
      <c r="K123" s="292"/>
      <c r="L123" s="166"/>
      <c r="M123" s="23"/>
    </row>
    <row r="124" spans="1:14" ht="15.75" x14ac:dyDescent="0.2">
      <c r="A124" s="21" t="s">
        <v>472</v>
      </c>
      <c r="B124" s="234">
        <v>18.431000000000001</v>
      </c>
      <c r="C124" s="234">
        <v>0</v>
      </c>
      <c r="D124" s="166">
        <f t="shared" si="14"/>
        <v>-100</v>
      </c>
      <c r="E124" s="27">
        <f>IFERROR(100/'Skjema total MA'!C124*C124,0)</f>
        <v>0</v>
      </c>
      <c r="F124" s="234">
        <v>2354.4630000000002</v>
      </c>
      <c r="G124" s="234">
        <v>4015.2130000000002</v>
      </c>
      <c r="H124" s="166">
        <f t="shared" si="15"/>
        <v>70.5</v>
      </c>
      <c r="I124" s="27">
        <f>IFERROR(100/'Skjema total MA'!F124*G124,0)</f>
        <v>13.315456305600275</v>
      </c>
      <c r="J124" s="289">
        <f t="shared" si="47"/>
        <v>2372.8940000000002</v>
      </c>
      <c r="K124" s="44">
        <f t="shared" si="47"/>
        <v>4015.2130000000002</v>
      </c>
      <c r="L124" s="257">
        <f t="shared" si="17"/>
        <v>69.2</v>
      </c>
      <c r="M124" s="27">
        <f>IFERROR(100/'Skjema total MA'!I124*K124,0)</f>
        <v>4.3750093502010943</v>
      </c>
    </row>
    <row r="125" spans="1:14" ht="15.75" x14ac:dyDescent="0.2">
      <c r="A125" s="21" t="s">
        <v>464</v>
      </c>
      <c r="B125" s="234"/>
      <c r="C125" s="234"/>
      <c r="D125" s="166"/>
      <c r="E125" s="27"/>
      <c r="F125" s="234">
        <v>183818.86199999999</v>
      </c>
      <c r="G125" s="234">
        <v>218222.45300000001</v>
      </c>
      <c r="H125" s="166">
        <f t="shared" si="15"/>
        <v>18.7</v>
      </c>
      <c r="I125" s="27">
        <f>IFERROR(100/'Skjema total MA'!F125*G125,0)</f>
        <v>6.077021753778725</v>
      </c>
      <c r="J125" s="289">
        <f t="shared" si="47"/>
        <v>183818.86199999999</v>
      </c>
      <c r="K125" s="44">
        <f t="shared" si="47"/>
        <v>218222.45300000001</v>
      </c>
      <c r="L125" s="257">
        <f t="shared" si="17"/>
        <v>18.7</v>
      </c>
      <c r="M125" s="27">
        <f>IFERROR(100/'Skjema total MA'!I125*K125,0)</f>
        <v>6.0726640438202404</v>
      </c>
    </row>
    <row r="126" spans="1:14" ht="15.75" x14ac:dyDescent="0.2">
      <c r="A126" s="10" t="s">
        <v>465</v>
      </c>
      <c r="B126" s="45"/>
      <c r="C126" s="45"/>
      <c r="D126" s="167"/>
      <c r="E126" s="419"/>
      <c r="F126" s="45"/>
      <c r="G126" s="45"/>
      <c r="H126" s="167"/>
      <c r="I126" s="22"/>
      <c r="J126" s="290"/>
      <c r="K126" s="45"/>
      <c r="L126" s="258"/>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1022"/>
      <c r="C130" s="1022"/>
      <c r="D130" s="1022"/>
      <c r="E130" s="407"/>
      <c r="F130" s="1022"/>
      <c r="G130" s="1022"/>
      <c r="H130" s="1022"/>
      <c r="I130" s="407"/>
      <c r="J130" s="1022"/>
      <c r="K130" s="1022"/>
      <c r="L130" s="1022"/>
      <c r="M130" s="407"/>
    </row>
    <row r="131" spans="1:14" s="3" customFormat="1" x14ac:dyDescent="0.2">
      <c r="A131" s="144"/>
      <c r="B131" s="1023" t="s">
        <v>0</v>
      </c>
      <c r="C131" s="1024"/>
      <c r="D131" s="1024"/>
      <c r="E131" s="406"/>
      <c r="F131" s="1023" t="s">
        <v>1</v>
      </c>
      <c r="G131" s="1024"/>
      <c r="H131" s="1024"/>
      <c r="I131" s="409"/>
      <c r="J131" s="1023" t="s">
        <v>2</v>
      </c>
      <c r="K131" s="1024"/>
      <c r="L131" s="1024"/>
      <c r="M131" s="409"/>
      <c r="N131" s="148"/>
    </row>
    <row r="132" spans="1:14" s="3" customFormat="1" x14ac:dyDescent="0.2">
      <c r="A132" s="140"/>
      <c r="B132" s="152" t="s">
        <v>502</v>
      </c>
      <c r="C132" s="152" t="s">
        <v>503</v>
      </c>
      <c r="D132" s="245" t="s">
        <v>3</v>
      </c>
      <c r="E132" s="307" t="s">
        <v>29</v>
      </c>
      <c r="F132" s="152" t="s">
        <v>502</v>
      </c>
      <c r="G132" s="152" t="s">
        <v>503</v>
      </c>
      <c r="H132" s="206" t="s">
        <v>3</v>
      </c>
      <c r="I132" s="162" t="s">
        <v>29</v>
      </c>
      <c r="J132" s="152" t="s">
        <v>502</v>
      </c>
      <c r="K132" s="152" t="s">
        <v>503</v>
      </c>
      <c r="L132" s="246" t="s">
        <v>3</v>
      </c>
      <c r="M132" s="162" t="s">
        <v>29</v>
      </c>
      <c r="N132" s="148"/>
    </row>
    <row r="133" spans="1:14" s="3" customFormat="1" x14ac:dyDescent="0.2">
      <c r="A133" s="990"/>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468</v>
      </c>
      <c r="B134" s="236"/>
      <c r="C134" s="311"/>
      <c r="D134" s="351"/>
      <c r="E134" s="11"/>
      <c r="F134" s="318"/>
      <c r="G134" s="319"/>
      <c r="H134" s="432"/>
      <c r="I134" s="24"/>
      <c r="J134" s="320"/>
      <c r="K134" s="320"/>
      <c r="L134" s="428"/>
      <c r="M134" s="11"/>
      <c r="N134" s="148"/>
    </row>
    <row r="135" spans="1:14" s="3" customFormat="1" ht="15.75" x14ac:dyDescent="0.2">
      <c r="A135" s="13" t="s">
        <v>473</v>
      </c>
      <c r="B135" s="236"/>
      <c r="C135" s="311"/>
      <c r="D135" s="171"/>
      <c r="E135" s="11"/>
      <c r="F135" s="236"/>
      <c r="G135" s="311"/>
      <c r="H135" s="433"/>
      <c r="I135" s="24"/>
      <c r="J135" s="310"/>
      <c r="K135" s="310"/>
      <c r="L135" s="429"/>
      <c r="M135" s="11"/>
      <c r="N135" s="148"/>
    </row>
    <row r="136" spans="1:14" s="3" customFormat="1" ht="15.75" x14ac:dyDescent="0.2">
      <c r="A136" s="13" t="s">
        <v>470</v>
      </c>
      <c r="B136" s="236"/>
      <c r="C136" s="311"/>
      <c r="D136" s="171"/>
      <c r="E136" s="11"/>
      <c r="F136" s="236"/>
      <c r="G136" s="311"/>
      <c r="H136" s="433"/>
      <c r="I136" s="24"/>
      <c r="J136" s="310"/>
      <c r="K136" s="310"/>
      <c r="L136" s="429"/>
      <c r="M136" s="11"/>
      <c r="N136" s="148"/>
    </row>
    <row r="137" spans="1:14" s="3" customFormat="1" ht="15.75" x14ac:dyDescent="0.2">
      <c r="A137" s="41" t="s">
        <v>471</v>
      </c>
      <c r="B137" s="278"/>
      <c r="C137" s="317"/>
      <c r="D137" s="169"/>
      <c r="E137" s="9"/>
      <c r="F137" s="278"/>
      <c r="G137" s="317"/>
      <c r="H137" s="434"/>
      <c r="I137" s="36"/>
      <c r="J137" s="316"/>
      <c r="K137" s="316"/>
      <c r="L137" s="430"/>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50:C52">
    <cfRule type="expression" dxfId="2326" priority="82">
      <formula>kvartal &lt; 4</formula>
    </cfRule>
  </conditionalFormatting>
  <conditionalFormatting sqref="B69">
    <cfRule type="expression" dxfId="2325" priority="61">
      <formula>kvartal &lt; 4</formula>
    </cfRule>
  </conditionalFormatting>
  <conditionalFormatting sqref="C69">
    <cfRule type="expression" dxfId="2324" priority="60">
      <formula>kvartal &lt; 4</formula>
    </cfRule>
  </conditionalFormatting>
  <conditionalFormatting sqref="B72">
    <cfRule type="expression" dxfId="2323" priority="59">
      <formula>kvartal &lt; 4</formula>
    </cfRule>
  </conditionalFormatting>
  <conditionalFormatting sqref="C72">
    <cfRule type="expression" dxfId="2322" priority="58">
      <formula>kvartal &lt; 4</formula>
    </cfRule>
  </conditionalFormatting>
  <conditionalFormatting sqref="B80">
    <cfRule type="expression" dxfId="2321" priority="57">
      <formula>kvartal &lt; 4</formula>
    </cfRule>
  </conditionalFormatting>
  <conditionalFormatting sqref="C80">
    <cfRule type="expression" dxfId="2320" priority="56">
      <formula>kvartal &lt; 4</formula>
    </cfRule>
  </conditionalFormatting>
  <conditionalFormatting sqref="B83">
    <cfRule type="expression" dxfId="2319" priority="55">
      <formula>kvartal &lt; 4</formula>
    </cfRule>
  </conditionalFormatting>
  <conditionalFormatting sqref="C83">
    <cfRule type="expression" dxfId="2318" priority="54">
      <formula>kvartal &lt; 4</formula>
    </cfRule>
  </conditionalFormatting>
  <conditionalFormatting sqref="B90">
    <cfRule type="expression" dxfId="2317" priority="53">
      <formula>kvartal &lt; 4</formula>
    </cfRule>
  </conditionalFormatting>
  <conditionalFormatting sqref="C90">
    <cfRule type="expression" dxfId="2316" priority="52">
      <formula>kvartal &lt; 4</formula>
    </cfRule>
  </conditionalFormatting>
  <conditionalFormatting sqref="B93">
    <cfRule type="expression" dxfId="2315" priority="51">
      <formula>kvartal &lt; 4</formula>
    </cfRule>
  </conditionalFormatting>
  <conditionalFormatting sqref="C93">
    <cfRule type="expression" dxfId="2314" priority="50">
      <formula>kvartal &lt; 4</formula>
    </cfRule>
  </conditionalFormatting>
  <conditionalFormatting sqref="B101">
    <cfRule type="expression" dxfId="2313" priority="49">
      <formula>kvartal &lt; 4</formula>
    </cfRule>
  </conditionalFormatting>
  <conditionalFormatting sqref="C101">
    <cfRule type="expression" dxfId="2312" priority="48">
      <formula>kvartal &lt; 4</formula>
    </cfRule>
  </conditionalFormatting>
  <conditionalFormatting sqref="B104">
    <cfRule type="expression" dxfId="2311" priority="47">
      <formula>kvartal &lt; 4</formula>
    </cfRule>
  </conditionalFormatting>
  <conditionalFormatting sqref="C104">
    <cfRule type="expression" dxfId="2310" priority="46">
      <formula>kvartal &lt; 4</formula>
    </cfRule>
  </conditionalFormatting>
  <conditionalFormatting sqref="B115">
    <cfRule type="expression" dxfId="2309" priority="45">
      <formula>kvartal &lt; 4</formula>
    </cfRule>
  </conditionalFormatting>
  <conditionalFormatting sqref="C115">
    <cfRule type="expression" dxfId="2308" priority="44">
      <formula>kvartal &lt; 4</formula>
    </cfRule>
  </conditionalFormatting>
  <conditionalFormatting sqref="B123">
    <cfRule type="expression" dxfId="2307" priority="43">
      <formula>kvartal &lt; 4</formula>
    </cfRule>
  </conditionalFormatting>
  <conditionalFormatting sqref="C123">
    <cfRule type="expression" dxfId="2306" priority="42">
      <formula>kvartal &lt; 4</formula>
    </cfRule>
  </conditionalFormatting>
  <conditionalFormatting sqref="F70">
    <cfRule type="expression" dxfId="2305" priority="41">
      <formula>kvartal &lt; 4</formula>
    </cfRule>
  </conditionalFormatting>
  <conditionalFormatting sqref="G70">
    <cfRule type="expression" dxfId="2304" priority="40">
      <formula>kvartal &lt; 4</formula>
    </cfRule>
  </conditionalFormatting>
  <conditionalFormatting sqref="F71:G71">
    <cfRule type="expression" dxfId="2303" priority="39">
      <formula>kvartal &lt; 4</formula>
    </cfRule>
  </conditionalFormatting>
  <conditionalFormatting sqref="F73:G74">
    <cfRule type="expression" dxfId="2302" priority="38">
      <formula>kvartal &lt; 4</formula>
    </cfRule>
  </conditionalFormatting>
  <conditionalFormatting sqref="F81:G82">
    <cfRule type="expression" dxfId="2301" priority="37">
      <formula>kvartal &lt; 4</formula>
    </cfRule>
  </conditionalFormatting>
  <conditionalFormatting sqref="F84:G85">
    <cfRule type="expression" dxfId="2300" priority="36">
      <formula>kvartal &lt; 4</formula>
    </cfRule>
  </conditionalFormatting>
  <conditionalFormatting sqref="F91:G92">
    <cfRule type="expression" dxfId="2299" priority="35">
      <formula>kvartal &lt; 4</formula>
    </cfRule>
  </conditionalFormatting>
  <conditionalFormatting sqref="F94:G95">
    <cfRule type="expression" dxfId="2298" priority="34">
      <formula>kvartal &lt; 4</formula>
    </cfRule>
  </conditionalFormatting>
  <conditionalFormatting sqref="F102:G103">
    <cfRule type="expression" dxfId="2297" priority="33">
      <formula>kvartal &lt; 4</formula>
    </cfRule>
  </conditionalFormatting>
  <conditionalFormatting sqref="F105:G106">
    <cfRule type="expression" dxfId="2296" priority="32">
      <formula>kvartal &lt; 4</formula>
    </cfRule>
  </conditionalFormatting>
  <conditionalFormatting sqref="F115">
    <cfRule type="expression" dxfId="2295" priority="31">
      <formula>kvartal &lt; 4</formula>
    </cfRule>
  </conditionalFormatting>
  <conditionalFormatting sqref="G115">
    <cfRule type="expression" dxfId="2294" priority="30">
      <formula>kvartal &lt; 4</formula>
    </cfRule>
  </conditionalFormatting>
  <conditionalFormatting sqref="F123:G123">
    <cfRule type="expression" dxfId="2293" priority="29">
      <formula>kvartal &lt; 4</formula>
    </cfRule>
  </conditionalFormatting>
  <conditionalFormatting sqref="F69:G69">
    <cfRule type="expression" dxfId="2292" priority="28">
      <formula>kvartal &lt; 4</formula>
    </cfRule>
  </conditionalFormatting>
  <conditionalFormatting sqref="F72:G72">
    <cfRule type="expression" dxfId="2291" priority="27">
      <formula>kvartal &lt; 4</formula>
    </cfRule>
  </conditionalFormatting>
  <conditionalFormatting sqref="F80:G80">
    <cfRule type="expression" dxfId="2290" priority="26">
      <formula>kvartal &lt; 4</formula>
    </cfRule>
  </conditionalFormatting>
  <conditionalFormatting sqref="F83:G83">
    <cfRule type="expression" dxfId="2289" priority="25">
      <formula>kvartal &lt; 4</formula>
    </cfRule>
  </conditionalFormatting>
  <conditionalFormatting sqref="F90:G90">
    <cfRule type="expression" dxfId="2288" priority="24">
      <formula>kvartal &lt; 4</formula>
    </cfRule>
  </conditionalFormatting>
  <conditionalFormatting sqref="F93">
    <cfRule type="expression" dxfId="2287" priority="23">
      <formula>kvartal &lt; 4</formula>
    </cfRule>
  </conditionalFormatting>
  <conditionalFormatting sqref="G93">
    <cfRule type="expression" dxfId="2286" priority="22">
      <formula>kvartal &lt; 4</formula>
    </cfRule>
  </conditionalFormatting>
  <conditionalFormatting sqref="F101">
    <cfRule type="expression" dxfId="2285" priority="21">
      <formula>kvartal &lt; 4</formula>
    </cfRule>
  </conditionalFormatting>
  <conditionalFormatting sqref="G101">
    <cfRule type="expression" dxfId="2284" priority="20">
      <formula>kvartal &lt; 4</formula>
    </cfRule>
  </conditionalFormatting>
  <conditionalFormatting sqref="G104">
    <cfRule type="expression" dxfId="2283" priority="19">
      <formula>kvartal &lt; 4</formula>
    </cfRule>
  </conditionalFormatting>
  <conditionalFormatting sqref="F104">
    <cfRule type="expression" dxfId="2282" priority="18">
      <formula>kvartal &lt; 4</formula>
    </cfRule>
  </conditionalFormatting>
  <conditionalFormatting sqref="J69:K71 J73:K73">
    <cfRule type="expression" dxfId="2281" priority="17">
      <formula>kvartal &lt; 4</formula>
    </cfRule>
  </conditionalFormatting>
  <conditionalFormatting sqref="J80:K82 J84:K84">
    <cfRule type="expression" dxfId="2280" priority="15">
      <formula>kvartal &lt; 4</formula>
    </cfRule>
  </conditionalFormatting>
  <conditionalFormatting sqref="J90:K92 J94:K94">
    <cfRule type="expression" dxfId="2279" priority="14">
      <formula>kvartal &lt; 4</formula>
    </cfRule>
  </conditionalFormatting>
  <conditionalFormatting sqref="J101:K103 J105:K105">
    <cfRule type="expression" dxfId="2278" priority="13">
      <formula>kvartal &lt; 4</formula>
    </cfRule>
  </conditionalFormatting>
  <conditionalFormatting sqref="J115:K115">
    <cfRule type="expression" dxfId="2277" priority="12">
      <formula>kvartal &lt; 4</formula>
    </cfRule>
  </conditionalFormatting>
  <conditionalFormatting sqref="J123:K123">
    <cfRule type="expression" dxfId="2276" priority="11">
      <formula>kvartal &lt; 4</formula>
    </cfRule>
  </conditionalFormatting>
  <conditionalFormatting sqref="A50:A52">
    <cfRule type="expression" dxfId="2275" priority="8">
      <formula>kvartal &lt; 4</formula>
    </cfRule>
  </conditionalFormatting>
  <conditionalFormatting sqref="A69:A74">
    <cfRule type="expression" dxfId="2274" priority="7">
      <formula>kvartal &lt; 4</formula>
    </cfRule>
  </conditionalFormatting>
  <conditionalFormatting sqref="A80:A85">
    <cfRule type="expression" dxfId="2273" priority="6">
      <formula>kvartal &lt; 4</formula>
    </cfRule>
  </conditionalFormatting>
  <conditionalFormatting sqref="A90:A95">
    <cfRule type="expression" dxfId="2272" priority="5">
      <formula>kvartal &lt; 4</formula>
    </cfRule>
  </conditionalFormatting>
  <conditionalFormatting sqref="A101:A106">
    <cfRule type="expression" dxfId="2271" priority="4">
      <formula>kvartal &lt; 4</formula>
    </cfRule>
  </conditionalFormatting>
  <conditionalFormatting sqref="A115">
    <cfRule type="expression" dxfId="2270" priority="3">
      <formula>kvartal &lt; 4</formula>
    </cfRule>
  </conditionalFormatting>
  <conditionalFormatting sqref="A123">
    <cfRule type="expression" dxfId="2269" priority="2">
      <formula>kvartal &lt; 4</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21"/>
  <dimension ref="A1:N144"/>
  <sheetViews>
    <sheetView showGridLines="0" zoomScale="120" zoomScaleNormal="120" workbookViewId="0"/>
  </sheetViews>
  <sheetFormatPr baseColWidth="10" defaultColWidth="11.42578125" defaultRowHeight="12.75" x14ac:dyDescent="0.2"/>
  <cols>
    <col min="1" max="1" width="41.57031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133</v>
      </c>
      <c r="B1" s="988"/>
      <c r="C1" s="248" t="s">
        <v>494</v>
      </c>
      <c r="D1" s="26"/>
      <c r="E1" s="26"/>
      <c r="F1" s="26"/>
      <c r="G1" s="26"/>
      <c r="H1" s="26"/>
      <c r="I1" s="26"/>
      <c r="J1" s="26"/>
      <c r="K1" s="26"/>
      <c r="L1" s="26"/>
      <c r="M1" s="26"/>
    </row>
    <row r="2" spans="1:14" ht="15.75" x14ac:dyDescent="0.25">
      <c r="A2" s="165" t="s">
        <v>28</v>
      </c>
      <c r="B2" s="1027"/>
      <c r="C2" s="1027"/>
      <c r="D2" s="1027"/>
      <c r="E2" s="301"/>
      <c r="F2" s="1027"/>
      <c r="G2" s="1027"/>
      <c r="H2" s="1027"/>
      <c r="I2" s="301"/>
      <c r="J2" s="1027"/>
      <c r="K2" s="1027"/>
      <c r="L2" s="1027"/>
      <c r="M2" s="301"/>
    </row>
    <row r="3" spans="1:14" ht="15.75" x14ac:dyDescent="0.25">
      <c r="A3" s="163"/>
      <c r="B3" s="301"/>
      <c r="C3" s="301"/>
      <c r="D3" s="301"/>
      <c r="E3" s="301"/>
      <c r="F3" s="301"/>
      <c r="G3" s="301"/>
      <c r="H3" s="301"/>
      <c r="I3" s="301"/>
      <c r="J3" s="301"/>
      <c r="K3" s="301"/>
      <c r="L3" s="301"/>
      <c r="M3" s="301"/>
    </row>
    <row r="4" spans="1:14" x14ac:dyDescent="0.2">
      <c r="A4" s="144"/>
      <c r="B4" s="1023" t="s">
        <v>0</v>
      </c>
      <c r="C4" s="1024"/>
      <c r="D4" s="1024"/>
      <c r="E4" s="303"/>
      <c r="F4" s="1023" t="s">
        <v>1</v>
      </c>
      <c r="G4" s="1024"/>
      <c r="H4" s="1024"/>
      <c r="I4" s="306"/>
      <c r="J4" s="1023" t="s">
        <v>2</v>
      </c>
      <c r="K4" s="1024"/>
      <c r="L4" s="1024"/>
      <c r="M4" s="306"/>
    </row>
    <row r="5" spans="1:14" x14ac:dyDescent="0.2">
      <c r="A5" s="158"/>
      <c r="B5" s="152" t="s">
        <v>502</v>
      </c>
      <c r="C5" s="152" t="s">
        <v>503</v>
      </c>
      <c r="D5" s="245" t="s">
        <v>3</v>
      </c>
      <c r="E5" s="307" t="s">
        <v>29</v>
      </c>
      <c r="F5" s="152" t="s">
        <v>502</v>
      </c>
      <c r="G5" s="152" t="s">
        <v>503</v>
      </c>
      <c r="H5" s="245" t="s">
        <v>3</v>
      </c>
      <c r="I5" s="162" t="s">
        <v>29</v>
      </c>
      <c r="J5" s="152" t="s">
        <v>502</v>
      </c>
      <c r="K5" s="152" t="s">
        <v>503</v>
      </c>
      <c r="L5" s="245" t="s">
        <v>3</v>
      </c>
      <c r="M5" s="162" t="s">
        <v>29</v>
      </c>
    </row>
    <row r="6" spans="1:14" x14ac:dyDescent="0.2">
      <c r="A6" s="989"/>
      <c r="B6" s="156"/>
      <c r="C6" s="156"/>
      <c r="D6" s="246" t="s">
        <v>4</v>
      </c>
      <c r="E6" s="156" t="s">
        <v>30</v>
      </c>
      <c r="F6" s="161"/>
      <c r="G6" s="161"/>
      <c r="H6" s="245" t="s">
        <v>4</v>
      </c>
      <c r="I6" s="156" t="s">
        <v>30</v>
      </c>
      <c r="J6" s="161"/>
      <c r="K6" s="161"/>
      <c r="L6" s="245" t="s">
        <v>4</v>
      </c>
      <c r="M6" s="156" t="s">
        <v>30</v>
      </c>
    </row>
    <row r="7" spans="1:14" ht="15.75" x14ac:dyDescent="0.2">
      <c r="A7" s="14" t="s">
        <v>23</v>
      </c>
      <c r="B7" s="308"/>
      <c r="C7" s="309"/>
      <c r="D7" s="351"/>
      <c r="E7" s="11"/>
      <c r="F7" s="308"/>
      <c r="G7" s="309"/>
      <c r="H7" s="351"/>
      <c r="I7" s="160"/>
      <c r="J7" s="310"/>
      <c r="K7" s="311"/>
      <c r="L7" s="428"/>
      <c r="M7" s="11"/>
    </row>
    <row r="8" spans="1:14" ht="15.75" x14ac:dyDescent="0.2">
      <c r="A8" s="21" t="s">
        <v>25</v>
      </c>
      <c r="B8" s="283"/>
      <c r="C8" s="284"/>
      <c r="D8" s="166"/>
      <c r="E8" s="27"/>
      <c r="F8" s="287"/>
      <c r="G8" s="288"/>
      <c r="H8" s="166"/>
      <c r="I8" s="175"/>
      <c r="J8" s="234"/>
      <c r="K8" s="289"/>
      <c r="L8" s="166"/>
      <c r="M8" s="27"/>
    </row>
    <row r="9" spans="1:14" ht="15.75" x14ac:dyDescent="0.2">
      <c r="A9" s="21" t="s">
        <v>24</v>
      </c>
      <c r="B9" s="283"/>
      <c r="C9" s="284"/>
      <c r="D9" s="166"/>
      <c r="E9" s="27"/>
      <c r="F9" s="287"/>
      <c r="G9" s="288"/>
      <c r="H9" s="166"/>
      <c r="I9" s="175"/>
      <c r="J9" s="234"/>
      <c r="K9" s="289"/>
      <c r="L9" s="166"/>
      <c r="M9" s="27"/>
    </row>
    <row r="10" spans="1:14" ht="15.75" x14ac:dyDescent="0.2">
      <c r="A10" s="13" t="s">
        <v>444</v>
      </c>
      <c r="B10" s="312"/>
      <c r="C10" s="313"/>
      <c r="D10" s="171"/>
      <c r="E10" s="11"/>
      <c r="F10" s="312"/>
      <c r="G10" s="313"/>
      <c r="H10" s="171"/>
      <c r="I10" s="160"/>
      <c r="J10" s="310"/>
      <c r="K10" s="311"/>
      <c r="L10" s="429"/>
      <c r="M10" s="11"/>
    </row>
    <row r="11" spans="1:14" s="43" customFormat="1" ht="15.75" x14ac:dyDescent="0.2">
      <c r="A11" s="13" t="s">
        <v>445</v>
      </c>
      <c r="B11" s="312"/>
      <c r="C11" s="313"/>
      <c r="D11" s="171"/>
      <c r="E11" s="11"/>
      <c r="F11" s="312"/>
      <c r="G11" s="313"/>
      <c r="H11" s="171"/>
      <c r="I11" s="160"/>
      <c r="J11" s="310"/>
      <c r="K11" s="311"/>
      <c r="L11" s="429"/>
      <c r="M11" s="11"/>
      <c r="N11" s="143"/>
    </row>
    <row r="12" spans="1:14" s="43" customFormat="1" ht="15.75" x14ac:dyDescent="0.2">
      <c r="A12" s="41" t="s">
        <v>446</v>
      </c>
      <c r="B12" s="314"/>
      <c r="C12" s="315"/>
      <c r="D12" s="169"/>
      <c r="E12" s="36"/>
      <c r="F12" s="314"/>
      <c r="G12" s="315"/>
      <c r="H12" s="169"/>
      <c r="I12" s="169"/>
      <c r="J12" s="316"/>
      <c r="K12" s="317"/>
      <c r="L12" s="430"/>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1022"/>
      <c r="C18" s="1022"/>
      <c r="D18" s="1022"/>
      <c r="E18" s="301"/>
      <c r="F18" s="1022"/>
      <c r="G18" s="1022"/>
      <c r="H18" s="1022"/>
      <c r="I18" s="301"/>
      <c r="J18" s="1022"/>
      <c r="K18" s="1022"/>
      <c r="L18" s="1022"/>
      <c r="M18" s="301"/>
    </row>
    <row r="19" spans="1:14" x14ac:dyDescent="0.2">
      <c r="A19" s="144"/>
      <c r="B19" s="1023" t="s">
        <v>0</v>
      </c>
      <c r="C19" s="1024"/>
      <c r="D19" s="1024"/>
      <c r="E19" s="303"/>
      <c r="F19" s="1023" t="s">
        <v>1</v>
      </c>
      <c r="G19" s="1024"/>
      <c r="H19" s="1024"/>
      <c r="I19" s="306"/>
      <c r="J19" s="1023" t="s">
        <v>2</v>
      </c>
      <c r="K19" s="1024"/>
      <c r="L19" s="1024"/>
      <c r="M19" s="306"/>
    </row>
    <row r="20" spans="1:14" x14ac:dyDescent="0.2">
      <c r="A20" s="140" t="s">
        <v>5</v>
      </c>
      <c r="B20" s="152" t="s">
        <v>502</v>
      </c>
      <c r="C20" s="152" t="s">
        <v>503</v>
      </c>
      <c r="D20" s="162" t="s">
        <v>3</v>
      </c>
      <c r="E20" s="307" t="s">
        <v>29</v>
      </c>
      <c r="F20" s="152" t="s">
        <v>502</v>
      </c>
      <c r="G20" s="152" t="s">
        <v>503</v>
      </c>
      <c r="H20" s="162" t="s">
        <v>3</v>
      </c>
      <c r="I20" s="162" t="s">
        <v>29</v>
      </c>
      <c r="J20" s="152" t="s">
        <v>502</v>
      </c>
      <c r="K20" s="152" t="s">
        <v>503</v>
      </c>
      <c r="L20" s="162" t="s">
        <v>3</v>
      </c>
      <c r="M20" s="162" t="s">
        <v>29</v>
      </c>
    </row>
    <row r="21" spans="1:14" x14ac:dyDescent="0.2">
      <c r="A21" s="990"/>
      <c r="B21" s="156"/>
      <c r="C21" s="156"/>
      <c r="D21" s="246" t="s">
        <v>4</v>
      </c>
      <c r="E21" s="156" t="s">
        <v>30</v>
      </c>
      <c r="F21" s="161"/>
      <c r="G21" s="161"/>
      <c r="H21" s="245" t="s">
        <v>4</v>
      </c>
      <c r="I21" s="156" t="s">
        <v>30</v>
      </c>
      <c r="J21" s="161"/>
      <c r="K21" s="161"/>
      <c r="L21" s="156" t="s">
        <v>4</v>
      </c>
      <c r="M21" s="156" t="s">
        <v>30</v>
      </c>
    </row>
    <row r="22" spans="1:14" ht="15.75" x14ac:dyDescent="0.2">
      <c r="A22" s="14" t="s">
        <v>23</v>
      </c>
      <c r="B22" s="312"/>
      <c r="C22" s="312"/>
      <c r="D22" s="351"/>
      <c r="E22" s="11"/>
      <c r="F22" s="320"/>
      <c r="G22" s="320"/>
      <c r="H22" s="351"/>
      <c r="I22" s="11"/>
      <c r="J22" s="318"/>
      <c r="K22" s="318"/>
      <c r="L22" s="428"/>
      <c r="M22" s="24"/>
    </row>
    <row r="23" spans="1:14" ht="15.75" x14ac:dyDescent="0.2">
      <c r="A23" s="811" t="s">
        <v>447</v>
      </c>
      <c r="B23" s="283"/>
      <c r="C23" s="283"/>
      <c r="D23" s="166"/>
      <c r="E23" s="11"/>
      <c r="F23" s="292"/>
      <c r="G23" s="292"/>
      <c r="H23" s="166"/>
      <c r="I23" s="418"/>
      <c r="J23" s="292"/>
      <c r="K23" s="292"/>
      <c r="L23" s="166"/>
      <c r="M23" s="23"/>
    </row>
    <row r="24" spans="1:14" ht="15.75" x14ac:dyDescent="0.2">
      <c r="A24" s="811" t="s">
        <v>448</v>
      </c>
      <c r="B24" s="283"/>
      <c r="C24" s="283"/>
      <c r="D24" s="166"/>
      <c r="E24" s="11"/>
      <c r="F24" s="292"/>
      <c r="G24" s="292"/>
      <c r="H24" s="166"/>
      <c r="I24" s="418"/>
      <c r="J24" s="292"/>
      <c r="K24" s="292"/>
      <c r="L24" s="166"/>
      <c r="M24" s="23"/>
    </row>
    <row r="25" spans="1:14" ht="15.75" x14ac:dyDescent="0.2">
      <c r="A25" s="811" t="s">
        <v>449</v>
      </c>
      <c r="B25" s="283"/>
      <c r="C25" s="283"/>
      <c r="D25" s="166"/>
      <c r="E25" s="11"/>
      <c r="F25" s="292"/>
      <c r="G25" s="292"/>
      <c r="H25" s="166"/>
      <c r="I25" s="418"/>
      <c r="J25" s="292"/>
      <c r="K25" s="292"/>
      <c r="L25" s="166"/>
      <c r="M25" s="23"/>
    </row>
    <row r="26" spans="1:14" ht="15.75" x14ac:dyDescent="0.2">
      <c r="A26" s="811" t="s">
        <v>450</v>
      </c>
      <c r="B26" s="283"/>
      <c r="C26" s="283"/>
      <c r="D26" s="166"/>
      <c r="E26" s="11"/>
      <c r="F26" s="292"/>
      <c r="G26" s="292"/>
      <c r="H26" s="166"/>
      <c r="I26" s="418"/>
      <c r="J26" s="292"/>
      <c r="K26" s="292"/>
      <c r="L26" s="166"/>
      <c r="M26" s="23"/>
    </row>
    <row r="27" spans="1:14" x14ac:dyDescent="0.2">
      <c r="A27" s="811" t="s">
        <v>11</v>
      </c>
      <c r="B27" s="283"/>
      <c r="C27" s="283"/>
      <c r="D27" s="166"/>
      <c r="E27" s="11"/>
      <c r="F27" s="292"/>
      <c r="G27" s="292"/>
      <c r="H27" s="166"/>
      <c r="I27" s="418"/>
      <c r="J27" s="292"/>
      <c r="K27" s="292"/>
      <c r="L27" s="166"/>
      <c r="M27" s="23"/>
    </row>
    <row r="28" spans="1:14" ht="15.75" x14ac:dyDescent="0.2">
      <c r="A28" s="49" t="s">
        <v>272</v>
      </c>
      <c r="B28" s="44"/>
      <c r="C28" s="289"/>
      <c r="D28" s="166"/>
      <c r="E28" s="11"/>
      <c r="F28" s="234"/>
      <c r="G28" s="289"/>
      <c r="H28" s="166"/>
      <c r="I28" s="27"/>
      <c r="J28" s="44"/>
      <c r="K28" s="44"/>
      <c r="L28" s="257"/>
      <c r="M28" s="23"/>
    </row>
    <row r="29" spans="1:14" s="3" customFormat="1" ht="15.75" x14ac:dyDescent="0.2">
      <c r="A29" s="13" t="s">
        <v>444</v>
      </c>
      <c r="B29" s="236"/>
      <c r="C29" s="236"/>
      <c r="D29" s="171"/>
      <c r="E29" s="11"/>
      <c r="F29" s="310"/>
      <c r="G29" s="310"/>
      <c r="H29" s="171"/>
      <c r="I29" s="11"/>
      <c r="J29" s="236"/>
      <c r="K29" s="236"/>
      <c r="L29" s="429"/>
      <c r="M29" s="24"/>
      <c r="N29" s="148"/>
    </row>
    <row r="30" spans="1:14" s="3" customFormat="1" ht="15.75" x14ac:dyDescent="0.2">
      <c r="A30" s="811" t="s">
        <v>447</v>
      </c>
      <c r="B30" s="283"/>
      <c r="C30" s="283"/>
      <c r="D30" s="166"/>
      <c r="E30" s="11"/>
      <c r="F30" s="292"/>
      <c r="G30" s="292"/>
      <c r="H30" s="166"/>
      <c r="I30" s="418"/>
      <c r="J30" s="292"/>
      <c r="K30" s="292"/>
      <c r="L30" s="166"/>
      <c r="M30" s="23"/>
      <c r="N30" s="148"/>
    </row>
    <row r="31" spans="1:14" s="3" customFormat="1" ht="15.75" x14ac:dyDescent="0.2">
      <c r="A31" s="811" t="s">
        <v>448</v>
      </c>
      <c r="B31" s="283"/>
      <c r="C31" s="283"/>
      <c r="D31" s="166"/>
      <c r="E31" s="11"/>
      <c r="F31" s="292"/>
      <c r="G31" s="292"/>
      <c r="H31" s="166"/>
      <c r="I31" s="418"/>
      <c r="J31" s="292"/>
      <c r="K31" s="292"/>
      <c r="L31" s="166"/>
      <c r="M31" s="23"/>
      <c r="N31" s="148"/>
    </row>
    <row r="32" spans="1:14" ht="15.75" x14ac:dyDescent="0.2">
      <c r="A32" s="811" t="s">
        <v>449</v>
      </c>
      <c r="B32" s="283"/>
      <c r="C32" s="283"/>
      <c r="D32" s="166"/>
      <c r="E32" s="11"/>
      <c r="F32" s="292"/>
      <c r="G32" s="292"/>
      <c r="H32" s="166"/>
      <c r="I32" s="418"/>
      <c r="J32" s="292"/>
      <c r="K32" s="292"/>
      <c r="L32" s="166"/>
      <c r="M32" s="23"/>
    </row>
    <row r="33" spans="1:14" ht="15.75" x14ac:dyDescent="0.2">
      <c r="A33" s="811" t="s">
        <v>450</v>
      </c>
      <c r="B33" s="283"/>
      <c r="C33" s="283"/>
      <c r="D33" s="166"/>
      <c r="E33" s="11"/>
      <c r="F33" s="292"/>
      <c r="G33" s="292"/>
      <c r="H33" s="166"/>
      <c r="I33" s="418"/>
      <c r="J33" s="292"/>
      <c r="K33" s="292"/>
      <c r="L33" s="166"/>
      <c r="M33" s="23"/>
    </row>
    <row r="34" spans="1:14" ht="15.75" x14ac:dyDescent="0.2">
      <c r="A34" s="13" t="s">
        <v>445</v>
      </c>
      <c r="B34" s="236"/>
      <c r="C34" s="311"/>
      <c r="D34" s="171"/>
      <c r="E34" s="11"/>
      <c r="F34" s="310"/>
      <c r="G34" s="311"/>
      <c r="H34" s="171"/>
      <c r="I34" s="11"/>
      <c r="J34" s="236"/>
      <c r="K34" s="236"/>
      <c r="L34" s="429"/>
      <c r="M34" s="24"/>
    </row>
    <row r="35" spans="1:14" ht="15.75" x14ac:dyDescent="0.2">
      <c r="A35" s="13" t="s">
        <v>446</v>
      </c>
      <c r="B35" s="236"/>
      <c r="C35" s="311"/>
      <c r="D35" s="171"/>
      <c r="E35" s="11"/>
      <c r="F35" s="310"/>
      <c r="G35" s="311"/>
      <c r="H35" s="171"/>
      <c r="I35" s="11"/>
      <c r="J35" s="236"/>
      <c r="K35" s="236"/>
      <c r="L35" s="429"/>
      <c r="M35" s="24"/>
    </row>
    <row r="36" spans="1:14" ht="15.75" x14ac:dyDescent="0.2">
      <c r="A36" s="12" t="s">
        <v>280</v>
      </c>
      <c r="B36" s="236"/>
      <c r="C36" s="311"/>
      <c r="D36" s="171"/>
      <c r="E36" s="11"/>
      <c r="F36" s="321"/>
      <c r="G36" s="322"/>
      <c r="H36" s="171"/>
      <c r="I36" s="435"/>
      <c r="J36" s="236"/>
      <c r="K36" s="236"/>
      <c r="L36" s="429"/>
      <c r="M36" s="24"/>
    </row>
    <row r="37" spans="1:14" ht="15.75" x14ac:dyDescent="0.2">
      <c r="A37" s="12" t="s">
        <v>452</v>
      </c>
      <c r="B37" s="236"/>
      <c r="C37" s="311"/>
      <c r="D37" s="171"/>
      <c r="E37" s="11"/>
      <c r="F37" s="321"/>
      <c r="G37" s="323"/>
      <c r="H37" s="171"/>
      <c r="I37" s="435"/>
      <c r="J37" s="236"/>
      <c r="K37" s="236"/>
      <c r="L37" s="429"/>
      <c r="M37" s="24"/>
    </row>
    <row r="38" spans="1:14" ht="15.75" x14ac:dyDescent="0.2">
      <c r="A38" s="12" t="s">
        <v>453</v>
      </c>
      <c r="B38" s="236"/>
      <c r="C38" s="311"/>
      <c r="D38" s="171"/>
      <c r="E38" s="24"/>
      <c r="F38" s="321"/>
      <c r="G38" s="322"/>
      <c r="H38" s="171"/>
      <c r="I38" s="435"/>
      <c r="J38" s="236"/>
      <c r="K38" s="236"/>
      <c r="L38" s="429"/>
      <c r="M38" s="24"/>
    </row>
    <row r="39" spans="1:14" ht="15.75" x14ac:dyDescent="0.2">
      <c r="A39" s="18" t="s">
        <v>454</v>
      </c>
      <c r="B39" s="278"/>
      <c r="C39" s="317"/>
      <c r="D39" s="169"/>
      <c r="E39" s="36"/>
      <c r="F39" s="324"/>
      <c r="G39" s="325"/>
      <c r="H39" s="169"/>
      <c r="I39" s="36"/>
      <c r="J39" s="236"/>
      <c r="K39" s="236"/>
      <c r="L39" s="430"/>
      <c r="M39" s="36"/>
    </row>
    <row r="40" spans="1:14" ht="15.75" x14ac:dyDescent="0.25">
      <c r="A40" s="47"/>
      <c r="B40" s="256"/>
      <c r="C40" s="256"/>
      <c r="D40" s="1026"/>
      <c r="E40" s="1026"/>
      <c r="F40" s="1026"/>
      <c r="G40" s="1026"/>
      <c r="H40" s="1026"/>
      <c r="I40" s="1026"/>
      <c r="J40" s="1026"/>
      <c r="K40" s="1026"/>
      <c r="L40" s="1026"/>
      <c r="M40" s="304"/>
    </row>
    <row r="41" spans="1:14" x14ac:dyDescent="0.2">
      <c r="A41" s="155"/>
    </row>
    <row r="42" spans="1:14" ht="15.75" x14ac:dyDescent="0.25">
      <c r="A42" s="147" t="s">
        <v>269</v>
      </c>
      <c r="B42" s="1027"/>
      <c r="C42" s="1027"/>
      <c r="D42" s="1027"/>
      <c r="E42" s="301"/>
      <c r="F42" s="1028"/>
      <c r="G42" s="1028"/>
      <c r="H42" s="1028"/>
      <c r="I42" s="304"/>
      <c r="J42" s="1028"/>
      <c r="K42" s="1028"/>
      <c r="L42" s="1028"/>
      <c r="M42" s="304"/>
    </row>
    <row r="43" spans="1:14" ht="15.75" x14ac:dyDescent="0.25">
      <c r="A43" s="163"/>
      <c r="B43" s="305"/>
      <c r="C43" s="305"/>
      <c r="D43" s="305"/>
      <c r="E43" s="305"/>
      <c r="F43" s="304"/>
      <c r="G43" s="304"/>
      <c r="H43" s="304"/>
      <c r="I43" s="304"/>
      <c r="J43" s="304"/>
      <c r="K43" s="304"/>
      <c r="L43" s="304"/>
      <c r="M43" s="304"/>
    </row>
    <row r="44" spans="1:14" ht="15.75" x14ac:dyDescent="0.25">
      <c r="A44" s="247"/>
      <c r="B44" s="1023" t="s">
        <v>0</v>
      </c>
      <c r="C44" s="1024"/>
      <c r="D44" s="1024"/>
      <c r="E44" s="243"/>
      <c r="F44" s="304"/>
      <c r="G44" s="304"/>
      <c r="H44" s="304"/>
      <c r="I44" s="304"/>
      <c r="J44" s="304"/>
      <c r="K44" s="304"/>
      <c r="L44" s="304"/>
      <c r="M44" s="304"/>
    </row>
    <row r="45" spans="1:14" s="3" customFormat="1" x14ac:dyDescent="0.2">
      <c r="A45" s="140"/>
      <c r="B45" s="152" t="s">
        <v>502</v>
      </c>
      <c r="C45" s="152" t="s">
        <v>503</v>
      </c>
      <c r="D45" s="162" t="s">
        <v>3</v>
      </c>
      <c r="E45" s="162" t="s">
        <v>29</v>
      </c>
      <c r="F45" s="174"/>
      <c r="G45" s="174"/>
      <c r="H45" s="173"/>
      <c r="I45" s="173"/>
      <c r="J45" s="174"/>
      <c r="K45" s="174"/>
      <c r="L45" s="173"/>
      <c r="M45" s="173"/>
      <c r="N45" s="148"/>
    </row>
    <row r="46" spans="1:14" s="3" customFormat="1" x14ac:dyDescent="0.2">
      <c r="A46" s="990"/>
      <c r="B46" s="244"/>
      <c r="C46" s="244"/>
      <c r="D46" s="245" t="s">
        <v>4</v>
      </c>
      <c r="E46" s="156" t="s">
        <v>30</v>
      </c>
      <c r="F46" s="173"/>
      <c r="G46" s="173"/>
      <c r="H46" s="173"/>
      <c r="I46" s="173"/>
      <c r="J46" s="173"/>
      <c r="K46" s="173"/>
      <c r="L46" s="173"/>
      <c r="M46" s="173"/>
      <c r="N46" s="148"/>
    </row>
    <row r="47" spans="1:14" s="3" customFormat="1" ht="15.75" x14ac:dyDescent="0.2">
      <c r="A47" s="14" t="s">
        <v>23</v>
      </c>
      <c r="B47" s="312"/>
      <c r="C47" s="313"/>
      <c r="D47" s="428"/>
      <c r="E47" s="11"/>
      <c r="F47" s="145"/>
      <c r="G47" s="33"/>
      <c r="H47" s="159"/>
      <c r="I47" s="159"/>
      <c r="J47" s="37"/>
      <c r="K47" s="37"/>
      <c r="L47" s="159"/>
      <c r="M47" s="159"/>
      <c r="N47" s="148"/>
    </row>
    <row r="48" spans="1:14" s="3" customFormat="1" ht="15.75" x14ac:dyDescent="0.2">
      <c r="A48" s="38" t="s">
        <v>455</v>
      </c>
      <c r="B48" s="283"/>
      <c r="C48" s="284"/>
      <c r="D48" s="257"/>
      <c r="E48" s="27"/>
      <c r="F48" s="145"/>
      <c r="G48" s="33"/>
      <c r="H48" s="145"/>
      <c r="I48" s="145"/>
      <c r="J48" s="33"/>
      <c r="K48" s="33"/>
      <c r="L48" s="159"/>
      <c r="M48" s="159"/>
      <c r="N48" s="148"/>
    </row>
    <row r="49" spans="1:14" s="3" customFormat="1" ht="15.75" x14ac:dyDescent="0.2">
      <c r="A49" s="38" t="s">
        <v>456</v>
      </c>
      <c r="B49" s="44"/>
      <c r="C49" s="289"/>
      <c r="D49" s="257"/>
      <c r="E49" s="27"/>
      <c r="F49" s="145"/>
      <c r="G49" s="33"/>
      <c r="H49" s="145"/>
      <c r="I49" s="145"/>
      <c r="J49" s="37"/>
      <c r="K49" s="37"/>
      <c r="L49" s="159"/>
      <c r="M49" s="159"/>
      <c r="N49" s="148"/>
    </row>
    <row r="50" spans="1:14" s="3" customFormat="1" x14ac:dyDescent="0.2">
      <c r="A50" s="298" t="s">
        <v>6</v>
      </c>
      <c r="B50" s="292"/>
      <c r="C50" s="293"/>
      <c r="D50" s="257"/>
      <c r="E50" s="23"/>
      <c r="F50" s="145"/>
      <c r="G50" s="33"/>
      <c r="H50" s="145"/>
      <c r="I50" s="145"/>
      <c r="J50" s="33"/>
      <c r="K50" s="33"/>
      <c r="L50" s="159"/>
      <c r="M50" s="159"/>
      <c r="N50" s="148"/>
    </row>
    <row r="51" spans="1:14" s="3" customFormat="1" x14ac:dyDescent="0.2">
      <c r="A51" s="298" t="s">
        <v>7</v>
      </c>
      <c r="B51" s="292"/>
      <c r="C51" s="293"/>
      <c r="D51" s="257"/>
      <c r="E51" s="23"/>
      <c r="F51" s="145"/>
      <c r="G51" s="33"/>
      <c r="H51" s="145"/>
      <c r="I51" s="145"/>
      <c r="J51" s="33"/>
      <c r="K51" s="33"/>
      <c r="L51" s="159"/>
      <c r="M51" s="159"/>
      <c r="N51" s="148"/>
    </row>
    <row r="52" spans="1:14" s="3" customFormat="1" x14ac:dyDescent="0.2">
      <c r="A52" s="298" t="s">
        <v>8</v>
      </c>
      <c r="B52" s="292"/>
      <c r="C52" s="293"/>
      <c r="D52" s="257"/>
      <c r="E52" s="23"/>
      <c r="F52" s="145"/>
      <c r="G52" s="33"/>
      <c r="H52" s="145"/>
      <c r="I52" s="145"/>
      <c r="J52" s="33"/>
      <c r="K52" s="33"/>
      <c r="L52" s="159"/>
      <c r="M52" s="159"/>
      <c r="N52" s="148"/>
    </row>
    <row r="53" spans="1:14" s="3" customFormat="1" ht="15.75" x14ac:dyDescent="0.2">
      <c r="A53" s="39" t="s">
        <v>457</v>
      </c>
      <c r="B53" s="312"/>
      <c r="C53" s="313"/>
      <c r="D53" s="429"/>
      <c r="E53" s="11"/>
      <c r="F53" s="145"/>
      <c r="G53" s="33"/>
      <c r="H53" s="145"/>
      <c r="I53" s="145"/>
      <c r="J53" s="33"/>
      <c r="K53" s="33"/>
      <c r="L53" s="159"/>
      <c r="M53" s="159"/>
      <c r="N53" s="148"/>
    </row>
    <row r="54" spans="1:14" s="3" customFormat="1" ht="15.75" x14ac:dyDescent="0.2">
      <c r="A54" s="38" t="s">
        <v>455</v>
      </c>
      <c r="B54" s="283"/>
      <c r="C54" s="284"/>
      <c r="D54" s="257"/>
      <c r="E54" s="27"/>
      <c r="F54" s="145"/>
      <c r="G54" s="33"/>
      <c r="H54" s="145"/>
      <c r="I54" s="145"/>
      <c r="J54" s="33"/>
      <c r="K54" s="33"/>
      <c r="L54" s="159"/>
      <c r="M54" s="159"/>
      <c r="N54" s="148"/>
    </row>
    <row r="55" spans="1:14" s="3" customFormat="1" ht="15.75" x14ac:dyDescent="0.2">
      <c r="A55" s="38" t="s">
        <v>456</v>
      </c>
      <c r="B55" s="283"/>
      <c r="C55" s="284"/>
      <c r="D55" s="257"/>
      <c r="E55" s="27"/>
      <c r="F55" s="145"/>
      <c r="G55" s="33"/>
      <c r="H55" s="145"/>
      <c r="I55" s="145"/>
      <c r="J55" s="33"/>
      <c r="K55" s="33"/>
      <c r="L55" s="159"/>
      <c r="M55" s="159"/>
      <c r="N55" s="148"/>
    </row>
    <row r="56" spans="1:14" s="3" customFormat="1" ht="15.75" x14ac:dyDescent="0.2">
      <c r="A56" s="39" t="s">
        <v>458</v>
      </c>
      <c r="B56" s="312"/>
      <c r="C56" s="313"/>
      <c r="D56" s="429"/>
      <c r="E56" s="11"/>
      <c r="F56" s="145"/>
      <c r="G56" s="33"/>
      <c r="H56" s="145"/>
      <c r="I56" s="145"/>
      <c r="J56" s="33"/>
      <c r="K56" s="33"/>
      <c r="L56" s="159"/>
      <c r="M56" s="159"/>
      <c r="N56" s="148"/>
    </row>
    <row r="57" spans="1:14" s="3" customFormat="1" ht="15.75" x14ac:dyDescent="0.2">
      <c r="A57" s="38" t="s">
        <v>455</v>
      </c>
      <c r="B57" s="283"/>
      <c r="C57" s="284"/>
      <c r="D57" s="257"/>
      <c r="E57" s="27"/>
      <c r="F57" s="145"/>
      <c r="G57" s="33"/>
      <c r="H57" s="145"/>
      <c r="I57" s="145"/>
      <c r="J57" s="33"/>
      <c r="K57" s="33"/>
      <c r="L57" s="159"/>
      <c r="M57" s="159"/>
      <c r="N57" s="148"/>
    </row>
    <row r="58" spans="1:14" s="3" customFormat="1" ht="15.75" x14ac:dyDescent="0.2">
      <c r="A58" s="46" t="s">
        <v>456</v>
      </c>
      <c r="B58" s="285"/>
      <c r="C58" s="286"/>
      <c r="D58" s="258"/>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1022"/>
      <c r="C62" s="1022"/>
      <c r="D62" s="1022"/>
      <c r="E62" s="301"/>
      <c r="F62" s="1022"/>
      <c r="G62" s="1022"/>
      <c r="H62" s="1022"/>
      <c r="I62" s="301"/>
      <c r="J62" s="1022"/>
      <c r="K62" s="1022"/>
      <c r="L62" s="1022"/>
      <c r="M62" s="301"/>
    </row>
    <row r="63" spans="1:14" x14ac:dyDescent="0.2">
      <c r="A63" s="144"/>
      <c r="B63" s="1023" t="s">
        <v>0</v>
      </c>
      <c r="C63" s="1024"/>
      <c r="D63" s="1025"/>
      <c r="E63" s="302"/>
      <c r="F63" s="1024" t="s">
        <v>1</v>
      </c>
      <c r="G63" s="1024"/>
      <c r="H63" s="1024"/>
      <c r="I63" s="306"/>
      <c r="J63" s="1023" t="s">
        <v>2</v>
      </c>
      <c r="K63" s="1024"/>
      <c r="L63" s="1024"/>
      <c r="M63" s="306"/>
    </row>
    <row r="64" spans="1:14" x14ac:dyDescent="0.2">
      <c r="A64" s="140"/>
      <c r="B64" s="152" t="s">
        <v>502</v>
      </c>
      <c r="C64" s="152" t="s">
        <v>503</v>
      </c>
      <c r="D64" s="245" t="s">
        <v>3</v>
      </c>
      <c r="E64" s="307" t="s">
        <v>29</v>
      </c>
      <c r="F64" s="152" t="s">
        <v>502</v>
      </c>
      <c r="G64" s="152" t="s">
        <v>503</v>
      </c>
      <c r="H64" s="245" t="s">
        <v>3</v>
      </c>
      <c r="I64" s="307" t="s">
        <v>29</v>
      </c>
      <c r="J64" s="152" t="s">
        <v>502</v>
      </c>
      <c r="K64" s="152" t="s">
        <v>503</v>
      </c>
      <c r="L64" s="245" t="s">
        <v>3</v>
      </c>
      <c r="M64" s="162" t="s">
        <v>29</v>
      </c>
    </row>
    <row r="65" spans="1:14" x14ac:dyDescent="0.2">
      <c r="A65" s="990"/>
      <c r="B65" s="156"/>
      <c r="C65" s="156"/>
      <c r="D65" s="246" t="s">
        <v>4</v>
      </c>
      <c r="E65" s="156" t="s">
        <v>30</v>
      </c>
      <c r="F65" s="161"/>
      <c r="G65" s="161"/>
      <c r="H65" s="245" t="s">
        <v>4</v>
      </c>
      <c r="I65" s="156" t="s">
        <v>30</v>
      </c>
      <c r="J65" s="161"/>
      <c r="K65" s="206"/>
      <c r="L65" s="156" t="s">
        <v>4</v>
      </c>
      <c r="M65" s="156" t="s">
        <v>30</v>
      </c>
    </row>
    <row r="66" spans="1:14" ht="15.75" x14ac:dyDescent="0.2">
      <c r="A66" s="14" t="s">
        <v>23</v>
      </c>
      <c r="B66" s="354">
        <v>96824</v>
      </c>
      <c r="C66" s="354">
        <v>98726</v>
      </c>
      <c r="D66" s="351">
        <f t="shared" ref="D66:D111" si="0">IF(B66=0, "    ---- ", IF(ABS(ROUND(100/B66*C66-100,1))&lt;999,ROUND(100/B66*C66-100,1),IF(ROUND(100/B66*C66-100,1)&gt;999,999,-999)))</f>
        <v>2</v>
      </c>
      <c r="E66" s="11">
        <f>IFERROR(100/'Skjema total MA'!C66*C66,0)</f>
        <v>1.3292858968852319</v>
      </c>
      <c r="F66" s="353">
        <v>542528</v>
      </c>
      <c r="G66" s="353">
        <v>601762</v>
      </c>
      <c r="H66" s="351">
        <f t="shared" ref="H66:H111" si="1">IF(F66=0, "    ---- ", IF(ABS(ROUND(100/F66*G66-100,1))&lt;999,ROUND(100/F66*G66-100,1),IF(ROUND(100/F66*G66-100,1)&gt;999,999,-999)))</f>
        <v>10.9</v>
      </c>
      <c r="I66" s="11">
        <f>IFERROR(100/'Skjema total MA'!F66*G66,0)</f>
        <v>1.7187234555155793</v>
      </c>
      <c r="J66" s="311">
        <f t="shared" ref="J66:K79" si="2">SUM(B66,F66)</f>
        <v>639352</v>
      </c>
      <c r="K66" s="318">
        <f t="shared" si="2"/>
        <v>700488</v>
      </c>
      <c r="L66" s="429">
        <f t="shared" ref="L66:L111" si="3">IF(J66=0, "    ---- ", IF(ABS(ROUND(100/J66*K66-100,1))&lt;999,ROUND(100/J66*K66-100,1),IF(ROUND(100/J66*K66-100,1)&gt;999,999,-999)))</f>
        <v>9.6</v>
      </c>
      <c r="M66" s="11">
        <f>IFERROR(100/'Skjema total MA'!I66*K66,0)</f>
        <v>1.6505705507611086</v>
      </c>
    </row>
    <row r="67" spans="1:14" x14ac:dyDescent="0.2">
      <c r="A67" s="420" t="s">
        <v>9</v>
      </c>
      <c r="B67" s="44">
        <v>96824</v>
      </c>
      <c r="C67" s="145">
        <v>98726</v>
      </c>
      <c r="D67" s="166">
        <f t="shared" si="0"/>
        <v>2</v>
      </c>
      <c r="E67" s="27">
        <f>IFERROR(100/'Skjema total MA'!C67*C67,0)</f>
        <v>1.9212935206720811</v>
      </c>
      <c r="F67" s="234"/>
      <c r="G67" s="145"/>
      <c r="H67" s="166"/>
      <c r="I67" s="27"/>
      <c r="J67" s="289">
        <f t="shared" si="2"/>
        <v>96824</v>
      </c>
      <c r="K67" s="44">
        <f t="shared" si="2"/>
        <v>98726</v>
      </c>
      <c r="L67" s="257">
        <f t="shared" si="3"/>
        <v>2</v>
      </c>
      <c r="M67" s="27">
        <f>IFERROR(100/'Skjema total MA'!I67*K67,0)</f>
        <v>1.9212935206720811</v>
      </c>
    </row>
    <row r="68" spans="1:14" x14ac:dyDescent="0.2">
      <c r="A68" s="21" t="s">
        <v>10</v>
      </c>
      <c r="B68" s="294"/>
      <c r="C68" s="295"/>
      <c r="D68" s="166"/>
      <c r="E68" s="27"/>
      <c r="F68" s="294">
        <v>542528</v>
      </c>
      <c r="G68" s="295">
        <v>601762</v>
      </c>
      <c r="H68" s="166">
        <f t="shared" si="1"/>
        <v>10.9</v>
      </c>
      <c r="I68" s="27">
        <f>IFERROR(100/'Skjema total MA'!F68*G68,0)</f>
        <v>1.7891924874488805</v>
      </c>
      <c r="J68" s="289">
        <f t="shared" si="2"/>
        <v>542528</v>
      </c>
      <c r="K68" s="44">
        <f t="shared" si="2"/>
        <v>601762</v>
      </c>
      <c r="L68" s="257">
        <f t="shared" si="3"/>
        <v>10.9</v>
      </c>
      <c r="M68" s="27">
        <f>IFERROR(100/'Skjema total MA'!I68*K68,0)</f>
        <v>1.7826582543404534</v>
      </c>
    </row>
    <row r="69" spans="1:14" ht="15.75" x14ac:dyDescent="0.2">
      <c r="A69" s="298" t="s">
        <v>459</v>
      </c>
      <c r="B69" s="283"/>
      <c r="C69" s="283"/>
      <c r="D69" s="166"/>
      <c r="E69" s="418"/>
      <c r="F69" s="283"/>
      <c r="G69" s="283"/>
      <c r="H69" s="166"/>
      <c r="I69" s="418"/>
      <c r="J69" s="292"/>
      <c r="K69" s="292"/>
      <c r="L69" s="166"/>
      <c r="M69" s="23"/>
    </row>
    <row r="70" spans="1:14" x14ac:dyDescent="0.2">
      <c r="A70" s="298" t="s">
        <v>12</v>
      </c>
      <c r="B70" s="296"/>
      <c r="C70" s="297"/>
      <c r="D70" s="166"/>
      <c r="E70" s="418"/>
      <c r="F70" s="283"/>
      <c r="G70" s="283"/>
      <c r="H70" s="166"/>
      <c r="I70" s="418"/>
      <c r="J70" s="292"/>
      <c r="K70" s="292"/>
      <c r="L70" s="166"/>
      <c r="M70" s="23"/>
    </row>
    <row r="71" spans="1:14" x14ac:dyDescent="0.2">
      <c r="A71" s="298" t="s">
        <v>13</v>
      </c>
      <c r="B71" s="235"/>
      <c r="C71" s="291"/>
      <c r="D71" s="166"/>
      <c r="E71" s="418"/>
      <c r="F71" s="283"/>
      <c r="G71" s="283"/>
      <c r="H71" s="166"/>
      <c r="I71" s="418"/>
      <c r="J71" s="292"/>
      <c r="K71" s="292"/>
      <c r="L71" s="166"/>
      <c r="M71" s="23"/>
    </row>
    <row r="72" spans="1:14" ht="15.75" x14ac:dyDescent="0.2">
      <c r="A72" s="298" t="s">
        <v>460</v>
      </c>
      <c r="B72" s="283"/>
      <c r="C72" s="283"/>
      <c r="D72" s="166"/>
      <c r="E72" s="418"/>
      <c r="F72" s="283">
        <v>542528</v>
      </c>
      <c r="G72" s="283">
        <v>601762</v>
      </c>
      <c r="H72" s="166">
        <f t="shared" si="1"/>
        <v>10.9</v>
      </c>
      <c r="I72" s="418">
        <f>IFERROR(100/'Skjema total MA'!F72*G72,0)</f>
        <v>1.7893252776977127</v>
      </c>
      <c r="J72" s="289">
        <f t="shared" ref="J72" si="4">SUM(B72,F72)</f>
        <v>542528</v>
      </c>
      <c r="K72" s="44">
        <f t="shared" ref="K72" si="5">SUM(C72,G72)</f>
        <v>601762</v>
      </c>
      <c r="L72" s="257">
        <f t="shared" ref="L72" si="6">IF(J72=0, "    ---- ", IF(ABS(ROUND(100/J72*K72-100,1))&lt;999,ROUND(100/J72*K72-100,1),IF(ROUND(100/J72*K72-100,1)&gt;999,999,-999)))</f>
        <v>10.9</v>
      </c>
      <c r="M72" s="27">
        <f>IFERROR(100/'Skjema total MA'!I72*K72,0)</f>
        <v>1.7833475781497432</v>
      </c>
    </row>
    <row r="73" spans="1:14" x14ac:dyDescent="0.2">
      <c r="A73" s="298" t="s">
        <v>12</v>
      </c>
      <c r="B73" s="235"/>
      <c r="C73" s="291"/>
      <c r="D73" s="166"/>
      <c r="E73" s="418"/>
      <c r="F73" s="283"/>
      <c r="G73" s="283"/>
      <c r="H73" s="166"/>
      <c r="I73" s="418"/>
      <c r="J73" s="292"/>
      <c r="K73" s="292"/>
      <c r="L73" s="166"/>
      <c r="M73" s="23"/>
    </row>
    <row r="74" spans="1:14" s="3" customFormat="1" x14ac:dyDescent="0.2">
      <c r="A74" s="298" t="s">
        <v>13</v>
      </c>
      <c r="B74" s="235"/>
      <c r="C74" s="291"/>
      <c r="D74" s="166"/>
      <c r="E74" s="418"/>
      <c r="F74" s="283">
        <v>542528</v>
      </c>
      <c r="G74" s="283">
        <v>601762</v>
      </c>
      <c r="H74" s="166">
        <f t="shared" si="1"/>
        <v>10.9</v>
      </c>
      <c r="I74" s="418">
        <f>IFERROR(100/'Skjema total MA'!F74*G74,0)</f>
        <v>1.7893793889919161</v>
      </c>
      <c r="J74" s="289">
        <f t="shared" ref="J74" si="7">SUM(B74,F74)</f>
        <v>542528</v>
      </c>
      <c r="K74" s="44">
        <f t="shared" ref="K74" si="8">SUM(C74,G74)</f>
        <v>601762</v>
      </c>
      <c r="L74" s="257">
        <f t="shared" ref="L74" si="9">IF(J74=0, "    ---- ", IF(ABS(ROUND(100/J74*K74-100,1))&lt;999,ROUND(100/J74*K74-100,1),IF(ROUND(100/J74*K74-100,1)&gt;999,999,-999)))</f>
        <v>10.9</v>
      </c>
      <c r="M74" s="27">
        <f>IFERROR(100/'Skjema total MA'!I74*K74,0)</f>
        <v>1.7893793889919161</v>
      </c>
      <c r="N74" s="148"/>
    </row>
    <row r="75" spans="1:14" s="3" customFormat="1" x14ac:dyDescent="0.2">
      <c r="A75" s="21" t="s">
        <v>346</v>
      </c>
      <c r="B75" s="234"/>
      <c r="C75" s="145"/>
      <c r="D75" s="166"/>
      <c r="E75" s="27"/>
      <c r="F75" s="234"/>
      <c r="G75" s="145"/>
      <c r="H75" s="166"/>
      <c r="I75" s="27"/>
      <c r="J75" s="289"/>
      <c r="K75" s="44"/>
      <c r="L75" s="257"/>
      <c r="M75" s="27"/>
      <c r="N75" s="148"/>
    </row>
    <row r="76" spans="1:14" s="3" customFormat="1" x14ac:dyDescent="0.2">
      <c r="A76" s="21" t="s">
        <v>345</v>
      </c>
      <c r="B76" s="234"/>
      <c r="C76" s="145"/>
      <c r="D76" s="166"/>
      <c r="E76" s="27"/>
      <c r="F76" s="234"/>
      <c r="G76" s="145"/>
      <c r="H76" s="166"/>
      <c r="I76" s="27"/>
      <c r="J76" s="289"/>
      <c r="K76" s="44"/>
      <c r="L76" s="257"/>
      <c r="M76" s="27"/>
      <c r="N76" s="148"/>
    </row>
    <row r="77" spans="1:14" ht="15.75" x14ac:dyDescent="0.2">
      <c r="A77" s="21" t="s">
        <v>461</v>
      </c>
      <c r="B77" s="234">
        <v>96824</v>
      </c>
      <c r="C77" s="234">
        <v>98726</v>
      </c>
      <c r="D77" s="166">
        <f t="shared" si="0"/>
        <v>2</v>
      </c>
      <c r="E77" s="27">
        <f>IFERROR(100/'Skjema total MA'!C77*C77,0)</f>
        <v>1.9290097531662846</v>
      </c>
      <c r="F77" s="234">
        <v>542528</v>
      </c>
      <c r="G77" s="145">
        <v>601762</v>
      </c>
      <c r="H77" s="166">
        <f t="shared" si="1"/>
        <v>10.9</v>
      </c>
      <c r="I77" s="27">
        <f>IFERROR(100/'Skjema total MA'!F77*G77,0)</f>
        <v>1.7899474993057833</v>
      </c>
      <c r="J77" s="289">
        <f t="shared" si="2"/>
        <v>639352</v>
      </c>
      <c r="K77" s="44">
        <f t="shared" si="2"/>
        <v>700488</v>
      </c>
      <c r="L77" s="257">
        <f t="shared" si="3"/>
        <v>9.6</v>
      </c>
      <c r="M77" s="27">
        <f>IFERROR(100/'Skjema total MA'!I77*K77,0)</f>
        <v>1.8083205425836444</v>
      </c>
    </row>
    <row r="78" spans="1:14" x14ac:dyDescent="0.2">
      <c r="A78" s="21" t="s">
        <v>9</v>
      </c>
      <c r="B78" s="234">
        <v>96824</v>
      </c>
      <c r="C78" s="145">
        <v>98726</v>
      </c>
      <c r="D78" s="166">
        <f t="shared" si="0"/>
        <v>2</v>
      </c>
      <c r="E78" s="27">
        <f>IFERROR(100/'Skjema total MA'!C78*C78,0)</f>
        <v>1.9756320734396866</v>
      </c>
      <c r="F78" s="234"/>
      <c r="G78" s="145"/>
      <c r="H78" s="166"/>
      <c r="I78" s="27"/>
      <c r="J78" s="289">
        <f t="shared" si="2"/>
        <v>96824</v>
      </c>
      <c r="K78" s="44">
        <f t="shared" si="2"/>
        <v>98726</v>
      </c>
      <c r="L78" s="257">
        <f t="shared" si="3"/>
        <v>2</v>
      </c>
      <c r="M78" s="27">
        <f>IFERROR(100/'Skjema total MA'!I78*K78,0)</f>
        <v>1.9756320734396866</v>
      </c>
    </row>
    <row r="79" spans="1:14" x14ac:dyDescent="0.2">
      <c r="A79" s="21" t="s">
        <v>10</v>
      </c>
      <c r="B79" s="294"/>
      <c r="C79" s="295"/>
      <c r="D79" s="166"/>
      <c r="E79" s="27"/>
      <c r="F79" s="294">
        <v>542528</v>
      </c>
      <c r="G79" s="295">
        <v>601762</v>
      </c>
      <c r="H79" s="166">
        <f t="shared" si="1"/>
        <v>10.9</v>
      </c>
      <c r="I79" s="27">
        <f>IFERROR(100/'Skjema total MA'!F79*G79,0)</f>
        <v>1.7899474993057833</v>
      </c>
      <c r="J79" s="289">
        <f t="shared" si="2"/>
        <v>542528</v>
      </c>
      <c r="K79" s="44">
        <f t="shared" si="2"/>
        <v>601762</v>
      </c>
      <c r="L79" s="257">
        <f t="shared" si="3"/>
        <v>10.9</v>
      </c>
      <c r="M79" s="27">
        <f>IFERROR(100/'Skjema total MA'!I79*K79,0)</f>
        <v>1.7835400771389729</v>
      </c>
    </row>
    <row r="80" spans="1:14" ht="15.75" x14ac:dyDescent="0.2">
      <c r="A80" s="298" t="s">
        <v>459</v>
      </c>
      <c r="B80" s="283"/>
      <c r="C80" s="283"/>
      <c r="D80" s="166"/>
      <c r="E80" s="418"/>
      <c r="F80" s="283"/>
      <c r="G80" s="283"/>
      <c r="H80" s="166"/>
      <c r="I80" s="418"/>
      <c r="J80" s="292"/>
      <c r="K80" s="292"/>
      <c r="L80" s="166"/>
      <c r="M80" s="23"/>
    </row>
    <row r="81" spans="1:13" x14ac:dyDescent="0.2">
      <c r="A81" s="298" t="s">
        <v>12</v>
      </c>
      <c r="B81" s="235"/>
      <c r="C81" s="291"/>
      <c r="D81" s="166"/>
      <c r="E81" s="418"/>
      <c r="F81" s="283"/>
      <c r="G81" s="283"/>
      <c r="H81" s="166"/>
      <c r="I81" s="418"/>
      <c r="J81" s="292"/>
      <c r="K81" s="292"/>
      <c r="L81" s="166"/>
      <c r="M81" s="23"/>
    </row>
    <row r="82" spans="1:13" x14ac:dyDescent="0.2">
      <c r="A82" s="298" t="s">
        <v>13</v>
      </c>
      <c r="B82" s="235"/>
      <c r="C82" s="291"/>
      <c r="D82" s="166"/>
      <c r="E82" s="418"/>
      <c r="F82" s="283"/>
      <c r="G82" s="283"/>
      <c r="H82" s="166"/>
      <c r="I82" s="418"/>
      <c r="J82" s="292"/>
      <c r="K82" s="292"/>
      <c r="L82" s="166"/>
      <c r="M82" s="23"/>
    </row>
    <row r="83" spans="1:13" ht="15.75" x14ac:dyDescent="0.2">
      <c r="A83" s="298" t="s">
        <v>460</v>
      </c>
      <c r="B83" s="283"/>
      <c r="C83" s="283"/>
      <c r="D83" s="166"/>
      <c r="E83" s="418"/>
      <c r="F83" s="283">
        <v>542528</v>
      </c>
      <c r="G83" s="283">
        <v>601762</v>
      </c>
      <c r="H83" s="166">
        <f t="shared" si="1"/>
        <v>10.9</v>
      </c>
      <c r="I83" s="418">
        <f>IFERROR(100/'Skjema total MA'!F83*G83,0)</f>
        <v>1.7899474993057833</v>
      </c>
      <c r="J83" s="289">
        <f t="shared" ref="J83" si="10">SUM(B83,F83)</f>
        <v>542528</v>
      </c>
      <c r="K83" s="44">
        <f t="shared" ref="K83" si="11">SUM(C83,G83)</f>
        <v>601762</v>
      </c>
      <c r="L83" s="257">
        <f t="shared" ref="L83" si="12">IF(J83=0, "    ---- ", IF(ABS(ROUND(100/J83*K83-100,1))&lt;999,ROUND(100/J83*K83-100,1),IF(ROUND(100/J83*K83-100,1)&gt;999,999,-999)))</f>
        <v>10.9</v>
      </c>
      <c r="M83" s="27">
        <f>IFERROR(100/'Skjema total MA'!I83*K83,0)</f>
        <v>1.7835400771389729</v>
      </c>
    </row>
    <row r="84" spans="1:13" x14ac:dyDescent="0.2">
      <c r="A84" s="298" t="s">
        <v>12</v>
      </c>
      <c r="B84" s="235"/>
      <c r="C84" s="291"/>
      <c r="D84" s="166"/>
      <c r="E84" s="418"/>
      <c r="F84" s="283"/>
      <c r="G84" s="283"/>
      <c r="H84" s="166"/>
      <c r="I84" s="418"/>
      <c r="J84" s="292"/>
      <c r="K84" s="292"/>
      <c r="L84" s="166"/>
      <c r="M84" s="23"/>
    </row>
    <row r="85" spans="1:13" x14ac:dyDescent="0.2">
      <c r="A85" s="298" t="s">
        <v>13</v>
      </c>
      <c r="B85" s="235"/>
      <c r="C85" s="291"/>
      <c r="D85" s="166"/>
      <c r="E85" s="418"/>
      <c r="F85" s="283">
        <v>542528</v>
      </c>
      <c r="G85" s="283">
        <v>601762</v>
      </c>
      <c r="H85" s="166">
        <f t="shared" si="1"/>
        <v>10.9</v>
      </c>
      <c r="I85" s="418">
        <f>IFERROR(100/'Skjema total MA'!F85*G85,0)</f>
        <v>1.7900016482405212</v>
      </c>
      <c r="J85" s="289">
        <f t="shared" ref="J85" si="13">SUM(B85,F85)</f>
        <v>542528</v>
      </c>
      <c r="K85" s="44">
        <f t="shared" ref="K85" si="14">SUM(C85,G85)</f>
        <v>601762</v>
      </c>
      <c r="L85" s="257">
        <f t="shared" ref="L85" si="15">IF(J85=0, "    ---- ", IF(ABS(ROUND(100/J85*K85-100,1))&lt;999,ROUND(100/J85*K85-100,1),IF(ROUND(100/J85*K85-100,1)&gt;999,999,-999)))</f>
        <v>10.9</v>
      </c>
      <c r="M85" s="27">
        <f>IFERROR(100/'Skjema total MA'!I85*K85,0)</f>
        <v>1.7900016482405212</v>
      </c>
    </row>
    <row r="86" spans="1:13" ht="15.75" x14ac:dyDescent="0.2">
      <c r="A86" s="21" t="s">
        <v>462</v>
      </c>
      <c r="B86" s="234"/>
      <c r="C86" s="145"/>
      <c r="D86" s="166"/>
      <c r="E86" s="27"/>
      <c r="F86" s="234"/>
      <c r="G86" s="145"/>
      <c r="H86" s="166"/>
      <c r="I86" s="27"/>
      <c r="J86" s="289"/>
      <c r="K86" s="44"/>
      <c r="L86" s="257"/>
      <c r="M86" s="27"/>
    </row>
    <row r="87" spans="1:13" ht="15.75" x14ac:dyDescent="0.2">
      <c r="A87" s="13" t="s">
        <v>444</v>
      </c>
      <c r="B87" s="354">
        <v>1723587</v>
      </c>
      <c r="C87" s="354">
        <v>1799572</v>
      </c>
      <c r="D87" s="171">
        <f t="shared" si="0"/>
        <v>4.4000000000000004</v>
      </c>
      <c r="E87" s="11">
        <f>IFERROR(100/'Skjema total MA'!C87*C87,0)</f>
        <v>0.4553486798033009</v>
      </c>
      <c r="F87" s="353">
        <v>4891857</v>
      </c>
      <c r="G87" s="353">
        <v>5959168</v>
      </c>
      <c r="H87" s="171">
        <f t="shared" si="1"/>
        <v>21.8</v>
      </c>
      <c r="I87" s="11">
        <f>IFERROR(100/'Skjema total MA'!F87*G87,0)</f>
        <v>1.5984740253240892</v>
      </c>
      <c r="J87" s="311">
        <f t="shared" ref="J87:K111" si="16">SUM(B87,F87)</f>
        <v>6615444</v>
      </c>
      <c r="K87" s="236">
        <f t="shared" si="16"/>
        <v>7758740</v>
      </c>
      <c r="L87" s="429">
        <f t="shared" si="3"/>
        <v>17.3</v>
      </c>
      <c r="M87" s="11">
        <f>IFERROR(100/'Skjema total MA'!I87*K87,0)</f>
        <v>1.0102381002506353</v>
      </c>
    </row>
    <row r="88" spans="1:13" x14ac:dyDescent="0.2">
      <c r="A88" s="21" t="s">
        <v>9</v>
      </c>
      <c r="B88" s="234">
        <v>1723587</v>
      </c>
      <c r="C88" s="145">
        <v>1799572</v>
      </c>
      <c r="D88" s="166">
        <f t="shared" si="0"/>
        <v>4.4000000000000004</v>
      </c>
      <c r="E88" s="27">
        <f>IFERROR(100/'Skjema total MA'!C88*C88,0)</f>
        <v>0.4694356437861219</v>
      </c>
      <c r="F88" s="234"/>
      <c r="G88" s="145"/>
      <c r="H88" s="166"/>
      <c r="I88" s="27"/>
      <c r="J88" s="289">
        <f t="shared" si="16"/>
        <v>1723587</v>
      </c>
      <c r="K88" s="44">
        <f t="shared" si="16"/>
        <v>1799572</v>
      </c>
      <c r="L88" s="257">
        <f t="shared" si="3"/>
        <v>4.4000000000000004</v>
      </c>
      <c r="M88" s="27">
        <f>IFERROR(100/'Skjema total MA'!I88*K88,0)</f>
        <v>0.4694356437861219</v>
      </c>
    </row>
    <row r="89" spans="1:13" x14ac:dyDescent="0.2">
      <c r="A89" s="21" t="s">
        <v>10</v>
      </c>
      <c r="B89" s="234"/>
      <c r="C89" s="145"/>
      <c r="D89" s="166"/>
      <c r="E89" s="27"/>
      <c r="F89" s="234">
        <v>4891857</v>
      </c>
      <c r="G89" s="145">
        <v>5959168</v>
      </c>
      <c r="H89" s="166">
        <f t="shared" si="1"/>
        <v>21.8</v>
      </c>
      <c r="I89" s="27">
        <f>IFERROR(100/'Skjema total MA'!F89*G89,0)</f>
        <v>1.6120172235838055</v>
      </c>
      <c r="J89" s="289">
        <f t="shared" si="16"/>
        <v>4891857</v>
      </c>
      <c r="K89" s="44">
        <f t="shared" si="16"/>
        <v>5959168</v>
      </c>
      <c r="L89" s="257">
        <f t="shared" si="3"/>
        <v>21.8</v>
      </c>
      <c r="M89" s="27">
        <f>IFERROR(100/'Skjema total MA'!I89*K89,0)</f>
        <v>1.5988166356149094</v>
      </c>
    </row>
    <row r="90" spans="1:13" ht="15.75" x14ac:dyDescent="0.2">
      <c r="A90" s="298" t="s">
        <v>459</v>
      </c>
      <c r="B90" s="283"/>
      <c r="C90" s="283"/>
      <c r="D90" s="166"/>
      <c r="E90" s="418"/>
      <c r="F90" s="283"/>
      <c r="G90" s="283"/>
      <c r="H90" s="166"/>
      <c r="I90" s="418"/>
      <c r="J90" s="292"/>
      <c r="K90" s="292"/>
      <c r="L90" s="166"/>
      <c r="M90" s="23"/>
    </row>
    <row r="91" spans="1:13" x14ac:dyDescent="0.2">
      <c r="A91" s="298" t="s">
        <v>12</v>
      </c>
      <c r="B91" s="235"/>
      <c r="C91" s="291"/>
      <c r="D91" s="166"/>
      <c r="E91" s="418"/>
      <c r="F91" s="283"/>
      <c r="G91" s="283"/>
      <c r="H91" s="166"/>
      <c r="I91" s="418"/>
      <c r="J91" s="292"/>
      <c r="K91" s="292"/>
      <c r="L91" s="166"/>
      <c r="M91" s="23"/>
    </row>
    <row r="92" spans="1:13" x14ac:dyDescent="0.2">
      <c r="A92" s="298" t="s">
        <v>13</v>
      </c>
      <c r="B92" s="235"/>
      <c r="C92" s="291"/>
      <c r="D92" s="166"/>
      <c r="E92" s="418"/>
      <c r="F92" s="283"/>
      <c r="G92" s="283"/>
      <c r="H92" s="166"/>
      <c r="I92" s="418"/>
      <c r="J92" s="292"/>
      <c r="K92" s="292"/>
      <c r="L92" s="166"/>
      <c r="M92" s="23"/>
    </row>
    <row r="93" spans="1:13" ht="15.75" x14ac:dyDescent="0.2">
      <c r="A93" s="298" t="s">
        <v>460</v>
      </c>
      <c r="B93" s="283"/>
      <c r="C93" s="283"/>
      <c r="D93" s="166"/>
      <c r="E93" s="418"/>
      <c r="F93" s="283">
        <v>4891857</v>
      </c>
      <c r="G93" s="283">
        <v>5959168</v>
      </c>
      <c r="H93" s="166">
        <f t="shared" si="1"/>
        <v>21.8</v>
      </c>
      <c r="I93" s="418">
        <f>IFERROR(100/'Skjema total MA'!F93*G93,0)</f>
        <v>1.6125203930426419</v>
      </c>
      <c r="J93" s="289">
        <f t="shared" ref="J93" si="17">SUM(B93,F93)</f>
        <v>4891857</v>
      </c>
      <c r="K93" s="44">
        <f t="shared" ref="K93" si="18">SUM(C93,G93)</f>
        <v>5959168</v>
      </c>
      <c r="L93" s="257">
        <f t="shared" ref="L93" si="19">IF(J93=0, "    ---- ", IF(ABS(ROUND(100/J93*K93-100,1))&lt;999,ROUND(100/J93*K93-100,1),IF(ROUND(100/J93*K93-100,1)&gt;999,999,-999)))</f>
        <v>21.8</v>
      </c>
      <c r="M93" s="27">
        <f>IFERROR(100/'Skjema total MA'!I93*K93,0)</f>
        <v>1.5993115967784914</v>
      </c>
    </row>
    <row r="94" spans="1:13" x14ac:dyDescent="0.2">
      <c r="A94" s="298" t="s">
        <v>12</v>
      </c>
      <c r="B94" s="235"/>
      <c r="C94" s="291"/>
      <c r="D94" s="166"/>
      <c r="E94" s="418"/>
      <c r="F94" s="283"/>
      <c r="G94" s="283"/>
      <c r="H94" s="166"/>
      <c r="I94" s="418"/>
      <c r="J94" s="292"/>
      <c r="K94" s="292"/>
      <c r="L94" s="166"/>
      <c r="M94" s="23"/>
    </row>
    <row r="95" spans="1:13" x14ac:dyDescent="0.2">
      <c r="A95" s="298" t="s">
        <v>13</v>
      </c>
      <c r="B95" s="235"/>
      <c r="C95" s="291"/>
      <c r="D95" s="166"/>
      <c r="E95" s="418"/>
      <c r="F95" s="283">
        <v>4891857</v>
      </c>
      <c r="G95" s="283">
        <v>5959168</v>
      </c>
      <c r="H95" s="166">
        <f t="shared" si="1"/>
        <v>21.8</v>
      </c>
      <c r="I95" s="418">
        <f>IFERROR(100/'Skjema total MA'!F95*G95,0)</f>
        <v>1.6162040633759684</v>
      </c>
      <c r="J95" s="289">
        <f t="shared" ref="J95" si="20">SUM(B95,F95)</f>
        <v>4891857</v>
      </c>
      <c r="K95" s="44">
        <f t="shared" ref="K95" si="21">SUM(C95,G95)</f>
        <v>5959168</v>
      </c>
      <c r="L95" s="257">
        <f t="shared" ref="L95" si="22">IF(J95=0, "    ---- ", IF(ABS(ROUND(100/J95*K95-100,1))&lt;999,ROUND(100/J95*K95-100,1),IF(ROUND(100/J95*K95-100,1)&gt;999,999,-999)))</f>
        <v>21.8</v>
      </c>
      <c r="M95" s="27">
        <f>IFERROR(100/'Skjema total MA'!I95*K95,0)</f>
        <v>1.6162040633759684</v>
      </c>
    </row>
    <row r="96" spans="1:13" x14ac:dyDescent="0.2">
      <c r="A96" s="21" t="s">
        <v>344</v>
      </c>
      <c r="B96" s="234"/>
      <c r="C96" s="145"/>
      <c r="D96" s="166"/>
      <c r="E96" s="27"/>
      <c r="F96" s="234"/>
      <c r="G96" s="145"/>
      <c r="H96" s="166"/>
      <c r="I96" s="27"/>
      <c r="J96" s="289"/>
      <c r="K96" s="44"/>
      <c r="L96" s="257"/>
      <c r="M96" s="27"/>
    </row>
    <row r="97" spans="1:13" x14ac:dyDescent="0.2">
      <c r="A97" s="21" t="s">
        <v>343</v>
      </c>
      <c r="B97" s="234"/>
      <c r="C97" s="145"/>
      <c r="D97" s="166"/>
      <c r="E97" s="27"/>
      <c r="F97" s="234"/>
      <c r="G97" s="145"/>
      <c r="H97" s="166"/>
      <c r="I97" s="27"/>
      <c r="J97" s="289"/>
      <c r="K97" s="44"/>
      <c r="L97" s="257"/>
      <c r="M97" s="27"/>
    </row>
    <row r="98" spans="1:13" ht="15.75" x14ac:dyDescent="0.2">
      <c r="A98" s="21" t="s">
        <v>461</v>
      </c>
      <c r="B98" s="234">
        <v>1723587</v>
      </c>
      <c r="C98" s="234">
        <v>1799572</v>
      </c>
      <c r="D98" s="166">
        <f t="shared" si="0"/>
        <v>4.4000000000000004</v>
      </c>
      <c r="E98" s="27">
        <f>IFERROR(100/'Skjema total MA'!C98*C98,0)</f>
        <v>0.47114895424050368</v>
      </c>
      <c r="F98" s="294">
        <v>4891857</v>
      </c>
      <c r="G98" s="294">
        <v>5959168</v>
      </c>
      <c r="H98" s="166">
        <f t="shared" si="1"/>
        <v>21.8</v>
      </c>
      <c r="I98" s="27">
        <f>IFERROR(100/'Skjema total MA'!F98*G98,0)</f>
        <v>1.616518861159018</v>
      </c>
      <c r="J98" s="289">
        <f t="shared" si="16"/>
        <v>6615444</v>
      </c>
      <c r="K98" s="44">
        <f t="shared" si="16"/>
        <v>7758740</v>
      </c>
      <c r="L98" s="257">
        <f t="shared" si="3"/>
        <v>17.3</v>
      </c>
      <c r="M98" s="27">
        <f>IFERROR(100/'Skjema total MA'!I98*K98,0)</f>
        <v>1.033677272703142</v>
      </c>
    </row>
    <row r="99" spans="1:13" x14ac:dyDescent="0.2">
      <c r="A99" s="21" t="s">
        <v>9</v>
      </c>
      <c r="B99" s="294">
        <v>1723587</v>
      </c>
      <c r="C99" s="295">
        <v>1799572</v>
      </c>
      <c r="D99" s="166">
        <f t="shared" si="0"/>
        <v>4.4000000000000004</v>
      </c>
      <c r="E99" s="27">
        <f>IFERROR(100/'Skjema total MA'!C99*C99,0)</f>
        <v>0.47494421988819607</v>
      </c>
      <c r="F99" s="234"/>
      <c r="G99" s="145"/>
      <c r="H99" s="166"/>
      <c r="I99" s="27"/>
      <c r="J99" s="289">
        <f t="shared" si="16"/>
        <v>1723587</v>
      </c>
      <c r="K99" s="44">
        <f t="shared" si="16"/>
        <v>1799572</v>
      </c>
      <c r="L99" s="257">
        <f t="shared" si="3"/>
        <v>4.4000000000000004</v>
      </c>
      <c r="M99" s="27">
        <f>IFERROR(100/'Skjema total MA'!I99*K99,0)</f>
        <v>0.47494421988819607</v>
      </c>
    </row>
    <row r="100" spans="1:13" x14ac:dyDescent="0.2">
      <c r="A100" s="21" t="s">
        <v>10</v>
      </c>
      <c r="B100" s="294"/>
      <c r="C100" s="295"/>
      <c r="D100" s="166"/>
      <c r="E100" s="27"/>
      <c r="F100" s="234">
        <v>4891857</v>
      </c>
      <c r="G100" s="234">
        <v>5959168</v>
      </c>
      <c r="H100" s="166">
        <f t="shared" si="1"/>
        <v>21.8</v>
      </c>
      <c r="I100" s="27">
        <f>IFERROR(100/'Skjema total MA'!F100*G100,0)</f>
        <v>1.616518861159018</v>
      </c>
      <c r="J100" s="289">
        <f t="shared" si="16"/>
        <v>4891857</v>
      </c>
      <c r="K100" s="44">
        <f t="shared" si="16"/>
        <v>5959168</v>
      </c>
      <c r="L100" s="257">
        <f t="shared" si="3"/>
        <v>21.8</v>
      </c>
      <c r="M100" s="27">
        <f>IFERROR(100/'Skjema total MA'!I100*K100,0)</f>
        <v>1.6032447472119047</v>
      </c>
    </row>
    <row r="101" spans="1:13" ht="15.75" x14ac:dyDescent="0.2">
      <c r="A101" s="298" t="s">
        <v>459</v>
      </c>
      <c r="B101" s="283"/>
      <c r="C101" s="283"/>
      <c r="D101" s="166"/>
      <c r="E101" s="418"/>
      <c r="F101" s="283"/>
      <c r="G101" s="283"/>
      <c r="H101" s="166"/>
      <c r="I101" s="418"/>
      <c r="J101" s="292"/>
      <c r="K101" s="292"/>
      <c r="L101" s="166"/>
      <c r="M101" s="23"/>
    </row>
    <row r="102" spans="1:13" x14ac:dyDescent="0.2">
      <c r="A102" s="298" t="s">
        <v>12</v>
      </c>
      <c r="B102" s="235"/>
      <c r="C102" s="291"/>
      <c r="D102" s="166"/>
      <c r="E102" s="418"/>
      <c r="F102" s="283"/>
      <c r="G102" s="283"/>
      <c r="H102" s="166"/>
      <c r="I102" s="418"/>
      <c r="J102" s="292"/>
      <c r="K102" s="292"/>
      <c r="L102" s="166"/>
      <c r="M102" s="23"/>
    </row>
    <row r="103" spans="1:13" x14ac:dyDescent="0.2">
      <c r="A103" s="298" t="s">
        <v>13</v>
      </c>
      <c r="B103" s="235"/>
      <c r="C103" s="291"/>
      <c r="D103" s="166"/>
      <c r="E103" s="418"/>
      <c r="F103" s="283"/>
      <c r="G103" s="283"/>
      <c r="H103" s="166"/>
      <c r="I103" s="418"/>
      <c r="J103" s="292"/>
      <c r="K103" s="292"/>
      <c r="L103" s="166"/>
      <c r="M103" s="23"/>
    </row>
    <row r="104" spans="1:13" ht="15.75" x14ac:dyDescent="0.2">
      <c r="A104" s="298" t="s">
        <v>460</v>
      </c>
      <c r="B104" s="283"/>
      <c r="C104" s="283"/>
      <c r="D104" s="166"/>
      <c r="E104" s="418"/>
      <c r="F104" s="283">
        <v>4891857</v>
      </c>
      <c r="G104" s="283">
        <v>5959168</v>
      </c>
      <c r="H104" s="166">
        <f t="shared" si="1"/>
        <v>21.8</v>
      </c>
      <c r="I104" s="418">
        <f>IFERROR(100/'Skjema total MA'!F104*G104,0)</f>
        <v>1.616518861159018</v>
      </c>
      <c r="J104" s="289">
        <f t="shared" ref="J104" si="23">SUM(B104,F104)</f>
        <v>4891857</v>
      </c>
      <c r="K104" s="44">
        <f t="shared" ref="K104" si="24">SUM(C104,G104)</f>
        <v>5959168</v>
      </c>
      <c r="L104" s="257">
        <f t="shared" ref="L104" si="25">IF(J104=0, "    ---- ", IF(ABS(ROUND(100/J104*K104-100,1))&lt;999,ROUND(100/J104*K104-100,1),IF(ROUND(100/J104*K104-100,1)&gt;999,999,-999)))</f>
        <v>21.8</v>
      </c>
      <c r="M104" s="27">
        <f>IFERROR(100/'Skjema total MA'!I104*K104,0)</f>
        <v>1.6032447472119047</v>
      </c>
    </row>
    <row r="105" spans="1:13" x14ac:dyDescent="0.2">
      <c r="A105" s="298" t="s">
        <v>12</v>
      </c>
      <c r="B105" s="235"/>
      <c r="C105" s="291"/>
      <c r="D105" s="166"/>
      <c r="E105" s="418"/>
      <c r="F105" s="283"/>
      <c r="G105" s="283"/>
      <c r="H105" s="166"/>
      <c r="I105" s="418"/>
      <c r="J105" s="292"/>
      <c r="K105" s="292"/>
      <c r="L105" s="166"/>
      <c r="M105" s="23"/>
    </row>
    <row r="106" spans="1:13" x14ac:dyDescent="0.2">
      <c r="A106" s="298" t="s">
        <v>13</v>
      </c>
      <c r="B106" s="235"/>
      <c r="C106" s="291"/>
      <c r="D106" s="166"/>
      <c r="E106" s="418"/>
      <c r="F106" s="283">
        <v>4891857</v>
      </c>
      <c r="G106" s="283">
        <v>5959168</v>
      </c>
      <c r="H106" s="166">
        <f t="shared" si="1"/>
        <v>21.8</v>
      </c>
      <c r="I106" s="418">
        <f>IFERROR(100/'Skjema total MA'!F106*G106,0)</f>
        <v>1.6165693655174362</v>
      </c>
      <c r="J106" s="289">
        <f t="shared" ref="J106" si="26">SUM(B106,F106)</f>
        <v>4891857</v>
      </c>
      <c r="K106" s="44">
        <f t="shared" ref="K106" si="27">SUM(C106,G106)</f>
        <v>5959168</v>
      </c>
      <c r="L106" s="257">
        <f t="shared" ref="L106" si="28">IF(J106=0, "    ---- ", IF(ABS(ROUND(100/J106*K106-100,1))&lt;999,ROUND(100/J106*K106-100,1),IF(ROUND(100/J106*K106-100,1)&gt;999,999,-999)))</f>
        <v>21.8</v>
      </c>
      <c r="M106" s="27">
        <f>IFERROR(100/'Skjema total MA'!I106*K106,0)</f>
        <v>1.6165693655174362</v>
      </c>
    </row>
    <row r="107" spans="1:13" ht="15.75" x14ac:dyDescent="0.2">
      <c r="A107" s="21" t="s">
        <v>462</v>
      </c>
      <c r="B107" s="234"/>
      <c r="C107" s="145"/>
      <c r="D107" s="166"/>
      <c r="E107" s="27"/>
      <c r="F107" s="234"/>
      <c r="G107" s="145"/>
      <c r="H107" s="166"/>
      <c r="I107" s="27"/>
      <c r="J107" s="289"/>
      <c r="K107" s="44"/>
      <c r="L107" s="257"/>
      <c r="M107" s="27"/>
    </row>
    <row r="108" spans="1:13" ht="15.75" x14ac:dyDescent="0.2">
      <c r="A108" s="21" t="s">
        <v>463</v>
      </c>
      <c r="B108" s="234">
        <v>956897</v>
      </c>
      <c r="C108" s="234">
        <v>986391</v>
      </c>
      <c r="D108" s="166">
        <f t="shared" si="0"/>
        <v>3.1</v>
      </c>
      <c r="E108" s="27">
        <f>IFERROR(100/'Skjema total MA'!C108*C108,0)</f>
        <v>0.3018985514537314</v>
      </c>
      <c r="F108" s="234"/>
      <c r="G108" s="234"/>
      <c r="H108" s="166"/>
      <c r="I108" s="27"/>
      <c r="J108" s="289">
        <f t="shared" si="16"/>
        <v>956897</v>
      </c>
      <c r="K108" s="44">
        <f t="shared" si="16"/>
        <v>986391</v>
      </c>
      <c r="L108" s="257">
        <f t="shared" si="3"/>
        <v>3.1</v>
      </c>
      <c r="M108" s="27">
        <f>IFERROR(100/'Skjema total MA'!I108*K108,0)</f>
        <v>0.28559096001911088</v>
      </c>
    </row>
    <row r="109" spans="1:13" ht="15.75" x14ac:dyDescent="0.2">
      <c r="A109" s="21" t="s">
        <v>464</v>
      </c>
      <c r="B109" s="234"/>
      <c r="C109" s="234"/>
      <c r="D109" s="166"/>
      <c r="E109" s="27"/>
      <c r="F109" s="234">
        <v>2161413</v>
      </c>
      <c r="G109" s="234">
        <v>2598522</v>
      </c>
      <c r="H109" s="166">
        <f t="shared" si="1"/>
        <v>20.2</v>
      </c>
      <c r="I109" s="27">
        <f>IFERROR(100/'Skjema total MA'!F109*G109,0)</f>
        <v>1.9981976996244677</v>
      </c>
      <c r="J109" s="289">
        <f t="shared" si="16"/>
        <v>2161413</v>
      </c>
      <c r="K109" s="44">
        <f t="shared" si="16"/>
        <v>2598522</v>
      </c>
      <c r="L109" s="257">
        <f t="shared" si="3"/>
        <v>20.2</v>
      </c>
      <c r="M109" s="27">
        <f>IFERROR(100/'Skjema total MA'!I109*K109,0)</f>
        <v>1.9816969145506462</v>
      </c>
    </row>
    <row r="110" spans="1:13" ht="15.75" x14ac:dyDescent="0.2">
      <c r="A110" s="21" t="s">
        <v>465</v>
      </c>
      <c r="B110" s="234"/>
      <c r="C110" s="234"/>
      <c r="D110" s="166"/>
      <c r="E110" s="27"/>
      <c r="F110" s="234"/>
      <c r="G110" s="234"/>
      <c r="H110" s="166"/>
      <c r="I110" s="27"/>
      <c r="J110" s="289"/>
      <c r="K110" s="44"/>
      <c r="L110" s="257"/>
      <c r="M110" s="27"/>
    </row>
    <row r="111" spans="1:13" ht="15.75" x14ac:dyDescent="0.2">
      <c r="A111" s="13" t="s">
        <v>445</v>
      </c>
      <c r="B111" s="310">
        <v>2283</v>
      </c>
      <c r="C111" s="159">
        <v>7508</v>
      </c>
      <c r="D111" s="171">
        <f t="shared" si="0"/>
        <v>228.9</v>
      </c>
      <c r="E111" s="11">
        <f>IFERROR(100/'Skjema total MA'!C111*C111,0)</f>
        <v>0.81455839721820222</v>
      </c>
      <c r="F111" s="310">
        <v>493448</v>
      </c>
      <c r="G111" s="159">
        <v>321250</v>
      </c>
      <c r="H111" s="171">
        <f t="shared" si="1"/>
        <v>-34.9</v>
      </c>
      <c r="I111" s="11">
        <f>IFERROR(100/'Skjema total MA'!F111*G111,0)</f>
        <v>1.446588907596255</v>
      </c>
      <c r="J111" s="311">
        <f t="shared" si="16"/>
        <v>495731</v>
      </c>
      <c r="K111" s="236">
        <f t="shared" si="16"/>
        <v>328758</v>
      </c>
      <c r="L111" s="429">
        <f t="shared" si="3"/>
        <v>-33.700000000000003</v>
      </c>
      <c r="M111" s="11">
        <f>IFERROR(100/'Skjema total MA'!I111*K111,0)</f>
        <v>1.4214016679956121</v>
      </c>
    </row>
    <row r="112" spans="1:13" x14ac:dyDescent="0.2">
      <c r="A112" s="21" t="s">
        <v>9</v>
      </c>
      <c r="B112" s="234">
        <v>2283</v>
      </c>
      <c r="C112" s="145">
        <v>7508</v>
      </c>
      <c r="D112" s="166">
        <f t="shared" ref="D112:D120" si="29">IF(B112=0, "    ---- ", IF(ABS(ROUND(100/B112*C112-100,1))&lt;999,ROUND(100/B112*C112-100,1),IF(ROUND(100/B112*C112-100,1)&gt;999,999,-999)))</f>
        <v>228.9</v>
      </c>
      <c r="E112" s="27">
        <f>IFERROR(100/'Skjema total MA'!C112*C112,0)</f>
        <v>1.5641093504986441</v>
      </c>
      <c r="F112" s="234"/>
      <c r="G112" s="145"/>
      <c r="H112" s="166"/>
      <c r="I112" s="27"/>
      <c r="J112" s="289">
        <f t="shared" ref="J112:K125" si="30">SUM(B112,F112)</f>
        <v>2283</v>
      </c>
      <c r="K112" s="44">
        <f t="shared" si="30"/>
        <v>7508</v>
      </c>
      <c r="L112" s="257">
        <f t="shared" ref="L112:L125" si="31">IF(J112=0, "    ---- ", IF(ABS(ROUND(100/J112*K112-100,1))&lt;999,ROUND(100/J112*K112-100,1),IF(ROUND(100/J112*K112-100,1)&gt;999,999,-999)))</f>
        <v>228.9</v>
      </c>
      <c r="M112" s="27">
        <f>IFERROR(100/'Skjema total MA'!I112*K112,0)</f>
        <v>1.5042550269401205</v>
      </c>
    </row>
    <row r="113" spans="1:14" x14ac:dyDescent="0.2">
      <c r="A113" s="21" t="s">
        <v>10</v>
      </c>
      <c r="B113" s="234"/>
      <c r="C113" s="145"/>
      <c r="D113" s="166"/>
      <c r="E113" s="27"/>
      <c r="F113" s="234">
        <v>493448</v>
      </c>
      <c r="G113" s="145">
        <v>321250</v>
      </c>
      <c r="H113" s="166">
        <f t="shared" ref="H113:H125" si="32">IF(F113=0, "    ---- ", IF(ABS(ROUND(100/F113*G113-100,1))&lt;999,ROUND(100/F113*G113-100,1),IF(ROUND(100/F113*G113-100,1)&gt;999,999,-999)))</f>
        <v>-34.9</v>
      </c>
      <c r="I113" s="27">
        <f>IFERROR(100/'Skjema total MA'!F113*G113,0)</f>
        <v>1.4523471167811022</v>
      </c>
      <c r="J113" s="289">
        <f t="shared" si="30"/>
        <v>493448</v>
      </c>
      <c r="K113" s="44">
        <f t="shared" si="30"/>
        <v>321250</v>
      </c>
      <c r="L113" s="257">
        <f t="shared" si="31"/>
        <v>-34.9</v>
      </c>
      <c r="M113" s="27">
        <f>IFERROR(100/'Skjema total MA'!I113*K113,0)</f>
        <v>1.4520126187007663</v>
      </c>
    </row>
    <row r="114" spans="1:14" x14ac:dyDescent="0.2">
      <c r="A114" s="21" t="s">
        <v>26</v>
      </c>
      <c r="B114" s="234"/>
      <c r="C114" s="145"/>
      <c r="D114" s="166"/>
      <c r="E114" s="27"/>
      <c r="F114" s="234"/>
      <c r="G114" s="145"/>
      <c r="H114" s="166"/>
      <c r="I114" s="27"/>
      <c r="J114" s="289"/>
      <c r="K114" s="44"/>
      <c r="L114" s="257"/>
      <c r="M114" s="27"/>
    </row>
    <row r="115" spans="1:14" x14ac:dyDescent="0.2">
      <c r="A115" s="298" t="s">
        <v>15</v>
      </c>
      <c r="B115" s="283"/>
      <c r="C115" s="283"/>
      <c r="D115" s="166"/>
      <c r="E115" s="418"/>
      <c r="F115" s="283"/>
      <c r="G115" s="283"/>
      <c r="H115" s="166"/>
      <c r="I115" s="418"/>
      <c r="J115" s="292"/>
      <c r="K115" s="292"/>
      <c r="L115" s="166"/>
      <c r="M115" s="23"/>
    </row>
    <row r="116" spans="1:14" ht="15.75" x14ac:dyDescent="0.2">
      <c r="A116" s="21" t="s">
        <v>466</v>
      </c>
      <c r="B116" s="234"/>
      <c r="C116" s="234"/>
      <c r="D116" s="166"/>
      <c r="E116" s="27"/>
      <c r="F116" s="234"/>
      <c r="G116" s="234"/>
      <c r="H116" s="166"/>
      <c r="I116" s="27"/>
      <c r="J116" s="289"/>
      <c r="K116" s="44"/>
      <c r="L116" s="257"/>
      <c r="M116" s="27"/>
    </row>
    <row r="117" spans="1:14" ht="15.75" x14ac:dyDescent="0.2">
      <c r="A117" s="21" t="s">
        <v>467</v>
      </c>
      <c r="B117" s="234"/>
      <c r="C117" s="234"/>
      <c r="D117" s="166"/>
      <c r="E117" s="27"/>
      <c r="F117" s="234">
        <v>347953</v>
      </c>
      <c r="G117" s="234">
        <v>228691</v>
      </c>
      <c r="H117" s="166">
        <f t="shared" si="32"/>
        <v>-34.299999999999997</v>
      </c>
      <c r="I117" s="27">
        <f>IFERROR(100/'Skjema total MA'!F117*G117,0)</f>
        <v>4.6725819354111735</v>
      </c>
      <c r="J117" s="289">
        <f t="shared" si="30"/>
        <v>347953</v>
      </c>
      <c r="K117" s="44">
        <f t="shared" si="30"/>
        <v>228691</v>
      </c>
      <c r="L117" s="257">
        <f t="shared" si="31"/>
        <v>-34.299999999999997</v>
      </c>
      <c r="M117" s="27">
        <f>IFERROR(100/'Skjema total MA'!I117*K117,0)</f>
        <v>4.6725819354111735</v>
      </c>
    </row>
    <row r="118" spans="1:14" ht="15.75" x14ac:dyDescent="0.2">
      <c r="A118" s="21" t="s">
        <v>465</v>
      </c>
      <c r="B118" s="234"/>
      <c r="C118" s="234"/>
      <c r="D118" s="166"/>
      <c r="E118" s="27"/>
      <c r="F118" s="234"/>
      <c r="G118" s="234"/>
      <c r="H118" s="166"/>
      <c r="I118" s="27"/>
      <c r="J118" s="289"/>
      <c r="K118" s="44"/>
      <c r="L118" s="257"/>
      <c r="M118" s="27"/>
    </row>
    <row r="119" spans="1:14" ht="15.75" x14ac:dyDescent="0.2">
      <c r="A119" s="13" t="s">
        <v>446</v>
      </c>
      <c r="B119" s="310">
        <v>1766</v>
      </c>
      <c r="C119" s="159">
        <v>0</v>
      </c>
      <c r="D119" s="171">
        <f t="shared" si="29"/>
        <v>-100</v>
      </c>
      <c r="E119" s="11">
        <f>IFERROR(100/'Skjema total MA'!C119*C119,0)</f>
        <v>0</v>
      </c>
      <c r="F119" s="310">
        <v>108165</v>
      </c>
      <c r="G119" s="159">
        <v>177310</v>
      </c>
      <c r="H119" s="171">
        <f t="shared" si="32"/>
        <v>63.9</v>
      </c>
      <c r="I119" s="11">
        <f>IFERROR(100/'Skjema total MA'!F119*G119,0)</f>
        <v>0.79023857990433655</v>
      </c>
      <c r="J119" s="311">
        <f t="shared" si="30"/>
        <v>109931</v>
      </c>
      <c r="K119" s="236">
        <f t="shared" si="30"/>
        <v>177310</v>
      </c>
      <c r="L119" s="429">
        <f t="shared" si="31"/>
        <v>61.3</v>
      </c>
      <c r="M119" s="11">
        <f>IFERROR(100/'Skjema total MA'!I119*K119,0)</f>
        <v>0.76133996408632343</v>
      </c>
    </row>
    <row r="120" spans="1:14" x14ac:dyDescent="0.2">
      <c r="A120" s="21" t="s">
        <v>9</v>
      </c>
      <c r="B120" s="234">
        <v>1766</v>
      </c>
      <c r="C120" s="145">
        <v>0</v>
      </c>
      <c r="D120" s="166">
        <f t="shared" si="29"/>
        <v>-100</v>
      </c>
      <c r="E120" s="27">
        <f>IFERROR(100/'Skjema total MA'!C120*C120,0)</f>
        <v>0</v>
      </c>
      <c r="F120" s="234"/>
      <c r="G120" s="145"/>
      <c r="H120" s="166"/>
      <c r="I120" s="27"/>
      <c r="J120" s="289">
        <f t="shared" si="30"/>
        <v>1766</v>
      </c>
      <c r="K120" s="44">
        <f t="shared" si="30"/>
        <v>0</v>
      </c>
      <c r="L120" s="257">
        <f t="shared" si="31"/>
        <v>-100</v>
      </c>
      <c r="M120" s="27">
        <f>IFERROR(100/'Skjema total MA'!I120*K120,0)</f>
        <v>0</v>
      </c>
    </row>
    <row r="121" spans="1:14" x14ac:dyDescent="0.2">
      <c r="A121" s="21" t="s">
        <v>10</v>
      </c>
      <c r="B121" s="234"/>
      <c r="C121" s="145"/>
      <c r="D121" s="166"/>
      <c r="E121" s="27"/>
      <c r="F121" s="234">
        <v>108165</v>
      </c>
      <c r="G121" s="145">
        <v>177310</v>
      </c>
      <c r="H121" s="166">
        <f t="shared" si="32"/>
        <v>63.9</v>
      </c>
      <c r="I121" s="27">
        <f>IFERROR(100/'Skjema total MA'!F121*G121,0)</f>
        <v>0.79023857990433655</v>
      </c>
      <c r="J121" s="289">
        <f t="shared" si="30"/>
        <v>108165</v>
      </c>
      <c r="K121" s="44">
        <f t="shared" si="30"/>
        <v>177310</v>
      </c>
      <c r="L121" s="257">
        <f t="shared" si="31"/>
        <v>63.9</v>
      </c>
      <c r="M121" s="27">
        <f>IFERROR(100/'Skjema total MA'!I121*K121,0)</f>
        <v>0.78936609232343535</v>
      </c>
    </row>
    <row r="122" spans="1:14" x14ac:dyDescent="0.2">
      <c r="A122" s="21" t="s">
        <v>26</v>
      </c>
      <c r="B122" s="234"/>
      <c r="C122" s="145"/>
      <c r="D122" s="166"/>
      <c r="E122" s="27"/>
      <c r="F122" s="234"/>
      <c r="G122" s="145"/>
      <c r="H122" s="166"/>
      <c r="I122" s="27"/>
      <c r="J122" s="289"/>
      <c r="K122" s="44"/>
      <c r="L122" s="257"/>
      <c r="M122" s="27"/>
    </row>
    <row r="123" spans="1:14" x14ac:dyDescent="0.2">
      <c r="A123" s="298" t="s">
        <v>14</v>
      </c>
      <c r="B123" s="283"/>
      <c r="C123" s="283"/>
      <c r="D123" s="166"/>
      <c r="E123" s="418"/>
      <c r="F123" s="283"/>
      <c r="G123" s="283"/>
      <c r="H123" s="166"/>
      <c r="I123" s="418"/>
      <c r="J123" s="292"/>
      <c r="K123" s="292"/>
      <c r="L123" s="166"/>
      <c r="M123" s="23"/>
    </row>
    <row r="124" spans="1:14" ht="15.75" x14ac:dyDescent="0.2">
      <c r="A124" s="21" t="s">
        <v>472</v>
      </c>
      <c r="B124" s="234"/>
      <c r="C124" s="234"/>
      <c r="D124" s="166"/>
      <c r="E124" s="27"/>
      <c r="F124" s="234"/>
      <c r="G124" s="234"/>
      <c r="H124" s="166"/>
      <c r="I124" s="27"/>
      <c r="J124" s="289"/>
      <c r="K124" s="44"/>
      <c r="L124" s="257"/>
      <c r="M124" s="27"/>
    </row>
    <row r="125" spans="1:14" ht="15.75" x14ac:dyDescent="0.2">
      <c r="A125" s="21" t="s">
        <v>464</v>
      </c>
      <c r="B125" s="234"/>
      <c r="C125" s="234"/>
      <c r="D125" s="166"/>
      <c r="E125" s="27"/>
      <c r="F125" s="234">
        <v>39246</v>
      </c>
      <c r="G125" s="234">
        <v>83395</v>
      </c>
      <c r="H125" s="166">
        <f t="shared" si="32"/>
        <v>112.5</v>
      </c>
      <c r="I125" s="27">
        <f>IFERROR(100/'Skjema total MA'!F125*G125,0)</f>
        <v>2.3223697753795149</v>
      </c>
      <c r="J125" s="289">
        <f t="shared" si="30"/>
        <v>39246</v>
      </c>
      <c r="K125" s="44">
        <f t="shared" si="30"/>
        <v>83395</v>
      </c>
      <c r="L125" s="257">
        <f t="shared" si="31"/>
        <v>112.5</v>
      </c>
      <c r="M125" s="27">
        <f>IFERROR(100/'Skjema total MA'!I125*K125,0)</f>
        <v>2.3207044507669838</v>
      </c>
    </row>
    <row r="126" spans="1:14" ht="15.75" x14ac:dyDescent="0.2">
      <c r="A126" s="10" t="s">
        <v>465</v>
      </c>
      <c r="B126" s="45"/>
      <c r="C126" s="45"/>
      <c r="D126" s="167"/>
      <c r="E126" s="419"/>
      <c r="F126" s="45"/>
      <c r="G126" s="45"/>
      <c r="H126" s="167"/>
      <c r="I126" s="22"/>
      <c r="J126" s="290"/>
      <c r="K126" s="45"/>
      <c r="L126" s="258"/>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1022"/>
      <c r="C130" s="1022"/>
      <c r="D130" s="1022"/>
      <c r="E130" s="301"/>
      <c r="F130" s="1022"/>
      <c r="G130" s="1022"/>
      <c r="H130" s="1022"/>
      <c r="I130" s="301"/>
      <c r="J130" s="1022"/>
      <c r="K130" s="1022"/>
      <c r="L130" s="1022"/>
      <c r="M130" s="301"/>
    </row>
    <row r="131" spans="1:14" s="3" customFormat="1" x14ac:dyDescent="0.2">
      <c r="A131" s="144"/>
      <c r="B131" s="1023" t="s">
        <v>0</v>
      </c>
      <c r="C131" s="1024"/>
      <c r="D131" s="1024"/>
      <c r="E131" s="303"/>
      <c r="F131" s="1023" t="s">
        <v>1</v>
      </c>
      <c r="G131" s="1024"/>
      <c r="H131" s="1024"/>
      <c r="I131" s="306"/>
      <c r="J131" s="1023" t="s">
        <v>2</v>
      </c>
      <c r="K131" s="1024"/>
      <c r="L131" s="1024"/>
      <c r="M131" s="306"/>
      <c r="N131" s="148"/>
    </row>
    <row r="132" spans="1:14" s="3" customFormat="1" x14ac:dyDescent="0.2">
      <c r="A132" s="140"/>
      <c r="B132" s="152" t="s">
        <v>502</v>
      </c>
      <c r="C132" s="152" t="s">
        <v>503</v>
      </c>
      <c r="D132" s="245" t="s">
        <v>3</v>
      </c>
      <c r="E132" s="307" t="s">
        <v>29</v>
      </c>
      <c r="F132" s="152" t="s">
        <v>502</v>
      </c>
      <c r="G132" s="152" t="s">
        <v>503</v>
      </c>
      <c r="H132" s="206" t="s">
        <v>3</v>
      </c>
      <c r="I132" s="162" t="s">
        <v>29</v>
      </c>
      <c r="J132" s="152" t="s">
        <v>502</v>
      </c>
      <c r="K132" s="152" t="s">
        <v>503</v>
      </c>
      <c r="L132" s="246" t="s">
        <v>3</v>
      </c>
      <c r="M132" s="162" t="s">
        <v>29</v>
      </c>
      <c r="N132" s="148"/>
    </row>
    <row r="133" spans="1:14" s="3" customFormat="1" x14ac:dyDescent="0.2">
      <c r="A133" s="990"/>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468</v>
      </c>
      <c r="B134" s="236"/>
      <c r="C134" s="311"/>
      <c r="D134" s="351"/>
      <c r="E134" s="11"/>
      <c r="F134" s="318"/>
      <c r="G134" s="319"/>
      <c r="H134" s="432"/>
      <c r="I134" s="24"/>
      <c r="J134" s="320"/>
      <c r="K134" s="320"/>
      <c r="L134" s="428"/>
      <c r="M134" s="11"/>
      <c r="N134" s="148"/>
    </row>
    <row r="135" spans="1:14" s="3" customFormat="1" ht="15.75" x14ac:dyDescent="0.2">
      <c r="A135" s="13" t="s">
        <v>473</v>
      </c>
      <c r="B135" s="236"/>
      <c r="C135" s="311"/>
      <c r="D135" s="171"/>
      <c r="E135" s="11"/>
      <c r="F135" s="236"/>
      <c r="G135" s="311"/>
      <c r="H135" s="433"/>
      <c r="I135" s="24"/>
      <c r="J135" s="310"/>
      <c r="K135" s="310"/>
      <c r="L135" s="429"/>
      <c r="M135" s="11"/>
      <c r="N135" s="148"/>
    </row>
    <row r="136" spans="1:14" s="3" customFormat="1" ht="15.75" x14ac:dyDescent="0.2">
      <c r="A136" s="13" t="s">
        <v>470</v>
      </c>
      <c r="B136" s="236"/>
      <c r="C136" s="311"/>
      <c r="D136" s="171"/>
      <c r="E136" s="11"/>
      <c r="F136" s="236"/>
      <c r="G136" s="311"/>
      <c r="H136" s="433"/>
      <c r="I136" s="24"/>
      <c r="J136" s="310"/>
      <c r="K136" s="310"/>
      <c r="L136" s="429"/>
      <c r="M136" s="11"/>
      <c r="N136" s="148"/>
    </row>
    <row r="137" spans="1:14" s="3" customFormat="1" ht="15.75" x14ac:dyDescent="0.2">
      <c r="A137" s="41" t="s">
        <v>471</v>
      </c>
      <c r="B137" s="278"/>
      <c r="C137" s="317"/>
      <c r="D137" s="169"/>
      <c r="E137" s="9"/>
      <c r="F137" s="278"/>
      <c r="G137" s="317"/>
      <c r="H137" s="434"/>
      <c r="I137" s="36"/>
      <c r="J137" s="316"/>
      <c r="K137" s="316"/>
      <c r="L137" s="430"/>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2268" priority="132">
      <formula>kvartal &lt; 4</formula>
    </cfRule>
  </conditionalFormatting>
  <conditionalFormatting sqref="B69">
    <cfRule type="expression" dxfId="2267" priority="100">
      <formula>kvartal &lt; 4</formula>
    </cfRule>
  </conditionalFormatting>
  <conditionalFormatting sqref="C69">
    <cfRule type="expression" dxfId="2266" priority="99">
      <formula>kvartal &lt; 4</formula>
    </cfRule>
  </conditionalFormatting>
  <conditionalFormatting sqref="B72">
    <cfRule type="expression" dxfId="2265" priority="98">
      <formula>kvartal &lt; 4</formula>
    </cfRule>
  </conditionalFormatting>
  <conditionalFormatting sqref="C72">
    <cfRule type="expression" dxfId="2264" priority="97">
      <formula>kvartal &lt; 4</formula>
    </cfRule>
  </conditionalFormatting>
  <conditionalFormatting sqref="B80">
    <cfRule type="expression" dxfId="2263" priority="96">
      <formula>kvartal &lt; 4</formula>
    </cfRule>
  </conditionalFormatting>
  <conditionalFormatting sqref="C80">
    <cfRule type="expression" dxfId="2262" priority="95">
      <formula>kvartal &lt; 4</formula>
    </cfRule>
  </conditionalFormatting>
  <conditionalFormatting sqref="B83">
    <cfRule type="expression" dxfId="2261" priority="94">
      <formula>kvartal &lt; 4</formula>
    </cfRule>
  </conditionalFormatting>
  <conditionalFormatting sqref="C83">
    <cfRule type="expression" dxfId="2260" priority="93">
      <formula>kvartal &lt; 4</formula>
    </cfRule>
  </conditionalFormatting>
  <conditionalFormatting sqref="B90">
    <cfRule type="expression" dxfId="2259" priority="84">
      <formula>kvartal &lt; 4</formula>
    </cfRule>
  </conditionalFormatting>
  <conditionalFormatting sqref="C90">
    <cfRule type="expression" dxfId="2258" priority="83">
      <formula>kvartal &lt; 4</formula>
    </cfRule>
  </conditionalFormatting>
  <conditionalFormatting sqref="B93">
    <cfRule type="expression" dxfId="2257" priority="82">
      <formula>kvartal &lt; 4</formula>
    </cfRule>
  </conditionalFormatting>
  <conditionalFormatting sqref="C93">
    <cfRule type="expression" dxfId="2256" priority="81">
      <formula>kvartal &lt; 4</formula>
    </cfRule>
  </conditionalFormatting>
  <conditionalFormatting sqref="B101">
    <cfRule type="expression" dxfId="2255" priority="80">
      <formula>kvartal &lt; 4</formula>
    </cfRule>
  </conditionalFormatting>
  <conditionalFormatting sqref="C101">
    <cfRule type="expression" dxfId="2254" priority="79">
      <formula>kvartal &lt; 4</formula>
    </cfRule>
  </conditionalFormatting>
  <conditionalFormatting sqref="B104">
    <cfRule type="expression" dxfId="2253" priority="78">
      <formula>kvartal &lt; 4</formula>
    </cfRule>
  </conditionalFormatting>
  <conditionalFormatting sqref="C104">
    <cfRule type="expression" dxfId="2252" priority="77">
      <formula>kvartal &lt; 4</formula>
    </cfRule>
  </conditionalFormatting>
  <conditionalFormatting sqref="B115">
    <cfRule type="expression" dxfId="2251" priority="76">
      <formula>kvartal &lt; 4</formula>
    </cfRule>
  </conditionalFormatting>
  <conditionalFormatting sqref="C115">
    <cfRule type="expression" dxfId="2250" priority="75">
      <formula>kvartal &lt; 4</formula>
    </cfRule>
  </conditionalFormatting>
  <conditionalFormatting sqref="B123">
    <cfRule type="expression" dxfId="2249" priority="74">
      <formula>kvartal &lt; 4</formula>
    </cfRule>
  </conditionalFormatting>
  <conditionalFormatting sqref="C123">
    <cfRule type="expression" dxfId="2248" priority="73">
      <formula>kvartal &lt; 4</formula>
    </cfRule>
  </conditionalFormatting>
  <conditionalFormatting sqref="F70">
    <cfRule type="expression" dxfId="2247" priority="72">
      <formula>kvartal &lt; 4</formula>
    </cfRule>
  </conditionalFormatting>
  <conditionalFormatting sqref="G70">
    <cfRule type="expression" dxfId="2246" priority="71">
      <formula>kvartal &lt; 4</formula>
    </cfRule>
  </conditionalFormatting>
  <conditionalFormatting sqref="F71:G71">
    <cfRule type="expression" dxfId="2245" priority="70">
      <formula>kvartal &lt; 4</formula>
    </cfRule>
  </conditionalFormatting>
  <conditionalFormatting sqref="F73:G74">
    <cfRule type="expression" dxfId="2244" priority="69">
      <formula>kvartal &lt; 4</formula>
    </cfRule>
  </conditionalFormatting>
  <conditionalFormatting sqref="F81:G82">
    <cfRule type="expression" dxfId="2243" priority="68">
      <formula>kvartal &lt; 4</formula>
    </cfRule>
  </conditionalFormatting>
  <conditionalFormatting sqref="F84:G85">
    <cfRule type="expression" dxfId="2242" priority="67">
      <formula>kvartal &lt; 4</formula>
    </cfRule>
  </conditionalFormatting>
  <conditionalFormatting sqref="F91:G92">
    <cfRule type="expression" dxfId="2241" priority="62">
      <formula>kvartal &lt; 4</formula>
    </cfRule>
  </conditionalFormatting>
  <conditionalFormatting sqref="F94:G95">
    <cfRule type="expression" dxfId="2240" priority="61">
      <formula>kvartal &lt; 4</formula>
    </cfRule>
  </conditionalFormatting>
  <conditionalFormatting sqref="F102:G103">
    <cfRule type="expression" dxfId="2239" priority="60">
      <formula>kvartal &lt; 4</formula>
    </cfRule>
  </conditionalFormatting>
  <conditionalFormatting sqref="F105:G106">
    <cfRule type="expression" dxfId="2238" priority="59">
      <formula>kvartal &lt; 4</formula>
    </cfRule>
  </conditionalFormatting>
  <conditionalFormatting sqref="F115">
    <cfRule type="expression" dxfId="2237" priority="58">
      <formula>kvartal &lt; 4</formula>
    </cfRule>
  </conditionalFormatting>
  <conditionalFormatting sqref="G115">
    <cfRule type="expression" dxfId="2236" priority="57">
      <formula>kvartal &lt; 4</formula>
    </cfRule>
  </conditionalFormatting>
  <conditionalFormatting sqref="F123:G123">
    <cfRule type="expression" dxfId="2235" priority="56">
      <formula>kvartal &lt; 4</formula>
    </cfRule>
  </conditionalFormatting>
  <conditionalFormatting sqref="F69:G69">
    <cfRule type="expression" dxfId="2234" priority="55">
      <formula>kvartal &lt; 4</formula>
    </cfRule>
  </conditionalFormatting>
  <conditionalFormatting sqref="F72:G72">
    <cfRule type="expression" dxfId="2233" priority="54">
      <formula>kvartal &lt; 4</formula>
    </cfRule>
  </conditionalFormatting>
  <conditionalFormatting sqref="F80:G80">
    <cfRule type="expression" dxfId="2232" priority="53">
      <formula>kvartal &lt; 4</formula>
    </cfRule>
  </conditionalFormatting>
  <conditionalFormatting sqref="F83:G83">
    <cfRule type="expression" dxfId="2231" priority="52">
      <formula>kvartal &lt; 4</formula>
    </cfRule>
  </conditionalFormatting>
  <conditionalFormatting sqref="F90:G90">
    <cfRule type="expression" dxfId="2230" priority="46">
      <formula>kvartal &lt; 4</formula>
    </cfRule>
  </conditionalFormatting>
  <conditionalFormatting sqref="F93">
    <cfRule type="expression" dxfId="2229" priority="45">
      <formula>kvartal &lt; 4</formula>
    </cfRule>
  </conditionalFormatting>
  <conditionalFormatting sqref="G93">
    <cfRule type="expression" dxfId="2228" priority="44">
      <formula>kvartal &lt; 4</formula>
    </cfRule>
  </conditionalFormatting>
  <conditionalFormatting sqref="F101">
    <cfRule type="expression" dxfId="2227" priority="43">
      <formula>kvartal &lt; 4</formula>
    </cfRule>
  </conditionalFormatting>
  <conditionalFormatting sqref="G101">
    <cfRule type="expression" dxfId="2226" priority="42">
      <formula>kvartal &lt; 4</formula>
    </cfRule>
  </conditionalFormatting>
  <conditionalFormatting sqref="G104">
    <cfRule type="expression" dxfId="2225" priority="41">
      <formula>kvartal &lt; 4</formula>
    </cfRule>
  </conditionalFormatting>
  <conditionalFormatting sqref="F104">
    <cfRule type="expression" dxfId="2224" priority="40">
      <formula>kvartal &lt; 4</formula>
    </cfRule>
  </conditionalFormatting>
  <conditionalFormatting sqref="J69:K71 J73:K73">
    <cfRule type="expression" dxfId="2223" priority="39">
      <formula>kvartal &lt; 4</formula>
    </cfRule>
  </conditionalFormatting>
  <conditionalFormatting sqref="J80:K82 J84:K84">
    <cfRule type="expression" dxfId="2222" priority="37">
      <formula>kvartal &lt; 4</formula>
    </cfRule>
  </conditionalFormatting>
  <conditionalFormatting sqref="J90:K92 J94:K94">
    <cfRule type="expression" dxfId="2221" priority="34">
      <formula>kvartal &lt; 4</formula>
    </cfRule>
  </conditionalFormatting>
  <conditionalFormatting sqref="J101:K103 J105:K105">
    <cfRule type="expression" dxfId="2220" priority="33">
      <formula>kvartal &lt; 4</formula>
    </cfRule>
  </conditionalFormatting>
  <conditionalFormatting sqref="J115:K115">
    <cfRule type="expression" dxfId="2219" priority="32">
      <formula>kvartal &lt; 4</formula>
    </cfRule>
  </conditionalFormatting>
  <conditionalFormatting sqref="J123:K123">
    <cfRule type="expression" dxfId="2218" priority="31">
      <formula>kvartal &lt; 4</formula>
    </cfRule>
  </conditionalFormatting>
  <conditionalFormatting sqref="A50:A52">
    <cfRule type="expression" dxfId="2217" priority="12">
      <formula>kvartal &lt; 4</formula>
    </cfRule>
  </conditionalFormatting>
  <conditionalFormatting sqref="A69:A74">
    <cfRule type="expression" dxfId="2216" priority="10">
      <formula>kvartal &lt; 4</formula>
    </cfRule>
  </conditionalFormatting>
  <conditionalFormatting sqref="A80:A85">
    <cfRule type="expression" dxfId="2215" priority="9">
      <formula>kvartal &lt; 4</formula>
    </cfRule>
  </conditionalFormatting>
  <conditionalFormatting sqref="A90:A95">
    <cfRule type="expression" dxfId="2214" priority="6">
      <formula>kvartal &lt; 4</formula>
    </cfRule>
  </conditionalFormatting>
  <conditionalFormatting sqref="A101:A106">
    <cfRule type="expression" dxfId="2213" priority="5">
      <formula>kvartal &lt; 4</formula>
    </cfRule>
  </conditionalFormatting>
  <conditionalFormatting sqref="A115">
    <cfRule type="expression" dxfId="2212" priority="4">
      <formula>kvartal &lt; 4</formula>
    </cfRule>
  </conditionalFormatting>
  <conditionalFormatting sqref="A123">
    <cfRule type="expression" dxfId="2211" priority="3">
      <formula>kvartal &lt; 4</formula>
    </cfRule>
  </conditionalFormatting>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8 f 6 9 7 3 f 7 - 0 8 c 0 - 4 5 7 9 - b f 5 c - 6 c 7 f a d 0 9 0 d 4 1 "   x m l n s = " h t t p : / / s c h e m a s . m i c r o s o f t . c o m / D a t a M a s h u p " > A A A A A A M E A A B Q S w M E F A A C A A g A m p Z 3 U g 9 H 6 S S j A A A A 9 Q A A A B I A H A B D b 2 5 m a W c v U G F j a 2 F n Z S 5 4 b W w g o h g A K K A U A A A A A A A A A A A A A A A A A A A A A A A A A A A A h Y + x D o I w G I R f h X S n L e h A y E 8 Z X E V N T I x r L R U a 4 c d A s b y b g 4 / k K 4 h R 1 M 3 x 7 r t L 7 u 7 X G 6 R D X X k X 3 X a m w Y Q E l B N P o 2 p y g 0 V C e n v 0 I 5 I K 2 E h 1 k o X 2 x j B 2 8 d C Z h J T W n m P G n H P U z W j T F i z k P G D 7 b L l V p a 6 l b 7 C z E p U m n 1 b + v 0 U E 7 F 5 j R E i j O Y 3 4 O A n Y 5 E F m 8 M v D k T 3 p j w m L v r J 9 q w U e / N U a 2 C S B v S + I B 1 B L A w Q U A A I A C A C a l n d 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p Z 3 U g b 6 + e n + A A A A Y g E A A B M A H A B G b 3 J t d W x h c y 9 T Z W N 0 a W 9 u M S 5 t I K I Y A C i g F A A A A A A A A A A A A A A A A A A A A A A A A A A A A H 2 P w U r D Q B C G z w 3 0 H Y Y 9 l A b S E D 0 J I S C k Q a R Q l A Q t r E v Y N A P G b L J 1 s i m V 0 q O P 4 p P 0 x b q x R f H i X G Z g / m / + + T t c m 0 q 3 k J 7 7 V T h 2 x k 7 3 K g l L m E s j I Q K F x g F b D 5 J k g w b p C a m s 7 C L Z r V H 5 c U + E r X n W V B d a 1 1 N 3 z 5 d W F 7 E f P T J x 4 L F u j Z U J D 7 6 P L S p V o r 2 R v i t / 8 C l k h 1 O W 3 c 3 S 1 f w m m Q X B 9 c u 9 B a i V i n n A V L X N G 2 k n / t g j f U Q s W S U x 8 L L Q w u e b H I d P 8 g 1 h Z y 1 k 9 6 Z b 4 Y x G t 8 c v s h Y M J r D s m w L J z 3 S G O z P 9 m 4 Q f P 0 n s g 4 M L E + Y N W L 2 V Z K S 6 o P + z i 7 P 2 w g M L m X C d q v 3 N G J 4 A U E s B A i 0 A F A A C A A g A m p Z 3 U g 9 H 6 S S j A A A A 9 Q A A A B I A A A A A A A A A A A A A A A A A A A A A A E N v b m Z p Z y 9 Q Y W N r Y W d l L n h t b F B L A Q I t A B Q A A g A I A J q W d 1 I P y u m r p A A A A O k A A A A T A A A A A A A A A A A A A A A A A O 8 A A A B b Q 2 9 u d G V u d F 9 U e X B l c 1 0 u e G 1 s U E s B A i 0 A F A A C A A g A m p Z 3 U g b 6 + e n + A A A A Y g E A A B M A A A A A A A A A A A A A A A A A 4 A E A A E Z v c m 1 1 b G F z L 1 N l Y 3 R p b 2 4 x L m 1 Q S w U G A A A A A A M A A w D C A A A A K w M A A A A A P Q 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x X b 3 J r Y m 9 v a 0 d y b 3 V w V H l w Z T 5 Q d W J s a W M 8 L 1 d v c m t i b 2 9 r R 3 J v d X B U e X B l P j w v U G V y b W l z c 2 l v b k x p c 3 Q + w w s A A A A A A A C h C 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R G F 0 Y T w v S X R l b V B h d G g + P C 9 J d G V t T G 9 j Y X R p b 2 4 + P F N 0 Y W J s Z U V u d H J p Z X M + P E V u d H J 5 I F R 5 c G U 9 I k l z U H J p d m F 0 Z S I g V m F s d W U 9 I m w w I i A v P j x F b n R y e S B U e X B l P S J C d W Z m Z X J O Z X h 0 U m V m c m V z a C I g V m F s d W U 9 I m w x I i A v P j x F b n R y e S B U e X B l P S J G a W x s R W 5 h Y m x l Z C I g V m F s d W U 9 I m w w I i A v P j x F b n R y e S B U e X B l P S J G a W x s V G 9 E Y X R h T W 9 k Z W x F b m F i b G V k I i B W Y W x 1 Z T 0 i b D A i I C 8 + P E V u d H J 5 I F R 5 c G U 9 I l J l c 3 V s d F R 5 c G U i I F Z h b H V l P S J z V G F i b G U i I C 8 + P E V u d H J 5 I F R 5 c G U 9 I k 5 h b W V V c G R h d G V k Q W Z 0 Z X J G a W x s I i B W Y W x 1 Z T 0 i b D A i I C 8 + P E V u d H J 5 I F R 5 c G U 9 I k Z p b G x l Z E N v b X B s Z X R l U m V z d W x 0 V G 9 X b 3 J r c 2 h l Z X Q i I F Z h b H V l P S J s M S I g L z 4 8 R W 5 0 c n k g V H l w Z T 0 i U m V j b 3 Z l c n l U Y X J n Z X R T a G V l d C I g V m F s d W U 9 I n N B c m s y I i A v P j x F b n R y e S B U e X B l P S J S Z W N v d m V y e V R h c m d l d E N v b H V t b i I g V m F s d W U 9 I m w x I i A v P j x F b n R y e S B U e X B l P S J S Z W N v d m V y e V R h c m d l d F J v d y I g V m F s d W U 9 I m w x I i A v P j x F b n R y e S B U e X B l P S J R d W V y e U l E I i B W Y W x 1 Z T 0 i c z R l O D N h Z G Q 5 L W V j Y 2 I t N G V m N i 0 5 Y 2 Y 4 L T Z i M j k 4 Z G Y w N D R j O S I g L z 4 8 R W 5 0 c n k g V H l w Z T 0 i T m F 2 a W d h d G l v b l N 0 Z X B O Y W 1 l I i B W Y W x 1 Z T 0 i c 0 5 h d m l n Y X R p b 2 4 i I C 8 + P E V u d H J 5 I F R 5 c G U 9 I k Z p b G x F c n J v c k N v d W 5 0 I i B W Y W x 1 Z T 0 i b D A i I C 8 + P E V u d H J 5 I F R 5 c G U 9 I k Z p b G x M Y X N 0 V X B k Y X R l Z C I g V m F s d W U 9 I m Q y M D I x L T A z L T I z V D E 0 O j U 4 O j I 4 L j I 0 N j g 5 N j J a I i A v P j x F b n R y e S B U e X B l P S J G a W x s R X J y b 3 J D b 2 R l I i B W Y W x 1 Z T 0 i c 1 V u a 2 5 v d 2 4 i I C 8 + P E V u d H J 5 I F R 5 c G U 9 I k Z p b G x D b 2 x 1 b W 5 U e X B l c y I g V m F s d W U 9 I n N C Z 0 l D Q W d J Q 0 F n V T 0 i I C 8 + P E V u d H J 5 I F R 5 c G U 9 I k Z p b G x D b 3 V u d C I g V m F s d W U 9 I m w 3 M T c 2 I i A v P j x F b n R y e S B U e X B l P S J G a W x s Q 2 9 s d W 1 u T m F t Z X M i I F Z h b H V l P S J z W y Z x d W 9 0 O 3 P D u G t l b s O 4 a 2 t l b C Z x d W 9 0 O y w m c X V v d D t z Z W x z a 2 F w X 2 l k J n F 1 b 3 Q 7 L C Z x d W 9 0 O 8 O l c i Z x d W 9 0 O y w m c X V v d D t r d m F y d G F s J n F 1 b 3 Q 7 L C Z x d W 9 0 O 3 R h Y m V s b F 9 p Z C Z x d W 9 0 O y w m c X V v d D t y Y W R f a W Q m c X V v d D s s J n F 1 b 3 Q 7 a 2 F 0 Z W d v c m l f a W Q m c X V v d D s s J n F 1 b 3 Q 7 d m V y Z G k m c X V v d D t d I i A v P j x F b n R y e S B U e X B l P S J B Z G R l Z F R v R G F 0 Y U 1 v Z G V s I i B W Y W x 1 Z T 0 i b D A i I C 8 + P E V u d H J 5 I F R 5 c G U 9 I k Z p b G x T d G F 0 d X M i I F Z h b H V l P S J z Q 2 9 t c G x l d G U i I C 8 + P E V u d H J 5 I F R 5 c G U 9 I l J l b G F 0 a W 9 u c 2 h p c E l u Z m 9 D b 2 5 0 Y W l u Z X I i I F Z h b H V l P S J z e y Z x d W 9 0 O 2 N v b H V t b k N v d W 5 0 J n F 1 b 3 Q 7 O j g s J n F 1 b 3 Q 7 a 2 V 5 Q 2 9 s d W 1 u T m F t Z X M m c X V v d D s 6 W 1 0 s J n F 1 b 3 Q 7 c X V l c n l S Z W x h d G l v b n N o a X B z J n F 1 b 3 Q 7 O l t d L C Z x d W 9 0 O 2 N v b H V t b k l k Z W 5 0 a X R p Z X M m c X V v d D s 6 W y Z x d W 9 0 O 1 N l Y 3 R p b 2 4 x L 0 R h d G E v S 2 l s Z G U u e 3 P D u G t l b s O 4 a 2 t l b C w w f S Z x d W 9 0 O y w m c X V v d D t T Z W N 0 a W 9 u M S 9 E Y X R h L 0 t p b G R l L n t z Z W x z a 2 F w X 2 l k L D F 9 J n F 1 b 3 Q 7 L C Z x d W 9 0 O 1 N l Y 3 R p b 2 4 x L 0 R h d G E v S 2 l s Z G U u e 8 O l c i w y f S Z x d W 9 0 O y w m c X V v d D t T Z W N 0 a W 9 u M S 9 E Y X R h L 0 t p b G R l L n t r d m F y d G F s L D N 9 J n F 1 b 3 Q 7 L C Z x d W 9 0 O 1 N l Y 3 R p b 2 4 x L 0 R h d G E v S 2 l s Z G U u e 3 R h Y m V s b F 9 p Z C w 0 f S Z x d W 9 0 O y w m c X V v d D t T Z W N 0 a W 9 u M S 9 E Y X R h L 0 t p b G R l L n t y Y W R f a W Q s N X 0 m c X V v d D s s J n F 1 b 3 Q 7 U 2 V j d G l v b j E v R G F 0 Y S 9 L a W x k Z S 5 7 a 2 F 0 Z W d v c m l f a W Q s N n 0 m c X V v d D s s J n F 1 b 3 Q 7 U 2 V j d G l v b j E v R G F 0 Y S 9 L a W x k Z S 5 7 d m V y Z G k s N 3 0 m c X V v d D t d L C Z x d W 9 0 O 0 N v b H V t b k N v d W 5 0 J n F 1 b 3 Q 7 O j g s J n F 1 b 3 Q 7 S 2 V 5 Q 2 9 s d W 1 u T m F t Z X M m c X V v d D s 6 W 1 0 s J n F 1 b 3 Q 7 Q 2 9 s d W 1 u S W R l b n R p d G l l c y Z x d W 9 0 O z p b J n F 1 b 3 Q 7 U 2 V j d G l v b j E v R G F 0 Y S 9 L a W x k Z S 5 7 c 8 O 4 a 2 V u w 7 h r a 2 V s L D B 9 J n F 1 b 3 Q 7 L C Z x d W 9 0 O 1 N l Y 3 R p b 2 4 x L 0 R h d G E v S 2 l s Z G U u e 3 N l b H N r Y X B f a W Q s M X 0 m c X V v d D s s J n F 1 b 3 Q 7 U 2 V j d G l v b j E v R G F 0 Y S 9 L a W x k Z S 5 7 w 6 V y L D J 9 J n F 1 b 3 Q 7 L C Z x d W 9 0 O 1 N l Y 3 R p b 2 4 x L 0 R h d G E v S 2 l s Z G U u e 2 t 2 Y X J 0 Y W w s M 3 0 m c X V v d D s s J n F 1 b 3 Q 7 U 2 V j d G l v b j E v R G F 0 Y S 9 L a W x k Z S 5 7 d G F i Z W x s X 2 l k L D R 9 J n F 1 b 3 Q 7 L C Z x d W 9 0 O 1 N l Y 3 R p b 2 4 x L 0 R h d G E v S 2 l s Z G U u e 3 J h Z F 9 p Z C w 1 f S Z x d W 9 0 O y w m c X V v d D t T Z W N 0 a W 9 u M S 9 E Y X R h L 0 t p b G R l L n t r Y X R l Z 2 9 y a V 9 p Z C w 2 f S Z x d W 9 0 O y w m c X V v d D t T Z W N 0 a W 9 u M S 9 E Y X R h L 0 t p b G R l L n t 2 Z X J k a S w 3 f S Z x d W 9 0 O 1 0 s J n F 1 b 3 Q 7 U m V s Y X R p b 2 5 z a G l w S W 5 m b y Z x d W 9 0 O z p b X X 0 i I C 8 + P E V u d H J 5 I F R 5 c G U 9 I k Z p b G x P Y m p l Y 3 R U e X B l I i B W Y W x 1 Z T 0 i c 0 N v b m 5 l Y 3 R p b 2 5 P b m x 5 I i A v P j w v U 3 R h Y m x l R W 5 0 c m l l c z 4 8 L 0 l 0 Z W 0 + P E l 0 Z W 0 + P E l 0 Z W 1 M b 2 N h d G l v b j 4 8 S X R l b V R 5 c G U + R m 9 y b X V s Y T w v S X R l b V R 5 c G U + P E l 0 Z W 1 Q Y X R o P l N l Y 3 R p b 2 4 x L 0 R h d G E v S 2 l s Z G U 8 L 0 l 0 Z W 1 Q Y X R o P j w v S X R l b U x v Y 2 F 0 a W 9 u P j x T d G F i b G V F b n R y a W V z I C 8 + P C 9 J d G V t P j x J d G V t P j x J d G V t T G 9 j Y X R p b 2 4 + P E l 0 Z W 1 U e X B l P k Z v c m 1 1 b G E 8 L 0 l 0 Z W 1 U e X B l P j x J d G V t U G F 0 a D 5 T Z W N 0 a W 9 u M S 9 E Y X R h L 1 B h c m F t Z X R l c l Z l c m R p P C 9 J d G V t U G F 0 a D 4 8 L 0 l 0 Z W 1 M b 2 N h d G l v b j 4 8 U 3 R h Y m x l R W 5 0 c m l l c y A v P j w v S X R l b T 4 8 L 0 l 0 Z W 1 z P j w v T G 9 j Y W x Q Y W N r Y W d l T W V 0 Y W R h d G F G a W x l P h Y A A A B Q S w U G A A A A A A A A A A A A A A A A A A A A A A A A 2 g A A A A E A A A D Q j J 3 f A R X R E Y x 6 A M B P w p f r A Q A A A B q T H s 2 H w H V P t 4 0 R F r r K W J c A A A A A A g A A A A A A A 2 Y A A M A A A A A Q A A A A S V y v d 8 4 y D W i x z l i 7 t q Q 7 j Q A A A A A E g A A A o A A A A B A A A A A 3 5 O e O P u a Q o f F 0 N L + D M c l G U A A A A L U d l O U 4 E v z K i S Q e E y 8 U B c R d a j E E E 1 D k H J V m z z E M N d c n 3 z l h c b S u 5 d h 7 H L l g / m + u e 7 c 0 6 Y G v p n I Q g 0 2 G 8 P L K k o N K S o v z 6 W v X 7 h M K Q O c / 0 V A q F A A A A A E o i W C B H O z T d P 9 r e H z V I J I j r T x 5 < / D a t a M a s h u p > 
</file>

<file path=customXml/item2.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2020-123998358-366</_dlc_DocId>
    <_dlc_DocIdUrl xmlns="6edf9311-6556-4af2-85ff-d57844cfe120">
      <Url>https://finansnorge.sharepoint.com/sites/intranett/arkiv/_layouts/15/DocIdRedir.aspx?ID=2020-123998358-366</Url>
      <Description>2020-123998358-366</Description>
    </_dlc_DocIdUrl>
  </documentManagement>
</p:properties>
</file>

<file path=customXml/itemProps1.xml><?xml version="1.0" encoding="utf-8"?>
<ds:datastoreItem xmlns:ds="http://schemas.openxmlformats.org/officeDocument/2006/customXml" ds:itemID="{90A5026E-7503-4E4B-BD83-E9801AFFB720}">
  <ds:schemaRefs>
    <ds:schemaRef ds:uri="http://schemas.microsoft.com/DataMashup"/>
  </ds:schemaRefs>
</ds:datastoreItem>
</file>

<file path=customXml/itemProps2.xml><?xml version="1.0" encoding="utf-8"?>
<ds:datastoreItem xmlns:ds="http://schemas.openxmlformats.org/officeDocument/2006/customXml" ds:itemID="{88D7EB67-82F2-47C3-B0D6-EA4352C67A6B}"/>
</file>

<file path=customXml/itemProps3.xml><?xml version="1.0" encoding="utf-8"?>
<ds:datastoreItem xmlns:ds="http://schemas.openxmlformats.org/officeDocument/2006/customXml" ds:itemID="{FBCE5645-3EC3-49EE-BCAA-DA9C01747E9D}"/>
</file>

<file path=customXml/itemProps4.xml><?xml version="1.0" encoding="utf-8"?>
<ds:datastoreItem xmlns:ds="http://schemas.openxmlformats.org/officeDocument/2006/customXml" ds:itemID="{0809A78C-480E-4279-B3D1-E5114508E625}"/>
</file>

<file path=customXml/itemProps5.xml><?xml version="1.0" encoding="utf-8"?>
<ds:datastoreItem xmlns:ds="http://schemas.openxmlformats.org/officeDocument/2006/customXml" ds:itemID="{12054663-6968-4140-ABCE-F5B852F17B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40</vt:i4>
      </vt:variant>
      <vt:variant>
        <vt:lpstr>Navngitte områder</vt:lpstr>
      </vt:variant>
      <vt:variant>
        <vt:i4>14</vt:i4>
      </vt:variant>
    </vt:vector>
  </HeadingPairs>
  <TitlesOfParts>
    <vt:vector size="54" baseType="lpstr">
      <vt:lpstr>Forside</vt:lpstr>
      <vt:lpstr>Innhold</vt:lpstr>
      <vt:lpstr>Figurer</vt:lpstr>
      <vt:lpstr>Tabel 1.1</vt:lpstr>
      <vt:lpstr>Tabell 1.2</vt:lpstr>
      <vt:lpstr>Tabell 1.3</vt:lpstr>
      <vt:lpstr>Skjema total MA</vt:lpstr>
      <vt:lpstr>Danica Pensjonsforsikring</vt:lpstr>
      <vt:lpstr>DNB Bedriftspensjon</vt:lpstr>
      <vt:lpstr>DNB Livsforsikring</vt:lpstr>
      <vt:lpstr>Eika Forsikring AS</vt:lpstr>
      <vt:lpstr>Fremtind Livsforsikring</vt:lpstr>
      <vt:lpstr>Frende Livsforsikring</vt:lpstr>
      <vt:lpstr>Frende Skadeforsikring</vt:lpstr>
      <vt:lpstr>Gjensidige Forsikring</vt:lpstr>
      <vt:lpstr>Gjensidige Pensjon</vt:lpstr>
      <vt:lpstr>Handelsbanken Liv</vt:lpstr>
      <vt:lpstr>If Skadeforsikring NUF</vt:lpstr>
      <vt:lpstr>Insr</vt:lpstr>
      <vt:lpstr>KLP</vt:lpstr>
      <vt:lpstr>KLP Skadeforsikring AS</vt:lpstr>
      <vt:lpstr>Landkreditt Forsikring</vt:lpstr>
      <vt:lpstr>Nordea Liv</vt:lpstr>
      <vt:lpstr>Oslo Pensjonsforsikring</vt:lpstr>
      <vt:lpstr>Protector Forsikring</vt:lpstr>
      <vt:lpstr>SHB Liv</vt:lpstr>
      <vt:lpstr>Sparebank 1</vt:lpstr>
      <vt:lpstr>Storebrand Livsforsikring</vt:lpstr>
      <vt:lpstr>Telenor Forsikring</vt:lpstr>
      <vt:lpstr>Tryg Forsikring</vt:lpstr>
      <vt:lpstr>WaterCircle F</vt:lpstr>
      <vt:lpstr>Tabell 4</vt:lpstr>
      <vt:lpstr>Tabell 5.1</vt:lpstr>
      <vt:lpstr>Tabell 5.2</vt:lpstr>
      <vt:lpstr>Tabell 5.3</vt:lpstr>
      <vt:lpstr>Tabell 6</vt:lpstr>
      <vt:lpstr>Tabell 7a</vt:lpstr>
      <vt:lpstr>Tabell 7b</vt:lpstr>
      <vt:lpstr>Tabell 8</vt:lpstr>
      <vt:lpstr>Noter og kommentarer</vt:lpstr>
      <vt:lpstr>'Fremtind Livsforsikring'!Utskriftsområde</vt:lpstr>
      <vt:lpstr>Insr!Utskriftsområde</vt:lpstr>
      <vt:lpstr>'Noter og kommentarer'!Utskriftsområde</vt:lpstr>
      <vt:lpstr>'Skjema total MA'!Utskriftsområde</vt:lpstr>
      <vt:lpstr>'Tabell 5.1'!Utskriftsområde</vt:lpstr>
      <vt:lpstr>'Tabell 5.2'!Utskriftsområde</vt:lpstr>
      <vt:lpstr>'Tabell 7a'!Utskriftsområde</vt:lpstr>
      <vt:lpstr>'Tabell 7b'!Utskriftsområde</vt:lpstr>
      <vt:lpstr>'Tabell 8'!Utskriftsområde</vt:lpstr>
      <vt:lpstr>'Tabell 5.1'!Utskriftstitler</vt:lpstr>
      <vt:lpstr>'Tabell 5.2'!Utskriftstitler</vt:lpstr>
      <vt:lpstr>'Tabell 7a'!Utskriftstitler</vt:lpstr>
      <vt:lpstr>'Tabell 7b'!Utskriftstitler</vt:lpstr>
      <vt:lpstr>'Tabell 8'!Utskriftstitler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Anne-Kathrine Johansen</dc:creator>
  <cp:lastModifiedBy>Randi Mørk</cp:lastModifiedBy>
  <cp:lastPrinted>2016-06-01T05:37:12Z</cp:lastPrinted>
  <dcterms:created xsi:type="dcterms:W3CDTF">2010-12-15T10:21:26Z</dcterms:created>
  <dcterms:modified xsi:type="dcterms:W3CDTF">2021-05-26T03:22:49Z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8ba5bd5c-66ae-4f98-875a-dadd4e14eac9</vt:lpwstr>
  </property>
  <property fmtid="{D5CDD505-2E9C-101B-9397-08002B2CF9AE}" pid="4" name="Avtale">
    <vt:lpwstr/>
  </property>
  <property fmtid="{D5CDD505-2E9C-101B-9397-08002B2CF9AE}" pid="5" name="n5dc56bd60b9453d8a2d716a3ace2936">
    <vt:lpwstr/>
  </property>
  <property fmtid="{D5CDD505-2E9C-101B-9397-08002B2CF9AE}" pid="6" name="Korrespondanse_x002d_fnf">
    <vt:lpwstr/>
  </property>
  <property fmtid="{D5CDD505-2E9C-101B-9397-08002B2CF9AE}" pid="7" name="pb5e3c85e100497daa11dd5a916fed68">
    <vt:lpwstr/>
  </property>
  <property fmtid="{D5CDD505-2E9C-101B-9397-08002B2CF9AE}" pid="8" name="Korrespondanse">
    <vt:lpwstr/>
  </property>
  <property fmtid="{D5CDD505-2E9C-101B-9397-08002B2CF9AE}" pid="9" name="b42cd6bccb18471bb7f8fb6f2b7f8ea5">
    <vt:lpwstr/>
  </property>
  <property fmtid="{D5CDD505-2E9C-101B-9397-08002B2CF9AE}" pid="10" name="Statistikk">
    <vt:lpwstr/>
  </property>
  <property fmtid="{D5CDD505-2E9C-101B-9397-08002B2CF9AE}" pid="11" name="Korrespondanse-fnf">
    <vt:lpwstr/>
  </property>
</Properties>
</file>